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png&amp;ehk=iCrQHPr0e5F3b9NR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showInkAnnotation="0"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4ae79f56e8ff23e0/Desktop/"/>
    </mc:Choice>
  </mc:AlternateContent>
  <xr:revisionPtr revIDLastSave="0" documentId="8_{85FC8EFB-02F6-4845-8795-56A5C94196E7}" xr6:coauthVersionLast="47" xr6:coauthVersionMax="47" xr10:uidLastSave="{00000000-0000-0000-0000-000000000000}"/>
  <bookViews>
    <workbookView xWindow="-120" yWindow="-120" windowWidth="29040" windowHeight="15720" tabRatio="886" firstSheet="1" activeTab="8" xr2:uid="{00000000-000D-0000-FFFF-FFFF00000000}"/>
  </bookViews>
  <sheets>
    <sheet name="downloads" sheetId="46" state="hidden" r:id="rId1"/>
    <sheet name="Dashboard" sheetId="54" r:id="rId2"/>
    <sheet name="MatchDay" sheetId="5" r:id="rId3"/>
    <sheet name="U15B" sheetId="40" r:id="rId4"/>
    <sheet name="U15G" sheetId="48" r:id="rId5"/>
    <sheet name="U13B" sheetId="49" r:id="rId6"/>
    <sheet name="U13G" sheetId="50" r:id="rId7"/>
    <sheet name="StartLists" sheetId="44" r:id="rId8"/>
    <sheet name="Track1" sheetId="16" r:id="rId9"/>
    <sheet name="Middle D" sheetId="18" r:id="rId10"/>
    <sheet name="Relays" sheetId="17" r:id="rId11"/>
    <sheet name="Distance Input" sheetId="9" r:id="rId12"/>
    <sheet name="Height Input" sheetId="15" r:id="rId13"/>
    <sheet name="Track2" sheetId="19" r:id="rId14"/>
    <sheet name="Field" sheetId="12" r:id="rId15"/>
    <sheet name="Points" sheetId="13" state="hidden" r:id="rId16"/>
    <sheet name="Distance" sheetId="6" r:id="rId17"/>
    <sheet name="Height" sheetId="14" r:id="rId18"/>
    <sheet name="Timetables" sheetId="1" state="hidden" r:id="rId19"/>
    <sheet name="EA" sheetId="2" state="hidden" r:id="rId20"/>
    <sheet name="Teams" sheetId="4" state="hidden" r:id="rId21"/>
    <sheet name="Dates &amp; Venues" sheetId="7" state="hidden" r:id="rId22"/>
    <sheet name="Judging Duties" sheetId="10" state="hidden" r:id="rId23"/>
    <sheet name="fileinfo" sheetId="52" state="hidden" r:id="rId24"/>
  </sheets>
  <definedNames>
    <definedName name="_xlnm._FilterDatabase" localSheetId="21" hidden="1">'Dates &amp; Venues'!$A$1:$I$92</definedName>
    <definedName name="_xlnm._FilterDatabase" localSheetId="11" hidden="1">'Distance Input'!$B$2:$B$135</definedName>
    <definedName name="_xlnm._FilterDatabase" localSheetId="0" hidden="1">downloads!$A$1:$F$1000</definedName>
    <definedName name="_xlnm._FilterDatabase" localSheetId="14" hidden="1">Field!$D$1:$D$242</definedName>
    <definedName name="_xlnm._FilterDatabase" localSheetId="12" hidden="1">'Height Input'!$B$2:$B$43</definedName>
    <definedName name="_xlnm._FilterDatabase" localSheetId="22" hidden="1">'Judging Duties'!$A$1:$C$24</definedName>
    <definedName name="_xlnm._FilterDatabase" localSheetId="10" hidden="1">Relays!$B$1:$B$66</definedName>
    <definedName name="_xlnm._FilterDatabase" localSheetId="7" hidden="1">StartLists!$C$1:$C$699</definedName>
    <definedName name="_xlnm._FilterDatabase" localSheetId="20" hidden="1">Teams!$A$1:$AC$264</definedName>
    <definedName name="_xlnm._FilterDatabase" localSheetId="18" hidden="1">Timetables!$A$1:$DK$60</definedName>
    <definedName name="_xlnm._FilterDatabase" localSheetId="8" hidden="1">Track1!$D$1:$D$286</definedName>
    <definedName name="_xlnm._FilterDatabase" localSheetId="13" hidden="1">Track2!$D$1:$D$44</definedName>
    <definedName name="_LFW01">'Distance Input'!$Q$4:$U$19</definedName>
    <definedName name="_LFW02">'Distance Input'!$Q$23:$U$38</definedName>
    <definedName name="_LFW03">'Distance Input'!$Q$42:$U$57</definedName>
    <definedName name="_LFW04">'Distance Input'!$Q$61:$U$76</definedName>
    <definedName name="competitors">downloads!$A$1:$G$1000</definedName>
    <definedName name="download_lower_decs.asp?fixtureID_201_matchno_1" localSheetId="0">downloads!$A$1:$D$8</definedName>
    <definedName name="download_lower_decs.asp?fixtureID_207_matchno_1" localSheetId="0">downloads!$A$1:$D$422</definedName>
    <definedName name="download_lower_decs.asp?fixtureID_207_matchno_1_1" localSheetId="0">downloads!$A$1:$D$437</definedName>
    <definedName name="download_lower_decs.asp?fixtureID_207_matchno_1_2" localSheetId="0">downloads!$A$1:$D$574</definedName>
    <definedName name="download_lower_decs.asp?fixtureID_207_matchno_1_3" localSheetId="0">downloads!$A$1:$D$567</definedName>
    <definedName name="download_lower_decs.asp?fixtureID_207_matchno_1_4" localSheetId="0">downloads!$A$1:$D$554</definedName>
    <definedName name="download_lower_decs.asp?fixtureID_207_matchno_1_5" localSheetId="0">downloads!$A$1:$D$547</definedName>
    <definedName name="download_lower_decs.asp?fixtureID_211_matchno_1" localSheetId="0">downloads!$A$1:$D$162</definedName>
    <definedName name="download_lower_decs.asp?fixtureID_211_matchno_3" localSheetId="0">downloads!$A$1:$D$491</definedName>
    <definedName name="download_lower_decs.asp?fixtureID_211_matchno_3_1" localSheetId="0">downloads!$A$1:$D$486</definedName>
    <definedName name="download_lower_decs.asp?fixtureID_211_matchno_3_10" localSheetId="0">downloads!$A$1:$D$480</definedName>
    <definedName name="download_lower_decs.asp?fixtureID_211_matchno_3_11" localSheetId="0">downloads!$A$1:$D$480</definedName>
    <definedName name="download_lower_decs.asp?fixtureID_211_matchno_3_12" localSheetId="0">downloads!$A$1:$D$479</definedName>
    <definedName name="download_lower_decs.asp?fixtureID_211_matchno_3_13" localSheetId="0">downloads!$A$1:$D$479</definedName>
    <definedName name="download_lower_decs.asp?fixtureID_211_matchno_3_14" localSheetId="0">downloads!$A$1:$D$479</definedName>
    <definedName name="download_lower_decs.asp?fixtureID_211_matchno_3_15" localSheetId="0">downloads!$A$1:$D$479</definedName>
    <definedName name="download_lower_decs.asp?fixtureID_211_matchno_3_2" localSheetId="0">downloads!$A$1:$D$485</definedName>
    <definedName name="download_lower_decs.asp?fixtureID_211_matchno_3_3" localSheetId="0">downloads!$A$1:$D$485</definedName>
    <definedName name="download_lower_decs.asp?fixtureID_211_matchno_3_4" localSheetId="0">downloads!$A$1:$D$485</definedName>
    <definedName name="download_lower_decs.asp?fixtureID_211_matchno_3_5" localSheetId="0">downloads!$A$1:$D$482</definedName>
    <definedName name="download_lower_decs.asp?fixtureID_211_matchno_3_6" localSheetId="0">downloads!$A$1:$D$482</definedName>
    <definedName name="download_lower_decs.asp?fixtureID_211_matchno_3_7" localSheetId="0">downloads!$A$1:$D$481</definedName>
    <definedName name="download_lower_decs.asp?fixtureID_211_matchno_3_8" localSheetId="0">downloads!$A$1:$D$480</definedName>
    <definedName name="download_lower_decs.asp?fixtureID_211_matchno_3_9" localSheetId="0">downloads!$A$1:$D$480</definedName>
    <definedName name="download_lower_decs.asp?fixtureID_212_matchno_1" localSheetId="0">downloads!$A$1:$D$98</definedName>
    <definedName name="download_lower_decs.asp?fixtureID_212_matchno_1_1" localSheetId="0">downloads!$A$1:$D$30</definedName>
    <definedName name="download_lower_decs.asp?fixtureID_218_matchno_1" localSheetId="0">downloads!$A$1:$D$97</definedName>
    <definedName name="download_lower_decs.asp?fixtureID_221_matchno_1" localSheetId="0">downloads!$A$1:$D$735</definedName>
    <definedName name="download_lower_decs.asp?fixtureID_221_matchno_1_1" localSheetId="0">downloads!$A$1:$D$737</definedName>
    <definedName name="download_lower_decs.asp?fixtureID_221_matchno_2" localSheetId="0">downloads!$A$1:$D$8</definedName>
    <definedName name="download_lower_decs.asp?fixtureID_223_matchno_1" localSheetId="0">downloads!$A$1:$D$462</definedName>
    <definedName name="download_lower_decs.asp?fixtureID_223_matchno_1_1" localSheetId="0">downloads!$A$1:$D$8</definedName>
    <definedName name="download_lower_decs.asp?fixtureID_223_matchno_2" localSheetId="0">downloads!$A$1:$D$435</definedName>
    <definedName name="download_lower_decs.asp?fixtureID_223_matchno_2_1" localSheetId="0">downloads!$A$1:$D$435</definedName>
    <definedName name="download_lower_decs.asp?fixtureID_223_matchno_2_2" localSheetId="0">downloads!$A$1:$D$415</definedName>
    <definedName name="download_lower_decs.asp?fixtureID_223_matchno_2_3" localSheetId="0">downloads!$A$1:$D$415</definedName>
    <definedName name="download_lower_decs.asp?fixtureID_223_matchno_2_4" localSheetId="0">downloads!$A$1:$D$415</definedName>
    <definedName name="download_lower_decs.asp?fixtureID_223_matchno_2_5" localSheetId="0">downloads!$A$1:$D$415</definedName>
    <definedName name="download_lower_decs.asp?fixtureID_223_matchno_2_6" localSheetId="0">downloads!$A$1:$D$415</definedName>
    <definedName name="download_lower_decs.asp?fixtureID_223_matchno_2_7" localSheetId="0">downloads!$A$1:$D$416</definedName>
    <definedName name="download_lower_decs.asp?fixtureID_223_matchno_2_8" localSheetId="0">downloads!$A$1:$D$417</definedName>
    <definedName name="download_lower_decs.asp?fixtureID_223_matchno_3" localSheetId="0">downloads!$A$1:$D$442</definedName>
    <definedName name="download_lower_decs.asp?fixtureID_223_matchno_3_1" localSheetId="0">downloads!$A$1:$D$442</definedName>
    <definedName name="download_lower_decs.asp?fixtureID_223_matchno_3_2" localSheetId="0">downloads!$A$1:$D$442</definedName>
    <definedName name="download_lower_decs.asp?fixtureID_223_matchno_3_3" localSheetId="0">downloads!$A$1:$D$442</definedName>
    <definedName name="download_lower_decs.asp?fixtureID_231_matchno_1" localSheetId="0">downloads!$A$1:$D$615</definedName>
    <definedName name="download_lower_decs.asp?fixtureID_231_matchno_1_1" localSheetId="0">downloads!$A$1:$D$615</definedName>
    <definedName name="download_lower_decs.asp?fixtureID_231_matchno_1_2" localSheetId="0">downloads!$A$1:$D$675</definedName>
    <definedName name="download_lower_decs.asp?fixtureID_231_matchno_1_3" localSheetId="0">downloads!$A$1:$D$672</definedName>
    <definedName name="download_lower_decs.asp?fixtureID_235_matchno_1" localSheetId="0">downloads!$A$1:$D$172</definedName>
    <definedName name="download_lower_decs.asp?fixtureID_241_matchno_4" localSheetId="0">downloads!$A$1:$D$343</definedName>
    <definedName name="download_lower_decs.asp?fixtureID_242_matchno_4" localSheetId="0">downloads!$A$1:$D$657</definedName>
    <definedName name="download_lower_decs.asp?fixtureID_244_matchno_4" localSheetId="0">downloads!$A$1:$D$450</definedName>
    <definedName name="fdistance">'Distance Input'!$X$3:$Z$26</definedName>
    <definedName name="fheight">'Height Input'!$AA$3:$AD$10</definedName>
    <definedName name="HTML_CodePage" hidden="1">1252</definedName>
    <definedName name="HTML_Control" localSheetId="1" hidden="1">{"'results'!$F$1:$R$43"}</definedName>
    <definedName name="HTML_Control" hidden="1">{"'results'!$F$1:$R$43"}</definedName>
    <definedName name="HTML_Description" hidden="1">"Provisional results by Mick Bromilow"</definedName>
    <definedName name="HTML_Email" hidden="1">""</definedName>
    <definedName name="HTML_Header" hidden="1">"Southern Men's League Division 3  - Hemel Hempstead - 7 July 2001"</definedName>
    <definedName name="HTML_LastUpdate" hidden="1">"10/07/01"</definedName>
    <definedName name="HTML_LineAfter" hidden="1">TRUE</definedName>
    <definedName name="HTML_LineBefore" hidden="1">TRUE</definedName>
    <definedName name="HTML_Name" hidden="1">"Mick Bromilow"</definedName>
    <definedName name="HTML_OBDlg2" hidden="1">TRUE</definedName>
    <definedName name="HTML_OBDlg4" hidden="1">TRUE</definedName>
    <definedName name="HTML_OS" hidden="1">0</definedName>
    <definedName name="HTML_PathFile" hidden="1">"\\Pcma183\webdocs\Staff\tmb3\MKAC\01sml4a.htm"</definedName>
    <definedName name="HTML_Title" hidden="1">"Southern Men's League Division 3"</definedName>
    <definedName name="judges">'Judging Duties'!$A$1:$AG$25</definedName>
    <definedName name="judges2">'Judging Duties'!$AI$4:$AM$19</definedName>
    <definedName name="judgesp">'Judging Duties'!$AI$21:$AM$28</definedName>
    <definedName name="LAG_records" localSheetId="0">downloads!$J$1:$N$138</definedName>
    <definedName name="LAG_records.asp" localSheetId="0">downloads!$J$1:$N$138</definedName>
    <definedName name="LAG_records_1" localSheetId="0">downloads!$J$1:$N$138</definedName>
    <definedName name="LAG_records_10" localSheetId="0">downloads!$J$1:$N$138</definedName>
    <definedName name="LAG_records_2" localSheetId="0">downloads!$J$1:$N$138</definedName>
    <definedName name="LAG_records_3" localSheetId="0">downloads!$J$1:$N$138</definedName>
    <definedName name="LAG_records_4" localSheetId="0">downloads!$J$1:$N$138</definedName>
    <definedName name="LAG_records_5" localSheetId="0">downloads!$J$1:$N$138</definedName>
    <definedName name="LAG_records_6" localSheetId="0">downloads!$J$1:$N$138</definedName>
    <definedName name="LAG_records_7" localSheetId="0">downloads!$J$1:$N$138</definedName>
    <definedName name="LAG_records_8" localSheetId="0">downloads!$J$1:$N$138</definedName>
    <definedName name="LAG_records_9" localSheetId="0">downloads!$J$1:$N$138</definedName>
    <definedName name="LAGMI">Teams!$R$2:$R$11</definedName>
    <definedName name="LAGNO">Teams!$P$2:$P$10</definedName>
    <definedName name="LAGSC">Teams!$S$2:$S$5</definedName>
    <definedName name="LAGSO">Teams!$Q$2:$Q$10</definedName>
    <definedName name="LAGYD">Teams!$T$2:$T$2</definedName>
    <definedName name="lanes6">Timetables!$CK$2:$CP$78</definedName>
    <definedName name="Lanes7">Timetables!$BK$2:$BQ$60</definedName>
    <definedName name="numbers_">Teams!$U$2:$U$20</definedName>
    <definedName name="numbers_A">Teams!$U$1:$U$12</definedName>
    <definedName name="points3">Points!$B$122:$D$127</definedName>
    <definedName name="points4">Points!$B$109:$D$119</definedName>
    <definedName name="points5">Points!$B$2:$D$16</definedName>
    <definedName name="points6">Points!$B$19:$D$39</definedName>
    <definedName name="points7">Points!$B$42:$D$69</definedName>
    <definedName name="points8">Points!$B$72:$D$107</definedName>
    <definedName name="_xlnm.Print_Area" localSheetId="16">Distance!$D$3:$AB$514</definedName>
    <definedName name="_xlnm.Print_Area" localSheetId="11">'Distance Input'!$B$21:$F$38</definedName>
    <definedName name="_xlnm.Print_Area" localSheetId="19">EA!$A$31:$K$59</definedName>
    <definedName name="_xlnm.Print_Area" localSheetId="14">Field!$D$222:$P$242</definedName>
    <definedName name="_xlnm.Print_Area" localSheetId="17">Height!$D$3:$AM$194</definedName>
    <definedName name="_xlnm.Print_Area" localSheetId="2">MatchDay!$B$2:$J$38</definedName>
    <definedName name="_xlnm.Print_Area" localSheetId="10">Relays!$B$46:$I$89</definedName>
    <definedName name="_xlnm.Print_Area" localSheetId="7">StartLists!$B$2:$L$696</definedName>
    <definedName name="_xlnm.Print_Area" localSheetId="18">Timetables!$A$39:$D$60</definedName>
    <definedName name="_xlnm.Print_Area" localSheetId="8">Track1!$B$2:$N$45</definedName>
    <definedName name="_xlnm.Print_Area" localSheetId="13">Track2!$D$2:$P$45</definedName>
    <definedName name="_xlnm.Print_Area" localSheetId="5">U13B!$B$2:$N$132</definedName>
    <definedName name="_xlnm.Print_Area" localSheetId="6">U13G!$B$2:$N$132</definedName>
    <definedName name="_xlnm.Print_Area" localSheetId="3">U15B!$B$2:$N$187</definedName>
    <definedName name="_xlnm.Print_Area" localSheetId="4">U15G!$B$2:$N$187</definedName>
    <definedName name="_xlnm.Print_Titles" localSheetId="14">Field!$1:$1</definedName>
    <definedName name="_xlnm.Print_Titles" localSheetId="10">Relays!$1:$1</definedName>
    <definedName name="_xlnm.Print_Titles" localSheetId="7">StartLists!$1:$1</definedName>
    <definedName name="_xlnm.Print_Titles" localSheetId="8">Track1!$1:$1</definedName>
    <definedName name="_xlnm.Print_Titles" localSheetId="13">Track2!$1:$1</definedName>
    <definedName name="_xlnm.Print_Titles" localSheetId="5">U13B!$1:$1</definedName>
    <definedName name="_xlnm.Print_Titles" localSheetId="6">U13G!$1:$1</definedName>
    <definedName name="_xlnm.Print_Titles" localSheetId="3">U15B!$1:$1</definedName>
    <definedName name="_xlnm.Print_Titles" localSheetId="4">U15G!$1:$1</definedName>
    <definedName name="records">downloads!$J$1:$N$138</definedName>
    <definedName name="standards">EA!$A$1:$N$60</definedName>
    <definedName name="teamlookup">Teams!$U$2:$Y$20</definedName>
    <definedName name="timetables">Timetables!$A$1:$ET$60</definedName>
    <definedName name="ydl_standings.asp?fixtureID_207" localSheetId="0">downloads!$S$1:$AF$2</definedName>
    <definedName name="ydl_standings.asp?fixtureID_211" localSheetId="0">downloads!$S$1:$AF$7</definedName>
    <definedName name="ydl_standings.asp?fixtureID_211_1" localSheetId="0">downloads!$S$1:$AF$7</definedName>
    <definedName name="ydl_standings.asp?fixtureID_211_2" localSheetId="0">downloads!$S$1:$AF$7</definedName>
    <definedName name="ydl_standings.asp?fixtureID_223_1" localSheetId="0">downloads!$AB$1:$AO$8</definedName>
    <definedName name="ydl_standings.asp?fixtureID_223_2" localSheetId="0">downloads!$S$1:$AF$8</definedName>
    <definedName name="ydl_standings.asp?fixtureID_223_3" localSheetId="0">downloads!$S$1:$AF$8</definedName>
    <definedName name="ydl_standings.asp?fixtureID_235" localSheetId="0">downloads!$S$1:$AY$2</definedName>
    <definedName name="ydl_standings.asp?fixtureID_235_1" localSheetId="0">downloads!$S$1:$AY$2</definedName>
    <definedName name="ydl_standings.asp?fixtureID_241" localSheetId="0">downloads!$S$1:$AY$2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4" i="19" l="1"/>
  <c r="A43" i="19"/>
  <c r="A42" i="19"/>
  <c r="A41" i="19"/>
  <c r="A40" i="19"/>
  <c r="A39" i="19"/>
  <c r="A38" i="19"/>
  <c r="A37" i="19"/>
  <c r="A36" i="19"/>
  <c r="A22" i="19"/>
  <c r="A21" i="19"/>
  <c r="A20" i="19"/>
  <c r="A19" i="19"/>
  <c r="A18" i="19"/>
  <c r="A17" i="19"/>
  <c r="A16" i="19"/>
  <c r="A15" i="19"/>
  <c r="A14" i="19"/>
  <c r="A284" i="16"/>
  <c r="A281" i="16"/>
  <c r="A280" i="16"/>
  <c r="A264" i="16"/>
  <c r="A256" i="16"/>
  <c r="A242" i="16"/>
  <c r="A241" i="16"/>
  <c r="A240" i="16"/>
  <c r="A239" i="16"/>
  <c r="A238" i="16"/>
  <c r="A237" i="16"/>
  <c r="A236" i="16"/>
  <c r="A235" i="16"/>
  <c r="A234" i="16"/>
  <c r="A220" i="16"/>
  <c r="A219" i="16"/>
  <c r="A218" i="16"/>
  <c r="A217" i="16"/>
  <c r="A216" i="16"/>
  <c r="A215" i="16"/>
  <c r="A214" i="16"/>
  <c r="A213" i="16"/>
  <c r="A212" i="16"/>
  <c r="V235" i="16"/>
  <c r="A231" i="16"/>
  <c r="A230" i="16"/>
  <c r="A229" i="16"/>
  <c r="A228" i="16"/>
  <c r="A227" i="16"/>
  <c r="A226" i="16"/>
  <c r="A225" i="16"/>
  <c r="A224" i="16"/>
  <c r="A223" i="16"/>
  <c r="A209" i="16"/>
  <c r="A208" i="16"/>
  <c r="A207" i="16"/>
  <c r="A206" i="16"/>
  <c r="A205" i="16"/>
  <c r="A204" i="16"/>
  <c r="A203" i="16"/>
  <c r="A202" i="16"/>
  <c r="A201" i="16"/>
  <c r="A242" i="12"/>
  <c r="A241" i="12"/>
  <c r="A240" i="12"/>
  <c r="A239" i="12"/>
  <c r="A238" i="12"/>
  <c r="A237" i="12"/>
  <c r="A236" i="12"/>
  <c r="A235" i="12"/>
  <c r="A234" i="12"/>
  <c r="A231" i="12"/>
  <c r="A230" i="12"/>
  <c r="A229" i="12"/>
  <c r="A228" i="12"/>
  <c r="A227" i="12"/>
  <c r="A226" i="12"/>
  <c r="A225" i="12"/>
  <c r="A224" i="12"/>
  <c r="A223" i="12"/>
  <c r="A220" i="12"/>
  <c r="A219" i="12"/>
  <c r="A218" i="12"/>
  <c r="A217" i="12"/>
  <c r="A216" i="12"/>
  <c r="A215" i="12"/>
  <c r="A214" i="12"/>
  <c r="A213" i="12"/>
  <c r="A212" i="12"/>
  <c r="A209" i="12"/>
  <c r="A208" i="12"/>
  <c r="A207" i="12"/>
  <c r="A206" i="12"/>
  <c r="A205" i="12"/>
  <c r="A204" i="12"/>
  <c r="A203" i="12"/>
  <c r="A202" i="12"/>
  <c r="A201" i="12"/>
  <c r="A198" i="12"/>
  <c r="A197" i="12"/>
  <c r="A196" i="12"/>
  <c r="A195" i="12"/>
  <c r="A194" i="12"/>
  <c r="A193" i="12"/>
  <c r="A192" i="12"/>
  <c r="A191" i="12"/>
  <c r="A190" i="12"/>
  <c r="A187" i="12"/>
  <c r="A186" i="12"/>
  <c r="A185" i="12"/>
  <c r="A184" i="12"/>
  <c r="A183" i="12"/>
  <c r="A182" i="12"/>
  <c r="A181" i="12"/>
  <c r="A180" i="12"/>
  <c r="A179" i="12"/>
  <c r="A176" i="12"/>
  <c r="A175" i="12"/>
  <c r="A174" i="12"/>
  <c r="A173" i="12"/>
  <c r="A172" i="12"/>
  <c r="A171" i="12"/>
  <c r="A170" i="12"/>
  <c r="A169" i="12"/>
  <c r="A168" i="12"/>
  <c r="A165" i="12"/>
  <c r="A164" i="12"/>
  <c r="A163" i="12"/>
  <c r="A162" i="12"/>
  <c r="A161" i="12"/>
  <c r="A160" i="12"/>
  <c r="A159" i="12"/>
  <c r="A158" i="12"/>
  <c r="A157" i="12"/>
  <c r="A154" i="12"/>
  <c r="A153" i="12"/>
  <c r="A152" i="12"/>
  <c r="A151" i="12"/>
  <c r="A150" i="12"/>
  <c r="A149" i="12"/>
  <c r="A148" i="12"/>
  <c r="A147" i="12"/>
  <c r="A146" i="12"/>
  <c r="A143" i="12"/>
  <c r="A142" i="12"/>
  <c r="A141" i="12"/>
  <c r="A140" i="12"/>
  <c r="A139" i="12"/>
  <c r="A138" i="12"/>
  <c r="A137" i="12"/>
  <c r="A136" i="12"/>
  <c r="A135" i="12"/>
  <c r="A132" i="12"/>
  <c r="A131" i="12"/>
  <c r="A130" i="12"/>
  <c r="A129" i="12"/>
  <c r="A128" i="12"/>
  <c r="A127" i="12"/>
  <c r="A126" i="12"/>
  <c r="A125" i="12"/>
  <c r="A124" i="12"/>
  <c r="A121" i="12"/>
  <c r="A120" i="12"/>
  <c r="A119" i="12"/>
  <c r="A118" i="12"/>
  <c r="A117" i="12"/>
  <c r="A116" i="12"/>
  <c r="A115" i="12"/>
  <c r="A114" i="12"/>
  <c r="A113" i="12"/>
  <c r="A110" i="12"/>
  <c r="A109" i="12"/>
  <c r="A108" i="12"/>
  <c r="A107" i="12"/>
  <c r="A106" i="12"/>
  <c r="A105" i="12"/>
  <c r="A104" i="12"/>
  <c r="A103" i="12"/>
  <c r="A102" i="12"/>
  <c r="A99" i="12"/>
  <c r="A98" i="12"/>
  <c r="A97" i="12"/>
  <c r="A96" i="12"/>
  <c r="A95" i="12"/>
  <c r="A94" i="12"/>
  <c r="A93" i="12"/>
  <c r="A92" i="12"/>
  <c r="A91" i="12"/>
  <c r="A88" i="12"/>
  <c r="A87" i="12"/>
  <c r="A86" i="12"/>
  <c r="A85" i="12"/>
  <c r="A84" i="12"/>
  <c r="A83" i="12"/>
  <c r="A82" i="12"/>
  <c r="A81" i="12"/>
  <c r="A80" i="12"/>
  <c r="A77" i="12"/>
  <c r="A76" i="12"/>
  <c r="A75" i="12"/>
  <c r="A74" i="12"/>
  <c r="A73" i="12"/>
  <c r="A72" i="12"/>
  <c r="A71" i="12"/>
  <c r="A70" i="12"/>
  <c r="A69" i="12"/>
  <c r="A66" i="12"/>
  <c r="A65" i="12"/>
  <c r="A64" i="12"/>
  <c r="A63" i="12"/>
  <c r="A62" i="12"/>
  <c r="A61" i="12"/>
  <c r="A60" i="12"/>
  <c r="A59" i="12"/>
  <c r="A58" i="12"/>
  <c r="A55" i="12"/>
  <c r="A54" i="12"/>
  <c r="A53" i="12"/>
  <c r="A52" i="12"/>
  <c r="A51" i="12"/>
  <c r="A50" i="12"/>
  <c r="A49" i="12"/>
  <c r="A48" i="12"/>
  <c r="A47" i="12"/>
  <c r="A44" i="12"/>
  <c r="A43" i="12"/>
  <c r="A42" i="12"/>
  <c r="A41" i="12"/>
  <c r="A40" i="12"/>
  <c r="A39" i="12"/>
  <c r="A38" i="12"/>
  <c r="A37" i="12"/>
  <c r="A36" i="12"/>
  <c r="A33" i="12"/>
  <c r="A32" i="12"/>
  <c r="A31" i="12"/>
  <c r="A30" i="12"/>
  <c r="A29" i="12"/>
  <c r="A28" i="12"/>
  <c r="A27" i="12"/>
  <c r="A26" i="12"/>
  <c r="A25" i="12"/>
  <c r="A22" i="12"/>
  <c r="A21" i="12"/>
  <c r="A20" i="12"/>
  <c r="A19" i="12"/>
  <c r="A18" i="12"/>
  <c r="A17" i="12"/>
  <c r="A16" i="12"/>
  <c r="A15" i="12"/>
  <c r="A14" i="12"/>
  <c r="A11" i="12"/>
  <c r="A10" i="12"/>
  <c r="A9" i="12"/>
  <c r="A8" i="12"/>
  <c r="A6" i="12"/>
  <c r="A5" i="12"/>
  <c r="A4" i="12"/>
  <c r="A3" i="12"/>
  <c r="A7" i="12"/>
  <c r="C242" i="12"/>
  <c r="A33" i="19"/>
  <c r="A32" i="19"/>
  <c r="A31" i="19"/>
  <c r="A30" i="19"/>
  <c r="A29" i="19"/>
  <c r="A28" i="19"/>
  <c r="A27" i="19"/>
  <c r="A26" i="19"/>
  <c r="A25" i="19"/>
  <c r="A11" i="19"/>
  <c r="A10" i="19"/>
  <c r="A9" i="19"/>
  <c r="A8" i="19"/>
  <c r="A7" i="19"/>
  <c r="A6" i="19"/>
  <c r="A5" i="19"/>
  <c r="A4" i="19"/>
  <c r="A3" i="19"/>
  <c r="I255" i="16"/>
  <c r="A273" i="16"/>
  <c r="A270" i="16"/>
  <c r="A269" i="16"/>
  <c r="A253" i="16"/>
  <c r="A249" i="16"/>
  <c r="A246" i="16"/>
  <c r="A245" i="16"/>
  <c r="A198" i="16"/>
  <c r="P196" i="16" s="1"/>
  <c r="A197" i="16"/>
  <c r="A196" i="16"/>
  <c r="A195" i="16"/>
  <c r="A194" i="16"/>
  <c r="A193" i="16"/>
  <c r="A192" i="16"/>
  <c r="A191" i="16"/>
  <c r="A190" i="16"/>
  <c r="A187" i="16"/>
  <c r="P185" i="16" s="1"/>
  <c r="A186" i="16"/>
  <c r="A185" i="16"/>
  <c r="A184" i="16"/>
  <c r="A183" i="16"/>
  <c r="A182" i="16"/>
  <c r="A181" i="16"/>
  <c r="A180" i="16"/>
  <c r="A179" i="16"/>
  <c r="A175" i="16"/>
  <c r="A174" i="16"/>
  <c r="A171" i="16"/>
  <c r="A170" i="16"/>
  <c r="A164" i="16"/>
  <c r="A160" i="16"/>
  <c r="A154" i="16"/>
  <c r="P147" i="16" s="1"/>
  <c r="A150" i="16"/>
  <c r="A147" i="16"/>
  <c r="A146" i="16"/>
  <c r="A140" i="16"/>
  <c r="A136" i="16"/>
  <c r="A132" i="16"/>
  <c r="P130" i="16" s="1"/>
  <c r="A131" i="16"/>
  <c r="A130" i="16"/>
  <c r="A129" i="16"/>
  <c r="A128" i="16"/>
  <c r="A127" i="16"/>
  <c r="A126" i="16"/>
  <c r="A125" i="16"/>
  <c r="A124" i="16"/>
  <c r="A121" i="16"/>
  <c r="P119" i="16" s="1"/>
  <c r="A120" i="16"/>
  <c r="A119" i="16"/>
  <c r="A118" i="16"/>
  <c r="A117" i="16"/>
  <c r="A116" i="16"/>
  <c r="A115" i="16"/>
  <c r="A114" i="16"/>
  <c r="A113" i="16"/>
  <c r="A110" i="16"/>
  <c r="P108" i="16" s="1"/>
  <c r="A109" i="16"/>
  <c r="A108" i="16"/>
  <c r="A107" i="16"/>
  <c r="A106" i="16"/>
  <c r="A105" i="16"/>
  <c r="A104" i="16"/>
  <c r="A103" i="16"/>
  <c r="A102" i="16"/>
  <c r="A99" i="16"/>
  <c r="A98" i="16"/>
  <c r="A97" i="16"/>
  <c r="A96" i="16"/>
  <c r="A95" i="16"/>
  <c r="A94" i="16"/>
  <c r="A93" i="16"/>
  <c r="A92" i="16"/>
  <c r="A91" i="16"/>
  <c r="A88" i="16"/>
  <c r="P86" i="16" s="1"/>
  <c r="A87" i="16"/>
  <c r="A86" i="16"/>
  <c r="A85" i="16"/>
  <c r="A84" i="16"/>
  <c r="A83" i="16"/>
  <c r="A82" i="16"/>
  <c r="A81" i="16"/>
  <c r="A80" i="16"/>
  <c r="A77" i="16"/>
  <c r="A76" i="16"/>
  <c r="A75" i="16"/>
  <c r="A74" i="16"/>
  <c r="A73" i="16"/>
  <c r="A72" i="16"/>
  <c r="A71" i="16"/>
  <c r="A70" i="16"/>
  <c r="A69" i="16"/>
  <c r="A66" i="16"/>
  <c r="P61" i="16" s="1"/>
  <c r="A65" i="16"/>
  <c r="A64" i="16"/>
  <c r="A63" i="16"/>
  <c r="A62" i="16"/>
  <c r="A61" i="16"/>
  <c r="A60" i="16"/>
  <c r="A59" i="16"/>
  <c r="A58" i="16"/>
  <c r="A55" i="16"/>
  <c r="A54" i="16"/>
  <c r="A53" i="16"/>
  <c r="A52" i="16"/>
  <c r="A51" i="16"/>
  <c r="A50" i="16"/>
  <c r="A49" i="16"/>
  <c r="A48" i="16"/>
  <c r="A47" i="16"/>
  <c r="A44" i="16"/>
  <c r="P42" i="16" s="1"/>
  <c r="A43" i="16"/>
  <c r="A42" i="16"/>
  <c r="A41" i="16"/>
  <c r="A40" i="16"/>
  <c r="A39" i="16"/>
  <c r="A38" i="16"/>
  <c r="A37" i="16"/>
  <c r="A36" i="16"/>
  <c r="A33" i="16"/>
  <c r="P31" i="16" s="1"/>
  <c r="A32" i="16"/>
  <c r="A31" i="16"/>
  <c r="A30" i="16"/>
  <c r="A29" i="16"/>
  <c r="A28" i="16"/>
  <c r="A27" i="16"/>
  <c r="A26" i="16"/>
  <c r="A25" i="16"/>
  <c r="A22" i="16"/>
  <c r="P20" i="16" s="1"/>
  <c r="A21" i="16"/>
  <c r="A20" i="16"/>
  <c r="A19" i="16"/>
  <c r="A18" i="16"/>
  <c r="A17" i="16"/>
  <c r="A16" i="16"/>
  <c r="A15" i="16"/>
  <c r="A14" i="16"/>
  <c r="A11" i="16"/>
  <c r="P9" i="16" s="1"/>
  <c r="A10" i="16"/>
  <c r="A9" i="16"/>
  <c r="A8" i="16"/>
  <c r="A7" i="16"/>
  <c r="A6" i="16"/>
  <c r="A5" i="16"/>
  <c r="A4" i="16"/>
  <c r="A3" i="16"/>
  <c r="B44" i="2"/>
  <c r="B46" i="2"/>
  <c r="C3" i="2"/>
  <c r="A176" i="16" s="1"/>
  <c r="P174" i="16" s="1"/>
  <c r="D3" i="2"/>
  <c r="E3" i="2"/>
  <c r="F3" i="2"/>
  <c r="A173" i="16" s="1"/>
  <c r="G3" i="2"/>
  <c r="A172" i="16" s="1"/>
  <c r="H3" i="2"/>
  <c r="I3" i="2"/>
  <c r="J3" i="2"/>
  <c r="A169" i="16" s="1"/>
  <c r="K3" i="2"/>
  <c r="A168" i="16" s="1"/>
  <c r="K53" i="2"/>
  <c r="J53" i="2"/>
  <c r="I53" i="2"/>
  <c r="A247" i="16" s="1"/>
  <c r="H53" i="2"/>
  <c r="A248" i="16" s="1"/>
  <c r="G53" i="2"/>
  <c r="F53" i="2"/>
  <c r="A250" i="16" s="1"/>
  <c r="E53" i="2"/>
  <c r="A251" i="16" s="1"/>
  <c r="D53" i="2"/>
  <c r="A252" i="16" s="1"/>
  <c r="C53" i="2"/>
  <c r="K50" i="2"/>
  <c r="A135" i="16" s="1"/>
  <c r="J50" i="2"/>
  <c r="I50" i="2"/>
  <c r="A137" i="16" s="1"/>
  <c r="H50" i="2"/>
  <c r="A138" i="16" s="1"/>
  <c r="G50" i="2"/>
  <c r="A139" i="16" s="1"/>
  <c r="F50" i="2"/>
  <c r="E50" i="2"/>
  <c r="A141" i="16" s="1"/>
  <c r="D50" i="2"/>
  <c r="A142" i="16" s="1"/>
  <c r="C50" i="2"/>
  <c r="A143" i="16" s="1"/>
  <c r="P141" i="16" s="1"/>
  <c r="K37" i="2"/>
  <c r="A267" i="16" s="1"/>
  <c r="J37" i="2"/>
  <c r="A268" i="16" s="1"/>
  <c r="I37" i="2"/>
  <c r="H37" i="2"/>
  <c r="G37" i="2"/>
  <c r="A271" i="16" s="1"/>
  <c r="F37" i="2"/>
  <c r="A272" i="16" s="1"/>
  <c r="E37" i="2"/>
  <c r="D37" i="2"/>
  <c r="A274" i="16" s="1"/>
  <c r="C37" i="2"/>
  <c r="A275" i="16" s="1"/>
  <c r="K33" i="2"/>
  <c r="A157" i="16" s="1"/>
  <c r="J33" i="2"/>
  <c r="A158" i="16" s="1"/>
  <c r="I33" i="2"/>
  <c r="A159" i="16" s="1"/>
  <c r="H33" i="2"/>
  <c r="G33" i="2"/>
  <c r="A161" i="16" s="1"/>
  <c r="F33" i="2"/>
  <c r="A162" i="16" s="1"/>
  <c r="E33" i="2"/>
  <c r="A163" i="16" s="1"/>
  <c r="D33" i="2"/>
  <c r="C33" i="2"/>
  <c r="A165" i="16" s="1"/>
  <c r="P158" i="16" s="1"/>
  <c r="K23" i="2"/>
  <c r="J23" i="2"/>
  <c r="A257" i="16" s="1"/>
  <c r="I23" i="2"/>
  <c r="A258" i="16" s="1"/>
  <c r="H23" i="2"/>
  <c r="A259" i="16" s="1"/>
  <c r="G23" i="2"/>
  <c r="A260" i="16" s="1"/>
  <c r="F23" i="2"/>
  <c r="A261" i="16" s="1"/>
  <c r="E23" i="2"/>
  <c r="A262" i="16" s="1"/>
  <c r="D23" i="2"/>
  <c r="A263" i="16" s="1"/>
  <c r="C23" i="2"/>
  <c r="K20" i="2"/>
  <c r="J20" i="2"/>
  <c r="I20" i="2"/>
  <c r="A148" i="16" s="1"/>
  <c r="H20" i="2"/>
  <c r="A149" i="16" s="1"/>
  <c r="G20" i="2"/>
  <c r="F20" i="2"/>
  <c r="A151" i="16" s="1"/>
  <c r="E20" i="2"/>
  <c r="A152" i="16" s="1"/>
  <c r="D20" i="2"/>
  <c r="A153" i="16" s="1"/>
  <c r="C20" i="2"/>
  <c r="K7" i="2"/>
  <c r="A278" i="16" s="1"/>
  <c r="J7" i="2"/>
  <c r="A279" i="16" s="1"/>
  <c r="I7" i="2"/>
  <c r="H7" i="2"/>
  <c r="G7" i="2"/>
  <c r="A282" i="16" s="1"/>
  <c r="F7" i="2"/>
  <c r="A283" i="16" s="1"/>
  <c r="E7" i="2"/>
  <c r="D7" i="2"/>
  <c r="A285" i="16" s="1"/>
  <c r="C7" i="2"/>
  <c r="A286" i="16" s="1"/>
  <c r="B59" i="2"/>
  <c r="B58" i="2"/>
  <c r="B57" i="2"/>
  <c r="B56" i="2"/>
  <c r="B55" i="2"/>
  <c r="B54" i="2"/>
  <c r="B53" i="2"/>
  <c r="B52" i="2"/>
  <c r="B51" i="2"/>
  <c r="B50" i="2"/>
  <c r="B49" i="2"/>
  <c r="B45" i="2"/>
  <c r="B43" i="2"/>
  <c r="B42" i="2"/>
  <c r="B41" i="2"/>
  <c r="B40" i="2"/>
  <c r="B39" i="2"/>
  <c r="B38" i="2"/>
  <c r="B37" i="2"/>
  <c r="B36" i="2"/>
  <c r="B35" i="2"/>
  <c r="B34" i="2"/>
  <c r="B33" i="2"/>
  <c r="B32" i="2"/>
  <c r="B29" i="2"/>
  <c r="B28" i="2"/>
  <c r="B27" i="2"/>
  <c r="B26" i="2"/>
  <c r="B25" i="2"/>
  <c r="B24" i="2"/>
  <c r="B23" i="2"/>
  <c r="B22" i="2"/>
  <c r="B21" i="2"/>
  <c r="B20" i="2"/>
  <c r="B19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2" i="2"/>
  <c r="A35" i="7"/>
  <c r="A36" i="7"/>
  <c r="A50" i="7"/>
  <c r="A51" i="7"/>
  <c r="A52" i="7"/>
  <c r="A53" i="7"/>
  <c r="A30" i="7"/>
  <c r="A31" i="7"/>
  <c r="A32" i="7"/>
  <c r="A33" i="7"/>
  <c r="A69" i="7"/>
  <c r="A70" i="7"/>
  <c r="A71" i="7"/>
  <c r="A72" i="7"/>
  <c r="A73" i="7"/>
  <c r="A74" i="7"/>
  <c r="A75" i="7"/>
  <c r="A76" i="7"/>
  <c r="A81" i="7"/>
  <c r="A82" i="7"/>
  <c r="A83" i="7"/>
  <c r="A84" i="7"/>
  <c r="A89" i="7"/>
  <c r="A90" i="7"/>
  <c r="A91" i="7"/>
  <c r="A92" i="7"/>
  <c r="A77" i="7"/>
  <c r="A78" i="7"/>
  <c r="A79" i="7"/>
  <c r="A80" i="7"/>
  <c r="A85" i="7"/>
  <c r="A86" i="7"/>
  <c r="A87" i="7"/>
  <c r="A88" i="7"/>
  <c r="A2" i="7"/>
  <c r="A3" i="7"/>
  <c r="A4" i="7"/>
  <c r="A5" i="7"/>
  <c r="A6" i="7"/>
  <c r="A7" i="7"/>
  <c r="A8" i="7"/>
  <c r="A9" i="7"/>
  <c r="A10" i="7"/>
  <c r="A11" i="7"/>
  <c r="A12" i="7"/>
  <c r="A13" i="7"/>
  <c r="A17" i="7"/>
  <c r="A18" i="7"/>
  <c r="A19" i="7"/>
  <c r="A20" i="7"/>
  <c r="A21" i="7"/>
  <c r="A22" i="7"/>
  <c r="A23" i="7"/>
  <c r="A24" i="7"/>
  <c r="A25" i="7"/>
  <c r="A26" i="7"/>
  <c r="A27" i="7"/>
  <c r="A28" i="7"/>
  <c r="A59" i="7"/>
  <c r="A60" i="7"/>
  <c r="A61" i="7"/>
  <c r="A62" i="7"/>
  <c r="A63" i="7"/>
  <c r="A64" i="7"/>
  <c r="A65" i="7"/>
  <c r="A66" i="7"/>
  <c r="A67" i="7"/>
  <c r="A38" i="7"/>
  <c r="A39" i="7"/>
  <c r="A40" i="7"/>
  <c r="A42" i="7"/>
  <c r="A43" i="7"/>
  <c r="A44" i="7"/>
  <c r="A45" i="7"/>
  <c r="A46" i="7"/>
  <c r="A47" i="7"/>
  <c r="A48" i="7"/>
  <c r="A49" i="7"/>
  <c r="A54" i="7"/>
  <c r="A55" i="7"/>
  <c r="A56" i="7"/>
  <c r="A57" i="7"/>
  <c r="A14" i="7"/>
  <c r="A15" i="7"/>
  <c r="A16" i="7"/>
  <c r="A37" i="7"/>
  <c r="A41" i="7"/>
  <c r="A34" i="7"/>
  <c r="I35" i="7"/>
  <c r="I36" i="7" s="1"/>
  <c r="I51" i="7"/>
  <c r="I52" i="7" s="1"/>
  <c r="I53" i="7" s="1"/>
  <c r="I31" i="7"/>
  <c r="I32" i="7" s="1"/>
  <c r="I33" i="7" s="1"/>
  <c r="I60" i="7"/>
  <c r="I61" i="7" s="1"/>
  <c r="I64" i="7"/>
  <c r="I39" i="7"/>
  <c r="I40" i="7" s="1"/>
  <c r="I43" i="7"/>
  <c r="I44" i="7" s="1"/>
  <c r="I45" i="7" s="1"/>
  <c r="I47" i="7"/>
  <c r="I48" i="7" s="1"/>
  <c r="I49" i="7" s="1"/>
  <c r="I55" i="7"/>
  <c r="I56" i="7" s="1"/>
  <c r="I57" i="7" s="1"/>
  <c r="P72" i="16" l="1"/>
  <c r="P53" i="16"/>
  <c r="P97" i="16"/>
  <c r="I235" i="16"/>
  <c r="I160" i="16"/>
  <c r="I161" i="16"/>
  <c r="P62" i="16"/>
  <c r="P63" i="16"/>
  <c r="I63" i="16"/>
  <c r="P76" i="16"/>
  <c r="I64" i="16"/>
  <c r="P148" i="16"/>
  <c r="I76" i="16"/>
  <c r="P160" i="16"/>
  <c r="I148" i="16"/>
  <c r="P161" i="16"/>
  <c r="I65" i="16"/>
  <c r="I149" i="16"/>
  <c r="I162" i="16"/>
  <c r="P64" i="16"/>
  <c r="P149" i="16"/>
  <c r="P162" i="16"/>
  <c r="I71" i="16"/>
  <c r="I150" i="16"/>
  <c r="I163" i="16"/>
  <c r="P65" i="16"/>
  <c r="P150" i="16"/>
  <c r="P163" i="16"/>
  <c r="I72" i="16"/>
  <c r="I151" i="16"/>
  <c r="I164" i="16"/>
  <c r="P71" i="16"/>
  <c r="P151" i="16"/>
  <c r="P164" i="16"/>
  <c r="I60" i="16"/>
  <c r="I73" i="16"/>
  <c r="I152" i="16"/>
  <c r="I186" i="16"/>
  <c r="P73" i="16"/>
  <c r="P152" i="16"/>
  <c r="P186" i="16"/>
  <c r="I61" i="16"/>
  <c r="I74" i="16"/>
  <c r="I153" i="16"/>
  <c r="I197" i="16"/>
  <c r="P74" i="16"/>
  <c r="P153" i="16"/>
  <c r="I62" i="16"/>
  <c r="I75" i="16"/>
  <c r="I159" i="16"/>
  <c r="P60" i="16"/>
  <c r="P75" i="16"/>
  <c r="P159" i="16"/>
  <c r="O9" i="5"/>
  <c r="I10" i="16"/>
  <c r="I32" i="16"/>
  <c r="I54" i="16"/>
  <c r="I98" i="16"/>
  <c r="I120" i="16"/>
  <c r="I142" i="16"/>
  <c r="P10" i="16"/>
  <c r="P32" i="16"/>
  <c r="P54" i="16"/>
  <c r="P98" i="16"/>
  <c r="P120" i="16"/>
  <c r="P142" i="16"/>
  <c r="P175" i="16"/>
  <c r="P197" i="16"/>
  <c r="I11" i="16"/>
  <c r="I22" i="16"/>
  <c r="I33" i="16"/>
  <c r="I44" i="16"/>
  <c r="I55" i="16"/>
  <c r="I66" i="16"/>
  <c r="I77" i="16"/>
  <c r="I88" i="16"/>
  <c r="I99" i="16"/>
  <c r="I110" i="16"/>
  <c r="I121" i="16"/>
  <c r="I132" i="16"/>
  <c r="I143" i="16"/>
  <c r="I154" i="16"/>
  <c r="I165" i="16"/>
  <c r="I176" i="16"/>
  <c r="I187" i="16"/>
  <c r="I198" i="16"/>
  <c r="P11" i="16"/>
  <c r="P22" i="16"/>
  <c r="P33" i="16"/>
  <c r="P44" i="16"/>
  <c r="P55" i="16"/>
  <c r="P66" i="16"/>
  <c r="P77" i="16"/>
  <c r="P88" i="16"/>
  <c r="P99" i="16"/>
  <c r="P110" i="16"/>
  <c r="P121" i="16"/>
  <c r="P132" i="16"/>
  <c r="P143" i="16"/>
  <c r="P154" i="16"/>
  <c r="P165" i="16"/>
  <c r="P176" i="16"/>
  <c r="P187" i="16"/>
  <c r="P198" i="16"/>
  <c r="I21" i="16"/>
  <c r="I43" i="16"/>
  <c r="I87" i="16"/>
  <c r="I109" i="16"/>
  <c r="I131" i="16"/>
  <c r="I175" i="16"/>
  <c r="P21" i="16"/>
  <c r="P43" i="16"/>
  <c r="P87" i="16"/>
  <c r="P109" i="16"/>
  <c r="P131" i="16"/>
  <c r="I4" i="16"/>
  <c r="I15" i="16"/>
  <c r="I26" i="16"/>
  <c r="I37" i="16"/>
  <c r="I48" i="16"/>
  <c r="I59" i="16"/>
  <c r="I70" i="16"/>
  <c r="I81" i="16"/>
  <c r="I92" i="16"/>
  <c r="I103" i="16"/>
  <c r="I114" i="16"/>
  <c r="I125" i="16"/>
  <c r="I136" i="16"/>
  <c r="I147" i="16"/>
  <c r="I158" i="16"/>
  <c r="I169" i="16"/>
  <c r="I180" i="16"/>
  <c r="I191" i="16"/>
  <c r="P4" i="16"/>
  <c r="P15" i="16"/>
  <c r="P26" i="16"/>
  <c r="P37" i="16"/>
  <c r="P48" i="16"/>
  <c r="P59" i="16"/>
  <c r="P70" i="16"/>
  <c r="P81" i="16"/>
  <c r="P92" i="16"/>
  <c r="P103" i="16"/>
  <c r="P114" i="16"/>
  <c r="P125" i="16"/>
  <c r="P136" i="16"/>
  <c r="P169" i="16"/>
  <c r="P180" i="16"/>
  <c r="P191" i="16"/>
  <c r="I5" i="16"/>
  <c r="I16" i="16"/>
  <c r="I27" i="16"/>
  <c r="I38" i="16"/>
  <c r="I49" i="16"/>
  <c r="I82" i="16"/>
  <c r="I93" i="16"/>
  <c r="I104" i="16"/>
  <c r="I115" i="16"/>
  <c r="I126" i="16"/>
  <c r="I137" i="16"/>
  <c r="I170" i="16"/>
  <c r="I181" i="16"/>
  <c r="I192" i="16"/>
  <c r="P5" i="16"/>
  <c r="P16" i="16"/>
  <c r="P27" i="16"/>
  <c r="P38" i="16"/>
  <c r="P49" i="16"/>
  <c r="P82" i="16"/>
  <c r="P93" i="16"/>
  <c r="P104" i="16"/>
  <c r="P115" i="16"/>
  <c r="P126" i="16"/>
  <c r="P137" i="16"/>
  <c r="P170" i="16"/>
  <c r="P181" i="16"/>
  <c r="P192" i="16"/>
  <c r="I6" i="16"/>
  <c r="I17" i="16"/>
  <c r="I28" i="16"/>
  <c r="I39" i="16"/>
  <c r="I50" i="16"/>
  <c r="I83" i="16"/>
  <c r="I94" i="16"/>
  <c r="I105" i="16"/>
  <c r="I116" i="16"/>
  <c r="I127" i="16"/>
  <c r="I138" i="16"/>
  <c r="I171" i="16"/>
  <c r="I182" i="16"/>
  <c r="I193" i="16"/>
  <c r="P6" i="16"/>
  <c r="P17" i="16"/>
  <c r="P28" i="16"/>
  <c r="P39" i="16"/>
  <c r="P50" i="16"/>
  <c r="P83" i="16"/>
  <c r="P94" i="16"/>
  <c r="P105" i="16"/>
  <c r="P116" i="16"/>
  <c r="P127" i="16"/>
  <c r="P138" i="16"/>
  <c r="P171" i="16"/>
  <c r="P182" i="16"/>
  <c r="P193" i="16"/>
  <c r="I7" i="16"/>
  <c r="I18" i="16"/>
  <c r="I29" i="16"/>
  <c r="I40" i="16"/>
  <c r="I51" i="16"/>
  <c r="I84" i="16"/>
  <c r="I95" i="16"/>
  <c r="I106" i="16"/>
  <c r="I117" i="16"/>
  <c r="I128" i="16"/>
  <c r="I139" i="16"/>
  <c r="I172" i="16"/>
  <c r="I183" i="16"/>
  <c r="I194" i="16"/>
  <c r="P7" i="16"/>
  <c r="P18" i="16"/>
  <c r="P29" i="16"/>
  <c r="P40" i="16"/>
  <c r="P51" i="16"/>
  <c r="P84" i="16"/>
  <c r="P95" i="16"/>
  <c r="P106" i="16"/>
  <c r="P117" i="16"/>
  <c r="P128" i="16"/>
  <c r="P139" i="16"/>
  <c r="P172" i="16"/>
  <c r="P183" i="16"/>
  <c r="P194" i="16"/>
  <c r="I8" i="16"/>
  <c r="I19" i="16"/>
  <c r="I30" i="16"/>
  <c r="I41" i="16"/>
  <c r="I52" i="16"/>
  <c r="I85" i="16"/>
  <c r="I96" i="16"/>
  <c r="I107" i="16"/>
  <c r="I118" i="16"/>
  <c r="I129" i="16"/>
  <c r="I140" i="16"/>
  <c r="I173" i="16"/>
  <c r="I184" i="16"/>
  <c r="I195" i="16"/>
  <c r="P8" i="16"/>
  <c r="P19" i="16"/>
  <c r="P30" i="16"/>
  <c r="P41" i="16"/>
  <c r="P52" i="16"/>
  <c r="P85" i="16"/>
  <c r="P96" i="16"/>
  <c r="P107" i="16"/>
  <c r="P118" i="16"/>
  <c r="P129" i="16"/>
  <c r="P140" i="16"/>
  <c r="P173" i="16"/>
  <c r="P184" i="16"/>
  <c r="P195" i="16"/>
  <c r="I9" i="16"/>
  <c r="I20" i="16"/>
  <c r="I31" i="16"/>
  <c r="I42" i="16"/>
  <c r="I53" i="16"/>
  <c r="I86" i="16"/>
  <c r="I97" i="16"/>
  <c r="I108" i="16"/>
  <c r="I119" i="16"/>
  <c r="I130" i="16"/>
  <c r="I141" i="16"/>
  <c r="I174" i="16"/>
  <c r="I185" i="16"/>
  <c r="I196" i="16"/>
  <c r="E66" i="17" l="1"/>
  <c r="E65" i="17"/>
  <c r="E64" i="17"/>
  <c r="E63" i="17"/>
  <c r="E62" i="17"/>
  <c r="E61" i="17"/>
  <c r="E60" i="17"/>
  <c r="E59" i="17"/>
  <c r="E55" i="17"/>
  <c r="E54" i="17"/>
  <c r="E53" i="17"/>
  <c r="E52" i="17"/>
  <c r="E51" i="17"/>
  <c r="E50" i="17"/>
  <c r="E49" i="17"/>
  <c r="E48" i="17"/>
  <c r="E44" i="17"/>
  <c r="E43" i="17"/>
  <c r="E42" i="17"/>
  <c r="E41" i="17"/>
  <c r="E40" i="17"/>
  <c r="E39" i="17"/>
  <c r="E38" i="17"/>
  <c r="E37" i="17"/>
  <c r="E33" i="17"/>
  <c r="E32" i="17"/>
  <c r="E31" i="17"/>
  <c r="E30" i="17"/>
  <c r="E29" i="17"/>
  <c r="E28" i="17"/>
  <c r="E27" i="17"/>
  <c r="E26" i="17"/>
  <c r="E22" i="17"/>
  <c r="E21" i="17"/>
  <c r="E20" i="17"/>
  <c r="E19" i="17"/>
  <c r="E18" i="17"/>
  <c r="E17" i="17"/>
  <c r="E16" i="17"/>
  <c r="E15" i="17"/>
  <c r="E11" i="17"/>
  <c r="E10" i="17"/>
  <c r="E9" i="17"/>
  <c r="E8" i="17"/>
  <c r="E7" i="17"/>
  <c r="E6" i="17"/>
  <c r="E5" i="17"/>
  <c r="E4" i="17"/>
  <c r="F125" i="18"/>
  <c r="F124" i="18"/>
  <c r="F123" i="18"/>
  <c r="F122" i="18"/>
  <c r="F121" i="18"/>
  <c r="F120" i="18"/>
  <c r="F119" i="18"/>
  <c r="F118" i="18"/>
  <c r="F117" i="18"/>
  <c r="F116" i="18"/>
  <c r="F115" i="18"/>
  <c r="F114" i="18"/>
  <c r="F113" i="18"/>
  <c r="F112" i="18"/>
  <c r="F111" i="18"/>
  <c r="F110" i="18"/>
  <c r="F89" i="18"/>
  <c r="F88" i="18"/>
  <c r="F87" i="18"/>
  <c r="F86" i="18"/>
  <c r="F85" i="18"/>
  <c r="F84" i="18"/>
  <c r="F83" i="18"/>
  <c r="F82" i="18"/>
  <c r="F81" i="18"/>
  <c r="F80" i="18"/>
  <c r="F79" i="18"/>
  <c r="F78" i="18"/>
  <c r="F77" i="18"/>
  <c r="F76" i="18"/>
  <c r="F75" i="18"/>
  <c r="F74" i="18"/>
  <c r="F53" i="18"/>
  <c r="F52" i="18"/>
  <c r="F51" i="18"/>
  <c r="F50" i="18"/>
  <c r="F49" i="18"/>
  <c r="F48" i="18"/>
  <c r="F47" i="18"/>
  <c r="F46" i="18"/>
  <c r="F45" i="18"/>
  <c r="F44" i="18"/>
  <c r="F43" i="18"/>
  <c r="F42" i="18"/>
  <c r="F41" i="18"/>
  <c r="F40" i="18"/>
  <c r="F39" i="18"/>
  <c r="F38" i="18"/>
  <c r="F17" i="18"/>
  <c r="F16" i="18"/>
  <c r="F15" i="18"/>
  <c r="F14" i="18"/>
  <c r="F13" i="18"/>
  <c r="F12" i="18"/>
  <c r="F11" i="18"/>
  <c r="F10" i="18"/>
  <c r="F9" i="18"/>
  <c r="F8" i="18"/>
  <c r="F7" i="18"/>
  <c r="F6" i="18"/>
  <c r="F5" i="18"/>
  <c r="F4" i="18"/>
  <c r="F3" i="18"/>
  <c r="F2" i="18"/>
  <c r="M286" i="16"/>
  <c r="F286" i="16"/>
  <c r="M285" i="16"/>
  <c r="F285" i="16"/>
  <c r="M284" i="16"/>
  <c r="F284" i="16"/>
  <c r="M283" i="16"/>
  <c r="F283" i="16"/>
  <c r="M282" i="16"/>
  <c r="F282" i="16"/>
  <c r="M281" i="16"/>
  <c r="F281" i="16"/>
  <c r="M280" i="16"/>
  <c r="F280" i="16"/>
  <c r="M279" i="16"/>
  <c r="F279" i="16"/>
  <c r="M275" i="16"/>
  <c r="F275" i="16"/>
  <c r="M274" i="16"/>
  <c r="F274" i="16"/>
  <c r="M273" i="16"/>
  <c r="F273" i="16"/>
  <c r="M272" i="16"/>
  <c r="F272" i="16"/>
  <c r="M271" i="16"/>
  <c r="F271" i="16"/>
  <c r="M270" i="16"/>
  <c r="F270" i="16"/>
  <c r="M269" i="16"/>
  <c r="F269" i="16"/>
  <c r="M268" i="16"/>
  <c r="F268" i="16"/>
  <c r="M264" i="16"/>
  <c r="F264" i="16"/>
  <c r="M263" i="16"/>
  <c r="F263" i="16"/>
  <c r="M262" i="16"/>
  <c r="F262" i="16"/>
  <c r="M261" i="16"/>
  <c r="F261" i="16"/>
  <c r="M260" i="16"/>
  <c r="F260" i="16"/>
  <c r="M259" i="16"/>
  <c r="F259" i="16"/>
  <c r="M258" i="16"/>
  <c r="F258" i="16"/>
  <c r="M257" i="16"/>
  <c r="F257" i="16"/>
  <c r="M253" i="16"/>
  <c r="F253" i="16"/>
  <c r="M252" i="16"/>
  <c r="F252" i="16"/>
  <c r="M251" i="16"/>
  <c r="F251" i="16"/>
  <c r="M250" i="16"/>
  <c r="F250" i="16"/>
  <c r="M249" i="16"/>
  <c r="F249" i="16"/>
  <c r="M248" i="16"/>
  <c r="F248" i="16"/>
  <c r="M247" i="16"/>
  <c r="F247" i="16"/>
  <c r="M246" i="16"/>
  <c r="F246" i="16"/>
  <c r="M242" i="16"/>
  <c r="F242" i="16"/>
  <c r="M241" i="16"/>
  <c r="F241" i="16"/>
  <c r="M240" i="16"/>
  <c r="F240" i="16"/>
  <c r="M239" i="16"/>
  <c r="F239" i="16"/>
  <c r="M238" i="16"/>
  <c r="F238" i="16"/>
  <c r="M237" i="16"/>
  <c r="F237" i="16"/>
  <c r="M236" i="16"/>
  <c r="F236" i="16"/>
  <c r="M235" i="16"/>
  <c r="F235" i="16"/>
  <c r="M231" i="16"/>
  <c r="F231" i="16"/>
  <c r="M230" i="16"/>
  <c r="F230" i="16"/>
  <c r="M229" i="16"/>
  <c r="F229" i="16"/>
  <c r="M228" i="16"/>
  <c r="F228" i="16"/>
  <c r="M227" i="16"/>
  <c r="F227" i="16"/>
  <c r="M226" i="16"/>
  <c r="F226" i="16"/>
  <c r="M225" i="16"/>
  <c r="F225" i="16"/>
  <c r="M224" i="16"/>
  <c r="F224" i="16"/>
  <c r="M220" i="16"/>
  <c r="F220" i="16"/>
  <c r="M219" i="16"/>
  <c r="F219" i="16"/>
  <c r="M218" i="16"/>
  <c r="F218" i="16"/>
  <c r="M217" i="16"/>
  <c r="F217" i="16"/>
  <c r="M216" i="16"/>
  <c r="F216" i="16"/>
  <c r="M215" i="16"/>
  <c r="F215" i="16"/>
  <c r="M214" i="16"/>
  <c r="F214" i="16"/>
  <c r="M213" i="16"/>
  <c r="F213" i="16"/>
  <c r="M209" i="16"/>
  <c r="F209" i="16"/>
  <c r="M208" i="16"/>
  <c r="F208" i="16"/>
  <c r="M207" i="16"/>
  <c r="F207" i="16"/>
  <c r="M206" i="16"/>
  <c r="F206" i="16"/>
  <c r="M205" i="16"/>
  <c r="F205" i="16"/>
  <c r="M204" i="16"/>
  <c r="F204" i="16"/>
  <c r="M203" i="16"/>
  <c r="F203" i="16"/>
  <c r="M202" i="16"/>
  <c r="F202" i="16"/>
  <c r="M198" i="16"/>
  <c r="F198" i="16"/>
  <c r="M197" i="16"/>
  <c r="F197" i="16"/>
  <c r="M196" i="16"/>
  <c r="F196" i="16"/>
  <c r="M195" i="16"/>
  <c r="F195" i="16"/>
  <c r="M194" i="16"/>
  <c r="F194" i="16"/>
  <c r="M193" i="16"/>
  <c r="F193" i="16"/>
  <c r="M192" i="16"/>
  <c r="F192" i="16"/>
  <c r="M191" i="16"/>
  <c r="F191" i="16"/>
  <c r="M187" i="16"/>
  <c r="F187" i="16"/>
  <c r="M186" i="16"/>
  <c r="F186" i="16"/>
  <c r="M185" i="16"/>
  <c r="F185" i="16"/>
  <c r="M184" i="16"/>
  <c r="F184" i="16"/>
  <c r="M183" i="16"/>
  <c r="F183" i="16"/>
  <c r="M182" i="16"/>
  <c r="F182" i="16"/>
  <c r="M181" i="16"/>
  <c r="F181" i="16"/>
  <c r="M180" i="16"/>
  <c r="F180" i="16"/>
  <c r="M176" i="16"/>
  <c r="F176" i="16"/>
  <c r="M175" i="16"/>
  <c r="F175" i="16"/>
  <c r="M174" i="16"/>
  <c r="F174" i="16"/>
  <c r="M173" i="16"/>
  <c r="F173" i="16"/>
  <c r="M172" i="16"/>
  <c r="F172" i="16"/>
  <c r="M171" i="16"/>
  <c r="F171" i="16"/>
  <c r="M170" i="16"/>
  <c r="F170" i="16"/>
  <c r="M169" i="16"/>
  <c r="F169" i="16"/>
  <c r="M165" i="16"/>
  <c r="F165" i="16"/>
  <c r="M164" i="16"/>
  <c r="F164" i="16"/>
  <c r="M163" i="16"/>
  <c r="F163" i="16"/>
  <c r="M162" i="16"/>
  <c r="F162" i="16"/>
  <c r="M161" i="16"/>
  <c r="F161" i="16"/>
  <c r="M160" i="16"/>
  <c r="F160" i="16"/>
  <c r="M159" i="16"/>
  <c r="F159" i="16"/>
  <c r="M158" i="16"/>
  <c r="F158" i="16"/>
  <c r="M154" i="16"/>
  <c r="F154" i="16"/>
  <c r="M153" i="16"/>
  <c r="F153" i="16"/>
  <c r="M152" i="16"/>
  <c r="F152" i="16"/>
  <c r="M151" i="16"/>
  <c r="F151" i="16"/>
  <c r="M150" i="16"/>
  <c r="F150" i="16"/>
  <c r="M149" i="16"/>
  <c r="F149" i="16"/>
  <c r="M148" i="16"/>
  <c r="F148" i="16"/>
  <c r="M147" i="16"/>
  <c r="F147" i="16"/>
  <c r="M143" i="16"/>
  <c r="F143" i="16"/>
  <c r="M142" i="16"/>
  <c r="F142" i="16"/>
  <c r="M141" i="16"/>
  <c r="F141" i="16"/>
  <c r="M140" i="16"/>
  <c r="F140" i="16"/>
  <c r="M139" i="16"/>
  <c r="F139" i="16"/>
  <c r="M138" i="16"/>
  <c r="F138" i="16"/>
  <c r="M137" i="16"/>
  <c r="F137" i="16"/>
  <c r="M136" i="16"/>
  <c r="F136" i="16"/>
  <c r="M132" i="16"/>
  <c r="F132" i="16"/>
  <c r="M131" i="16"/>
  <c r="F131" i="16"/>
  <c r="M130" i="16"/>
  <c r="F130" i="16"/>
  <c r="M129" i="16"/>
  <c r="F129" i="16"/>
  <c r="M128" i="16"/>
  <c r="F128" i="16"/>
  <c r="M127" i="16"/>
  <c r="F127" i="16"/>
  <c r="M126" i="16"/>
  <c r="F126" i="16"/>
  <c r="M125" i="16"/>
  <c r="F125" i="16"/>
  <c r="M121" i="16"/>
  <c r="F121" i="16"/>
  <c r="M120" i="16"/>
  <c r="F120" i="16"/>
  <c r="M119" i="16"/>
  <c r="F119" i="16"/>
  <c r="M118" i="16"/>
  <c r="F118" i="16"/>
  <c r="M117" i="16"/>
  <c r="F117" i="16"/>
  <c r="M116" i="16"/>
  <c r="F116" i="16"/>
  <c r="M115" i="16"/>
  <c r="F115" i="16"/>
  <c r="M114" i="16"/>
  <c r="F114" i="16"/>
  <c r="M110" i="16"/>
  <c r="F110" i="16"/>
  <c r="M109" i="16"/>
  <c r="F109" i="16"/>
  <c r="M108" i="16"/>
  <c r="F108" i="16"/>
  <c r="M107" i="16"/>
  <c r="F107" i="16"/>
  <c r="M106" i="16"/>
  <c r="F106" i="16"/>
  <c r="M105" i="16"/>
  <c r="F105" i="16"/>
  <c r="M104" i="16"/>
  <c r="F104" i="16"/>
  <c r="M103" i="16"/>
  <c r="F103" i="16"/>
  <c r="M99" i="16"/>
  <c r="F99" i="16"/>
  <c r="M98" i="16"/>
  <c r="F98" i="16"/>
  <c r="M97" i="16"/>
  <c r="F97" i="16"/>
  <c r="M96" i="16"/>
  <c r="F96" i="16"/>
  <c r="M95" i="16"/>
  <c r="F95" i="16"/>
  <c r="M94" i="16"/>
  <c r="F94" i="16"/>
  <c r="M93" i="16"/>
  <c r="F93" i="16"/>
  <c r="M92" i="16"/>
  <c r="F92" i="16"/>
  <c r="M88" i="16"/>
  <c r="F88" i="16"/>
  <c r="M87" i="16"/>
  <c r="F87" i="16"/>
  <c r="M86" i="16"/>
  <c r="F86" i="16"/>
  <c r="M85" i="16"/>
  <c r="F85" i="16"/>
  <c r="M84" i="16"/>
  <c r="F84" i="16"/>
  <c r="M83" i="16"/>
  <c r="F83" i="16"/>
  <c r="M82" i="16"/>
  <c r="F82" i="16"/>
  <c r="M81" i="16"/>
  <c r="F81" i="16"/>
  <c r="M77" i="16"/>
  <c r="F77" i="16"/>
  <c r="M76" i="16"/>
  <c r="F76" i="16"/>
  <c r="M75" i="16"/>
  <c r="F75" i="16"/>
  <c r="M74" i="16"/>
  <c r="F74" i="16"/>
  <c r="M73" i="16"/>
  <c r="F73" i="16"/>
  <c r="M72" i="16"/>
  <c r="F72" i="16"/>
  <c r="M71" i="16"/>
  <c r="F71" i="16"/>
  <c r="M70" i="16"/>
  <c r="F70" i="16"/>
  <c r="M66" i="16"/>
  <c r="F66" i="16"/>
  <c r="M65" i="16"/>
  <c r="F65" i="16"/>
  <c r="M64" i="16"/>
  <c r="F64" i="16"/>
  <c r="M63" i="16"/>
  <c r="F63" i="16"/>
  <c r="M62" i="16"/>
  <c r="F62" i="16"/>
  <c r="M61" i="16"/>
  <c r="F61" i="16"/>
  <c r="M60" i="16"/>
  <c r="F60" i="16"/>
  <c r="M59" i="16"/>
  <c r="F59" i="16"/>
  <c r="M55" i="16"/>
  <c r="F55" i="16"/>
  <c r="M54" i="16"/>
  <c r="F54" i="16"/>
  <c r="M53" i="16"/>
  <c r="F53" i="16"/>
  <c r="M52" i="16"/>
  <c r="F52" i="16"/>
  <c r="M51" i="16"/>
  <c r="F51" i="16"/>
  <c r="M50" i="16"/>
  <c r="F50" i="16"/>
  <c r="M49" i="16"/>
  <c r="F49" i="16"/>
  <c r="M48" i="16"/>
  <c r="F48" i="16"/>
  <c r="M44" i="16"/>
  <c r="F44" i="16"/>
  <c r="M43" i="16"/>
  <c r="F43" i="16"/>
  <c r="M42" i="16"/>
  <c r="F42" i="16"/>
  <c r="M41" i="16"/>
  <c r="F41" i="16"/>
  <c r="M40" i="16"/>
  <c r="F40" i="16"/>
  <c r="M39" i="16"/>
  <c r="F39" i="16"/>
  <c r="M38" i="16"/>
  <c r="F38" i="16"/>
  <c r="M37" i="16"/>
  <c r="F37" i="16"/>
  <c r="M33" i="16"/>
  <c r="F33" i="16"/>
  <c r="M32" i="16"/>
  <c r="F32" i="16"/>
  <c r="M31" i="16"/>
  <c r="F31" i="16"/>
  <c r="M30" i="16"/>
  <c r="F30" i="16"/>
  <c r="M29" i="16"/>
  <c r="F29" i="16"/>
  <c r="M28" i="16"/>
  <c r="F28" i="16"/>
  <c r="M27" i="16"/>
  <c r="F27" i="16"/>
  <c r="M26" i="16"/>
  <c r="F26" i="16"/>
  <c r="M22" i="16"/>
  <c r="F22" i="16"/>
  <c r="M21" i="16"/>
  <c r="F21" i="16"/>
  <c r="M20" i="16"/>
  <c r="F20" i="16"/>
  <c r="M19" i="16"/>
  <c r="F19" i="16"/>
  <c r="M18" i="16"/>
  <c r="F18" i="16"/>
  <c r="M17" i="16"/>
  <c r="F17" i="16"/>
  <c r="M16" i="16"/>
  <c r="F16" i="16"/>
  <c r="M15" i="16"/>
  <c r="F15" i="16"/>
  <c r="M11" i="16"/>
  <c r="F11" i="16"/>
  <c r="M10" i="16"/>
  <c r="F10" i="16"/>
  <c r="M9" i="16"/>
  <c r="F9" i="16"/>
  <c r="M8" i="16"/>
  <c r="F8" i="16"/>
  <c r="M7" i="16"/>
  <c r="F7" i="16"/>
  <c r="M6" i="16"/>
  <c r="F6" i="16"/>
  <c r="M5" i="16"/>
  <c r="F5" i="16"/>
  <c r="M4" i="16"/>
  <c r="F4" i="16"/>
  <c r="F326" i="46"/>
  <c r="F327" i="46"/>
  <c r="F328" i="46"/>
  <c r="F329" i="46"/>
  <c r="F330" i="46"/>
  <c r="F331" i="46"/>
  <c r="F332" i="46"/>
  <c r="F333" i="46"/>
  <c r="F334" i="46"/>
  <c r="F335" i="46"/>
  <c r="F336" i="46"/>
  <c r="F337" i="46"/>
  <c r="F338" i="46"/>
  <c r="F339" i="46"/>
  <c r="F340" i="46"/>
  <c r="F341" i="46"/>
  <c r="F342" i="46"/>
  <c r="F343" i="46"/>
  <c r="F344" i="46"/>
  <c r="F345" i="46"/>
  <c r="F346" i="46"/>
  <c r="F347" i="46"/>
  <c r="F348" i="46"/>
  <c r="F349" i="46"/>
  <c r="F350" i="46"/>
  <c r="F351" i="46"/>
  <c r="F352" i="46"/>
  <c r="F353" i="46"/>
  <c r="F354" i="46"/>
  <c r="F355" i="46"/>
  <c r="F356" i="46"/>
  <c r="F357" i="46"/>
  <c r="F358" i="46"/>
  <c r="F359" i="46"/>
  <c r="F360" i="46"/>
  <c r="F361" i="46"/>
  <c r="F362" i="46"/>
  <c r="F363" i="46"/>
  <c r="F364" i="46"/>
  <c r="F365" i="46"/>
  <c r="F366" i="46"/>
  <c r="F367" i="46"/>
  <c r="F368" i="46"/>
  <c r="F369" i="46"/>
  <c r="F370" i="46"/>
  <c r="F371" i="46"/>
  <c r="F372" i="46"/>
  <c r="F373" i="46"/>
  <c r="F374" i="46"/>
  <c r="F375" i="46"/>
  <c r="F376" i="46"/>
  <c r="F377" i="46"/>
  <c r="F378" i="46"/>
  <c r="F379" i="46"/>
  <c r="F380" i="46"/>
  <c r="F381" i="46"/>
  <c r="F382" i="46"/>
  <c r="F383" i="46"/>
  <c r="F384" i="46"/>
  <c r="F385" i="46"/>
  <c r="F386" i="46"/>
  <c r="F387" i="46"/>
  <c r="F388" i="46"/>
  <c r="F389" i="46"/>
  <c r="F390" i="46"/>
  <c r="F391" i="46"/>
  <c r="F392" i="46"/>
  <c r="F393" i="46"/>
  <c r="F394" i="46"/>
  <c r="F395" i="46"/>
  <c r="F396" i="46"/>
  <c r="F397" i="46"/>
  <c r="F398" i="46"/>
  <c r="F399" i="46"/>
  <c r="F400" i="46"/>
  <c r="F401" i="46"/>
  <c r="F402" i="46"/>
  <c r="F403" i="46"/>
  <c r="F404" i="46"/>
  <c r="F405" i="46"/>
  <c r="F406" i="46"/>
  <c r="F407" i="46"/>
  <c r="F408" i="46"/>
  <c r="F409" i="46"/>
  <c r="F410" i="46"/>
  <c r="F411" i="46"/>
  <c r="F412" i="46"/>
  <c r="F413" i="46"/>
  <c r="F414" i="46"/>
  <c r="F415" i="46"/>
  <c r="F416" i="46"/>
  <c r="F417" i="46"/>
  <c r="F418" i="46"/>
  <c r="F419" i="46"/>
  <c r="F420" i="46"/>
  <c r="F421" i="46"/>
  <c r="F422" i="46"/>
  <c r="F423" i="46"/>
  <c r="F424" i="46"/>
  <c r="F425" i="46"/>
  <c r="F426" i="46"/>
  <c r="F427" i="46"/>
  <c r="F428" i="46"/>
  <c r="F429" i="46"/>
  <c r="F430" i="46"/>
  <c r="F431" i="46"/>
  <c r="F432" i="46"/>
  <c r="F433" i="46"/>
  <c r="F434" i="46"/>
  <c r="F435" i="46"/>
  <c r="F436" i="46"/>
  <c r="F437" i="46"/>
  <c r="F438" i="46"/>
  <c r="F439" i="46"/>
  <c r="F440" i="46"/>
  <c r="F441" i="46"/>
  <c r="F442" i="46"/>
  <c r="F443" i="46"/>
  <c r="F444" i="46"/>
  <c r="F445" i="46"/>
  <c r="F446" i="46"/>
  <c r="F447" i="46"/>
  <c r="F448" i="46"/>
  <c r="F449" i="46"/>
  <c r="F450" i="46"/>
  <c r="F451" i="46"/>
  <c r="F452" i="46"/>
  <c r="F453" i="46"/>
  <c r="F454" i="46"/>
  <c r="F455" i="46"/>
  <c r="F456" i="46"/>
  <c r="F457" i="46"/>
  <c r="F458" i="46"/>
  <c r="F459" i="46"/>
  <c r="F460" i="46"/>
  <c r="F461" i="46"/>
  <c r="F462" i="46"/>
  <c r="F463" i="46"/>
  <c r="F464" i="46"/>
  <c r="F465" i="46"/>
  <c r="F466" i="46"/>
  <c r="F467" i="46"/>
  <c r="F468" i="46"/>
  <c r="F469" i="46"/>
  <c r="F470" i="46"/>
  <c r="F471" i="46"/>
  <c r="F472" i="46"/>
  <c r="F473" i="46"/>
  <c r="F474" i="46"/>
  <c r="F475" i="46"/>
  <c r="F476" i="46"/>
  <c r="F477" i="46"/>
  <c r="F478" i="46"/>
  <c r="F479" i="46"/>
  <c r="F480" i="46"/>
  <c r="F481" i="46"/>
  <c r="F482" i="46"/>
  <c r="F483" i="46"/>
  <c r="F484" i="46"/>
  <c r="F485" i="46"/>
  <c r="F486" i="46"/>
  <c r="F487" i="46"/>
  <c r="F488" i="46"/>
  <c r="F489" i="46"/>
  <c r="F490" i="46"/>
  <c r="F491" i="46"/>
  <c r="F492" i="46"/>
  <c r="F493" i="46"/>
  <c r="F494" i="46"/>
  <c r="F495" i="46"/>
  <c r="F496" i="46"/>
  <c r="F497" i="46"/>
  <c r="F498" i="46"/>
  <c r="F499" i="46"/>
  <c r="F500" i="46"/>
  <c r="F501" i="46"/>
  <c r="F502" i="46"/>
  <c r="F503" i="46"/>
  <c r="F504" i="46"/>
  <c r="F505" i="46"/>
  <c r="F506" i="46"/>
  <c r="F507" i="46"/>
  <c r="F508" i="46"/>
  <c r="F509" i="46"/>
  <c r="F510" i="46"/>
  <c r="F511" i="46"/>
  <c r="F512" i="46"/>
  <c r="F513" i="46"/>
  <c r="F514" i="46"/>
  <c r="F515" i="46"/>
  <c r="F516" i="46"/>
  <c r="F517" i="46"/>
  <c r="F518" i="46"/>
  <c r="F519" i="46"/>
  <c r="F520" i="46"/>
  <c r="F521" i="46"/>
  <c r="F522" i="46"/>
  <c r="F523" i="46"/>
  <c r="F524" i="46"/>
  <c r="F525" i="46"/>
  <c r="F526" i="46"/>
  <c r="F527" i="46"/>
  <c r="F528" i="46"/>
  <c r="F529" i="46"/>
  <c r="F530" i="46"/>
  <c r="F531" i="46"/>
  <c r="F532" i="46"/>
  <c r="F533" i="46"/>
  <c r="F534" i="46"/>
  <c r="F535" i="46"/>
  <c r="F536" i="46"/>
  <c r="F537" i="46"/>
  <c r="F538" i="46"/>
  <c r="F539" i="46"/>
  <c r="F540" i="46"/>
  <c r="F541" i="46"/>
  <c r="F542" i="46"/>
  <c r="F543" i="46"/>
  <c r="F544" i="46"/>
  <c r="F545" i="46"/>
  <c r="F546" i="46"/>
  <c r="F547" i="46"/>
  <c r="F548" i="46"/>
  <c r="F549" i="46"/>
  <c r="F550" i="46"/>
  <c r="F551" i="46"/>
  <c r="F552" i="46"/>
  <c r="F553" i="46"/>
  <c r="F554" i="46"/>
  <c r="F555" i="46"/>
  <c r="F556" i="46"/>
  <c r="F557" i="46"/>
  <c r="F558" i="46"/>
  <c r="F559" i="46"/>
  <c r="F560" i="46"/>
  <c r="F561" i="46"/>
  <c r="F562" i="46"/>
  <c r="F563" i="46"/>
  <c r="F564" i="46"/>
  <c r="F565" i="46"/>
  <c r="F566" i="46"/>
  <c r="F567" i="46"/>
  <c r="F568" i="46"/>
  <c r="F569" i="46"/>
  <c r="F570" i="46"/>
  <c r="F571" i="46"/>
  <c r="F572" i="46"/>
  <c r="F573" i="46"/>
  <c r="F574" i="46"/>
  <c r="F575" i="46"/>
  <c r="F576" i="46"/>
  <c r="F577" i="46"/>
  <c r="F578" i="46"/>
  <c r="F579" i="46"/>
  <c r="F580" i="46"/>
  <c r="F581" i="46"/>
  <c r="F582" i="46"/>
  <c r="F583" i="46"/>
  <c r="F584" i="46"/>
  <c r="F585" i="46"/>
  <c r="F586" i="46"/>
  <c r="F587" i="46"/>
  <c r="F588" i="46"/>
  <c r="F589" i="46"/>
  <c r="F590" i="46"/>
  <c r="F591" i="46"/>
  <c r="F592" i="46"/>
  <c r="F593" i="46"/>
  <c r="F594" i="46"/>
  <c r="F595" i="46"/>
  <c r="F596" i="46"/>
  <c r="F597" i="46"/>
  <c r="F598" i="46"/>
  <c r="F599" i="46"/>
  <c r="F600" i="46"/>
  <c r="F601" i="46"/>
  <c r="F602" i="46"/>
  <c r="F603" i="46"/>
  <c r="F604" i="46"/>
  <c r="F605" i="46"/>
  <c r="F606" i="46"/>
  <c r="F607" i="46"/>
  <c r="F608" i="46"/>
  <c r="F609" i="46"/>
  <c r="F610" i="46"/>
  <c r="F611" i="46"/>
  <c r="F612" i="46"/>
  <c r="F613" i="46"/>
  <c r="F614" i="46"/>
  <c r="F615" i="46"/>
  <c r="F616" i="46"/>
  <c r="F617" i="46"/>
  <c r="F618" i="46"/>
  <c r="F619" i="46"/>
  <c r="F620" i="46"/>
  <c r="F621" i="46"/>
  <c r="F622" i="46"/>
  <c r="F623" i="46"/>
  <c r="F624" i="46"/>
  <c r="F625" i="46"/>
  <c r="F626" i="46"/>
  <c r="F627" i="46"/>
  <c r="F628" i="46"/>
  <c r="F629" i="46"/>
  <c r="F630" i="46"/>
  <c r="F631" i="46"/>
  <c r="F632" i="46"/>
  <c r="F633" i="46"/>
  <c r="F634" i="46"/>
  <c r="F635" i="46"/>
  <c r="F636" i="46"/>
  <c r="F637" i="46"/>
  <c r="F638" i="46"/>
  <c r="F639" i="46"/>
  <c r="F640" i="46"/>
  <c r="F641" i="46"/>
  <c r="F642" i="46"/>
  <c r="F643" i="46"/>
  <c r="F644" i="46"/>
  <c r="F645" i="46"/>
  <c r="F646" i="46"/>
  <c r="F647" i="46"/>
  <c r="F648" i="46"/>
  <c r="F649" i="46"/>
  <c r="F650" i="46"/>
  <c r="F651" i="46"/>
  <c r="F652" i="46"/>
  <c r="F653" i="46"/>
  <c r="F654" i="46"/>
  <c r="F655" i="46"/>
  <c r="F656" i="46"/>
  <c r="F657" i="46"/>
  <c r="F658" i="46"/>
  <c r="F659" i="46"/>
  <c r="F660" i="46"/>
  <c r="F661" i="46"/>
  <c r="F662" i="46"/>
  <c r="F663" i="46"/>
  <c r="F664" i="46"/>
  <c r="F665" i="46"/>
  <c r="F666" i="46"/>
  <c r="F667" i="46"/>
  <c r="F668" i="46"/>
  <c r="F669" i="46"/>
  <c r="F670" i="46"/>
  <c r="F671" i="46"/>
  <c r="F672" i="46"/>
  <c r="F673" i="46"/>
  <c r="F674" i="46"/>
  <c r="F675" i="46"/>
  <c r="F676" i="46"/>
  <c r="F677" i="46"/>
  <c r="F678" i="46"/>
  <c r="F679" i="46"/>
  <c r="F680" i="46"/>
  <c r="F681" i="46"/>
  <c r="F682" i="46"/>
  <c r="F683" i="46"/>
  <c r="F684" i="46"/>
  <c r="F685" i="46"/>
  <c r="F686" i="46"/>
  <c r="F687" i="46"/>
  <c r="F688" i="46"/>
  <c r="F689" i="46"/>
  <c r="F690" i="46"/>
  <c r="F691" i="46"/>
  <c r="F692" i="46"/>
  <c r="F693" i="46"/>
  <c r="F694" i="46"/>
  <c r="F695" i="46"/>
  <c r="F696" i="46"/>
  <c r="F697" i="46"/>
  <c r="F698" i="46"/>
  <c r="F699" i="46"/>
  <c r="F700" i="46"/>
  <c r="F701" i="46"/>
  <c r="F702" i="46"/>
  <c r="F703" i="46"/>
  <c r="F704" i="46"/>
  <c r="F705" i="46"/>
  <c r="F706" i="46"/>
  <c r="F707" i="46"/>
  <c r="F708" i="46"/>
  <c r="F709" i="46"/>
  <c r="F710" i="46"/>
  <c r="F711" i="46"/>
  <c r="F712" i="46"/>
  <c r="F713" i="46"/>
  <c r="F714" i="46"/>
  <c r="F715" i="46"/>
  <c r="F716" i="46"/>
  <c r="F717" i="46"/>
  <c r="F718" i="46"/>
  <c r="F719" i="46"/>
  <c r="F720" i="46"/>
  <c r="F721" i="46"/>
  <c r="F722" i="46"/>
  <c r="F723" i="46"/>
  <c r="F724" i="46"/>
  <c r="F725" i="46"/>
  <c r="F726" i="46"/>
  <c r="F727" i="46"/>
  <c r="F728" i="46"/>
  <c r="F729" i="46"/>
  <c r="F730" i="46"/>
  <c r="F731" i="46"/>
  <c r="F732" i="46"/>
  <c r="F733" i="46"/>
  <c r="F734" i="46"/>
  <c r="F735" i="46"/>
  <c r="F736" i="46"/>
  <c r="F737" i="46"/>
  <c r="F738" i="46"/>
  <c r="F739" i="46"/>
  <c r="F740" i="46"/>
  <c r="F741" i="46"/>
  <c r="F742" i="46"/>
  <c r="F743" i="46"/>
  <c r="F744" i="46"/>
  <c r="F745" i="46"/>
  <c r="F746" i="46"/>
  <c r="F747" i="46"/>
  <c r="F748" i="46"/>
  <c r="F749" i="46"/>
  <c r="F750" i="46"/>
  <c r="F751" i="46"/>
  <c r="F752" i="46"/>
  <c r="F753" i="46"/>
  <c r="F754" i="46"/>
  <c r="F755" i="46"/>
  <c r="F756" i="46"/>
  <c r="F757" i="46"/>
  <c r="F758" i="46"/>
  <c r="F759" i="46"/>
  <c r="F760" i="46"/>
  <c r="F761" i="46"/>
  <c r="F762" i="46"/>
  <c r="F763" i="46"/>
  <c r="F764" i="46"/>
  <c r="F765" i="46"/>
  <c r="F766" i="46"/>
  <c r="F767" i="46"/>
  <c r="F768" i="46"/>
  <c r="F769" i="46"/>
  <c r="F770" i="46"/>
  <c r="F771" i="46"/>
  <c r="F772" i="46"/>
  <c r="F773" i="46"/>
  <c r="F774" i="46"/>
  <c r="F775" i="46"/>
  <c r="F776" i="46"/>
  <c r="F777" i="46"/>
  <c r="F778" i="46"/>
  <c r="F779" i="46"/>
  <c r="F780" i="46"/>
  <c r="F781" i="46"/>
  <c r="F782" i="46"/>
  <c r="F783" i="46"/>
  <c r="F784" i="46"/>
  <c r="F785" i="46"/>
  <c r="F786" i="46"/>
  <c r="F787" i="46"/>
  <c r="F788" i="46"/>
  <c r="F789" i="46"/>
  <c r="F790" i="46"/>
  <c r="F791" i="46"/>
  <c r="F792" i="46"/>
  <c r="F793" i="46"/>
  <c r="F794" i="46"/>
  <c r="F795" i="46"/>
  <c r="F796" i="46"/>
  <c r="F797" i="46"/>
  <c r="F798" i="46"/>
  <c r="F799" i="46"/>
  <c r="F800" i="46"/>
  <c r="F801" i="46"/>
  <c r="F802" i="46"/>
  <c r="F803" i="46"/>
  <c r="F804" i="46"/>
  <c r="F805" i="46"/>
  <c r="F806" i="46"/>
  <c r="F807" i="46"/>
  <c r="F808" i="46"/>
  <c r="F809" i="46"/>
  <c r="F810" i="46"/>
  <c r="F811" i="46"/>
  <c r="F812" i="46"/>
  <c r="F813" i="46"/>
  <c r="F814" i="46"/>
  <c r="F815" i="46"/>
  <c r="F816" i="46"/>
  <c r="F817" i="46"/>
  <c r="F818" i="46"/>
  <c r="F819" i="46"/>
  <c r="F820" i="46"/>
  <c r="F821" i="46"/>
  <c r="F822" i="46"/>
  <c r="F823" i="46"/>
  <c r="F824" i="46"/>
  <c r="F825" i="46"/>
  <c r="F826" i="46"/>
  <c r="F827" i="46"/>
  <c r="F828" i="46"/>
  <c r="F829" i="46"/>
  <c r="F830" i="46"/>
  <c r="F831" i="46"/>
  <c r="F832" i="46"/>
  <c r="F833" i="46"/>
  <c r="F834" i="46"/>
  <c r="F835" i="46"/>
  <c r="F836" i="46"/>
  <c r="F837" i="46"/>
  <c r="F838" i="46"/>
  <c r="F839" i="46"/>
  <c r="F840" i="46"/>
  <c r="F841" i="46"/>
  <c r="F842" i="46"/>
  <c r="F843" i="46"/>
  <c r="F844" i="46"/>
  <c r="F845" i="46"/>
  <c r="F846" i="46"/>
  <c r="F847" i="46"/>
  <c r="F848" i="46"/>
  <c r="F849" i="46"/>
  <c r="F850" i="46"/>
  <c r="F851" i="46"/>
  <c r="F852" i="46"/>
  <c r="F853" i="46"/>
  <c r="F854" i="46"/>
  <c r="F855" i="46"/>
  <c r="F856" i="46"/>
  <c r="F857" i="46"/>
  <c r="F858" i="46"/>
  <c r="F859" i="46"/>
  <c r="F860" i="46"/>
  <c r="F861" i="46"/>
  <c r="F862" i="46"/>
  <c r="F863" i="46"/>
  <c r="F864" i="46"/>
  <c r="F865" i="46"/>
  <c r="F866" i="46"/>
  <c r="F867" i="46"/>
  <c r="F868" i="46"/>
  <c r="F869" i="46"/>
  <c r="F870" i="46"/>
  <c r="F871" i="46"/>
  <c r="F872" i="46"/>
  <c r="F873" i="46"/>
  <c r="F874" i="46"/>
  <c r="F875" i="46"/>
  <c r="F876" i="46"/>
  <c r="F877" i="46"/>
  <c r="F878" i="46"/>
  <c r="F879" i="46"/>
  <c r="F880" i="46"/>
  <c r="F881" i="46"/>
  <c r="F882" i="46"/>
  <c r="F883" i="46"/>
  <c r="F884" i="46"/>
  <c r="F885" i="46"/>
  <c r="F886" i="46"/>
  <c r="F887" i="46"/>
  <c r="F888" i="46"/>
  <c r="F889" i="46"/>
  <c r="F890" i="46"/>
  <c r="F891" i="46"/>
  <c r="F892" i="46"/>
  <c r="F893" i="46"/>
  <c r="F894" i="46"/>
  <c r="F895" i="46"/>
  <c r="F896" i="46"/>
  <c r="F897" i="46"/>
  <c r="F898" i="46"/>
  <c r="F899" i="46"/>
  <c r="F900" i="46"/>
  <c r="F901" i="46"/>
  <c r="F902" i="46"/>
  <c r="F903" i="46"/>
  <c r="F904" i="46"/>
  <c r="F905" i="46"/>
  <c r="F906" i="46"/>
  <c r="F907" i="46"/>
  <c r="F908" i="46"/>
  <c r="F909" i="46"/>
  <c r="F910" i="46"/>
  <c r="F911" i="46"/>
  <c r="F912" i="46"/>
  <c r="F913" i="46"/>
  <c r="F914" i="46"/>
  <c r="F915" i="46"/>
  <c r="F916" i="46"/>
  <c r="F917" i="46"/>
  <c r="F918" i="46"/>
  <c r="F919" i="46"/>
  <c r="F920" i="46"/>
  <c r="F921" i="46"/>
  <c r="F922" i="46"/>
  <c r="F923" i="46"/>
  <c r="F924" i="46"/>
  <c r="F925" i="46"/>
  <c r="F926" i="46"/>
  <c r="F927" i="46"/>
  <c r="F928" i="46"/>
  <c r="F929" i="46"/>
  <c r="F930" i="46"/>
  <c r="F931" i="46"/>
  <c r="F932" i="46"/>
  <c r="F933" i="46"/>
  <c r="F934" i="46"/>
  <c r="F935" i="46"/>
  <c r="F936" i="46"/>
  <c r="F937" i="46"/>
  <c r="F938" i="46"/>
  <c r="F939" i="46"/>
  <c r="F940" i="46"/>
  <c r="F941" i="46"/>
  <c r="F942" i="46"/>
  <c r="F943" i="46"/>
  <c r="F944" i="46"/>
  <c r="F945" i="46"/>
  <c r="F946" i="46"/>
  <c r="F947" i="46"/>
  <c r="F948" i="46"/>
  <c r="F949" i="46"/>
  <c r="F950" i="46"/>
  <c r="F951" i="46"/>
  <c r="F952" i="46"/>
  <c r="F953" i="46"/>
  <c r="F954" i="46"/>
  <c r="F955" i="46"/>
  <c r="F956" i="46"/>
  <c r="F957" i="46"/>
  <c r="F958" i="46"/>
  <c r="F959" i="46"/>
  <c r="F960" i="46"/>
  <c r="F961" i="46"/>
  <c r="F962" i="46"/>
  <c r="F963" i="46"/>
  <c r="F964" i="46"/>
  <c r="F965" i="46"/>
  <c r="F966" i="46"/>
  <c r="F967" i="46"/>
  <c r="F968" i="46"/>
  <c r="F969" i="46"/>
  <c r="F970" i="46"/>
  <c r="F971" i="46"/>
  <c r="F972" i="46"/>
  <c r="F973" i="46"/>
  <c r="F974" i="46"/>
  <c r="F975" i="46"/>
  <c r="F976" i="46"/>
  <c r="F977" i="46"/>
  <c r="F978" i="46"/>
  <c r="F979" i="46"/>
  <c r="F980" i="46"/>
  <c r="F981" i="46"/>
  <c r="F982" i="46"/>
  <c r="F983" i="46"/>
  <c r="F984" i="46"/>
  <c r="F985" i="46"/>
  <c r="F986" i="46"/>
  <c r="F987" i="46"/>
  <c r="F988" i="46"/>
  <c r="F989" i="46"/>
  <c r="F990" i="46"/>
  <c r="F991" i="46"/>
  <c r="F992" i="46"/>
  <c r="F993" i="46"/>
  <c r="F994" i="46"/>
  <c r="F995" i="46"/>
  <c r="F996" i="46"/>
  <c r="F997" i="46"/>
  <c r="F998" i="46"/>
  <c r="F999" i="46"/>
  <c r="F1000" i="46"/>
  <c r="A3" i="4" l="1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" i="4"/>
  <c r="C8" i="5" l="1"/>
  <c r="C7" i="5"/>
  <c r="C13" i="5" l="1"/>
  <c r="G35" i="4"/>
  <c r="G45" i="4"/>
  <c r="G113" i="4"/>
  <c r="G114" i="4"/>
  <c r="G146" i="4"/>
  <c r="G152" i="4"/>
  <c r="G51" i="4"/>
  <c r="G57" i="4"/>
  <c r="G14" i="4"/>
  <c r="G121" i="4"/>
  <c r="G15" i="4"/>
  <c r="G21" i="4"/>
  <c r="G40" i="4"/>
  <c r="G140" i="4"/>
  <c r="G122" i="4"/>
  <c r="G147" i="4"/>
  <c r="G63" i="4"/>
  <c r="G68" i="4"/>
  <c r="G46" i="4"/>
  <c r="G22" i="4"/>
  <c r="G141" i="4"/>
  <c r="G74" i="4"/>
  <c r="G80" i="4"/>
  <c r="G79" i="4"/>
  <c r="G96" i="4"/>
  <c r="G85" i="4"/>
  <c r="G81" i="4"/>
  <c r="G8" i="4"/>
  <c r="G127" i="4"/>
  <c r="G128" i="4"/>
  <c r="G29" i="4"/>
  <c r="G75" i="4"/>
  <c r="G9" i="4"/>
  <c r="G36" i="4"/>
  <c r="G52" i="4"/>
  <c r="G123" i="4"/>
  <c r="G16" i="4"/>
  <c r="G148" i="4"/>
  <c r="G53" i="4"/>
  <c r="G23" i="4"/>
  <c r="G47" i="4"/>
  <c r="G30" i="4"/>
  <c r="G69" i="4"/>
  <c r="G115" i="4"/>
  <c r="G105" i="4"/>
  <c r="G41" i="4"/>
  <c r="G97" i="4"/>
  <c r="G10" i="4"/>
  <c r="G98" i="4"/>
  <c r="G64" i="4"/>
  <c r="G129" i="4"/>
  <c r="G70" i="4"/>
  <c r="G11" i="4"/>
  <c r="G12" i="4"/>
  <c r="G143" i="4"/>
  <c r="G124" i="4"/>
  <c r="G149" i="4"/>
  <c r="G130" i="4"/>
  <c r="G144" i="4"/>
  <c r="G42" i="4"/>
  <c r="G116" i="4"/>
  <c r="G71" i="4"/>
  <c r="G107" i="4"/>
  <c r="G99" i="4"/>
  <c r="G134" i="4"/>
  <c r="G31" i="4"/>
  <c r="G24" i="4"/>
  <c r="G108" i="4"/>
  <c r="G13" i="4"/>
  <c r="G86" i="4"/>
  <c r="G25" i="4"/>
  <c r="G32" i="4"/>
  <c r="G17" i="4"/>
  <c r="G18" i="4"/>
  <c r="G43" i="4"/>
  <c r="G48" i="4"/>
  <c r="G58" i="4"/>
  <c r="G150" i="4"/>
  <c r="G37" i="4"/>
  <c r="G92" i="4"/>
  <c r="G82" i="4"/>
  <c r="G65" i="4"/>
  <c r="G59" i="4"/>
  <c r="G60" i="4"/>
  <c r="G55" i="4"/>
  <c r="G56" i="4"/>
  <c r="G100" i="4"/>
  <c r="G2" i="4"/>
  <c r="G125" i="4"/>
  <c r="G33" i="4"/>
  <c r="G87" i="4"/>
  <c r="G61" i="4"/>
  <c r="G49" i="4"/>
  <c r="G88" i="4"/>
  <c r="G3" i="4"/>
  <c r="G44" i="4"/>
  <c r="G109" i="4"/>
  <c r="G62" i="4"/>
  <c r="G101" i="4"/>
  <c r="G94" i="4"/>
  <c r="G131" i="4"/>
  <c r="G19" i="4"/>
  <c r="G34" i="4"/>
  <c r="G38" i="4"/>
  <c r="G135" i="4"/>
  <c r="G20" i="4"/>
  <c r="G50" i="4"/>
  <c r="G83" i="4"/>
  <c r="G84" i="4"/>
  <c r="G89" i="4"/>
  <c r="G66" i="4"/>
  <c r="G151" i="4"/>
  <c r="G132" i="4"/>
  <c r="G4" i="4"/>
  <c r="G118" i="4"/>
  <c r="G26" i="4"/>
  <c r="G102" i="4"/>
  <c r="G77" i="4"/>
  <c r="G72" i="4"/>
  <c r="G126" i="4"/>
  <c r="G5" i="4"/>
  <c r="G136" i="4"/>
  <c r="G103" i="4"/>
  <c r="G137" i="4"/>
  <c r="G27" i="4"/>
  <c r="G6" i="4"/>
  <c r="G28" i="4"/>
  <c r="G138" i="4"/>
  <c r="G133" i="4"/>
  <c r="G7" i="4"/>
  <c r="G145" i="4"/>
  <c r="G78" i="4"/>
  <c r="G73" i="4"/>
  <c r="G39" i="4"/>
  <c r="G139" i="4"/>
  <c r="G67" i="4"/>
  <c r="G54" i="4"/>
  <c r="G106" i="4"/>
  <c r="G90" i="4"/>
  <c r="G95" i="4"/>
  <c r="G76" i="4"/>
  <c r="G91" i="4"/>
  <c r="G93" i="4"/>
  <c r="G104" i="4"/>
  <c r="G117" i="4"/>
  <c r="G110" i="4"/>
  <c r="G111" i="4"/>
  <c r="G142" i="4"/>
  <c r="G119" i="4"/>
  <c r="G120" i="4"/>
  <c r="G112" i="4"/>
  <c r="Q20" i="54" l="1"/>
  <c r="E5" i="54"/>
  <c r="E6" i="54"/>
  <c r="E7" i="54"/>
  <c r="E8" i="54"/>
  <c r="E9" i="54"/>
  <c r="E10" i="54"/>
  <c r="E11" i="54"/>
  <c r="E12" i="54"/>
  <c r="E13" i="54"/>
  <c r="E14" i="54"/>
  <c r="E15" i="54"/>
  <c r="E16" i="54"/>
  <c r="E17" i="54"/>
  <c r="E18" i="54"/>
  <c r="E19" i="54"/>
  <c r="E20" i="54"/>
  <c r="E21" i="54"/>
  <c r="E22" i="54"/>
  <c r="E23" i="54"/>
  <c r="E24" i="54"/>
  <c r="E25" i="54"/>
  <c r="E26" i="54"/>
  <c r="E27" i="54"/>
  <c r="E28" i="54"/>
  <c r="E29" i="54"/>
  <c r="E30" i="54"/>
  <c r="E31" i="54"/>
  <c r="E32" i="54"/>
  <c r="E33" i="54"/>
  <c r="E34" i="54"/>
  <c r="E35" i="54"/>
  <c r="E36" i="54"/>
  <c r="E37" i="54"/>
  <c r="E38" i="54"/>
  <c r="E39" i="54"/>
  <c r="E40" i="54"/>
  <c r="J12" i="54" s="1"/>
  <c r="E41" i="54"/>
  <c r="J13" i="54" s="1"/>
  <c r="E42" i="54"/>
  <c r="J14" i="54" s="1"/>
  <c r="E43" i="54"/>
  <c r="J5" i="54" s="1"/>
  <c r="E44" i="54"/>
  <c r="J15" i="54" s="1"/>
  <c r="E45" i="54"/>
  <c r="J16" i="54" s="1"/>
  <c r="E46" i="54"/>
  <c r="J17" i="54" s="1"/>
  <c r="E47" i="54"/>
  <c r="J6" i="54" s="1"/>
  <c r="E48" i="54"/>
  <c r="J7" i="54" s="1"/>
  <c r="E49" i="54"/>
  <c r="J9" i="54" s="1"/>
  <c r="E50" i="54"/>
  <c r="J10" i="54" s="1"/>
  <c r="E51" i="54"/>
  <c r="J18" i="54" s="1"/>
  <c r="E52" i="54"/>
  <c r="J19" i="54" s="1"/>
  <c r="E53" i="54"/>
  <c r="J20" i="54" s="1"/>
  <c r="E54" i="54"/>
  <c r="J21" i="54" s="1"/>
  <c r="E55" i="54"/>
  <c r="J22" i="54" s="1"/>
  <c r="E56" i="54"/>
  <c r="J8" i="54" s="1"/>
  <c r="E57" i="54"/>
  <c r="J23" i="54" s="1"/>
  <c r="E58" i="54"/>
  <c r="J24" i="54" s="1"/>
  <c r="E59" i="54"/>
  <c r="J25" i="54" s="1"/>
  <c r="E60" i="54"/>
  <c r="J26" i="54" s="1"/>
  <c r="E61" i="54"/>
  <c r="J27" i="54" s="1"/>
  <c r="E4" i="54"/>
  <c r="ES1" i="1"/>
  <c r="EN1" i="1"/>
  <c r="J32" i="54" l="1"/>
  <c r="J50" i="54"/>
  <c r="J46" i="54"/>
  <c r="J42" i="54"/>
  <c r="J38" i="54"/>
  <c r="J34" i="54"/>
  <c r="J44" i="54"/>
  <c r="J40" i="54"/>
  <c r="J36" i="54"/>
  <c r="J48" i="54"/>
  <c r="K29" i="54" l="1"/>
  <c r="I29" i="54"/>
  <c r="F3" i="46" l="1"/>
  <c r="F4" i="46"/>
  <c r="F5" i="46"/>
  <c r="F6" i="46"/>
  <c r="F7" i="46"/>
  <c r="F8" i="46"/>
  <c r="F9" i="46"/>
  <c r="F10" i="46"/>
  <c r="F11" i="46"/>
  <c r="F12" i="46"/>
  <c r="F13" i="46"/>
  <c r="F14" i="46"/>
  <c r="F15" i="46"/>
  <c r="F16" i="46"/>
  <c r="F17" i="46"/>
  <c r="F18" i="46"/>
  <c r="F19" i="46"/>
  <c r="F20" i="46"/>
  <c r="F21" i="46"/>
  <c r="F22" i="46"/>
  <c r="F23" i="46"/>
  <c r="F24" i="46"/>
  <c r="F25" i="46"/>
  <c r="F26" i="46"/>
  <c r="F27" i="46"/>
  <c r="F28" i="46"/>
  <c r="F29" i="46"/>
  <c r="F30" i="46"/>
  <c r="F31" i="46"/>
  <c r="F32" i="46"/>
  <c r="F33" i="46"/>
  <c r="F34" i="46"/>
  <c r="F35" i="46"/>
  <c r="F36" i="46"/>
  <c r="F37" i="46"/>
  <c r="F38" i="46"/>
  <c r="F39" i="46"/>
  <c r="F40" i="46"/>
  <c r="F41" i="46"/>
  <c r="F42" i="46"/>
  <c r="F43" i="46"/>
  <c r="F44" i="46"/>
  <c r="F45" i="46"/>
  <c r="F46" i="46"/>
  <c r="F47" i="46"/>
  <c r="F48" i="46"/>
  <c r="F49" i="46"/>
  <c r="F50" i="46"/>
  <c r="F51" i="46"/>
  <c r="F52" i="46"/>
  <c r="F53" i="46"/>
  <c r="F54" i="46"/>
  <c r="F55" i="46"/>
  <c r="F56" i="46"/>
  <c r="F57" i="46"/>
  <c r="F58" i="46"/>
  <c r="F59" i="46"/>
  <c r="F60" i="46"/>
  <c r="F61" i="46"/>
  <c r="F62" i="46"/>
  <c r="F63" i="46"/>
  <c r="F64" i="46"/>
  <c r="F65" i="46"/>
  <c r="F66" i="46"/>
  <c r="F67" i="46"/>
  <c r="F68" i="46"/>
  <c r="F69" i="46"/>
  <c r="F70" i="46"/>
  <c r="F71" i="46"/>
  <c r="F72" i="46"/>
  <c r="F73" i="46"/>
  <c r="F74" i="46"/>
  <c r="F75" i="46"/>
  <c r="F76" i="46"/>
  <c r="F77" i="46"/>
  <c r="F78" i="46"/>
  <c r="F79" i="46"/>
  <c r="F80" i="46"/>
  <c r="F81" i="46"/>
  <c r="F82" i="46"/>
  <c r="F83" i="46"/>
  <c r="F84" i="46"/>
  <c r="F85" i="46"/>
  <c r="F86" i="46"/>
  <c r="F87" i="46"/>
  <c r="F88" i="46"/>
  <c r="F89" i="46"/>
  <c r="F90" i="46"/>
  <c r="F91" i="46"/>
  <c r="F92" i="46"/>
  <c r="F93" i="46"/>
  <c r="F94" i="46"/>
  <c r="F95" i="46"/>
  <c r="F96" i="46"/>
  <c r="F97" i="46"/>
  <c r="F98" i="46"/>
  <c r="F99" i="46"/>
  <c r="F100" i="46"/>
  <c r="F101" i="46"/>
  <c r="F102" i="46"/>
  <c r="F103" i="46"/>
  <c r="F104" i="46"/>
  <c r="F105" i="46"/>
  <c r="F106" i="46"/>
  <c r="F107" i="46"/>
  <c r="F108" i="46"/>
  <c r="F109" i="46"/>
  <c r="F110" i="46"/>
  <c r="F111" i="46"/>
  <c r="F112" i="46"/>
  <c r="F113" i="46"/>
  <c r="F114" i="46"/>
  <c r="F115" i="46"/>
  <c r="F116" i="46"/>
  <c r="F117" i="46"/>
  <c r="F118" i="46"/>
  <c r="F119" i="46"/>
  <c r="F120" i="46"/>
  <c r="F121" i="46"/>
  <c r="F122" i="46"/>
  <c r="F123" i="46"/>
  <c r="F124" i="46"/>
  <c r="F125" i="46"/>
  <c r="F126" i="46"/>
  <c r="F127" i="46"/>
  <c r="F128" i="46"/>
  <c r="F129" i="46"/>
  <c r="F130" i="46"/>
  <c r="F131" i="46"/>
  <c r="F132" i="46"/>
  <c r="F133" i="46"/>
  <c r="F134" i="46"/>
  <c r="F135" i="46"/>
  <c r="F136" i="46"/>
  <c r="F137" i="46"/>
  <c r="F138" i="46"/>
  <c r="F139" i="46"/>
  <c r="F140" i="46"/>
  <c r="F141" i="46"/>
  <c r="F142" i="46"/>
  <c r="F143" i="46"/>
  <c r="F144" i="46"/>
  <c r="F145" i="46"/>
  <c r="F146" i="46"/>
  <c r="F147" i="46"/>
  <c r="F148" i="46"/>
  <c r="F149" i="46"/>
  <c r="F150" i="46"/>
  <c r="F151" i="46"/>
  <c r="F152" i="46"/>
  <c r="F153" i="46"/>
  <c r="F154" i="46"/>
  <c r="F155" i="46"/>
  <c r="F156" i="46"/>
  <c r="F157" i="46"/>
  <c r="F158" i="46"/>
  <c r="F159" i="46"/>
  <c r="F160" i="46"/>
  <c r="F161" i="46"/>
  <c r="F162" i="46"/>
  <c r="F163" i="46"/>
  <c r="F164" i="46"/>
  <c r="F165" i="46"/>
  <c r="F166" i="46"/>
  <c r="F167" i="46"/>
  <c r="F168" i="46"/>
  <c r="F169" i="46"/>
  <c r="F170" i="46"/>
  <c r="F171" i="46"/>
  <c r="F172" i="46"/>
  <c r="F173" i="46"/>
  <c r="F174" i="46"/>
  <c r="F175" i="46"/>
  <c r="F176" i="46"/>
  <c r="F177" i="46"/>
  <c r="F178" i="46"/>
  <c r="F179" i="46"/>
  <c r="F180" i="46"/>
  <c r="F181" i="46"/>
  <c r="F182" i="46"/>
  <c r="F183" i="46"/>
  <c r="F184" i="46"/>
  <c r="F185" i="46"/>
  <c r="F186" i="46"/>
  <c r="F187" i="46"/>
  <c r="F188" i="46"/>
  <c r="F189" i="46"/>
  <c r="F190" i="46"/>
  <c r="F191" i="46"/>
  <c r="F192" i="46"/>
  <c r="F193" i="46"/>
  <c r="F194" i="46"/>
  <c r="F195" i="46"/>
  <c r="F196" i="46"/>
  <c r="F197" i="46"/>
  <c r="F198" i="46"/>
  <c r="F199" i="46"/>
  <c r="F200" i="46"/>
  <c r="F201" i="46"/>
  <c r="F202" i="46"/>
  <c r="F203" i="46"/>
  <c r="F204" i="46"/>
  <c r="F205" i="46"/>
  <c r="F206" i="46"/>
  <c r="F207" i="46"/>
  <c r="F208" i="46"/>
  <c r="F209" i="46"/>
  <c r="F210" i="46"/>
  <c r="F211" i="46"/>
  <c r="F212" i="46"/>
  <c r="F213" i="46"/>
  <c r="F214" i="46"/>
  <c r="F215" i="46"/>
  <c r="F216" i="46"/>
  <c r="F217" i="46"/>
  <c r="F218" i="46"/>
  <c r="F219" i="46"/>
  <c r="F220" i="46"/>
  <c r="F221" i="46"/>
  <c r="F222" i="46"/>
  <c r="F223" i="46"/>
  <c r="F224" i="46"/>
  <c r="F225" i="46"/>
  <c r="F226" i="46"/>
  <c r="F227" i="46"/>
  <c r="F228" i="46"/>
  <c r="F229" i="46"/>
  <c r="F230" i="46"/>
  <c r="F231" i="46"/>
  <c r="F232" i="46"/>
  <c r="F233" i="46"/>
  <c r="F234" i="46"/>
  <c r="F235" i="46"/>
  <c r="F236" i="46"/>
  <c r="F237" i="46"/>
  <c r="F238" i="46"/>
  <c r="F239" i="46"/>
  <c r="F240" i="46"/>
  <c r="F241" i="46"/>
  <c r="F242" i="46"/>
  <c r="F243" i="46"/>
  <c r="F244" i="46"/>
  <c r="F245" i="46"/>
  <c r="F246" i="46"/>
  <c r="F247" i="46"/>
  <c r="F248" i="46"/>
  <c r="F249" i="46"/>
  <c r="F250" i="46"/>
  <c r="F251" i="46"/>
  <c r="F252" i="46"/>
  <c r="F253" i="46"/>
  <c r="F254" i="46"/>
  <c r="F255" i="46"/>
  <c r="F256" i="46"/>
  <c r="F257" i="46"/>
  <c r="F258" i="46"/>
  <c r="F259" i="46"/>
  <c r="F260" i="46"/>
  <c r="F261" i="46"/>
  <c r="F262" i="46"/>
  <c r="F263" i="46"/>
  <c r="F264" i="46"/>
  <c r="F265" i="46"/>
  <c r="F266" i="46"/>
  <c r="F267" i="46"/>
  <c r="F268" i="46"/>
  <c r="F269" i="46"/>
  <c r="F270" i="46"/>
  <c r="F271" i="46"/>
  <c r="F272" i="46"/>
  <c r="F273" i="46"/>
  <c r="F274" i="46"/>
  <c r="F275" i="46"/>
  <c r="F276" i="46"/>
  <c r="F277" i="46"/>
  <c r="F278" i="46"/>
  <c r="F279" i="46"/>
  <c r="F280" i="46"/>
  <c r="F281" i="46"/>
  <c r="F282" i="46"/>
  <c r="F283" i="46"/>
  <c r="F284" i="46"/>
  <c r="F285" i="46"/>
  <c r="F286" i="46"/>
  <c r="F287" i="46"/>
  <c r="F288" i="46"/>
  <c r="F289" i="46"/>
  <c r="F290" i="46"/>
  <c r="F291" i="46"/>
  <c r="F292" i="46"/>
  <c r="F293" i="46"/>
  <c r="F294" i="46"/>
  <c r="F295" i="46"/>
  <c r="F296" i="46"/>
  <c r="F297" i="46"/>
  <c r="F298" i="46"/>
  <c r="F299" i="46"/>
  <c r="F300" i="46"/>
  <c r="F301" i="46"/>
  <c r="F302" i="46"/>
  <c r="F303" i="46"/>
  <c r="F304" i="46"/>
  <c r="F305" i="46"/>
  <c r="F306" i="46"/>
  <c r="F307" i="46"/>
  <c r="F308" i="46"/>
  <c r="F309" i="46"/>
  <c r="F310" i="46"/>
  <c r="F311" i="46"/>
  <c r="F312" i="46"/>
  <c r="F313" i="46"/>
  <c r="F314" i="46"/>
  <c r="F315" i="46"/>
  <c r="F316" i="46"/>
  <c r="F317" i="46"/>
  <c r="F318" i="46"/>
  <c r="F319" i="46"/>
  <c r="F320" i="46"/>
  <c r="F321" i="46"/>
  <c r="F322" i="46"/>
  <c r="F323" i="46"/>
  <c r="F324" i="46"/>
  <c r="F325" i="46"/>
  <c r="F2" i="46"/>
  <c r="R894" i="44"/>
  <c r="R893" i="44"/>
  <c r="R892" i="44"/>
  <c r="R891" i="44"/>
  <c r="R890" i="44"/>
  <c r="R889" i="44"/>
  <c r="R888" i="44"/>
  <c r="R887" i="44"/>
  <c r="R883" i="44"/>
  <c r="R882" i="44"/>
  <c r="R881" i="44"/>
  <c r="R880" i="44"/>
  <c r="R879" i="44"/>
  <c r="R878" i="44"/>
  <c r="R877" i="44"/>
  <c r="R876" i="44"/>
  <c r="R872" i="44"/>
  <c r="R871" i="44"/>
  <c r="R870" i="44"/>
  <c r="R869" i="44"/>
  <c r="R868" i="44"/>
  <c r="R867" i="44"/>
  <c r="R866" i="44"/>
  <c r="R865" i="44"/>
  <c r="R861" i="44"/>
  <c r="R860" i="44"/>
  <c r="R859" i="44"/>
  <c r="R858" i="44"/>
  <c r="R857" i="44"/>
  <c r="R856" i="44"/>
  <c r="R855" i="44"/>
  <c r="R854" i="44"/>
  <c r="R850" i="44"/>
  <c r="R849" i="44"/>
  <c r="R848" i="44"/>
  <c r="R847" i="44"/>
  <c r="R846" i="44"/>
  <c r="R845" i="44"/>
  <c r="R844" i="44"/>
  <c r="R843" i="44"/>
  <c r="R839" i="44"/>
  <c r="R838" i="44"/>
  <c r="R837" i="44"/>
  <c r="R836" i="44"/>
  <c r="R835" i="44"/>
  <c r="R834" i="44"/>
  <c r="R833" i="44"/>
  <c r="R832" i="44"/>
  <c r="R828" i="44"/>
  <c r="R827" i="44"/>
  <c r="R826" i="44"/>
  <c r="R825" i="44"/>
  <c r="R824" i="44"/>
  <c r="R823" i="44"/>
  <c r="R822" i="44"/>
  <c r="R821" i="44"/>
  <c r="R817" i="44"/>
  <c r="R816" i="44"/>
  <c r="R815" i="44"/>
  <c r="R814" i="44"/>
  <c r="R813" i="44"/>
  <c r="R812" i="44"/>
  <c r="R811" i="44"/>
  <c r="R810" i="44"/>
  <c r="R806" i="44"/>
  <c r="R805" i="44"/>
  <c r="R804" i="44"/>
  <c r="R803" i="44"/>
  <c r="R802" i="44"/>
  <c r="R801" i="44"/>
  <c r="R800" i="44"/>
  <c r="R799" i="44"/>
  <c r="R795" i="44"/>
  <c r="R794" i="44"/>
  <c r="R793" i="44"/>
  <c r="R792" i="44"/>
  <c r="R791" i="44"/>
  <c r="R790" i="44"/>
  <c r="R789" i="44"/>
  <c r="R788" i="44"/>
  <c r="R784" i="44"/>
  <c r="R783" i="44"/>
  <c r="R782" i="44"/>
  <c r="R781" i="44"/>
  <c r="R780" i="44"/>
  <c r="R779" i="44"/>
  <c r="R778" i="44"/>
  <c r="R777" i="44"/>
  <c r="R773" i="44"/>
  <c r="R772" i="44"/>
  <c r="R771" i="44"/>
  <c r="R770" i="44"/>
  <c r="R769" i="44"/>
  <c r="R768" i="44"/>
  <c r="R767" i="44"/>
  <c r="R766" i="44"/>
  <c r="R762" i="44"/>
  <c r="R761" i="44"/>
  <c r="R760" i="44"/>
  <c r="R759" i="44"/>
  <c r="R758" i="44"/>
  <c r="R757" i="44"/>
  <c r="R756" i="44"/>
  <c r="R755" i="44"/>
  <c r="R751" i="44"/>
  <c r="R750" i="44"/>
  <c r="R749" i="44"/>
  <c r="R748" i="44"/>
  <c r="R747" i="44"/>
  <c r="R746" i="44"/>
  <c r="R745" i="44"/>
  <c r="R744" i="44"/>
  <c r="R740" i="44"/>
  <c r="R739" i="44"/>
  <c r="R738" i="44"/>
  <c r="R737" i="44"/>
  <c r="R736" i="44"/>
  <c r="R735" i="44"/>
  <c r="R734" i="44"/>
  <c r="R733" i="44"/>
  <c r="R729" i="44"/>
  <c r="R728" i="44"/>
  <c r="R727" i="44"/>
  <c r="R726" i="44"/>
  <c r="R725" i="44"/>
  <c r="R724" i="44"/>
  <c r="R723" i="44"/>
  <c r="R722" i="44"/>
  <c r="R718" i="44"/>
  <c r="R717" i="44"/>
  <c r="R716" i="44"/>
  <c r="R715" i="44"/>
  <c r="R714" i="44"/>
  <c r="R713" i="44"/>
  <c r="R712" i="44"/>
  <c r="R711" i="44"/>
  <c r="R707" i="44"/>
  <c r="R706" i="44"/>
  <c r="R705" i="44"/>
  <c r="R704" i="44"/>
  <c r="R703" i="44"/>
  <c r="R702" i="44"/>
  <c r="R701" i="44"/>
  <c r="R700" i="44"/>
  <c r="R695" i="44"/>
  <c r="R694" i="44"/>
  <c r="R693" i="44"/>
  <c r="R692" i="44"/>
  <c r="R691" i="44"/>
  <c r="R690" i="44"/>
  <c r="R689" i="44"/>
  <c r="R688" i="44"/>
  <c r="Q894" i="44"/>
  <c r="Q893" i="44"/>
  <c r="Q892" i="44"/>
  <c r="Q891" i="44"/>
  <c r="Q890" i="44"/>
  <c r="Q889" i="44"/>
  <c r="Q888" i="44"/>
  <c r="Q887" i="44"/>
  <c r="Q883" i="44"/>
  <c r="Q882" i="44"/>
  <c r="Q881" i="44"/>
  <c r="Q880" i="44"/>
  <c r="Q879" i="44"/>
  <c r="Q878" i="44"/>
  <c r="Q877" i="44"/>
  <c r="Q876" i="44"/>
  <c r="Q872" i="44"/>
  <c r="Q871" i="44"/>
  <c r="Q870" i="44"/>
  <c r="Q869" i="44"/>
  <c r="Q868" i="44"/>
  <c r="Q867" i="44"/>
  <c r="Q866" i="44"/>
  <c r="Q865" i="44"/>
  <c r="Q861" i="44"/>
  <c r="Q860" i="44"/>
  <c r="Q859" i="44"/>
  <c r="Q858" i="44"/>
  <c r="Q857" i="44"/>
  <c r="Q856" i="44"/>
  <c r="Q855" i="44"/>
  <c r="Q854" i="44"/>
  <c r="Q850" i="44"/>
  <c r="Q849" i="44"/>
  <c r="Q848" i="44"/>
  <c r="Q847" i="44"/>
  <c r="Q846" i="44"/>
  <c r="Q845" i="44"/>
  <c r="Q844" i="44"/>
  <c r="Q843" i="44"/>
  <c r="Q839" i="44"/>
  <c r="Q838" i="44"/>
  <c r="Q837" i="44"/>
  <c r="Q836" i="44"/>
  <c r="Q835" i="44"/>
  <c r="Q834" i="44"/>
  <c r="Q833" i="44"/>
  <c r="Q832" i="44"/>
  <c r="Q828" i="44"/>
  <c r="Q827" i="44"/>
  <c r="Q826" i="44"/>
  <c r="Q825" i="44"/>
  <c r="Q824" i="44"/>
  <c r="Q823" i="44"/>
  <c r="Q822" i="44"/>
  <c r="Q821" i="44"/>
  <c r="Q817" i="44"/>
  <c r="Q816" i="44"/>
  <c r="Q815" i="44"/>
  <c r="Q814" i="44"/>
  <c r="Q813" i="44"/>
  <c r="Q812" i="44"/>
  <c r="Q811" i="44"/>
  <c r="Q810" i="44"/>
  <c r="Q806" i="44"/>
  <c r="Q805" i="44"/>
  <c r="Q804" i="44"/>
  <c r="Q803" i="44"/>
  <c r="Q802" i="44"/>
  <c r="Q801" i="44"/>
  <c r="Q800" i="44"/>
  <c r="Q799" i="44"/>
  <c r="Q795" i="44"/>
  <c r="Q794" i="44"/>
  <c r="Q793" i="44"/>
  <c r="Q792" i="44"/>
  <c r="Q791" i="44"/>
  <c r="Q790" i="44"/>
  <c r="Q789" i="44"/>
  <c r="Q788" i="44"/>
  <c r="Q784" i="44"/>
  <c r="Q783" i="44"/>
  <c r="Q782" i="44"/>
  <c r="Q781" i="44"/>
  <c r="Q780" i="44"/>
  <c r="Q779" i="44"/>
  <c r="Q778" i="44"/>
  <c r="Q777" i="44"/>
  <c r="Q773" i="44"/>
  <c r="Q772" i="44"/>
  <c r="Q771" i="44"/>
  <c r="Q770" i="44"/>
  <c r="Q769" i="44"/>
  <c r="Q768" i="44"/>
  <c r="Q767" i="44"/>
  <c r="Q766" i="44"/>
  <c r="Q762" i="44"/>
  <c r="Q761" i="44"/>
  <c r="Q760" i="44"/>
  <c r="Q759" i="44"/>
  <c r="Q758" i="44"/>
  <c r="Q757" i="44"/>
  <c r="Q756" i="44"/>
  <c r="Q755" i="44"/>
  <c r="Q751" i="44"/>
  <c r="Q750" i="44"/>
  <c r="Q749" i="44"/>
  <c r="Q748" i="44"/>
  <c r="Q747" i="44"/>
  <c r="Q746" i="44"/>
  <c r="Q745" i="44"/>
  <c r="Q744" i="44"/>
  <c r="Q740" i="44"/>
  <c r="Q739" i="44"/>
  <c r="Q738" i="44"/>
  <c r="Q737" i="44"/>
  <c r="Q736" i="44"/>
  <c r="Q735" i="44"/>
  <c r="Q734" i="44"/>
  <c r="Q733" i="44"/>
  <c r="Q729" i="44"/>
  <c r="Q728" i="44"/>
  <c r="Q727" i="44"/>
  <c r="Q726" i="44"/>
  <c r="Q725" i="44"/>
  <c r="Q724" i="44"/>
  <c r="Q723" i="44"/>
  <c r="Q722" i="44"/>
  <c r="Q718" i="44"/>
  <c r="Q717" i="44"/>
  <c r="Q716" i="44"/>
  <c r="Q715" i="44"/>
  <c r="Q714" i="44"/>
  <c r="Q713" i="44"/>
  <c r="Q712" i="44"/>
  <c r="Q711" i="44"/>
  <c r="Q707" i="44"/>
  <c r="Q706" i="44"/>
  <c r="Q705" i="44"/>
  <c r="Q704" i="44"/>
  <c r="Q703" i="44"/>
  <c r="Q702" i="44"/>
  <c r="Q701" i="44"/>
  <c r="Q700" i="44"/>
  <c r="Q688" i="44"/>
  <c r="A1" i="52"/>
  <c r="D111" i="13"/>
  <c r="D112" i="13" s="1"/>
  <c r="D113" i="13" s="1"/>
  <c r="C111" i="13"/>
  <c r="A119" i="13"/>
  <c r="A118" i="13"/>
  <c r="A117" i="13"/>
  <c r="A116" i="13"/>
  <c r="A115" i="13"/>
  <c r="A114" i="13"/>
  <c r="N13" i="5"/>
  <c r="D115" i="13" l="1"/>
  <c r="D116" i="13"/>
  <c r="D118" i="13"/>
  <c r="D117" i="13"/>
  <c r="D119" i="13"/>
  <c r="C114" i="13"/>
  <c r="D114" i="13"/>
  <c r="C112" i="13"/>
  <c r="C117" i="13" s="1"/>
  <c r="C113" i="13" l="1"/>
  <c r="C119" i="13" s="1"/>
  <c r="C115" i="13"/>
  <c r="C118" i="13" l="1"/>
  <c r="C116" i="13"/>
  <c r="E2" i="54"/>
  <c r="L1" i="50" l="1"/>
  <c r="N1" i="19"/>
  <c r="L1" i="49"/>
  <c r="L1" i="48"/>
  <c r="H1" i="17"/>
  <c r="N1" i="16"/>
  <c r="L1" i="40"/>
  <c r="N1" i="12"/>
  <c r="E1" i="54"/>
  <c r="U2" i="5"/>
  <c r="B17" i="5" s="1"/>
  <c r="B1" i="17" l="1"/>
  <c r="D1" i="19"/>
  <c r="B1" i="49"/>
  <c r="B1" i="48"/>
  <c r="D1" i="12"/>
  <c r="B1" i="50"/>
  <c r="D1" i="16"/>
  <c r="B1" i="40"/>
  <c r="EH20" i="1" l="1"/>
  <c r="EH21" i="1" s="1"/>
  <c r="EH22" i="1" s="1"/>
  <c r="ED22" i="1"/>
  <c r="ED21" i="1"/>
  <c r="ED20" i="1"/>
  <c r="ED19" i="1"/>
  <c r="ED18" i="1"/>
  <c r="EB60" i="1"/>
  <c r="EA60" i="1"/>
  <c r="DZ60" i="1"/>
  <c r="DY60" i="1"/>
  <c r="DX60" i="1"/>
  <c r="DW60" i="1"/>
  <c r="DV60" i="1"/>
  <c r="DU60" i="1"/>
  <c r="DT60" i="1"/>
  <c r="DS60" i="1"/>
  <c r="DR60" i="1"/>
  <c r="DQ60" i="1"/>
  <c r="DP60" i="1"/>
  <c r="DO60" i="1"/>
  <c r="DN60" i="1"/>
  <c r="DM60" i="1"/>
  <c r="EB59" i="1"/>
  <c r="EA59" i="1"/>
  <c r="DZ59" i="1"/>
  <c r="DY59" i="1"/>
  <c r="DX59" i="1"/>
  <c r="DW59" i="1"/>
  <c r="DV59" i="1"/>
  <c r="DU59" i="1"/>
  <c r="DT59" i="1"/>
  <c r="DS59" i="1"/>
  <c r="DR59" i="1"/>
  <c r="DQ59" i="1"/>
  <c r="DP59" i="1"/>
  <c r="DO59" i="1"/>
  <c r="DN59" i="1"/>
  <c r="DM59" i="1"/>
  <c r="EB58" i="1"/>
  <c r="EA58" i="1"/>
  <c r="DZ58" i="1"/>
  <c r="DY58" i="1"/>
  <c r="DX58" i="1"/>
  <c r="DW58" i="1"/>
  <c r="DV58" i="1"/>
  <c r="DU58" i="1"/>
  <c r="DT58" i="1"/>
  <c r="DS58" i="1"/>
  <c r="DR58" i="1"/>
  <c r="DQ58" i="1"/>
  <c r="DP58" i="1"/>
  <c r="DO58" i="1"/>
  <c r="DN58" i="1"/>
  <c r="DM58" i="1"/>
  <c r="EB57" i="1"/>
  <c r="EA57" i="1"/>
  <c r="DZ57" i="1"/>
  <c r="DY57" i="1"/>
  <c r="DX57" i="1"/>
  <c r="DW57" i="1"/>
  <c r="DV57" i="1"/>
  <c r="DU57" i="1"/>
  <c r="DT57" i="1"/>
  <c r="DS57" i="1"/>
  <c r="DR57" i="1"/>
  <c r="DQ57" i="1"/>
  <c r="DP57" i="1"/>
  <c r="DO57" i="1"/>
  <c r="DN57" i="1"/>
  <c r="DM57" i="1"/>
  <c r="EB56" i="1"/>
  <c r="EA56" i="1"/>
  <c r="DZ56" i="1"/>
  <c r="DY56" i="1"/>
  <c r="DX56" i="1"/>
  <c r="DW56" i="1"/>
  <c r="DV56" i="1"/>
  <c r="DU56" i="1"/>
  <c r="DT56" i="1"/>
  <c r="DS56" i="1"/>
  <c r="DR56" i="1"/>
  <c r="DQ56" i="1"/>
  <c r="DP56" i="1"/>
  <c r="DO56" i="1"/>
  <c r="DN56" i="1"/>
  <c r="DM56" i="1"/>
  <c r="EB55" i="1"/>
  <c r="EA55" i="1"/>
  <c r="DZ55" i="1"/>
  <c r="DY55" i="1"/>
  <c r="DX55" i="1"/>
  <c r="DW55" i="1"/>
  <c r="DV55" i="1"/>
  <c r="DU55" i="1"/>
  <c r="DT55" i="1"/>
  <c r="DS55" i="1"/>
  <c r="DR55" i="1"/>
  <c r="DQ55" i="1"/>
  <c r="DP55" i="1"/>
  <c r="DO55" i="1"/>
  <c r="DN55" i="1"/>
  <c r="DM55" i="1"/>
  <c r="EB54" i="1"/>
  <c r="EA54" i="1"/>
  <c r="DZ54" i="1"/>
  <c r="DY54" i="1"/>
  <c r="DX54" i="1"/>
  <c r="DW54" i="1"/>
  <c r="DV54" i="1"/>
  <c r="DU54" i="1"/>
  <c r="DT54" i="1"/>
  <c r="DS54" i="1"/>
  <c r="DR54" i="1"/>
  <c r="DQ54" i="1"/>
  <c r="DP54" i="1"/>
  <c r="DO54" i="1"/>
  <c r="DN54" i="1"/>
  <c r="DM54" i="1"/>
  <c r="EB53" i="1"/>
  <c r="EA53" i="1"/>
  <c r="DZ53" i="1"/>
  <c r="DY53" i="1"/>
  <c r="DX53" i="1"/>
  <c r="DW53" i="1"/>
  <c r="DV53" i="1"/>
  <c r="DU53" i="1"/>
  <c r="DT53" i="1"/>
  <c r="DS53" i="1"/>
  <c r="DR53" i="1"/>
  <c r="DQ53" i="1"/>
  <c r="DP53" i="1"/>
  <c r="DO53" i="1"/>
  <c r="DN53" i="1"/>
  <c r="DM53" i="1"/>
  <c r="EB52" i="1"/>
  <c r="EA52" i="1"/>
  <c r="DZ52" i="1"/>
  <c r="DY52" i="1"/>
  <c r="DX52" i="1"/>
  <c r="DW52" i="1"/>
  <c r="DV52" i="1"/>
  <c r="DU52" i="1"/>
  <c r="DT52" i="1"/>
  <c r="DS52" i="1"/>
  <c r="DR52" i="1"/>
  <c r="DQ52" i="1"/>
  <c r="DP52" i="1"/>
  <c r="DO52" i="1"/>
  <c r="DN52" i="1"/>
  <c r="DM52" i="1"/>
  <c r="EB51" i="1"/>
  <c r="EA51" i="1"/>
  <c r="DZ51" i="1"/>
  <c r="DY51" i="1"/>
  <c r="DX51" i="1"/>
  <c r="DW51" i="1"/>
  <c r="DV51" i="1"/>
  <c r="DU51" i="1"/>
  <c r="DT51" i="1"/>
  <c r="DS51" i="1"/>
  <c r="DR51" i="1"/>
  <c r="DQ51" i="1"/>
  <c r="DP51" i="1"/>
  <c r="DO51" i="1"/>
  <c r="DN51" i="1"/>
  <c r="DM51" i="1"/>
  <c r="EB50" i="1"/>
  <c r="EA50" i="1"/>
  <c r="DZ50" i="1"/>
  <c r="DY50" i="1"/>
  <c r="DX50" i="1"/>
  <c r="DW50" i="1"/>
  <c r="DV50" i="1"/>
  <c r="DU50" i="1"/>
  <c r="DT50" i="1"/>
  <c r="DS50" i="1"/>
  <c r="DR50" i="1"/>
  <c r="DQ50" i="1"/>
  <c r="DP50" i="1"/>
  <c r="DO50" i="1"/>
  <c r="DN50" i="1"/>
  <c r="DM50" i="1"/>
  <c r="EB49" i="1"/>
  <c r="EA49" i="1"/>
  <c r="DZ49" i="1"/>
  <c r="DY49" i="1"/>
  <c r="DX49" i="1"/>
  <c r="DW49" i="1"/>
  <c r="DV49" i="1"/>
  <c r="DU49" i="1"/>
  <c r="DT49" i="1"/>
  <c r="DS49" i="1"/>
  <c r="DR49" i="1"/>
  <c r="DQ49" i="1"/>
  <c r="DP49" i="1"/>
  <c r="DO49" i="1"/>
  <c r="DN49" i="1"/>
  <c r="DM49" i="1"/>
  <c r="EB48" i="1"/>
  <c r="EA48" i="1"/>
  <c r="DZ48" i="1"/>
  <c r="DY48" i="1"/>
  <c r="DX48" i="1"/>
  <c r="DW48" i="1"/>
  <c r="DV48" i="1"/>
  <c r="DU48" i="1"/>
  <c r="DT48" i="1"/>
  <c r="DS48" i="1"/>
  <c r="DR48" i="1"/>
  <c r="DQ48" i="1"/>
  <c r="DP48" i="1"/>
  <c r="DO48" i="1"/>
  <c r="DN48" i="1"/>
  <c r="DM48" i="1"/>
  <c r="EB47" i="1"/>
  <c r="EA47" i="1"/>
  <c r="DZ47" i="1"/>
  <c r="DY47" i="1"/>
  <c r="DX47" i="1"/>
  <c r="DW47" i="1"/>
  <c r="DV47" i="1"/>
  <c r="DU47" i="1"/>
  <c r="DT47" i="1"/>
  <c r="DS47" i="1"/>
  <c r="DR47" i="1"/>
  <c r="DQ47" i="1"/>
  <c r="DP47" i="1"/>
  <c r="DO47" i="1"/>
  <c r="DN47" i="1"/>
  <c r="DM47" i="1"/>
  <c r="EB46" i="1"/>
  <c r="EA46" i="1"/>
  <c r="DZ46" i="1"/>
  <c r="DY46" i="1"/>
  <c r="DX46" i="1"/>
  <c r="DW46" i="1"/>
  <c r="DV46" i="1"/>
  <c r="DU46" i="1"/>
  <c r="DT46" i="1"/>
  <c r="DS46" i="1"/>
  <c r="DR46" i="1"/>
  <c r="DQ46" i="1"/>
  <c r="DP46" i="1"/>
  <c r="DO46" i="1"/>
  <c r="DN46" i="1"/>
  <c r="DM46" i="1"/>
  <c r="EB45" i="1"/>
  <c r="EA45" i="1"/>
  <c r="DZ45" i="1"/>
  <c r="DY45" i="1"/>
  <c r="DX45" i="1"/>
  <c r="DW45" i="1"/>
  <c r="DV45" i="1"/>
  <c r="DU45" i="1"/>
  <c r="DT45" i="1"/>
  <c r="DS45" i="1"/>
  <c r="DR45" i="1"/>
  <c r="DQ45" i="1"/>
  <c r="DP45" i="1"/>
  <c r="DO45" i="1"/>
  <c r="DN45" i="1"/>
  <c r="DM45" i="1"/>
  <c r="EB44" i="1"/>
  <c r="EA44" i="1"/>
  <c r="DZ44" i="1"/>
  <c r="DY44" i="1"/>
  <c r="DX44" i="1"/>
  <c r="DW44" i="1"/>
  <c r="DV44" i="1"/>
  <c r="DU44" i="1"/>
  <c r="DT44" i="1"/>
  <c r="DS44" i="1"/>
  <c r="DR44" i="1"/>
  <c r="DQ44" i="1"/>
  <c r="DP44" i="1"/>
  <c r="DO44" i="1"/>
  <c r="DN44" i="1"/>
  <c r="DM44" i="1"/>
  <c r="EB43" i="1"/>
  <c r="EA43" i="1"/>
  <c r="DZ43" i="1"/>
  <c r="DY43" i="1"/>
  <c r="DX43" i="1"/>
  <c r="DW43" i="1"/>
  <c r="DV43" i="1"/>
  <c r="DU43" i="1"/>
  <c r="DT43" i="1"/>
  <c r="DS43" i="1"/>
  <c r="DR43" i="1"/>
  <c r="DQ43" i="1"/>
  <c r="DP43" i="1"/>
  <c r="DO43" i="1"/>
  <c r="DN43" i="1"/>
  <c r="DM43" i="1"/>
  <c r="EB41" i="1"/>
  <c r="EA41" i="1"/>
  <c r="DZ41" i="1"/>
  <c r="DY41" i="1"/>
  <c r="DX41" i="1"/>
  <c r="DW41" i="1"/>
  <c r="DV41" i="1"/>
  <c r="DU41" i="1"/>
  <c r="DT41" i="1"/>
  <c r="DS41" i="1"/>
  <c r="DR41" i="1"/>
  <c r="DQ41" i="1"/>
  <c r="DP41" i="1"/>
  <c r="DO41" i="1"/>
  <c r="DN41" i="1"/>
  <c r="DM41" i="1"/>
  <c r="EB40" i="1"/>
  <c r="EA40" i="1"/>
  <c r="DZ40" i="1"/>
  <c r="DY40" i="1"/>
  <c r="DX40" i="1"/>
  <c r="DW40" i="1"/>
  <c r="DV40" i="1"/>
  <c r="DU40" i="1"/>
  <c r="DT40" i="1"/>
  <c r="DS40" i="1"/>
  <c r="DR40" i="1"/>
  <c r="DQ40" i="1"/>
  <c r="DP40" i="1"/>
  <c r="DO40" i="1"/>
  <c r="DN40" i="1"/>
  <c r="DM40" i="1"/>
  <c r="EB39" i="1"/>
  <c r="EA39" i="1"/>
  <c r="DZ39" i="1"/>
  <c r="DY39" i="1"/>
  <c r="DX39" i="1"/>
  <c r="DW39" i="1"/>
  <c r="DV39" i="1"/>
  <c r="DU39" i="1"/>
  <c r="DT39" i="1"/>
  <c r="DS39" i="1"/>
  <c r="DR39" i="1"/>
  <c r="DQ39" i="1"/>
  <c r="DP39" i="1"/>
  <c r="DO39" i="1"/>
  <c r="DN39" i="1"/>
  <c r="DM39" i="1"/>
  <c r="EB38" i="1"/>
  <c r="EA38" i="1"/>
  <c r="DZ38" i="1"/>
  <c r="DY38" i="1"/>
  <c r="DX38" i="1"/>
  <c r="DW38" i="1"/>
  <c r="DV38" i="1"/>
  <c r="DU38" i="1"/>
  <c r="DT38" i="1"/>
  <c r="DS38" i="1"/>
  <c r="DR38" i="1"/>
  <c r="DQ38" i="1"/>
  <c r="DP38" i="1"/>
  <c r="DO38" i="1"/>
  <c r="DN38" i="1"/>
  <c r="DM38" i="1"/>
  <c r="EB36" i="1"/>
  <c r="EA36" i="1"/>
  <c r="DZ36" i="1"/>
  <c r="DY36" i="1"/>
  <c r="DX36" i="1"/>
  <c r="DW36" i="1"/>
  <c r="DV36" i="1"/>
  <c r="DU36" i="1"/>
  <c r="DT36" i="1"/>
  <c r="DS36" i="1"/>
  <c r="DR36" i="1"/>
  <c r="DQ36" i="1"/>
  <c r="DP36" i="1"/>
  <c r="DO36" i="1"/>
  <c r="DN36" i="1"/>
  <c r="DM36" i="1"/>
  <c r="EB35" i="1"/>
  <c r="EA35" i="1"/>
  <c r="DZ35" i="1"/>
  <c r="DY35" i="1"/>
  <c r="DX35" i="1"/>
  <c r="DW35" i="1"/>
  <c r="DV35" i="1"/>
  <c r="DU35" i="1"/>
  <c r="DT35" i="1"/>
  <c r="DS35" i="1"/>
  <c r="DR35" i="1"/>
  <c r="DQ35" i="1"/>
  <c r="DP35" i="1"/>
  <c r="DO35" i="1"/>
  <c r="DN35" i="1"/>
  <c r="DM35" i="1"/>
  <c r="EB34" i="1"/>
  <c r="EA34" i="1"/>
  <c r="DZ34" i="1"/>
  <c r="DY34" i="1"/>
  <c r="DX34" i="1"/>
  <c r="DW34" i="1"/>
  <c r="DV34" i="1"/>
  <c r="DU34" i="1"/>
  <c r="DT34" i="1"/>
  <c r="DS34" i="1"/>
  <c r="DR34" i="1"/>
  <c r="DQ34" i="1"/>
  <c r="DP34" i="1"/>
  <c r="DO34" i="1"/>
  <c r="DN34" i="1"/>
  <c r="DM34" i="1"/>
  <c r="EB32" i="1"/>
  <c r="EA32" i="1"/>
  <c r="DZ32" i="1"/>
  <c r="DY32" i="1"/>
  <c r="DX32" i="1"/>
  <c r="DW32" i="1"/>
  <c r="DV32" i="1"/>
  <c r="DU32" i="1"/>
  <c r="DT32" i="1"/>
  <c r="DS32" i="1"/>
  <c r="DR32" i="1"/>
  <c r="DQ32" i="1"/>
  <c r="DP32" i="1"/>
  <c r="DO32" i="1"/>
  <c r="DN32" i="1"/>
  <c r="DM32" i="1"/>
  <c r="EB31" i="1"/>
  <c r="EA31" i="1"/>
  <c r="DZ31" i="1"/>
  <c r="DY31" i="1"/>
  <c r="DX31" i="1"/>
  <c r="DW31" i="1"/>
  <c r="DV31" i="1"/>
  <c r="DU31" i="1"/>
  <c r="DT31" i="1"/>
  <c r="DS31" i="1"/>
  <c r="DR31" i="1"/>
  <c r="DQ31" i="1"/>
  <c r="DP31" i="1"/>
  <c r="DO31" i="1"/>
  <c r="DN31" i="1"/>
  <c r="DM31" i="1"/>
  <c r="EB30" i="1"/>
  <c r="EA30" i="1"/>
  <c r="DZ30" i="1"/>
  <c r="DY30" i="1"/>
  <c r="DX30" i="1"/>
  <c r="DW30" i="1"/>
  <c r="DV30" i="1"/>
  <c r="DU30" i="1"/>
  <c r="DT30" i="1"/>
  <c r="DS30" i="1"/>
  <c r="DR30" i="1"/>
  <c r="DQ30" i="1"/>
  <c r="DP30" i="1"/>
  <c r="DO30" i="1"/>
  <c r="DN30" i="1"/>
  <c r="DM30" i="1"/>
  <c r="EB29" i="1"/>
  <c r="EA29" i="1"/>
  <c r="DZ29" i="1"/>
  <c r="DY29" i="1"/>
  <c r="DX29" i="1"/>
  <c r="DW29" i="1"/>
  <c r="DV29" i="1"/>
  <c r="DU29" i="1"/>
  <c r="DT29" i="1"/>
  <c r="DS29" i="1"/>
  <c r="DR29" i="1"/>
  <c r="DQ29" i="1"/>
  <c r="DP29" i="1"/>
  <c r="DO29" i="1"/>
  <c r="DN29" i="1"/>
  <c r="DM29" i="1"/>
  <c r="EB28" i="1"/>
  <c r="EA28" i="1"/>
  <c r="DZ28" i="1"/>
  <c r="DY28" i="1"/>
  <c r="DX28" i="1"/>
  <c r="DW28" i="1"/>
  <c r="DV28" i="1"/>
  <c r="DU28" i="1"/>
  <c r="DT28" i="1"/>
  <c r="DS28" i="1"/>
  <c r="DR28" i="1"/>
  <c r="DQ28" i="1"/>
  <c r="DP28" i="1"/>
  <c r="DO28" i="1"/>
  <c r="DN28" i="1"/>
  <c r="DM28" i="1"/>
  <c r="EB26" i="1"/>
  <c r="EA26" i="1"/>
  <c r="DZ26" i="1"/>
  <c r="DY26" i="1"/>
  <c r="DX26" i="1"/>
  <c r="DW26" i="1"/>
  <c r="DV26" i="1"/>
  <c r="DU26" i="1"/>
  <c r="DT26" i="1"/>
  <c r="DS26" i="1"/>
  <c r="DR26" i="1"/>
  <c r="DQ26" i="1"/>
  <c r="DP26" i="1"/>
  <c r="DO26" i="1"/>
  <c r="DN26" i="1"/>
  <c r="DM26" i="1"/>
  <c r="EB25" i="1"/>
  <c r="EA25" i="1"/>
  <c r="DZ25" i="1"/>
  <c r="DY25" i="1"/>
  <c r="DX25" i="1"/>
  <c r="DW25" i="1"/>
  <c r="DV25" i="1"/>
  <c r="DU25" i="1"/>
  <c r="DT25" i="1"/>
  <c r="DS25" i="1"/>
  <c r="DR25" i="1"/>
  <c r="DQ25" i="1"/>
  <c r="DP25" i="1"/>
  <c r="DO25" i="1"/>
  <c r="DN25" i="1"/>
  <c r="DM25" i="1"/>
  <c r="EB24" i="1"/>
  <c r="EA24" i="1"/>
  <c r="DZ24" i="1"/>
  <c r="DY24" i="1"/>
  <c r="DX24" i="1"/>
  <c r="DW24" i="1"/>
  <c r="DV24" i="1"/>
  <c r="DU24" i="1"/>
  <c r="DT24" i="1"/>
  <c r="DS24" i="1"/>
  <c r="DR24" i="1"/>
  <c r="DQ24" i="1"/>
  <c r="DP24" i="1"/>
  <c r="DO24" i="1"/>
  <c r="DN24" i="1"/>
  <c r="DM24" i="1"/>
  <c r="EB23" i="1"/>
  <c r="EA23" i="1"/>
  <c r="DZ23" i="1"/>
  <c r="DY23" i="1"/>
  <c r="DX23" i="1"/>
  <c r="DW23" i="1"/>
  <c r="DV23" i="1"/>
  <c r="DU23" i="1"/>
  <c r="DT23" i="1"/>
  <c r="DS23" i="1"/>
  <c r="DR23" i="1"/>
  <c r="DQ23" i="1"/>
  <c r="DP23" i="1"/>
  <c r="DO23" i="1"/>
  <c r="DN23" i="1"/>
  <c r="DM23" i="1"/>
  <c r="EB22" i="1"/>
  <c r="EA22" i="1"/>
  <c r="DZ22" i="1"/>
  <c r="DY22" i="1"/>
  <c r="DX22" i="1"/>
  <c r="DW22" i="1"/>
  <c r="DV22" i="1"/>
  <c r="DU22" i="1"/>
  <c r="DT22" i="1"/>
  <c r="DS22" i="1"/>
  <c r="DR22" i="1"/>
  <c r="DQ22" i="1"/>
  <c r="DP22" i="1"/>
  <c r="DO22" i="1"/>
  <c r="DN22" i="1"/>
  <c r="DM22" i="1"/>
  <c r="EB21" i="1"/>
  <c r="EA21" i="1"/>
  <c r="DZ21" i="1"/>
  <c r="DY21" i="1"/>
  <c r="DX21" i="1"/>
  <c r="DW21" i="1"/>
  <c r="DV21" i="1"/>
  <c r="DU21" i="1"/>
  <c r="DT21" i="1"/>
  <c r="DS21" i="1"/>
  <c r="DR21" i="1"/>
  <c r="DQ21" i="1"/>
  <c r="DP21" i="1"/>
  <c r="DO21" i="1"/>
  <c r="DN21" i="1"/>
  <c r="DM21" i="1"/>
  <c r="EB20" i="1"/>
  <c r="EA20" i="1"/>
  <c r="DZ20" i="1"/>
  <c r="DY20" i="1"/>
  <c r="DX20" i="1"/>
  <c r="DW20" i="1"/>
  <c r="DV20" i="1"/>
  <c r="DU20" i="1"/>
  <c r="DT20" i="1"/>
  <c r="DS20" i="1"/>
  <c r="DR20" i="1"/>
  <c r="DQ20" i="1"/>
  <c r="DP20" i="1"/>
  <c r="DO20" i="1"/>
  <c r="DN20" i="1"/>
  <c r="DM20" i="1"/>
  <c r="EB18" i="1"/>
  <c r="EA18" i="1"/>
  <c r="DZ18" i="1"/>
  <c r="DY18" i="1"/>
  <c r="DX18" i="1"/>
  <c r="DW18" i="1"/>
  <c r="DV18" i="1"/>
  <c r="DU18" i="1"/>
  <c r="DT18" i="1"/>
  <c r="DS18" i="1"/>
  <c r="DR18" i="1"/>
  <c r="DQ18" i="1"/>
  <c r="DP18" i="1"/>
  <c r="DO18" i="1"/>
  <c r="DN18" i="1"/>
  <c r="DM18" i="1"/>
  <c r="EB17" i="1"/>
  <c r="EA17" i="1"/>
  <c r="DZ17" i="1"/>
  <c r="DY17" i="1"/>
  <c r="DX17" i="1"/>
  <c r="DW17" i="1"/>
  <c r="DV17" i="1"/>
  <c r="DU17" i="1"/>
  <c r="DT17" i="1"/>
  <c r="DS17" i="1"/>
  <c r="DR17" i="1"/>
  <c r="DQ17" i="1"/>
  <c r="DP17" i="1"/>
  <c r="DO17" i="1"/>
  <c r="DN17" i="1"/>
  <c r="DM17" i="1"/>
  <c r="EB16" i="1"/>
  <c r="EA16" i="1"/>
  <c r="DZ16" i="1"/>
  <c r="DY16" i="1"/>
  <c r="DX16" i="1"/>
  <c r="DW16" i="1"/>
  <c r="DV16" i="1"/>
  <c r="DU16" i="1"/>
  <c r="DT16" i="1"/>
  <c r="DS16" i="1"/>
  <c r="DR16" i="1"/>
  <c r="DQ16" i="1"/>
  <c r="DP16" i="1"/>
  <c r="DO16" i="1"/>
  <c r="DN16" i="1"/>
  <c r="DM16" i="1"/>
  <c r="EB15" i="1"/>
  <c r="EA15" i="1"/>
  <c r="DZ15" i="1"/>
  <c r="DY15" i="1"/>
  <c r="DX15" i="1"/>
  <c r="DW15" i="1"/>
  <c r="DV15" i="1"/>
  <c r="DU15" i="1"/>
  <c r="DT15" i="1"/>
  <c r="DS15" i="1"/>
  <c r="DR15" i="1"/>
  <c r="DQ15" i="1"/>
  <c r="DP15" i="1"/>
  <c r="DO15" i="1"/>
  <c r="DN15" i="1"/>
  <c r="DM15" i="1"/>
  <c r="EB14" i="1"/>
  <c r="EA14" i="1"/>
  <c r="DZ14" i="1"/>
  <c r="DY14" i="1"/>
  <c r="DX14" i="1"/>
  <c r="DW14" i="1"/>
  <c r="DV14" i="1"/>
  <c r="DU14" i="1"/>
  <c r="DT14" i="1"/>
  <c r="DS14" i="1"/>
  <c r="DR14" i="1"/>
  <c r="DQ14" i="1"/>
  <c r="DP14" i="1"/>
  <c r="DO14" i="1"/>
  <c r="DN14" i="1"/>
  <c r="DM14" i="1"/>
  <c r="EB13" i="1"/>
  <c r="EA13" i="1"/>
  <c r="DZ13" i="1"/>
  <c r="DY13" i="1"/>
  <c r="DX13" i="1"/>
  <c r="DW13" i="1"/>
  <c r="DV13" i="1"/>
  <c r="DU13" i="1"/>
  <c r="DT13" i="1"/>
  <c r="DS13" i="1"/>
  <c r="DR13" i="1"/>
  <c r="DQ13" i="1"/>
  <c r="DP13" i="1"/>
  <c r="DO13" i="1"/>
  <c r="DN13" i="1"/>
  <c r="DM13" i="1"/>
  <c r="EB12" i="1"/>
  <c r="EA12" i="1"/>
  <c r="DZ12" i="1"/>
  <c r="DY12" i="1"/>
  <c r="DX12" i="1"/>
  <c r="DW12" i="1"/>
  <c r="DV12" i="1"/>
  <c r="DU12" i="1"/>
  <c r="DT12" i="1"/>
  <c r="DS12" i="1"/>
  <c r="DR12" i="1"/>
  <c r="DQ12" i="1"/>
  <c r="DP12" i="1"/>
  <c r="DO12" i="1"/>
  <c r="DN12" i="1"/>
  <c r="DM12" i="1"/>
  <c r="EB10" i="1"/>
  <c r="EA10" i="1"/>
  <c r="DZ10" i="1"/>
  <c r="DY10" i="1"/>
  <c r="DX10" i="1"/>
  <c r="DW10" i="1"/>
  <c r="DV10" i="1"/>
  <c r="DU10" i="1"/>
  <c r="DT10" i="1"/>
  <c r="DS10" i="1"/>
  <c r="DR10" i="1"/>
  <c r="DQ10" i="1"/>
  <c r="DP10" i="1"/>
  <c r="DO10" i="1"/>
  <c r="DN10" i="1"/>
  <c r="DM10" i="1"/>
  <c r="EB9" i="1"/>
  <c r="EA9" i="1"/>
  <c r="DZ9" i="1"/>
  <c r="DY9" i="1"/>
  <c r="DX9" i="1"/>
  <c r="DW9" i="1"/>
  <c r="DV9" i="1"/>
  <c r="DU9" i="1"/>
  <c r="DT9" i="1"/>
  <c r="DS9" i="1"/>
  <c r="DR9" i="1"/>
  <c r="DQ9" i="1"/>
  <c r="DP9" i="1"/>
  <c r="DO9" i="1"/>
  <c r="DN9" i="1"/>
  <c r="DM9" i="1"/>
  <c r="EB8" i="1"/>
  <c r="EA8" i="1"/>
  <c r="DZ8" i="1"/>
  <c r="DY8" i="1"/>
  <c r="DX8" i="1"/>
  <c r="DW8" i="1"/>
  <c r="DV8" i="1"/>
  <c r="DU8" i="1"/>
  <c r="DT8" i="1"/>
  <c r="DS8" i="1"/>
  <c r="DR8" i="1"/>
  <c r="DQ8" i="1"/>
  <c r="DP8" i="1"/>
  <c r="DO8" i="1"/>
  <c r="DN8" i="1"/>
  <c r="DM8" i="1"/>
  <c r="EB6" i="1"/>
  <c r="EA6" i="1"/>
  <c r="DZ6" i="1"/>
  <c r="DY6" i="1"/>
  <c r="DX6" i="1"/>
  <c r="DW6" i="1"/>
  <c r="DV6" i="1"/>
  <c r="DU6" i="1"/>
  <c r="DT6" i="1"/>
  <c r="DS6" i="1"/>
  <c r="DR6" i="1"/>
  <c r="DQ6" i="1"/>
  <c r="DP6" i="1"/>
  <c r="DO6" i="1"/>
  <c r="DN6" i="1"/>
  <c r="DM6" i="1"/>
  <c r="EB5" i="1"/>
  <c r="EA5" i="1"/>
  <c r="DZ5" i="1"/>
  <c r="DY5" i="1"/>
  <c r="DX5" i="1"/>
  <c r="DW5" i="1"/>
  <c r="DV5" i="1"/>
  <c r="DU5" i="1"/>
  <c r="DT5" i="1"/>
  <c r="DS5" i="1"/>
  <c r="DR5" i="1"/>
  <c r="DQ5" i="1"/>
  <c r="DP5" i="1"/>
  <c r="DO5" i="1"/>
  <c r="DN5" i="1"/>
  <c r="DM5" i="1"/>
  <c r="EB4" i="1"/>
  <c r="EA4" i="1"/>
  <c r="DZ4" i="1"/>
  <c r="DY4" i="1"/>
  <c r="DX4" i="1"/>
  <c r="DW4" i="1"/>
  <c r="DV4" i="1"/>
  <c r="DU4" i="1"/>
  <c r="DT4" i="1"/>
  <c r="DS4" i="1"/>
  <c r="DR4" i="1"/>
  <c r="DQ4" i="1"/>
  <c r="DP4" i="1"/>
  <c r="DO4" i="1"/>
  <c r="DN4" i="1"/>
  <c r="DM4" i="1"/>
  <c r="C1" i="44"/>
  <c r="AM26" i="10" l="1"/>
  <c r="AM27" i="10" s="1"/>
  <c r="AM28" i="10" s="1"/>
  <c r="H24" i="10"/>
  <c r="G24" i="10"/>
  <c r="F24" i="10"/>
  <c r="E24" i="10"/>
  <c r="H23" i="10"/>
  <c r="G23" i="10"/>
  <c r="F23" i="10"/>
  <c r="E23" i="10"/>
  <c r="H22" i="10"/>
  <c r="G22" i="10"/>
  <c r="F22" i="10"/>
  <c r="E22" i="10"/>
  <c r="H21" i="10"/>
  <c r="G21" i="10"/>
  <c r="F21" i="10"/>
  <c r="E21" i="10"/>
  <c r="H19" i="10"/>
  <c r="G19" i="10"/>
  <c r="F19" i="10"/>
  <c r="E19" i="10"/>
  <c r="H18" i="10"/>
  <c r="G18" i="10"/>
  <c r="F18" i="10"/>
  <c r="E18" i="10"/>
  <c r="H17" i="10"/>
  <c r="G17" i="10"/>
  <c r="F17" i="10"/>
  <c r="E17" i="10"/>
  <c r="H16" i="10"/>
  <c r="G16" i="10"/>
  <c r="F16" i="10"/>
  <c r="E16" i="10"/>
  <c r="H15" i="10"/>
  <c r="G15" i="10"/>
  <c r="F15" i="10"/>
  <c r="E15" i="10"/>
  <c r="H14" i="10"/>
  <c r="G14" i="10"/>
  <c r="F14" i="10"/>
  <c r="E14" i="10"/>
  <c r="H13" i="10"/>
  <c r="G13" i="10"/>
  <c r="F13" i="10"/>
  <c r="E13" i="10"/>
  <c r="H12" i="10"/>
  <c r="G12" i="10"/>
  <c r="F12" i="10"/>
  <c r="E12" i="10"/>
  <c r="H10" i="10"/>
  <c r="G10" i="10"/>
  <c r="F10" i="10"/>
  <c r="E10" i="10"/>
  <c r="H7" i="10"/>
  <c r="G7" i="10"/>
  <c r="F7" i="10"/>
  <c r="E7" i="10"/>
  <c r="H6" i="10"/>
  <c r="G6" i="10"/>
  <c r="F6" i="10"/>
  <c r="E6" i="10"/>
  <c r="H5" i="10"/>
  <c r="G5" i="10"/>
  <c r="F5" i="10"/>
  <c r="E5" i="10"/>
  <c r="W242" i="16" l="1"/>
  <c r="P242" i="16" s="1"/>
  <c r="W241" i="16"/>
  <c r="P241" i="16" s="1"/>
  <c r="W240" i="16"/>
  <c r="P240" i="16" s="1"/>
  <c r="W239" i="16"/>
  <c r="P239" i="16" s="1"/>
  <c r="W238" i="16"/>
  <c r="P238" i="16" s="1"/>
  <c r="W237" i="16"/>
  <c r="P237" i="16" s="1"/>
  <c r="W236" i="16"/>
  <c r="P236" i="16" s="1"/>
  <c r="W235" i="16"/>
  <c r="P235" i="16" s="1"/>
  <c r="W231" i="16"/>
  <c r="P231" i="16" s="1"/>
  <c r="W230" i="16"/>
  <c r="P230" i="16" s="1"/>
  <c r="W229" i="16"/>
  <c r="P229" i="16" s="1"/>
  <c r="W228" i="16"/>
  <c r="P228" i="16" s="1"/>
  <c r="W227" i="16"/>
  <c r="P227" i="16" s="1"/>
  <c r="W226" i="16"/>
  <c r="P226" i="16" s="1"/>
  <c r="W225" i="16"/>
  <c r="P225" i="16" s="1"/>
  <c r="W224" i="16"/>
  <c r="P224" i="16" s="1"/>
  <c r="V242" i="16"/>
  <c r="I242" i="16" s="1"/>
  <c r="V241" i="16"/>
  <c r="I241" i="16" s="1"/>
  <c r="V240" i="16"/>
  <c r="I240" i="16" s="1"/>
  <c r="V239" i="16"/>
  <c r="I239" i="16" s="1"/>
  <c r="V238" i="16"/>
  <c r="I238" i="16" s="1"/>
  <c r="V237" i="16"/>
  <c r="I237" i="16" s="1"/>
  <c r="V236" i="16"/>
  <c r="I236" i="16" s="1"/>
  <c r="V231" i="16"/>
  <c r="I231" i="16" s="1"/>
  <c r="V230" i="16"/>
  <c r="I230" i="16" s="1"/>
  <c r="V229" i="16"/>
  <c r="I229" i="16" s="1"/>
  <c r="V228" i="16"/>
  <c r="I228" i="16" s="1"/>
  <c r="V227" i="16"/>
  <c r="I227" i="16" s="1"/>
  <c r="V226" i="16"/>
  <c r="I226" i="16" s="1"/>
  <c r="V225" i="16"/>
  <c r="I225" i="16" s="1"/>
  <c r="V224" i="16"/>
  <c r="I224" i="16" s="1"/>
  <c r="W214" i="16"/>
  <c r="P214" i="16" s="1"/>
  <c r="W215" i="16"/>
  <c r="P215" i="16" s="1"/>
  <c r="W216" i="16"/>
  <c r="P216" i="16" s="1"/>
  <c r="W217" i="16"/>
  <c r="P217" i="16" s="1"/>
  <c r="W218" i="16"/>
  <c r="P218" i="16" s="1"/>
  <c r="W219" i="16"/>
  <c r="P219" i="16" s="1"/>
  <c r="W220" i="16"/>
  <c r="P220" i="16" s="1"/>
  <c r="W213" i="16"/>
  <c r="P213" i="16" s="1"/>
  <c r="V214" i="16"/>
  <c r="I214" i="16" s="1"/>
  <c r="V215" i="16"/>
  <c r="I215" i="16" s="1"/>
  <c r="V216" i="16"/>
  <c r="I216" i="16" s="1"/>
  <c r="V217" i="16"/>
  <c r="I217" i="16" s="1"/>
  <c r="V218" i="16"/>
  <c r="I218" i="16" s="1"/>
  <c r="V219" i="16"/>
  <c r="I219" i="16" s="1"/>
  <c r="V220" i="16"/>
  <c r="I220" i="16" s="1"/>
  <c r="V213" i="16"/>
  <c r="I213" i="16" s="1"/>
  <c r="W203" i="16"/>
  <c r="P203" i="16" s="1"/>
  <c r="W204" i="16"/>
  <c r="P204" i="16" s="1"/>
  <c r="W205" i="16"/>
  <c r="P205" i="16" s="1"/>
  <c r="W206" i="16"/>
  <c r="P206" i="16" s="1"/>
  <c r="W207" i="16"/>
  <c r="P207" i="16" s="1"/>
  <c r="W208" i="16"/>
  <c r="P208" i="16" s="1"/>
  <c r="W209" i="16"/>
  <c r="P209" i="16" s="1"/>
  <c r="W202" i="16"/>
  <c r="P202" i="16" s="1"/>
  <c r="V203" i="16"/>
  <c r="I203" i="16" s="1"/>
  <c r="V204" i="16"/>
  <c r="I204" i="16" s="1"/>
  <c r="V205" i="16"/>
  <c r="I205" i="16" s="1"/>
  <c r="V206" i="16"/>
  <c r="I206" i="16" s="1"/>
  <c r="V207" i="16"/>
  <c r="I207" i="16" s="1"/>
  <c r="V208" i="16"/>
  <c r="I208" i="16" s="1"/>
  <c r="V209" i="16"/>
  <c r="I209" i="16" s="1"/>
  <c r="V202" i="16"/>
  <c r="I202" i="16" s="1"/>
  <c r="I2" i="18"/>
  <c r="D199" i="49"/>
  <c r="T199" i="49" s="1"/>
  <c r="E199" i="49"/>
  <c r="D200" i="49"/>
  <c r="V200" i="49" s="1"/>
  <c r="E200" i="49"/>
  <c r="D210" i="49"/>
  <c r="T210" i="49" s="1"/>
  <c r="E210" i="49"/>
  <c r="D211" i="49"/>
  <c r="T211" i="49" s="1"/>
  <c r="E211" i="49"/>
  <c r="D221" i="49"/>
  <c r="V221" i="49" s="1"/>
  <c r="E221" i="49"/>
  <c r="D222" i="49"/>
  <c r="E222" i="49"/>
  <c r="D232" i="49"/>
  <c r="V232" i="49" s="1"/>
  <c r="E232" i="49"/>
  <c r="D233" i="49"/>
  <c r="T233" i="49" s="1"/>
  <c r="E233" i="49"/>
  <c r="D243" i="49"/>
  <c r="V243" i="49" s="1"/>
  <c r="E243" i="49"/>
  <c r="D244" i="49"/>
  <c r="V244" i="49" s="1"/>
  <c r="E244" i="49"/>
  <c r="D254" i="49"/>
  <c r="E254" i="49"/>
  <c r="D255" i="49"/>
  <c r="E255" i="49"/>
  <c r="D265" i="49"/>
  <c r="V265" i="49" s="1"/>
  <c r="E265" i="49"/>
  <c r="D266" i="49"/>
  <c r="V266" i="49" s="1"/>
  <c r="E266" i="49"/>
  <c r="D276" i="49"/>
  <c r="T276" i="49" s="1"/>
  <c r="E276" i="49"/>
  <c r="D277" i="49"/>
  <c r="T277" i="49" s="1"/>
  <c r="E277" i="49"/>
  <c r="D287" i="49"/>
  <c r="T287" i="49" s="1"/>
  <c r="E287" i="49"/>
  <c r="D288" i="49"/>
  <c r="E288" i="49"/>
  <c r="D298" i="49"/>
  <c r="V298" i="49" s="1"/>
  <c r="E298" i="49"/>
  <c r="D299" i="49"/>
  <c r="V299" i="49" s="1"/>
  <c r="E299" i="49"/>
  <c r="D309" i="49"/>
  <c r="V309" i="49" s="1"/>
  <c r="E309" i="49"/>
  <c r="D310" i="49"/>
  <c r="T310" i="49" s="1"/>
  <c r="E310" i="49"/>
  <c r="D311" i="49"/>
  <c r="T311" i="49" s="1"/>
  <c r="E311" i="49"/>
  <c r="D312" i="49"/>
  <c r="T312" i="49" s="1"/>
  <c r="E312" i="49"/>
  <c r="D313" i="49"/>
  <c r="T313" i="49" s="1"/>
  <c r="E313" i="49"/>
  <c r="D314" i="49"/>
  <c r="T314" i="49" s="1"/>
  <c r="E314" i="49"/>
  <c r="D315" i="49"/>
  <c r="V315" i="49" s="1"/>
  <c r="E315" i="49"/>
  <c r="D316" i="49"/>
  <c r="T316" i="49" s="1"/>
  <c r="E316" i="49"/>
  <c r="D317" i="49"/>
  <c r="E317" i="49"/>
  <c r="D318" i="49"/>
  <c r="V318" i="49" s="1"/>
  <c r="E318" i="49"/>
  <c r="D319" i="49"/>
  <c r="T319" i="49" s="1"/>
  <c r="E319" i="49"/>
  <c r="D320" i="49"/>
  <c r="T320" i="49" s="1"/>
  <c r="E320" i="49"/>
  <c r="D321" i="49"/>
  <c r="V321" i="49" s="1"/>
  <c r="E321" i="49"/>
  <c r="D322" i="49"/>
  <c r="V322" i="49" s="1"/>
  <c r="E322" i="49"/>
  <c r="D323" i="49"/>
  <c r="E323" i="49"/>
  <c r="D324" i="49"/>
  <c r="T324" i="49" s="1"/>
  <c r="E324" i="49"/>
  <c r="D325" i="49"/>
  <c r="E325" i="49"/>
  <c r="D326" i="49"/>
  <c r="V326" i="49" s="1"/>
  <c r="E326" i="49"/>
  <c r="D327" i="49"/>
  <c r="T327" i="49" s="1"/>
  <c r="E327" i="49"/>
  <c r="D328" i="49"/>
  <c r="T328" i="49" s="1"/>
  <c r="E328" i="49"/>
  <c r="D329" i="49"/>
  <c r="V329" i="49" s="1"/>
  <c r="E329" i="49"/>
  <c r="D330" i="49"/>
  <c r="V330" i="49" s="1"/>
  <c r="E330" i="49"/>
  <c r="D331" i="49"/>
  <c r="E331" i="49"/>
  <c r="D332" i="49"/>
  <c r="T332" i="49" s="1"/>
  <c r="E332" i="49"/>
  <c r="D333" i="49"/>
  <c r="E333" i="49"/>
  <c r="D334" i="49"/>
  <c r="V334" i="49" s="1"/>
  <c r="E334" i="49"/>
  <c r="D335" i="49"/>
  <c r="T335" i="49" s="1"/>
  <c r="E335" i="49"/>
  <c r="D336" i="49"/>
  <c r="T336" i="49" s="1"/>
  <c r="E336" i="49"/>
  <c r="D337" i="49"/>
  <c r="V337" i="49" s="1"/>
  <c r="E337" i="49"/>
  <c r="D338" i="49"/>
  <c r="V338" i="49" s="1"/>
  <c r="E338" i="49"/>
  <c r="D339" i="49"/>
  <c r="E339" i="49"/>
  <c r="D340" i="49"/>
  <c r="T340" i="49" s="1"/>
  <c r="E340" i="49"/>
  <c r="D341" i="49"/>
  <c r="E341" i="49"/>
  <c r="D342" i="49"/>
  <c r="V342" i="49" s="1"/>
  <c r="E342" i="49"/>
  <c r="D343" i="49"/>
  <c r="T343" i="49" s="1"/>
  <c r="E343" i="49"/>
  <c r="D344" i="49"/>
  <c r="T344" i="49" s="1"/>
  <c r="E344" i="49"/>
  <c r="D345" i="49"/>
  <c r="V345" i="49" s="1"/>
  <c r="E345" i="49"/>
  <c r="D346" i="49"/>
  <c r="V346" i="49" s="1"/>
  <c r="E346" i="49"/>
  <c r="D347" i="49"/>
  <c r="E347" i="49"/>
  <c r="D348" i="49"/>
  <c r="T348" i="49" s="1"/>
  <c r="E348" i="49"/>
  <c r="D349" i="49"/>
  <c r="E349" i="49"/>
  <c r="D350" i="49"/>
  <c r="V350" i="49" s="1"/>
  <c r="E350" i="49"/>
  <c r="D351" i="49"/>
  <c r="T351" i="49" s="1"/>
  <c r="E351" i="49"/>
  <c r="D352" i="49"/>
  <c r="T352" i="49" s="1"/>
  <c r="E352" i="49"/>
  <c r="D199" i="50"/>
  <c r="E199" i="50"/>
  <c r="D200" i="50"/>
  <c r="T200" i="50" s="1"/>
  <c r="E200" i="50"/>
  <c r="D210" i="50"/>
  <c r="V210" i="50" s="1"/>
  <c r="E210" i="50"/>
  <c r="D211" i="50"/>
  <c r="T211" i="50" s="1"/>
  <c r="E211" i="50"/>
  <c r="D221" i="50"/>
  <c r="V221" i="50" s="1"/>
  <c r="E221" i="50"/>
  <c r="D222" i="50"/>
  <c r="T222" i="50" s="1"/>
  <c r="E222" i="50"/>
  <c r="D232" i="50"/>
  <c r="T232" i="50" s="1"/>
  <c r="E232" i="50"/>
  <c r="D233" i="50"/>
  <c r="T233" i="50" s="1"/>
  <c r="E233" i="50"/>
  <c r="D243" i="50"/>
  <c r="V243" i="50" s="1"/>
  <c r="E243" i="50"/>
  <c r="D244" i="50"/>
  <c r="V244" i="50" s="1"/>
  <c r="E244" i="50"/>
  <c r="D254" i="50"/>
  <c r="E254" i="50"/>
  <c r="D255" i="50"/>
  <c r="T255" i="50" s="1"/>
  <c r="E255" i="50"/>
  <c r="D265" i="50"/>
  <c r="T265" i="50" s="1"/>
  <c r="E265" i="50"/>
  <c r="D266" i="50"/>
  <c r="T266" i="50" s="1"/>
  <c r="E266" i="50"/>
  <c r="D276" i="50"/>
  <c r="T276" i="50" s="1"/>
  <c r="E276" i="50"/>
  <c r="D277" i="50"/>
  <c r="V277" i="50" s="1"/>
  <c r="E277" i="50"/>
  <c r="D287" i="50"/>
  <c r="V287" i="50" s="1"/>
  <c r="E287" i="50"/>
  <c r="D288" i="50"/>
  <c r="T288" i="50" s="1"/>
  <c r="E288" i="50"/>
  <c r="D298" i="50"/>
  <c r="V298" i="50" s="1"/>
  <c r="E298" i="50"/>
  <c r="D299" i="50"/>
  <c r="E299" i="50"/>
  <c r="D309" i="50"/>
  <c r="V309" i="50" s="1"/>
  <c r="E309" i="50"/>
  <c r="D310" i="50"/>
  <c r="T310" i="50" s="1"/>
  <c r="E310" i="50"/>
  <c r="D311" i="50"/>
  <c r="V311" i="50" s="1"/>
  <c r="E311" i="50"/>
  <c r="D312" i="50"/>
  <c r="V312" i="50" s="1"/>
  <c r="E312" i="50"/>
  <c r="D313" i="50"/>
  <c r="V313" i="50" s="1"/>
  <c r="E313" i="50"/>
  <c r="D314" i="50"/>
  <c r="T314" i="50" s="1"/>
  <c r="E314" i="50"/>
  <c r="D315" i="50"/>
  <c r="T315" i="50" s="1"/>
  <c r="E315" i="50"/>
  <c r="D316" i="50"/>
  <c r="V316" i="50" s="1"/>
  <c r="E316" i="50"/>
  <c r="D317" i="50"/>
  <c r="T317" i="50" s="1"/>
  <c r="E317" i="50"/>
  <c r="D318" i="50"/>
  <c r="T318" i="50" s="1"/>
  <c r="E318" i="50"/>
  <c r="D319" i="50"/>
  <c r="V319" i="50" s="1"/>
  <c r="E319" i="50"/>
  <c r="D320" i="50"/>
  <c r="T320" i="50" s="1"/>
  <c r="E320" i="50"/>
  <c r="D321" i="50"/>
  <c r="V321" i="50" s="1"/>
  <c r="E321" i="50"/>
  <c r="D322" i="50"/>
  <c r="T322" i="50" s="1"/>
  <c r="E322" i="50"/>
  <c r="D323" i="50"/>
  <c r="T323" i="50" s="1"/>
  <c r="E323" i="50"/>
  <c r="D324" i="50"/>
  <c r="V324" i="50" s="1"/>
  <c r="E324" i="50"/>
  <c r="D325" i="50"/>
  <c r="E325" i="50"/>
  <c r="D326" i="50"/>
  <c r="T326" i="50" s="1"/>
  <c r="E326" i="50"/>
  <c r="D327" i="50"/>
  <c r="T327" i="50" s="1"/>
  <c r="E327" i="50"/>
  <c r="D328" i="50"/>
  <c r="T328" i="50" s="1"/>
  <c r="E328" i="50"/>
  <c r="D329" i="50"/>
  <c r="V329" i="50" s="1"/>
  <c r="E329" i="50"/>
  <c r="D330" i="50"/>
  <c r="T330" i="50"/>
  <c r="E330" i="50"/>
  <c r="D331" i="50"/>
  <c r="V331" i="50" s="1"/>
  <c r="E331" i="50"/>
  <c r="D332" i="50"/>
  <c r="T332" i="50" s="1"/>
  <c r="E332" i="50"/>
  <c r="D333" i="50"/>
  <c r="V333" i="50" s="1"/>
  <c r="E333" i="50"/>
  <c r="D334" i="50"/>
  <c r="V334" i="50" s="1"/>
  <c r="E334" i="50"/>
  <c r="D335" i="50"/>
  <c r="V335" i="50" s="1"/>
  <c r="E335" i="50"/>
  <c r="D336" i="50"/>
  <c r="V336" i="50" s="1"/>
  <c r="E336" i="50"/>
  <c r="D337" i="50"/>
  <c r="T337" i="50" s="1"/>
  <c r="E337" i="50"/>
  <c r="D338" i="50"/>
  <c r="T338" i="50"/>
  <c r="E338" i="50"/>
  <c r="D339" i="50"/>
  <c r="T339" i="50" s="1"/>
  <c r="E339" i="50"/>
  <c r="D340" i="50"/>
  <c r="V340" i="50" s="1"/>
  <c r="E340" i="50"/>
  <c r="D341" i="50"/>
  <c r="E341" i="50"/>
  <c r="D342" i="50"/>
  <c r="T342" i="50" s="1"/>
  <c r="E342" i="50"/>
  <c r="D343" i="50"/>
  <c r="T343" i="50"/>
  <c r="E343" i="50"/>
  <c r="D344" i="50"/>
  <c r="V344" i="50" s="1"/>
  <c r="E344" i="50"/>
  <c r="D345" i="50"/>
  <c r="V345" i="50" s="1"/>
  <c r="E345" i="50"/>
  <c r="D346" i="50"/>
  <c r="V346" i="50" s="1"/>
  <c r="E346" i="50"/>
  <c r="D347" i="50"/>
  <c r="T347" i="50" s="1"/>
  <c r="E347" i="50"/>
  <c r="D348" i="50"/>
  <c r="V348" i="50" s="1"/>
  <c r="E348" i="50"/>
  <c r="D349" i="50"/>
  <c r="V349" i="50" s="1"/>
  <c r="E349" i="50"/>
  <c r="D350" i="50"/>
  <c r="T350" i="50" s="1"/>
  <c r="E350" i="50"/>
  <c r="D351" i="50"/>
  <c r="T351" i="50" s="1"/>
  <c r="E351" i="50"/>
  <c r="D352" i="50"/>
  <c r="T352" i="50" s="1"/>
  <c r="E352" i="50"/>
  <c r="D199" i="48"/>
  <c r="E199" i="48"/>
  <c r="D200" i="48"/>
  <c r="V200" i="48" s="1"/>
  <c r="E200" i="48"/>
  <c r="D210" i="48"/>
  <c r="T210" i="48" s="1"/>
  <c r="E210" i="48"/>
  <c r="D211" i="48"/>
  <c r="V211" i="48" s="1"/>
  <c r="E211" i="48"/>
  <c r="D221" i="48"/>
  <c r="E221" i="48"/>
  <c r="D222" i="48"/>
  <c r="T222" i="48" s="1"/>
  <c r="E222" i="48"/>
  <c r="D232" i="48"/>
  <c r="T232" i="48" s="1"/>
  <c r="E232" i="48"/>
  <c r="D233" i="48"/>
  <c r="T233" i="48" s="1"/>
  <c r="E233" i="48"/>
  <c r="D243" i="48"/>
  <c r="E243" i="48"/>
  <c r="D244" i="48"/>
  <c r="V244" i="48" s="1"/>
  <c r="E244" i="48"/>
  <c r="D254" i="48"/>
  <c r="V254" i="48" s="1"/>
  <c r="E254" i="48"/>
  <c r="D255" i="48"/>
  <c r="T255" i="48" s="1"/>
  <c r="E255" i="48"/>
  <c r="D265" i="48"/>
  <c r="E265" i="48"/>
  <c r="D266" i="48"/>
  <c r="T266" i="48" s="1"/>
  <c r="E266" i="48"/>
  <c r="D276" i="48"/>
  <c r="T276" i="48" s="1"/>
  <c r="E276" i="48"/>
  <c r="D277" i="48"/>
  <c r="V277" i="48" s="1"/>
  <c r="E277" i="48"/>
  <c r="D287" i="48"/>
  <c r="E287" i="48"/>
  <c r="D288" i="48"/>
  <c r="V288" i="48" s="1"/>
  <c r="E288" i="48"/>
  <c r="D298" i="48"/>
  <c r="V298" i="48" s="1"/>
  <c r="E298" i="48"/>
  <c r="D299" i="48"/>
  <c r="E299" i="48"/>
  <c r="D309" i="48"/>
  <c r="E309" i="48"/>
  <c r="D310" i="48"/>
  <c r="T310" i="48" s="1"/>
  <c r="E310" i="48"/>
  <c r="D320" i="48"/>
  <c r="E320" i="48"/>
  <c r="D321" i="48"/>
  <c r="V321" i="48" s="1"/>
  <c r="E321" i="48"/>
  <c r="D331" i="48"/>
  <c r="V331" i="48" s="1"/>
  <c r="E331" i="48"/>
  <c r="D332" i="48"/>
  <c r="V332" i="48" s="1"/>
  <c r="E332" i="48"/>
  <c r="D342" i="48"/>
  <c r="E342" i="48"/>
  <c r="D343" i="48"/>
  <c r="T343" i="48" s="1"/>
  <c r="E343" i="48"/>
  <c r="U352" i="50"/>
  <c r="U351" i="50"/>
  <c r="U350" i="50"/>
  <c r="U349" i="50"/>
  <c r="U348" i="50"/>
  <c r="U347" i="50"/>
  <c r="U346" i="50"/>
  <c r="U345" i="50"/>
  <c r="U344" i="50"/>
  <c r="V343" i="50"/>
  <c r="U343" i="50"/>
  <c r="U342" i="50"/>
  <c r="V341" i="50"/>
  <c r="U341" i="50"/>
  <c r="T341" i="50"/>
  <c r="U340" i="50"/>
  <c r="U339" i="50"/>
  <c r="V338" i="50"/>
  <c r="U338" i="50"/>
  <c r="V337" i="50"/>
  <c r="U337" i="50"/>
  <c r="U336" i="50"/>
  <c r="T336" i="50"/>
  <c r="U335" i="50"/>
  <c r="U334" i="50"/>
  <c r="U333" i="50"/>
  <c r="U332" i="50"/>
  <c r="U331" i="50"/>
  <c r="V330" i="50"/>
  <c r="U330" i="50"/>
  <c r="U329" i="50"/>
  <c r="U328" i="50"/>
  <c r="U327" i="50"/>
  <c r="U326" i="50"/>
  <c r="V325" i="50"/>
  <c r="U325" i="50"/>
  <c r="T325" i="50"/>
  <c r="U324" i="50"/>
  <c r="U323" i="50"/>
  <c r="V322" i="50"/>
  <c r="U322" i="50"/>
  <c r="U321" i="50"/>
  <c r="T321" i="50"/>
  <c r="U320" i="50"/>
  <c r="U319" i="50"/>
  <c r="U318" i="50"/>
  <c r="U317" i="50"/>
  <c r="U316" i="50"/>
  <c r="U315" i="50"/>
  <c r="V314" i="50"/>
  <c r="U314" i="50"/>
  <c r="U313" i="50"/>
  <c r="T313" i="50"/>
  <c r="U312" i="50"/>
  <c r="U311" i="50"/>
  <c r="U310" i="50"/>
  <c r="U309" i="50"/>
  <c r="U308" i="50"/>
  <c r="U307" i="50"/>
  <c r="U306" i="50"/>
  <c r="U305" i="50"/>
  <c r="U304" i="50"/>
  <c r="U303" i="50"/>
  <c r="U302" i="50"/>
  <c r="U301" i="50"/>
  <c r="U300" i="50"/>
  <c r="V299" i="50"/>
  <c r="U299" i="50"/>
  <c r="T299" i="50"/>
  <c r="U298" i="50"/>
  <c r="U297" i="50"/>
  <c r="U296" i="50"/>
  <c r="U295" i="50"/>
  <c r="U294" i="50"/>
  <c r="U293" i="50"/>
  <c r="U292" i="50"/>
  <c r="U291" i="50"/>
  <c r="U290" i="50"/>
  <c r="U289" i="50"/>
  <c r="U288" i="50"/>
  <c r="U287" i="50"/>
  <c r="U286" i="50"/>
  <c r="U285" i="50"/>
  <c r="U284" i="50"/>
  <c r="U283" i="50"/>
  <c r="U282" i="50"/>
  <c r="U281" i="50"/>
  <c r="U280" i="50"/>
  <c r="U279" i="50"/>
  <c r="U278" i="50"/>
  <c r="U277" i="50"/>
  <c r="U276" i="50"/>
  <c r="U275" i="50"/>
  <c r="U274" i="50"/>
  <c r="U273" i="50"/>
  <c r="U272" i="50"/>
  <c r="U271" i="50"/>
  <c r="U270" i="50"/>
  <c r="U269" i="50"/>
  <c r="U268" i="50"/>
  <c r="U267" i="50"/>
  <c r="V266" i="50"/>
  <c r="U266" i="50"/>
  <c r="V265" i="50"/>
  <c r="U265" i="50"/>
  <c r="U264" i="50"/>
  <c r="U263" i="50"/>
  <c r="U262" i="50"/>
  <c r="U261" i="50"/>
  <c r="U260" i="50"/>
  <c r="U259" i="50"/>
  <c r="U258" i="50"/>
  <c r="U257" i="50"/>
  <c r="U256" i="50"/>
  <c r="U255" i="50"/>
  <c r="V254" i="50"/>
  <c r="U254" i="50"/>
  <c r="T254" i="50"/>
  <c r="U253" i="50"/>
  <c r="U252" i="50"/>
  <c r="U251" i="50"/>
  <c r="U250" i="50"/>
  <c r="U249" i="50"/>
  <c r="U248" i="50"/>
  <c r="U247" i="50"/>
  <c r="U246" i="50"/>
  <c r="U245" i="50"/>
  <c r="U244" i="50"/>
  <c r="U243" i="50"/>
  <c r="U242" i="50"/>
  <c r="U241" i="50"/>
  <c r="U240" i="50"/>
  <c r="U239" i="50"/>
  <c r="U238" i="50"/>
  <c r="U237" i="50"/>
  <c r="U236" i="50"/>
  <c r="U235" i="50"/>
  <c r="U234" i="50"/>
  <c r="U233" i="50"/>
  <c r="U232" i="50"/>
  <c r="U231" i="50"/>
  <c r="U230" i="50"/>
  <c r="U229" i="50"/>
  <c r="U228" i="50"/>
  <c r="U227" i="50"/>
  <c r="U226" i="50"/>
  <c r="U225" i="50"/>
  <c r="U224" i="50"/>
  <c r="U223" i="50"/>
  <c r="U222" i="50"/>
  <c r="U221" i="50"/>
  <c r="T221" i="50"/>
  <c r="U220" i="50"/>
  <c r="U219" i="50"/>
  <c r="U218" i="50"/>
  <c r="U217" i="50"/>
  <c r="U216" i="50"/>
  <c r="U215" i="50"/>
  <c r="U214" i="50"/>
  <c r="U213" i="50"/>
  <c r="U212" i="50"/>
  <c r="U211" i="50"/>
  <c r="U210" i="50"/>
  <c r="U209" i="50"/>
  <c r="U208" i="50"/>
  <c r="U207" i="50"/>
  <c r="U206" i="50"/>
  <c r="U205" i="50"/>
  <c r="U204" i="50"/>
  <c r="U203" i="50"/>
  <c r="U202" i="50"/>
  <c r="U201" i="50"/>
  <c r="U200" i="50"/>
  <c r="V199" i="50"/>
  <c r="U199" i="50"/>
  <c r="T199" i="50"/>
  <c r="U198" i="50"/>
  <c r="U197" i="50"/>
  <c r="U196" i="50"/>
  <c r="U195" i="50"/>
  <c r="U194" i="50"/>
  <c r="U193" i="50"/>
  <c r="U192" i="50"/>
  <c r="U191" i="50"/>
  <c r="V190" i="50"/>
  <c r="U190" i="50"/>
  <c r="T190" i="50"/>
  <c r="V189" i="50"/>
  <c r="U189" i="50"/>
  <c r="T189" i="50"/>
  <c r="V188" i="50"/>
  <c r="U188" i="50"/>
  <c r="T188" i="50"/>
  <c r="U187" i="50"/>
  <c r="T187" i="50"/>
  <c r="U186" i="50"/>
  <c r="T186" i="50"/>
  <c r="U185" i="50"/>
  <c r="T185" i="50"/>
  <c r="U184" i="50"/>
  <c r="T184" i="50"/>
  <c r="U183" i="50"/>
  <c r="T183" i="50"/>
  <c r="U182" i="50"/>
  <c r="T182" i="50"/>
  <c r="U181" i="50"/>
  <c r="T181" i="50"/>
  <c r="U180" i="50"/>
  <c r="T180" i="50"/>
  <c r="U179" i="50"/>
  <c r="T179" i="50"/>
  <c r="U178" i="50"/>
  <c r="T178" i="50"/>
  <c r="U177" i="50"/>
  <c r="T177" i="50"/>
  <c r="U176" i="50"/>
  <c r="T176" i="50"/>
  <c r="U175" i="50"/>
  <c r="T175" i="50"/>
  <c r="U174" i="50"/>
  <c r="T174" i="50"/>
  <c r="U173" i="50"/>
  <c r="T173" i="50"/>
  <c r="U172" i="50"/>
  <c r="T172" i="50"/>
  <c r="U171" i="50"/>
  <c r="T171" i="50"/>
  <c r="U170" i="50"/>
  <c r="T170" i="50"/>
  <c r="U169" i="50"/>
  <c r="T169" i="50"/>
  <c r="U168" i="50"/>
  <c r="T168" i="50"/>
  <c r="V167" i="50"/>
  <c r="U167" i="50"/>
  <c r="T167" i="50"/>
  <c r="V166" i="50"/>
  <c r="U166" i="50"/>
  <c r="T166" i="50"/>
  <c r="W165" i="50"/>
  <c r="V165" i="50"/>
  <c r="U165" i="50"/>
  <c r="T165" i="50"/>
  <c r="W164" i="50"/>
  <c r="V164" i="50"/>
  <c r="U164" i="50"/>
  <c r="T164" i="50"/>
  <c r="W163" i="50"/>
  <c r="V163" i="50"/>
  <c r="U163" i="50"/>
  <c r="T163" i="50"/>
  <c r="W162" i="50"/>
  <c r="V162" i="50"/>
  <c r="U162" i="50"/>
  <c r="T162" i="50"/>
  <c r="W161" i="50"/>
  <c r="V161" i="50"/>
  <c r="U161" i="50"/>
  <c r="T161" i="50"/>
  <c r="W160" i="50"/>
  <c r="V160" i="50"/>
  <c r="U160" i="50"/>
  <c r="T160" i="50"/>
  <c r="W159" i="50"/>
  <c r="V159" i="50"/>
  <c r="U159" i="50"/>
  <c r="T159" i="50"/>
  <c r="W158" i="50"/>
  <c r="V158" i="50"/>
  <c r="U158" i="50"/>
  <c r="T158" i="50"/>
  <c r="W157" i="50"/>
  <c r="V157" i="50"/>
  <c r="U157" i="50"/>
  <c r="T157" i="50"/>
  <c r="W156" i="50"/>
  <c r="V156" i="50"/>
  <c r="U156" i="50"/>
  <c r="T156" i="50"/>
  <c r="W155" i="50"/>
  <c r="V155" i="50"/>
  <c r="U155" i="50"/>
  <c r="T155" i="50"/>
  <c r="W154" i="50"/>
  <c r="V154" i="50"/>
  <c r="U154" i="50"/>
  <c r="T154" i="50"/>
  <c r="W153" i="50"/>
  <c r="V153" i="50"/>
  <c r="U153" i="50"/>
  <c r="T153" i="50"/>
  <c r="W152" i="50"/>
  <c r="V152" i="50"/>
  <c r="U152" i="50"/>
  <c r="T152" i="50"/>
  <c r="W151" i="50"/>
  <c r="V151" i="50"/>
  <c r="U151" i="50"/>
  <c r="T151" i="50"/>
  <c r="W150" i="50"/>
  <c r="V150" i="50"/>
  <c r="U150" i="50"/>
  <c r="T150" i="50"/>
  <c r="W149" i="50"/>
  <c r="V149" i="50"/>
  <c r="U149" i="50"/>
  <c r="T149" i="50"/>
  <c r="W148" i="50"/>
  <c r="V148" i="50"/>
  <c r="U148" i="50"/>
  <c r="T148" i="50"/>
  <c r="W147" i="50"/>
  <c r="V147" i="50"/>
  <c r="U147" i="50"/>
  <c r="T147" i="50"/>
  <c r="W146" i="50"/>
  <c r="V146" i="50"/>
  <c r="U146" i="50"/>
  <c r="T146" i="50"/>
  <c r="W145" i="50"/>
  <c r="V145" i="50"/>
  <c r="U145" i="50"/>
  <c r="T145" i="50"/>
  <c r="W144" i="50"/>
  <c r="V144" i="50"/>
  <c r="U144" i="50"/>
  <c r="T144" i="50"/>
  <c r="W143" i="50"/>
  <c r="V143" i="50"/>
  <c r="U143" i="50"/>
  <c r="T143" i="50"/>
  <c r="W142" i="50"/>
  <c r="V142" i="50"/>
  <c r="U142" i="50"/>
  <c r="T142" i="50"/>
  <c r="W141" i="50"/>
  <c r="V141" i="50"/>
  <c r="U141" i="50"/>
  <c r="T141" i="50"/>
  <c r="W140" i="50"/>
  <c r="V140" i="50"/>
  <c r="U140" i="50"/>
  <c r="T140" i="50"/>
  <c r="W139" i="50"/>
  <c r="V139" i="50"/>
  <c r="U139" i="50"/>
  <c r="T139" i="50"/>
  <c r="W138" i="50"/>
  <c r="V138" i="50"/>
  <c r="U138" i="50"/>
  <c r="T138" i="50"/>
  <c r="W137" i="50"/>
  <c r="V137" i="50"/>
  <c r="U137" i="50"/>
  <c r="T137" i="50"/>
  <c r="W136" i="50"/>
  <c r="V136" i="50"/>
  <c r="U136" i="50"/>
  <c r="T136" i="50"/>
  <c r="W135" i="50"/>
  <c r="V135" i="50"/>
  <c r="U135" i="50"/>
  <c r="T135" i="50"/>
  <c r="W134" i="50"/>
  <c r="V134" i="50"/>
  <c r="U134" i="50"/>
  <c r="T134" i="50"/>
  <c r="W133" i="50"/>
  <c r="V133" i="50"/>
  <c r="U133" i="50"/>
  <c r="T133" i="50"/>
  <c r="U132" i="50"/>
  <c r="U131" i="50"/>
  <c r="U130" i="50"/>
  <c r="U129" i="50"/>
  <c r="U128" i="50"/>
  <c r="U127" i="50"/>
  <c r="U126" i="50"/>
  <c r="U125" i="50"/>
  <c r="U124" i="50"/>
  <c r="W123" i="50"/>
  <c r="V123" i="50"/>
  <c r="U123" i="50"/>
  <c r="T123" i="50"/>
  <c r="W122" i="50"/>
  <c r="V122" i="50"/>
  <c r="U122" i="50"/>
  <c r="T122" i="50"/>
  <c r="W112" i="50"/>
  <c r="V112" i="50"/>
  <c r="U112" i="50"/>
  <c r="T112" i="50"/>
  <c r="W111" i="50"/>
  <c r="V111" i="50"/>
  <c r="U111" i="50"/>
  <c r="T111" i="50"/>
  <c r="W101" i="50"/>
  <c r="V101" i="50"/>
  <c r="U101" i="50"/>
  <c r="T101" i="50"/>
  <c r="W100" i="50"/>
  <c r="V100" i="50"/>
  <c r="U100" i="50"/>
  <c r="T100" i="50"/>
  <c r="W90" i="50"/>
  <c r="V90" i="50"/>
  <c r="U90" i="50"/>
  <c r="T90" i="50"/>
  <c r="W89" i="50"/>
  <c r="V89" i="50"/>
  <c r="U89" i="50"/>
  <c r="T89" i="50"/>
  <c r="W79" i="50"/>
  <c r="V79" i="50"/>
  <c r="U79" i="50"/>
  <c r="T79" i="50"/>
  <c r="W78" i="50"/>
  <c r="V78" i="50"/>
  <c r="U78" i="50"/>
  <c r="T78" i="50"/>
  <c r="W68" i="50"/>
  <c r="V68" i="50"/>
  <c r="U68" i="50"/>
  <c r="T68" i="50"/>
  <c r="W67" i="50"/>
  <c r="V67" i="50"/>
  <c r="U67" i="50"/>
  <c r="T67" i="50"/>
  <c r="W57" i="50"/>
  <c r="V57" i="50"/>
  <c r="U57" i="50"/>
  <c r="T57" i="50"/>
  <c r="W56" i="50"/>
  <c r="V56" i="50"/>
  <c r="U56" i="50"/>
  <c r="T56" i="50"/>
  <c r="W46" i="50"/>
  <c r="V46" i="50"/>
  <c r="U46" i="50"/>
  <c r="T46" i="50"/>
  <c r="W45" i="50"/>
  <c r="V45" i="50"/>
  <c r="U45" i="50"/>
  <c r="T45" i="50"/>
  <c r="W35" i="50"/>
  <c r="V35" i="50"/>
  <c r="U35" i="50"/>
  <c r="T35" i="50"/>
  <c r="W34" i="50"/>
  <c r="V34" i="50"/>
  <c r="U34" i="50"/>
  <c r="T34" i="50"/>
  <c r="W24" i="50"/>
  <c r="V24" i="50"/>
  <c r="U24" i="50"/>
  <c r="T24" i="50"/>
  <c r="W23" i="50"/>
  <c r="V23" i="50"/>
  <c r="U23" i="50"/>
  <c r="T23" i="50"/>
  <c r="W13" i="50"/>
  <c r="V13" i="50"/>
  <c r="U13" i="50"/>
  <c r="T13" i="50"/>
  <c r="W12" i="50"/>
  <c r="V12" i="50"/>
  <c r="U12" i="50"/>
  <c r="T12" i="50"/>
  <c r="V352" i="49"/>
  <c r="U352" i="49"/>
  <c r="V351" i="49"/>
  <c r="U351" i="49"/>
  <c r="U350" i="49"/>
  <c r="V349" i="49"/>
  <c r="U349" i="49"/>
  <c r="T349" i="49"/>
  <c r="V348" i="49"/>
  <c r="U348" i="49"/>
  <c r="V347" i="49"/>
  <c r="U347" i="49"/>
  <c r="T347" i="49"/>
  <c r="U346" i="49"/>
  <c r="U345" i="49"/>
  <c r="T345" i="49"/>
  <c r="U344" i="49"/>
  <c r="V343" i="49"/>
  <c r="U343" i="49"/>
  <c r="U342" i="49"/>
  <c r="T342" i="49"/>
  <c r="V341" i="49"/>
  <c r="U341" i="49"/>
  <c r="T341" i="49"/>
  <c r="U340" i="49"/>
  <c r="V339" i="49"/>
  <c r="U339" i="49"/>
  <c r="T339" i="49"/>
  <c r="U338" i="49"/>
  <c r="T338" i="49"/>
  <c r="U337" i="49"/>
  <c r="T337" i="49"/>
  <c r="V336" i="49"/>
  <c r="U336" i="49"/>
  <c r="V335" i="49"/>
  <c r="U335" i="49"/>
  <c r="U334" i="49"/>
  <c r="V333" i="49"/>
  <c r="U333" i="49"/>
  <c r="T333" i="49"/>
  <c r="V332" i="49"/>
  <c r="U332" i="49"/>
  <c r="V331" i="49"/>
  <c r="U331" i="49"/>
  <c r="T331" i="49"/>
  <c r="U330" i="49"/>
  <c r="T330" i="49"/>
  <c r="U329" i="49"/>
  <c r="T329" i="49"/>
  <c r="U328" i="49"/>
  <c r="V327" i="49"/>
  <c r="U327" i="49"/>
  <c r="U326" i="49"/>
  <c r="V325" i="49"/>
  <c r="U325" i="49"/>
  <c r="T325" i="49"/>
  <c r="V324" i="49"/>
  <c r="U324" i="49"/>
  <c r="V323" i="49"/>
  <c r="U323" i="49"/>
  <c r="T323" i="49"/>
  <c r="U322" i="49"/>
  <c r="T322" i="49"/>
  <c r="U321" i="49"/>
  <c r="T321" i="49"/>
  <c r="V320" i="49"/>
  <c r="U320" i="49"/>
  <c r="V319" i="49"/>
  <c r="U319" i="49"/>
  <c r="U318" i="49"/>
  <c r="T318" i="49"/>
  <c r="V317" i="49"/>
  <c r="U317" i="49"/>
  <c r="T317" i="49"/>
  <c r="U316" i="49"/>
  <c r="U315" i="49"/>
  <c r="U314" i="49"/>
  <c r="V313" i="49"/>
  <c r="U313" i="49"/>
  <c r="U312" i="49"/>
  <c r="V311" i="49"/>
  <c r="U311" i="49"/>
  <c r="U310" i="49"/>
  <c r="U309" i="49"/>
  <c r="T309" i="49"/>
  <c r="U308" i="49"/>
  <c r="U307" i="49"/>
  <c r="U306" i="49"/>
  <c r="U305" i="49"/>
  <c r="U304" i="49"/>
  <c r="U303" i="49"/>
  <c r="U302" i="49"/>
  <c r="U301" i="49"/>
  <c r="U300" i="49"/>
  <c r="U299" i="49"/>
  <c r="T299" i="49"/>
  <c r="U298" i="49"/>
  <c r="T298" i="49"/>
  <c r="U297" i="49"/>
  <c r="U296" i="49"/>
  <c r="U295" i="49"/>
  <c r="U294" i="49"/>
  <c r="U293" i="49"/>
  <c r="U292" i="49"/>
  <c r="U291" i="49"/>
  <c r="U290" i="49"/>
  <c r="U289" i="49"/>
  <c r="V288" i="49"/>
  <c r="U288" i="49"/>
  <c r="T288" i="49"/>
  <c r="V287" i="49"/>
  <c r="U287" i="49"/>
  <c r="U286" i="49"/>
  <c r="U285" i="49"/>
  <c r="U284" i="49"/>
  <c r="U283" i="49"/>
  <c r="U282" i="49"/>
  <c r="U281" i="49"/>
  <c r="U280" i="49"/>
  <c r="U279" i="49"/>
  <c r="U278" i="49"/>
  <c r="U277" i="49"/>
  <c r="V276" i="49"/>
  <c r="U276" i="49"/>
  <c r="U275" i="49"/>
  <c r="U274" i="49"/>
  <c r="U273" i="49"/>
  <c r="U272" i="49"/>
  <c r="U271" i="49"/>
  <c r="U270" i="49"/>
  <c r="U269" i="49"/>
  <c r="U268" i="49"/>
  <c r="U267" i="49"/>
  <c r="U266" i="49"/>
  <c r="T266" i="49"/>
  <c r="U265" i="49"/>
  <c r="T265" i="49"/>
  <c r="U264" i="49"/>
  <c r="U263" i="49"/>
  <c r="U262" i="49"/>
  <c r="U261" i="49"/>
  <c r="U260" i="49"/>
  <c r="U259" i="49"/>
  <c r="U258" i="49"/>
  <c r="U257" i="49"/>
  <c r="U256" i="49"/>
  <c r="V255" i="49"/>
  <c r="U255" i="49"/>
  <c r="T255" i="49"/>
  <c r="V254" i="49"/>
  <c r="U254" i="49"/>
  <c r="T254" i="49"/>
  <c r="U253" i="49"/>
  <c r="U252" i="49"/>
  <c r="U251" i="49"/>
  <c r="U250" i="49"/>
  <c r="U249" i="49"/>
  <c r="U248" i="49"/>
  <c r="U247" i="49"/>
  <c r="U246" i="49"/>
  <c r="U245" i="49"/>
  <c r="U244" i="49"/>
  <c r="T244" i="49"/>
  <c r="U243" i="49"/>
  <c r="T243" i="49"/>
  <c r="U242" i="49"/>
  <c r="U241" i="49"/>
  <c r="U240" i="49"/>
  <c r="U239" i="49"/>
  <c r="U238" i="49"/>
  <c r="U237" i="49"/>
  <c r="U236" i="49"/>
  <c r="U235" i="49"/>
  <c r="U234" i="49"/>
  <c r="V233" i="49"/>
  <c r="U233" i="49"/>
  <c r="U232" i="49"/>
  <c r="T232" i="49"/>
  <c r="U231" i="49"/>
  <c r="U230" i="49"/>
  <c r="U229" i="49"/>
  <c r="U228" i="49"/>
  <c r="U227" i="49"/>
  <c r="U226" i="49"/>
  <c r="U225" i="49"/>
  <c r="U224" i="49"/>
  <c r="U223" i="49"/>
  <c r="V222" i="49"/>
  <c r="U222" i="49"/>
  <c r="T222" i="49"/>
  <c r="U221" i="49"/>
  <c r="T221" i="49"/>
  <c r="U220" i="49"/>
  <c r="U219" i="49"/>
  <c r="U218" i="49"/>
  <c r="U217" i="49"/>
  <c r="U216" i="49"/>
  <c r="U215" i="49"/>
  <c r="U214" i="49"/>
  <c r="U213" i="49"/>
  <c r="U212" i="49"/>
  <c r="V211" i="49"/>
  <c r="U211" i="49"/>
  <c r="V210" i="49"/>
  <c r="U210" i="49"/>
  <c r="U209" i="49"/>
  <c r="U208" i="49"/>
  <c r="U207" i="49"/>
  <c r="U206" i="49"/>
  <c r="U205" i="49"/>
  <c r="U204" i="49"/>
  <c r="U203" i="49"/>
  <c r="U202" i="49"/>
  <c r="U201" i="49"/>
  <c r="U200" i="49"/>
  <c r="T200" i="49"/>
  <c r="V199" i="49"/>
  <c r="U199" i="49"/>
  <c r="U198" i="49"/>
  <c r="U197" i="49"/>
  <c r="U196" i="49"/>
  <c r="U195" i="49"/>
  <c r="U194" i="49"/>
  <c r="U193" i="49"/>
  <c r="U192" i="49"/>
  <c r="U191" i="49"/>
  <c r="V190" i="49"/>
  <c r="U190" i="49"/>
  <c r="T190" i="49"/>
  <c r="V189" i="49"/>
  <c r="U189" i="49"/>
  <c r="T189" i="49"/>
  <c r="V188" i="49"/>
  <c r="U188" i="49"/>
  <c r="T188" i="49"/>
  <c r="U187" i="49"/>
  <c r="T187" i="49"/>
  <c r="U186" i="49"/>
  <c r="T186" i="49"/>
  <c r="U185" i="49"/>
  <c r="T185" i="49"/>
  <c r="U184" i="49"/>
  <c r="T184" i="49"/>
  <c r="U183" i="49"/>
  <c r="T183" i="49"/>
  <c r="U182" i="49"/>
  <c r="T182" i="49"/>
  <c r="U181" i="49"/>
  <c r="T181" i="49"/>
  <c r="U180" i="49"/>
  <c r="T180" i="49"/>
  <c r="U179" i="49"/>
  <c r="T179" i="49"/>
  <c r="U178" i="49"/>
  <c r="T178" i="49"/>
  <c r="U177" i="49"/>
  <c r="T177" i="49"/>
  <c r="U176" i="49"/>
  <c r="T176" i="49"/>
  <c r="U175" i="49"/>
  <c r="T175" i="49"/>
  <c r="U174" i="49"/>
  <c r="T174" i="49"/>
  <c r="U173" i="49"/>
  <c r="T173" i="49"/>
  <c r="U172" i="49"/>
  <c r="T172" i="49"/>
  <c r="U171" i="49"/>
  <c r="T171" i="49"/>
  <c r="U170" i="49"/>
  <c r="T170" i="49"/>
  <c r="U169" i="49"/>
  <c r="T169" i="49"/>
  <c r="U168" i="49"/>
  <c r="T168" i="49"/>
  <c r="V167" i="49"/>
  <c r="U167" i="49"/>
  <c r="T167" i="49"/>
  <c r="V166" i="49"/>
  <c r="U166" i="49"/>
  <c r="T166" i="49"/>
  <c r="W165" i="49"/>
  <c r="V165" i="49"/>
  <c r="U165" i="49"/>
  <c r="T165" i="49"/>
  <c r="W164" i="49"/>
  <c r="V164" i="49"/>
  <c r="U164" i="49"/>
  <c r="T164" i="49"/>
  <c r="W163" i="49"/>
  <c r="V163" i="49"/>
  <c r="U163" i="49"/>
  <c r="T163" i="49"/>
  <c r="W162" i="49"/>
  <c r="V162" i="49"/>
  <c r="U162" i="49"/>
  <c r="T162" i="49"/>
  <c r="W161" i="49"/>
  <c r="V161" i="49"/>
  <c r="U161" i="49"/>
  <c r="T161" i="49"/>
  <c r="W160" i="49"/>
  <c r="V160" i="49"/>
  <c r="U160" i="49"/>
  <c r="T160" i="49"/>
  <c r="W159" i="49"/>
  <c r="V159" i="49"/>
  <c r="U159" i="49"/>
  <c r="T159" i="49"/>
  <c r="W158" i="49"/>
  <c r="V158" i="49"/>
  <c r="U158" i="49"/>
  <c r="T158" i="49"/>
  <c r="W157" i="49"/>
  <c r="V157" i="49"/>
  <c r="U157" i="49"/>
  <c r="T157" i="49"/>
  <c r="W156" i="49"/>
  <c r="V156" i="49"/>
  <c r="U156" i="49"/>
  <c r="T156" i="49"/>
  <c r="W155" i="49"/>
  <c r="V155" i="49"/>
  <c r="U155" i="49"/>
  <c r="T155" i="49"/>
  <c r="W154" i="49"/>
  <c r="V154" i="49"/>
  <c r="U154" i="49"/>
  <c r="T154" i="49"/>
  <c r="W153" i="49"/>
  <c r="V153" i="49"/>
  <c r="U153" i="49"/>
  <c r="T153" i="49"/>
  <c r="W152" i="49"/>
  <c r="V152" i="49"/>
  <c r="U152" i="49"/>
  <c r="T152" i="49"/>
  <c r="W151" i="49"/>
  <c r="V151" i="49"/>
  <c r="U151" i="49"/>
  <c r="T151" i="49"/>
  <c r="W150" i="49"/>
  <c r="V150" i="49"/>
  <c r="U150" i="49"/>
  <c r="T150" i="49"/>
  <c r="W149" i="49"/>
  <c r="V149" i="49"/>
  <c r="U149" i="49"/>
  <c r="T149" i="49"/>
  <c r="W148" i="49"/>
  <c r="V148" i="49"/>
  <c r="U148" i="49"/>
  <c r="T148" i="49"/>
  <c r="W147" i="49"/>
  <c r="V147" i="49"/>
  <c r="U147" i="49"/>
  <c r="T147" i="49"/>
  <c r="W146" i="49"/>
  <c r="V146" i="49"/>
  <c r="U146" i="49"/>
  <c r="T146" i="49"/>
  <c r="W145" i="49"/>
  <c r="V145" i="49"/>
  <c r="U145" i="49"/>
  <c r="T145" i="49"/>
  <c r="W144" i="49"/>
  <c r="V144" i="49"/>
  <c r="U144" i="49"/>
  <c r="T144" i="49"/>
  <c r="W143" i="49"/>
  <c r="V143" i="49"/>
  <c r="U143" i="49"/>
  <c r="T143" i="49"/>
  <c r="W142" i="49"/>
  <c r="V142" i="49"/>
  <c r="U142" i="49"/>
  <c r="T142" i="49"/>
  <c r="W141" i="49"/>
  <c r="V141" i="49"/>
  <c r="U141" i="49"/>
  <c r="T141" i="49"/>
  <c r="W140" i="49"/>
  <c r="V140" i="49"/>
  <c r="U140" i="49"/>
  <c r="T140" i="49"/>
  <c r="W139" i="49"/>
  <c r="V139" i="49"/>
  <c r="U139" i="49"/>
  <c r="T139" i="49"/>
  <c r="W138" i="49"/>
  <c r="V138" i="49"/>
  <c r="U138" i="49"/>
  <c r="T138" i="49"/>
  <c r="W137" i="49"/>
  <c r="V137" i="49"/>
  <c r="U137" i="49"/>
  <c r="T137" i="49"/>
  <c r="W136" i="49"/>
  <c r="V136" i="49"/>
  <c r="U136" i="49"/>
  <c r="T136" i="49"/>
  <c r="W135" i="49"/>
  <c r="V135" i="49"/>
  <c r="U135" i="49"/>
  <c r="T135" i="49"/>
  <c r="W134" i="49"/>
  <c r="V134" i="49"/>
  <c r="U134" i="49"/>
  <c r="T134" i="49"/>
  <c r="W133" i="49"/>
  <c r="V133" i="49"/>
  <c r="U133" i="49"/>
  <c r="T133" i="49"/>
  <c r="U132" i="49"/>
  <c r="U131" i="49"/>
  <c r="U130" i="49"/>
  <c r="U129" i="49"/>
  <c r="U128" i="49"/>
  <c r="U127" i="49"/>
  <c r="U126" i="49"/>
  <c r="U125" i="49"/>
  <c r="U124" i="49"/>
  <c r="W123" i="49"/>
  <c r="V123" i="49"/>
  <c r="U123" i="49"/>
  <c r="T123" i="49"/>
  <c r="W122" i="49"/>
  <c r="V122" i="49"/>
  <c r="U122" i="49"/>
  <c r="T122" i="49"/>
  <c r="W112" i="49"/>
  <c r="V112" i="49"/>
  <c r="U112" i="49"/>
  <c r="T112" i="49"/>
  <c r="W111" i="49"/>
  <c r="V111" i="49"/>
  <c r="U111" i="49"/>
  <c r="T111" i="49"/>
  <c r="W101" i="49"/>
  <c r="V101" i="49"/>
  <c r="U101" i="49"/>
  <c r="T101" i="49"/>
  <c r="W100" i="49"/>
  <c r="V100" i="49"/>
  <c r="U100" i="49"/>
  <c r="T100" i="49"/>
  <c r="W90" i="49"/>
  <c r="V90" i="49"/>
  <c r="U90" i="49"/>
  <c r="T90" i="49"/>
  <c r="W89" i="49"/>
  <c r="V89" i="49"/>
  <c r="U89" i="49"/>
  <c r="T89" i="49"/>
  <c r="W79" i="49"/>
  <c r="V79" i="49"/>
  <c r="U79" i="49"/>
  <c r="T79" i="49"/>
  <c r="W78" i="49"/>
  <c r="V78" i="49"/>
  <c r="U78" i="49"/>
  <c r="T78" i="49"/>
  <c r="W68" i="49"/>
  <c r="V68" i="49"/>
  <c r="U68" i="49"/>
  <c r="T68" i="49"/>
  <c r="W67" i="49"/>
  <c r="V67" i="49"/>
  <c r="U67" i="49"/>
  <c r="T67" i="49"/>
  <c r="W57" i="49"/>
  <c r="V57" i="49"/>
  <c r="U57" i="49"/>
  <c r="T57" i="49"/>
  <c r="W56" i="49"/>
  <c r="V56" i="49"/>
  <c r="U56" i="49"/>
  <c r="T56" i="49"/>
  <c r="W46" i="49"/>
  <c r="V46" i="49"/>
  <c r="U46" i="49"/>
  <c r="T46" i="49"/>
  <c r="W45" i="49"/>
  <c r="V45" i="49"/>
  <c r="U45" i="49"/>
  <c r="T45" i="49"/>
  <c r="W35" i="49"/>
  <c r="V35" i="49"/>
  <c r="U35" i="49"/>
  <c r="T35" i="49"/>
  <c r="W34" i="49"/>
  <c r="V34" i="49"/>
  <c r="U34" i="49"/>
  <c r="T34" i="49"/>
  <c r="W24" i="49"/>
  <c r="V24" i="49"/>
  <c r="U24" i="49"/>
  <c r="T24" i="49"/>
  <c r="W23" i="49"/>
  <c r="V23" i="49"/>
  <c r="U23" i="49"/>
  <c r="T23" i="49"/>
  <c r="W13" i="49"/>
  <c r="V13" i="49"/>
  <c r="U13" i="49"/>
  <c r="T13" i="49"/>
  <c r="W12" i="49"/>
  <c r="V12" i="49"/>
  <c r="U12" i="49"/>
  <c r="T12" i="49"/>
  <c r="U352" i="48"/>
  <c r="U351" i="48"/>
  <c r="U350" i="48"/>
  <c r="U349" i="48"/>
  <c r="U348" i="48"/>
  <c r="U347" i="48"/>
  <c r="U346" i="48"/>
  <c r="U345" i="48"/>
  <c r="U344" i="48"/>
  <c r="U343" i="48"/>
  <c r="V342" i="48"/>
  <c r="U342" i="48"/>
  <c r="T342" i="48"/>
  <c r="U341" i="48"/>
  <c r="U340" i="48"/>
  <c r="U339" i="48"/>
  <c r="U338" i="48"/>
  <c r="U337" i="48"/>
  <c r="U336" i="48"/>
  <c r="U335" i="48"/>
  <c r="U334" i="48"/>
  <c r="U333" i="48"/>
  <c r="U332" i="48"/>
  <c r="T332" i="48"/>
  <c r="U331" i="48"/>
  <c r="T331" i="48"/>
  <c r="U330" i="48"/>
  <c r="U329" i="48"/>
  <c r="U328" i="48"/>
  <c r="U327" i="48"/>
  <c r="U326" i="48"/>
  <c r="U325" i="48"/>
  <c r="U324" i="48"/>
  <c r="U323" i="48"/>
  <c r="U322" i="48"/>
  <c r="U321" i="48"/>
  <c r="V320" i="48"/>
  <c r="U320" i="48"/>
  <c r="T320" i="48"/>
  <c r="U319" i="48"/>
  <c r="U318" i="48"/>
  <c r="U317" i="48"/>
  <c r="U316" i="48"/>
  <c r="U315" i="48"/>
  <c r="U314" i="48"/>
  <c r="U313" i="48"/>
  <c r="U312" i="48"/>
  <c r="U311" i="48"/>
  <c r="U310" i="48"/>
  <c r="V309" i="48"/>
  <c r="U309" i="48"/>
  <c r="T309" i="48"/>
  <c r="U308" i="48"/>
  <c r="U307" i="48"/>
  <c r="U306" i="48"/>
  <c r="U305" i="48"/>
  <c r="U304" i="48"/>
  <c r="U303" i="48"/>
  <c r="U302" i="48"/>
  <c r="U301" i="48"/>
  <c r="U300" i="48"/>
  <c r="V299" i="48"/>
  <c r="U299" i="48"/>
  <c r="T299" i="48"/>
  <c r="U298" i="48"/>
  <c r="T298" i="48"/>
  <c r="U297" i="48"/>
  <c r="U296" i="48"/>
  <c r="U295" i="48"/>
  <c r="U294" i="48"/>
  <c r="U293" i="48"/>
  <c r="U292" i="48"/>
  <c r="U291" i="48"/>
  <c r="U290" i="48"/>
  <c r="U289" i="48"/>
  <c r="U288" i="48"/>
  <c r="V287" i="48"/>
  <c r="U287" i="48"/>
  <c r="T287" i="48"/>
  <c r="U286" i="48"/>
  <c r="U285" i="48"/>
  <c r="U284" i="48"/>
  <c r="U283" i="48"/>
  <c r="U282" i="48"/>
  <c r="U281" i="48"/>
  <c r="U280" i="48"/>
  <c r="U279" i="48"/>
  <c r="U278" i="48"/>
  <c r="U277" i="48"/>
  <c r="V276" i="48"/>
  <c r="U276" i="48"/>
  <c r="U275" i="48"/>
  <c r="U274" i="48"/>
  <c r="U273" i="48"/>
  <c r="U272" i="48"/>
  <c r="U271" i="48"/>
  <c r="U270" i="48"/>
  <c r="U269" i="48"/>
  <c r="U268" i="48"/>
  <c r="U267" i="48"/>
  <c r="V266" i="48"/>
  <c r="U266" i="48"/>
  <c r="V265" i="48"/>
  <c r="U265" i="48"/>
  <c r="T265" i="48"/>
  <c r="U264" i="48"/>
  <c r="U263" i="48"/>
  <c r="U262" i="48"/>
  <c r="U261" i="48"/>
  <c r="U260" i="48"/>
  <c r="U259" i="48"/>
  <c r="U258" i="48"/>
  <c r="U257" i="48"/>
  <c r="U256" i="48"/>
  <c r="U255" i="48"/>
  <c r="U254" i="48"/>
  <c r="T254" i="48"/>
  <c r="U253" i="48"/>
  <c r="U252" i="48"/>
  <c r="U251" i="48"/>
  <c r="U250" i="48"/>
  <c r="U249" i="48"/>
  <c r="U248" i="48"/>
  <c r="U247" i="48"/>
  <c r="U246" i="48"/>
  <c r="U245" i="48"/>
  <c r="U244" i="48"/>
  <c r="V243" i="48"/>
  <c r="U243" i="48"/>
  <c r="T243" i="48"/>
  <c r="U242" i="48"/>
  <c r="U241" i="48"/>
  <c r="U240" i="48"/>
  <c r="U239" i="48"/>
  <c r="U238" i="48"/>
  <c r="U237" i="48"/>
  <c r="U236" i="48"/>
  <c r="U235" i="48"/>
  <c r="U234" i="48"/>
  <c r="V233" i="48"/>
  <c r="U233" i="48"/>
  <c r="V232" i="48"/>
  <c r="U232" i="48"/>
  <c r="U231" i="48"/>
  <c r="U230" i="48"/>
  <c r="U229" i="48"/>
  <c r="U228" i="48"/>
  <c r="U227" i="48"/>
  <c r="U226" i="48"/>
  <c r="U225" i="48"/>
  <c r="U224" i="48"/>
  <c r="U223" i="48"/>
  <c r="U222" i="48"/>
  <c r="V221" i="48"/>
  <c r="U221" i="48"/>
  <c r="T221" i="48"/>
  <c r="U220" i="48"/>
  <c r="U219" i="48"/>
  <c r="U218" i="48"/>
  <c r="U217" i="48"/>
  <c r="U216" i="48"/>
  <c r="U215" i="48"/>
  <c r="U214" i="48"/>
  <c r="U213" i="48"/>
  <c r="U212" i="48"/>
  <c r="U211" i="48"/>
  <c r="U210" i="48"/>
  <c r="U209" i="48"/>
  <c r="U208" i="48"/>
  <c r="U207" i="48"/>
  <c r="U206" i="48"/>
  <c r="U205" i="48"/>
  <c r="U204" i="48"/>
  <c r="U203" i="48"/>
  <c r="U202" i="48"/>
  <c r="U201" i="48"/>
  <c r="U200" i="48"/>
  <c r="T200" i="48"/>
  <c r="V199" i="48"/>
  <c r="U199" i="48"/>
  <c r="T199" i="48"/>
  <c r="U198" i="48"/>
  <c r="U197" i="48"/>
  <c r="U196" i="48"/>
  <c r="U195" i="48"/>
  <c r="U194" i="48"/>
  <c r="U193" i="48"/>
  <c r="U192" i="48"/>
  <c r="U191" i="48"/>
  <c r="V190" i="48"/>
  <c r="U190" i="48"/>
  <c r="T190" i="48"/>
  <c r="V189" i="48"/>
  <c r="U189" i="48"/>
  <c r="T189" i="48"/>
  <c r="V188" i="48"/>
  <c r="U188" i="48"/>
  <c r="T188" i="48"/>
  <c r="U187" i="48"/>
  <c r="U186" i="48"/>
  <c r="U185" i="48"/>
  <c r="U184" i="48"/>
  <c r="U183" i="48"/>
  <c r="U182" i="48"/>
  <c r="U181" i="48"/>
  <c r="U180" i="48"/>
  <c r="U179" i="48"/>
  <c r="U178" i="48"/>
  <c r="T178" i="48"/>
  <c r="U177" i="48"/>
  <c r="T177" i="48"/>
  <c r="U176" i="48"/>
  <c r="U175" i="48"/>
  <c r="U174" i="48"/>
  <c r="U173" i="48"/>
  <c r="U172" i="48"/>
  <c r="U171" i="48"/>
  <c r="U170" i="48"/>
  <c r="U169" i="48"/>
  <c r="U168" i="48"/>
  <c r="V167" i="48"/>
  <c r="U167" i="48"/>
  <c r="T167" i="48"/>
  <c r="V166" i="48"/>
  <c r="U166" i="48"/>
  <c r="T166" i="48"/>
  <c r="W156" i="48"/>
  <c r="V156" i="48"/>
  <c r="U156" i="48"/>
  <c r="T156" i="48"/>
  <c r="W155" i="48"/>
  <c r="V155" i="48"/>
  <c r="U155" i="48"/>
  <c r="T155" i="48"/>
  <c r="W145" i="48"/>
  <c r="V145" i="48"/>
  <c r="U145" i="48"/>
  <c r="T145" i="48"/>
  <c r="W144" i="48"/>
  <c r="V144" i="48"/>
  <c r="U144" i="48"/>
  <c r="T144" i="48"/>
  <c r="W134" i="48"/>
  <c r="V134" i="48"/>
  <c r="U134" i="48"/>
  <c r="T134" i="48"/>
  <c r="W133" i="48"/>
  <c r="V133" i="48"/>
  <c r="U133" i="48"/>
  <c r="T133" i="48"/>
  <c r="W123" i="48"/>
  <c r="V123" i="48"/>
  <c r="U123" i="48"/>
  <c r="T123" i="48"/>
  <c r="W122" i="48"/>
  <c r="V122" i="48"/>
  <c r="U122" i="48"/>
  <c r="T122" i="48"/>
  <c r="W112" i="48"/>
  <c r="V112" i="48"/>
  <c r="U112" i="48"/>
  <c r="T112" i="48"/>
  <c r="W111" i="48"/>
  <c r="V111" i="48"/>
  <c r="U111" i="48"/>
  <c r="T111" i="48"/>
  <c r="W101" i="48"/>
  <c r="V101" i="48"/>
  <c r="U101" i="48"/>
  <c r="T101" i="48"/>
  <c r="W100" i="48"/>
  <c r="V100" i="48"/>
  <c r="U100" i="48"/>
  <c r="T100" i="48"/>
  <c r="W90" i="48"/>
  <c r="V90" i="48"/>
  <c r="U90" i="48"/>
  <c r="T90" i="48"/>
  <c r="W89" i="48"/>
  <c r="V89" i="48"/>
  <c r="U89" i="48"/>
  <c r="T89" i="48"/>
  <c r="W79" i="48"/>
  <c r="V79" i="48"/>
  <c r="U79" i="48"/>
  <c r="T79" i="48"/>
  <c r="W78" i="48"/>
  <c r="V78" i="48"/>
  <c r="U78" i="48"/>
  <c r="T78" i="48"/>
  <c r="W68" i="48"/>
  <c r="V68" i="48"/>
  <c r="U68" i="48"/>
  <c r="T68" i="48"/>
  <c r="W67" i="48"/>
  <c r="V67" i="48"/>
  <c r="U67" i="48"/>
  <c r="T67" i="48"/>
  <c r="W57" i="48"/>
  <c r="V57" i="48"/>
  <c r="U57" i="48"/>
  <c r="T57" i="48"/>
  <c r="W56" i="48"/>
  <c r="V56" i="48"/>
  <c r="U56" i="48"/>
  <c r="T56" i="48"/>
  <c r="W46" i="48"/>
  <c r="V46" i="48"/>
  <c r="U46" i="48"/>
  <c r="T46" i="48"/>
  <c r="W45" i="48"/>
  <c r="V45" i="48"/>
  <c r="U45" i="48"/>
  <c r="T45" i="48"/>
  <c r="W35" i="48"/>
  <c r="V35" i="48"/>
  <c r="U35" i="48"/>
  <c r="T35" i="48"/>
  <c r="W34" i="48"/>
  <c r="V34" i="48"/>
  <c r="U34" i="48"/>
  <c r="T34" i="48"/>
  <c r="W24" i="48"/>
  <c r="V24" i="48"/>
  <c r="U24" i="48"/>
  <c r="T24" i="48"/>
  <c r="W23" i="48"/>
  <c r="V23" i="48"/>
  <c r="U23" i="48"/>
  <c r="T23" i="48"/>
  <c r="W13" i="48"/>
  <c r="V13" i="48"/>
  <c r="U13" i="48"/>
  <c r="T13" i="48"/>
  <c r="W12" i="48"/>
  <c r="V12" i="48"/>
  <c r="U12" i="48"/>
  <c r="T12" i="48"/>
  <c r="V315" i="50"/>
  <c r="V323" i="50"/>
  <c r="V339" i="50"/>
  <c r="V347" i="50"/>
  <c r="V276" i="50"/>
  <c r="V326" i="50"/>
  <c r="U12" i="40"/>
  <c r="U13" i="40"/>
  <c r="U23" i="40"/>
  <c r="U24" i="40"/>
  <c r="U34" i="40"/>
  <c r="U35" i="40"/>
  <c r="U45" i="40"/>
  <c r="U46" i="40"/>
  <c r="U56" i="40"/>
  <c r="U57" i="40"/>
  <c r="U67" i="40"/>
  <c r="U68" i="40"/>
  <c r="U78" i="40"/>
  <c r="U79" i="40"/>
  <c r="U89" i="40"/>
  <c r="U90" i="40"/>
  <c r="U100" i="40"/>
  <c r="U101" i="40"/>
  <c r="U111" i="40"/>
  <c r="U112" i="40"/>
  <c r="U122" i="40"/>
  <c r="U123" i="40"/>
  <c r="U133" i="40"/>
  <c r="U134" i="40"/>
  <c r="U144" i="40"/>
  <c r="U145" i="40"/>
  <c r="U155" i="40"/>
  <c r="U156" i="40"/>
  <c r="U166" i="40"/>
  <c r="U167" i="40"/>
  <c r="U168" i="40"/>
  <c r="U169" i="40"/>
  <c r="U170" i="40"/>
  <c r="U171" i="40"/>
  <c r="U172" i="40"/>
  <c r="U173" i="40"/>
  <c r="U174" i="40"/>
  <c r="U175" i="40"/>
  <c r="U176" i="40"/>
  <c r="U177" i="40"/>
  <c r="U178" i="40"/>
  <c r="U179" i="40"/>
  <c r="U180" i="40"/>
  <c r="U181" i="40"/>
  <c r="U182" i="40"/>
  <c r="U183" i="40"/>
  <c r="U184" i="40"/>
  <c r="U185" i="40"/>
  <c r="U186" i="40"/>
  <c r="U187" i="40"/>
  <c r="U188" i="40"/>
  <c r="U189" i="40"/>
  <c r="U190" i="40"/>
  <c r="U191" i="40"/>
  <c r="U192" i="40"/>
  <c r="U193" i="40"/>
  <c r="U194" i="40"/>
  <c r="U195" i="40"/>
  <c r="U196" i="40"/>
  <c r="U197" i="40"/>
  <c r="U198" i="40"/>
  <c r="U199" i="40"/>
  <c r="U200" i="40"/>
  <c r="U201" i="40"/>
  <c r="U202" i="40"/>
  <c r="U203" i="40"/>
  <c r="U204" i="40"/>
  <c r="U205" i="40"/>
  <c r="U206" i="40"/>
  <c r="U207" i="40"/>
  <c r="U208" i="40"/>
  <c r="U209" i="40"/>
  <c r="U210" i="40"/>
  <c r="U211" i="40"/>
  <c r="U212" i="40"/>
  <c r="U213" i="40"/>
  <c r="U214" i="40"/>
  <c r="U215" i="40"/>
  <c r="U216" i="40"/>
  <c r="U217" i="40"/>
  <c r="U218" i="40"/>
  <c r="U219" i="40"/>
  <c r="U220" i="40"/>
  <c r="U221" i="40"/>
  <c r="U222" i="40"/>
  <c r="U223" i="40"/>
  <c r="U224" i="40"/>
  <c r="U225" i="40"/>
  <c r="U226" i="40"/>
  <c r="U227" i="40"/>
  <c r="U228" i="40"/>
  <c r="U229" i="40"/>
  <c r="U230" i="40"/>
  <c r="U231" i="40"/>
  <c r="U232" i="40"/>
  <c r="U233" i="40"/>
  <c r="U234" i="40"/>
  <c r="U235" i="40"/>
  <c r="U236" i="40"/>
  <c r="U237" i="40"/>
  <c r="U238" i="40"/>
  <c r="U239" i="40"/>
  <c r="U240" i="40"/>
  <c r="U241" i="40"/>
  <c r="U242" i="40"/>
  <c r="U243" i="40"/>
  <c r="U244" i="40"/>
  <c r="U245" i="40"/>
  <c r="U246" i="40"/>
  <c r="U247" i="40"/>
  <c r="U248" i="40"/>
  <c r="U249" i="40"/>
  <c r="U250" i="40"/>
  <c r="U251" i="40"/>
  <c r="U252" i="40"/>
  <c r="U253" i="40"/>
  <c r="U254" i="40"/>
  <c r="U255" i="40"/>
  <c r="U256" i="40"/>
  <c r="U257" i="40"/>
  <c r="U258" i="40"/>
  <c r="U259" i="40"/>
  <c r="U260" i="40"/>
  <c r="U261" i="40"/>
  <c r="U262" i="40"/>
  <c r="U263" i="40"/>
  <c r="U264" i="40"/>
  <c r="U265" i="40"/>
  <c r="U266" i="40"/>
  <c r="U267" i="40"/>
  <c r="U268" i="40"/>
  <c r="U269" i="40"/>
  <c r="U270" i="40"/>
  <c r="U271" i="40"/>
  <c r="U272" i="40"/>
  <c r="U273" i="40"/>
  <c r="U274" i="40"/>
  <c r="U275" i="40"/>
  <c r="U276" i="40"/>
  <c r="U277" i="40"/>
  <c r="U278" i="40"/>
  <c r="U279" i="40"/>
  <c r="U280" i="40"/>
  <c r="U281" i="40"/>
  <c r="U282" i="40"/>
  <c r="U283" i="40"/>
  <c r="U284" i="40"/>
  <c r="U285" i="40"/>
  <c r="U286" i="40"/>
  <c r="U287" i="40"/>
  <c r="U288" i="40"/>
  <c r="U289" i="40"/>
  <c r="U290" i="40"/>
  <c r="U291" i="40"/>
  <c r="U292" i="40"/>
  <c r="U293" i="40"/>
  <c r="U294" i="40"/>
  <c r="U295" i="40"/>
  <c r="U296" i="40"/>
  <c r="U297" i="40"/>
  <c r="U298" i="40"/>
  <c r="U299" i="40"/>
  <c r="U300" i="40"/>
  <c r="U301" i="40"/>
  <c r="U302" i="40"/>
  <c r="U303" i="40"/>
  <c r="U304" i="40"/>
  <c r="U305" i="40"/>
  <c r="U306" i="40"/>
  <c r="U307" i="40"/>
  <c r="U308" i="40"/>
  <c r="U309" i="40"/>
  <c r="U310" i="40"/>
  <c r="U311" i="40"/>
  <c r="U312" i="40"/>
  <c r="U313" i="40"/>
  <c r="U314" i="40"/>
  <c r="U315" i="40"/>
  <c r="U316" i="40"/>
  <c r="U317" i="40"/>
  <c r="U318" i="40"/>
  <c r="U319" i="40"/>
  <c r="U320" i="40"/>
  <c r="U321" i="40"/>
  <c r="U322" i="40"/>
  <c r="U323" i="40"/>
  <c r="U324" i="40"/>
  <c r="U325" i="40"/>
  <c r="U326" i="40"/>
  <c r="U327" i="40"/>
  <c r="U328" i="40"/>
  <c r="U329" i="40"/>
  <c r="U330" i="40"/>
  <c r="U331" i="40"/>
  <c r="U332" i="40"/>
  <c r="U333" i="40"/>
  <c r="U334" i="40"/>
  <c r="U335" i="40"/>
  <c r="U336" i="40"/>
  <c r="U337" i="40"/>
  <c r="U338" i="40"/>
  <c r="U339" i="40"/>
  <c r="U340" i="40"/>
  <c r="U341" i="40"/>
  <c r="U342" i="40"/>
  <c r="U343" i="40"/>
  <c r="U344" i="40"/>
  <c r="U345" i="40"/>
  <c r="U346" i="40"/>
  <c r="U347" i="40"/>
  <c r="U348" i="40"/>
  <c r="U349" i="40"/>
  <c r="U350" i="40"/>
  <c r="U351" i="40"/>
  <c r="U352" i="40"/>
  <c r="T12" i="40"/>
  <c r="T13" i="40"/>
  <c r="T23" i="40"/>
  <c r="T24" i="40"/>
  <c r="T34" i="40"/>
  <c r="T35" i="40"/>
  <c r="T45" i="40"/>
  <c r="T46" i="40"/>
  <c r="T56" i="40"/>
  <c r="T57" i="40"/>
  <c r="T67" i="40"/>
  <c r="T68" i="40"/>
  <c r="T78" i="40"/>
  <c r="T79" i="40"/>
  <c r="T89" i="40"/>
  <c r="T90" i="40"/>
  <c r="T100" i="40"/>
  <c r="T101" i="40"/>
  <c r="T111" i="40"/>
  <c r="T112" i="40"/>
  <c r="T122" i="40"/>
  <c r="T123" i="40"/>
  <c r="T133" i="40"/>
  <c r="T134" i="40"/>
  <c r="T144" i="40"/>
  <c r="T145" i="40"/>
  <c r="T155" i="40"/>
  <c r="T156" i="40"/>
  <c r="T166" i="40"/>
  <c r="T167" i="40"/>
  <c r="T177" i="40"/>
  <c r="T178" i="40"/>
  <c r="T188" i="40"/>
  <c r="T189" i="40"/>
  <c r="T190" i="40"/>
  <c r="V166" i="40"/>
  <c r="V167" i="40"/>
  <c r="V188" i="40"/>
  <c r="V189" i="40"/>
  <c r="V190" i="40"/>
  <c r="V12" i="40"/>
  <c r="V13" i="40"/>
  <c r="V23" i="40"/>
  <c r="V24" i="40"/>
  <c r="V34" i="40"/>
  <c r="V35" i="40"/>
  <c r="V45" i="40"/>
  <c r="V46" i="40"/>
  <c r="V56" i="40"/>
  <c r="V57" i="40"/>
  <c r="V67" i="40"/>
  <c r="V68" i="40"/>
  <c r="V78" i="40"/>
  <c r="V79" i="40"/>
  <c r="V89" i="40"/>
  <c r="V90" i="40"/>
  <c r="V100" i="40"/>
  <c r="V101" i="40"/>
  <c r="V111" i="40"/>
  <c r="V112" i="40"/>
  <c r="V122" i="40"/>
  <c r="V123" i="40"/>
  <c r="V133" i="40"/>
  <c r="V134" i="40"/>
  <c r="V144" i="40"/>
  <c r="V145" i="40"/>
  <c r="V155" i="40"/>
  <c r="V156" i="40"/>
  <c r="D321" i="40"/>
  <c r="T321" i="40" s="1"/>
  <c r="E321" i="40"/>
  <c r="D331" i="40"/>
  <c r="V331" i="40" s="1"/>
  <c r="E331" i="40"/>
  <c r="D332" i="40"/>
  <c r="T332" i="40" s="1"/>
  <c r="E332" i="40"/>
  <c r="D342" i="40"/>
  <c r="V342" i="40" s="1"/>
  <c r="E342" i="40"/>
  <c r="D343" i="40"/>
  <c r="T343" i="40" s="1"/>
  <c r="E343" i="40"/>
  <c r="D309" i="40"/>
  <c r="T309" i="40" s="1"/>
  <c r="E309" i="40"/>
  <c r="D310" i="40"/>
  <c r="V310" i="40" s="1"/>
  <c r="E310" i="40"/>
  <c r="D320" i="40"/>
  <c r="V320" i="40" s="1"/>
  <c r="E320" i="40"/>
  <c r="D199" i="40"/>
  <c r="T199" i="40" s="1"/>
  <c r="E199" i="40"/>
  <c r="D200" i="40"/>
  <c r="E200" i="40"/>
  <c r="D210" i="40"/>
  <c r="T210" i="40" s="1"/>
  <c r="E210" i="40"/>
  <c r="D211" i="40"/>
  <c r="V211" i="40" s="1"/>
  <c r="E211" i="40"/>
  <c r="D221" i="40"/>
  <c r="V221" i="40" s="1"/>
  <c r="E221" i="40"/>
  <c r="D222" i="40"/>
  <c r="V222" i="40" s="1"/>
  <c r="E222" i="40"/>
  <c r="D232" i="40"/>
  <c r="T232" i="40" s="1"/>
  <c r="E232" i="40"/>
  <c r="D233" i="40"/>
  <c r="V233" i="40" s="1"/>
  <c r="E233" i="40"/>
  <c r="D243" i="40"/>
  <c r="V243" i="40" s="1"/>
  <c r="E243" i="40"/>
  <c r="D244" i="40"/>
  <c r="V244" i="40" s="1"/>
  <c r="E244" i="40"/>
  <c r="D254" i="40"/>
  <c r="V254" i="40" s="1"/>
  <c r="E254" i="40"/>
  <c r="D255" i="40"/>
  <c r="T255" i="40" s="1"/>
  <c r="E255" i="40"/>
  <c r="D265" i="40"/>
  <c r="T265" i="40" s="1"/>
  <c r="E265" i="40"/>
  <c r="D266" i="40"/>
  <c r="T266" i="40" s="1"/>
  <c r="E266" i="40"/>
  <c r="D276" i="40"/>
  <c r="T276" i="40" s="1"/>
  <c r="E276" i="40"/>
  <c r="D277" i="40"/>
  <c r="T277" i="40" s="1"/>
  <c r="E277" i="40"/>
  <c r="D287" i="40"/>
  <c r="T287" i="40" s="1"/>
  <c r="E287" i="40"/>
  <c r="D288" i="40"/>
  <c r="E288" i="40"/>
  <c r="D298" i="40"/>
  <c r="T298" i="40" s="1"/>
  <c r="E298" i="40"/>
  <c r="D299" i="40"/>
  <c r="E299" i="40"/>
  <c r="T342" i="40"/>
  <c r="V309" i="40"/>
  <c r="V287" i="40"/>
  <c r="W156" i="40"/>
  <c r="W155" i="40"/>
  <c r="W145" i="40"/>
  <c r="W144" i="40"/>
  <c r="W134" i="40"/>
  <c r="W133" i="40"/>
  <c r="W123" i="40"/>
  <c r="W122" i="40"/>
  <c r="W112" i="40"/>
  <c r="W111" i="40"/>
  <c r="W101" i="40"/>
  <c r="W100" i="40"/>
  <c r="W90" i="40"/>
  <c r="W89" i="40"/>
  <c r="W79" i="40"/>
  <c r="W78" i="40"/>
  <c r="W68" i="40"/>
  <c r="W67" i="40"/>
  <c r="W57" i="40"/>
  <c r="W56" i="40"/>
  <c r="W46" i="40"/>
  <c r="W45" i="40"/>
  <c r="W35" i="40"/>
  <c r="W34" i="40"/>
  <c r="W24" i="40"/>
  <c r="W23" i="40"/>
  <c r="W13" i="40"/>
  <c r="W12" i="40"/>
  <c r="Z155" i="48"/>
  <c r="Z144" i="48"/>
  <c r="Z133" i="48"/>
  <c r="Z122" i="48"/>
  <c r="Z111" i="48"/>
  <c r="Z100" i="48"/>
  <c r="Z89" i="48"/>
  <c r="Z78" i="48"/>
  <c r="Z67" i="48"/>
  <c r="Z56" i="48"/>
  <c r="Z45" i="48"/>
  <c r="Z34" i="48"/>
  <c r="Z23" i="48"/>
  <c r="Z12" i="48"/>
  <c r="Z165" i="49"/>
  <c r="Z164" i="49"/>
  <c r="Z163" i="49"/>
  <c r="Z162" i="49"/>
  <c r="Z161" i="49"/>
  <c r="Z160" i="49"/>
  <c r="Z159" i="49"/>
  <c r="Z158" i="49"/>
  <c r="Z157" i="49"/>
  <c r="Z156" i="49"/>
  <c r="Z155" i="49"/>
  <c r="Z154" i="49"/>
  <c r="Z153" i="49"/>
  <c r="Z152" i="49"/>
  <c r="Z151" i="49"/>
  <c r="Z150" i="49"/>
  <c r="Z149" i="49"/>
  <c r="Z148" i="49"/>
  <c r="Z147" i="49"/>
  <c r="Z146" i="49"/>
  <c r="Z145" i="49"/>
  <c r="Z144" i="49"/>
  <c r="Z143" i="49"/>
  <c r="Z142" i="49"/>
  <c r="Z141" i="49"/>
  <c r="Z140" i="49"/>
  <c r="Z139" i="49"/>
  <c r="Z138" i="49"/>
  <c r="Z137" i="49"/>
  <c r="Z136" i="49"/>
  <c r="Z135" i="49"/>
  <c r="Z134" i="49"/>
  <c r="Z133" i="49"/>
  <c r="Z132" i="49"/>
  <c r="Z131" i="49"/>
  <c r="Z130" i="49"/>
  <c r="Z129" i="49"/>
  <c r="Z128" i="49"/>
  <c r="Z127" i="49"/>
  <c r="Z126" i="49"/>
  <c r="Z125" i="49"/>
  <c r="Z124" i="49"/>
  <c r="Z123" i="49"/>
  <c r="Z122" i="49"/>
  <c r="Z111" i="49"/>
  <c r="Z100" i="49"/>
  <c r="Z89" i="49"/>
  <c r="Z78" i="49"/>
  <c r="Z67" i="49"/>
  <c r="Z56" i="49"/>
  <c r="Z45" i="49"/>
  <c r="Z34" i="49"/>
  <c r="Z23" i="49"/>
  <c r="Z12" i="49"/>
  <c r="Z165" i="50"/>
  <c r="Z164" i="50"/>
  <c r="Z163" i="50"/>
  <c r="Z162" i="50"/>
  <c r="Z161" i="50"/>
  <c r="Z160" i="50"/>
  <c r="Z159" i="50"/>
  <c r="Z158" i="50"/>
  <c r="Z157" i="50"/>
  <c r="Z156" i="50"/>
  <c r="Z155" i="50"/>
  <c r="Z154" i="50"/>
  <c r="Z153" i="50"/>
  <c r="Z152" i="50"/>
  <c r="Z151" i="50"/>
  <c r="Z150" i="50"/>
  <c r="Z149" i="50"/>
  <c r="Z148" i="50"/>
  <c r="Z147" i="50"/>
  <c r="Z146" i="50"/>
  <c r="Z145" i="50"/>
  <c r="Z144" i="50"/>
  <c r="Z143" i="50"/>
  <c r="Z142" i="50"/>
  <c r="Z141" i="50"/>
  <c r="Z140" i="50"/>
  <c r="Z139" i="50"/>
  <c r="Z138" i="50"/>
  <c r="Z137" i="50"/>
  <c r="Z136" i="50"/>
  <c r="Z135" i="50"/>
  <c r="Z134" i="50"/>
  <c r="Z133" i="50"/>
  <c r="Z132" i="50"/>
  <c r="Z131" i="50"/>
  <c r="Z130" i="50"/>
  <c r="Z129" i="50"/>
  <c r="Z128" i="50"/>
  <c r="Z127" i="50"/>
  <c r="Z126" i="50"/>
  <c r="Z125" i="50"/>
  <c r="Z124" i="50"/>
  <c r="Z123" i="50"/>
  <c r="Z122" i="50"/>
  <c r="Z111" i="50"/>
  <c r="Z100" i="50"/>
  <c r="Z89" i="50"/>
  <c r="Z78" i="50"/>
  <c r="Z67" i="50"/>
  <c r="Z56" i="50"/>
  <c r="Z45" i="50"/>
  <c r="Z34" i="50"/>
  <c r="Z23" i="50"/>
  <c r="Z12" i="50"/>
  <c r="Z155" i="40"/>
  <c r="Z144" i="40"/>
  <c r="Z133" i="40"/>
  <c r="Z122" i="40"/>
  <c r="Z111" i="40"/>
  <c r="Z100" i="40"/>
  <c r="Z89" i="40"/>
  <c r="Z78" i="40"/>
  <c r="Z67" i="40"/>
  <c r="Z56" i="40"/>
  <c r="Z45" i="40"/>
  <c r="Z34" i="40"/>
  <c r="Z23" i="40"/>
  <c r="Z12" i="40"/>
  <c r="N163" i="14"/>
  <c r="N131" i="14"/>
  <c r="N99" i="14"/>
  <c r="N67" i="14"/>
  <c r="N35" i="14"/>
  <c r="N3" i="14"/>
  <c r="O483" i="6"/>
  <c r="O451" i="6"/>
  <c r="O419" i="6"/>
  <c r="O387" i="6"/>
  <c r="O355" i="6"/>
  <c r="O323" i="6"/>
  <c r="O291" i="6"/>
  <c r="O259" i="6"/>
  <c r="O227" i="6"/>
  <c r="O195" i="6"/>
  <c r="O163" i="6"/>
  <c r="O131" i="6"/>
  <c r="O99" i="6"/>
  <c r="O67" i="6"/>
  <c r="O35" i="6"/>
  <c r="O3" i="6"/>
  <c r="A18" i="44"/>
  <c r="A30" i="44" s="1"/>
  <c r="A42" i="44" s="1"/>
  <c r="A54" i="44" s="1"/>
  <c r="A66" i="44" s="1"/>
  <c r="A78" i="44" s="1"/>
  <c r="A90" i="44" s="1"/>
  <c r="A102" i="44" s="1"/>
  <c r="A114" i="44" s="1"/>
  <c r="A126" i="44" s="1"/>
  <c r="A138" i="44" s="1"/>
  <c r="A150" i="44" s="1"/>
  <c r="A162" i="44" s="1"/>
  <c r="A174" i="44" s="1"/>
  <c r="A186" i="44" s="1"/>
  <c r="A198" i="44" s="1"/>
  <c r="A210" i="44" s="1"/>
  <c r="A222" i="44" s="1"/>
  <c r="A234" i="44" s="1"/>
  <c r="A246" i="44" s="1"/>
  <c r="A258" i="44" s="1"/>
  <c r="A270" i="44" s="1"/>
  <c r="A282" i="44" s="1"/>
  <c r="A378" i="44"/>
  <c r="A390" i="44" s="1"/>
  <c r="A402" i="44" s="1"/>
  <c r="A414" i="44" s="1"/>
  <c r="A426" i="44" s="1"/>
  <c r="A438" i="44" s="1"/>
  <c r="A450" i="44" s="1"/>
  <c r="A462" i="44" s="1"/>
  <c r="A474" i="44" s="1"/>
  <c r="A486" i="44" s="1"/>
  <c r="A498" i="44" s="1"/>
  <c r="A510" i="44" s="1"/>
  <c r="A522" i="44" s="1"/>
  <c r="A534" i="44" s="1"/>
  <c r="A546" i="44" s="1"/>
  <c r="A558" i="44" s="1"/>
  <c r="A570" i="44" s="1"/>
  <c r="A582" i="44" s="1"/>
  <c r="A594" i="44" s="1"/>
  <c r="A606" i="44" s="1"/>
  <c r="A618" i="44" s="1"/>
  <c r="A626" i="44"/>
  <c r="C627" i="44" s="1"/>
  <c r="A638" i="44"/>
  <c r="C639" i="44" s="1"/>
  <c r="A650" i="44"/>
  <c r="C651" i="44" s="1"/>
  <c r="A662" i="44"/>
  <c r="C663" i="44" s="1"/>
  <c r="A674" i="44"/>
  <c r="C675" i="44" s="1"/>
  <c r="A686" i="44"/>
  <c r="C687" i="44" s="1"/>
  <c r="A696" i="44"/>
  <c r="I5" i="44"/>
  <c r="I6" i="44"/>
  <c r="I7" i="44"/>
  <c r="I8" i="44"/>
  <c r="I9" i="44"/>
  <c r="I10" i="44"/>
  <c r="I11" i="44"/>
  <c r="I12" i="44"/>
  <c r="A245" i="4"/>
  <c r="A248" i="4"/>
  <c r="A81" i="50"/>
  <c r="A81" i="49"/>
  <c r="A92" i="48"/>
  <c r="A92" i="40"/>
  <c r="E109" i="18"/>
  <c r="A111" i="18" s="1"/>
  <c r="E73" i="18"/>
  <c r="A75" i="18" s="1"/>
  <c r="B82" i="18" s="1"/>
  <c r="E37" i="18"/>
  <c r="A39" i="18" s="1"/>
  <c r="E1" i="18"/>
  <c r="A3" i="18" s="1"/>
  <c r="DK60" i="1"/>
  <c r="DJ60" i="1"/>
  <c r="DI60" i="1"/>
  <c r="DH60" i="1"/>
  <c r="DG60" i="1"/>
  <c r="DK59" i="1"/>
  <c r="DJ59" i="1"/>
  <c r="DI59" i="1"/>
  <c r="DH59" i="1"/>
  <c r="DG59" i="1"/>
  <c r="DK58" i="1"/>
  <c r="DJ58" i="1"/>
  <c r="DI58" i="1"/>
  <c r="DH58" i="1"/>
  <c r="DG58" i="1"/>
  <c r="DK57" i="1"/>
  <c r="DJ57" i="1"/>
  <c r="DI57" i="1"/>
  <c r="DH57" i="1"/>
  <c r="DG57" i="1"/>
  <c r="DK56" i="1"/>
  <c r="DJ56" i="1"/>
  <c r="DI56" i="1"/>
  <c r="DH56" i="1"/>
  <c r="DG56" i="1"/>
  <c r="DK55" i="1"/>
  <c r="DJ55" i="1"/>
  <c r="DI55" i="1"/>
  <c r="DH55" i="1"/>
  <c r="DG55" i="1"/>
  <c r="DK54" i="1"/>
  <c r="DJ54" i="1"/>
  <c r="DI54" i="1"/>
  <c r="DH54" i="1"/>
  <c r="DG54" i="1"/>
  <c r="DK53" i="1"/>
  <c r="DJ53" i="1"/>
  <c r="DI53" i="1"/>
  <c r="DH53" i="1"/>
  <c r="DG53" i="1"/>
  <c r="DK52" i="1"/>
  <c r="DJ52" i="1"/>
  <c r="DI52" i="1"/>
  <c r="DH52" i="1"/>
  <c r="DG52" i="1"/>
  <c r="DK51" i="1"/>
  <c r="DJ51" i="1"/>
  <c r="DI51" i="1"/>
  <c r="DH51" i="1"/>
  <c r="DG51" i="1"/>
  <c r="DK50" i="1"/>
  <c r="DJ50" i="1"/>
  <c r="DI50" i="1"/>
  <c r="DH50" i="1"/>
  <c r="DG50" i="1"/>
  <c r="DK49" i="1"/>
  <c r="DJ49" i="1"/>
  <c r="DI49" i="1"/>
  <c r="DH49" i="1"/>
  <c r="DG49" i="1"/>
  <c r="DK48" i="1"/>
  <c r="DJ48" i="1"/>
  <c r="DI48" i="1"/>
  <c r="DH48" i="1"/>
  <c r="DG48" i="1"/>
  <c r="DK47" i="1"/>
  <c r="DJ47" i="1"/>
  <c r="DI47" i="1"/>
  <c r="DH47" i="1"/>
  <c r="DG47" i="1"/>
  <c r="DK46" i="1"/>
  <c r="DJ46" i="1"/>
  <c r="DI46" i="1"/>
  <c r="DH46" i="1"/>
  <c r="DG46" i="1"/>
  <c r="DK45" i="1"/>
  <c r="DJ45" i="1"/>
  <c r="DI45" i="1"/>
  <c r="DH45" i="1"/>
  <c r="DG45" i="1"/>
  <c r="DK44" i="1"/>
  <c r="DJ44" i="1"/>
  <c r="DI44" i="1"/>
  <c r="DH44" i="1"/>
  <c r="DG44" i="1"/>
  <c r="DK43" i="1"/>
  <c r="DJ43" i="1"/>
  <c r="DI43" i="1"/>
  <c r="DH43" i="1"/>
  <c r="DG43" i="1"/>
  <c r="DK41" i="1"/>
  <c r="DJ41" i="1"/>
  <c r="DI41" i="1"/>
  <c r="DH41" i="1"/>
  <c r="DG41" i="1"/>
  <c r="DK40" i="1"/>
  <c r="DJ40" i="1"/>
  <c r="DI40" i="1"/>
  <c r="DH40" i="1"/>
  <c r="DG40" i="1"/>
  <c r="DK39" i="1"/>
  <c r="DJ39" i="1"/>
  <c r="DI39" i="1"/>
  <c r="DH39" i="1"/>
  <c r="DG39" i="1"/>
  <c r="DK38" i="1"/>
  <c r="DJ38" i="1"/>
  <c r="DI38" i="1"/>
  <c r="DH38" i="1"/>
  <c r="DG38" i="1"/>
  <c r="DK36" i="1"/>
  <c r="DJ36" i="1"/>
  <c r="DI36" i="1"/>
  <c r="DH36" i="1"/>
  <c r="DG36" i="1"/>
  <c r="DK35" i="1"/>
  <c r="DJ35" i="1"/>
  <c r="DI35" i="1"/>
  <c r="DH35" i="1"/>
  <c r="DG35" i="1"/>
  <c r="DK34" i="1"/>
  <c r="DJ34" i="1"/>
  <c r="DI34" i="1"/>
  <c r="DH34" i="1"/>
  <c r="DG34" i="1"/>
  <c r="DK32" i="1"/>
  <c r="DJ32" i="1"/>
  <c r="DI32" i="1"/>
  <c r="DH32" i="1"/>
  <c r="DG32" i="1"/>
  <c r="DK31" i="1"/>
  <c r="DJ31" i="1"/>
  <c r="DI31" i="1"/>
  <c r="DH31" i="1"/>
  <c r="DG31" i="1"/>
  <c r="DK30" i="1"/>
  <c r="DJ30" i="1"/>
  <c r="DI30" i="1"/>
  <c r="DH30" i="1"/>
  <c r="DG30" i="1"/>
  <c r="DK29" i="1"/>
  <c r="DJ29" i="1"/>
  <c r="DI29" i="1"/>
  <c r="DH29" i="1"/>
  <c r="DG29" i="1"/>
  <c r="DK28" i="1"/>
  <c r="DJ28" i="1"/>
  <c r="DI28" i="1"/>
  <c r="DH28" i="1"/>
  <c r="DG28" i="1"/>
  <c r="DK26" i="1"/>
  <c r="DJ26" i="1"/>
  <c r="DI26" i="1"/>
  <c r="DH26" i="1"/>
  <c r="DG26" i="1"/>
  <c r="DK25" i="1"/>
  <c r="DJ25" i="1"/>
  <c r="DI25" i="1"/>
  <c r="DH25" i="1"/>
  <c r="DG25" i="1"/>
  <c r="DK24" i="1"/>
  <c r="DJ24" i="1"/>
  <c r="DI24" i="1"/>
  <c r="DH24" i="1"/>
  <c r="DG24" i="1"/>
  <c r="DK23" i="1"/>
  <c r="DJ23" i="1"/>
  <c r="DI23" i="1"/>
  <c r="DH23" i="1"/>
  <c r="DG23" i="1"/>
  <c r="DK22" i="1"/>
  <c r="DJ22" i="1"/>
  <c r="DI22" i="1"/>
  <c r="DH22" i="1"/>
  <c r="DG22" i="1"/>
  <c r="DK21" i="1"/>
  <c r="DJ21" i="1"/>
  <c r="DI21" i="1"/>
  <c r="DH21" i="1"/>
  <c r="DG21" i="1"/>
  <c r="DK20" i="1"/>
  <c r="DJ20" i="1"/>
  <c r="DI20" i="1"/>
  <c r="DH20" i="1"/>
  <c r="DG20" i="1"/>
  <c r="DK18" i="1"/>
  <c r="DJ18" i="1"/>
  <c r="DI18" i="1"/>
  <c r="DH18" i="1"/>
  <c r="DG18" i="1"/>
  <c r="DK17" i="1"/>
  <c r="DJ17" i="1"/>
  <c r="DI17" i="1"/>
  <c r="DH17" i="1"/>
  <c r="DG17" i="1"/>
  <c r="DK16" i="1"/>
  <c r="DJ16" i="1"/>
  <c r="DI16" i="1"/>
  <c r="DH16" i="1"/>
  <c r="DG16" i="1"/>
  <c r="DK15" i="1"/>
  <c r="DJ15" i="1"/>
  <c r="DI15" i="1"/>
  <c r="DH15" i="1"/>
  <c r="DG15" i="1"/>
  <c r="DK14" i="1"/>
  <c r="DJ14" i="1"/>
  <c r="DI14" i="1"/>
  <c r="DH14" i="1"/>
  <c r="DG14" i="1"/>
  <c r="DK13" i="1"/>
  <c r="DJ13" i="1"/>
  <c r="DI13" i="1"/>
  <c r="DH13" i="1"/>
  <c r="DG13" i="1"/>
  <c r="DK12" i="1"/>
  <c r="DJ12" i="1"/>
  <c r="DI12" i="1"/>
  <c r="DH12" i="1"/>
  <c r="DG12" i="1"/>
  <c r="DK10" i="1"/>
  <c r="DJ10" i="1"/>
  <c r="DI10" i="1"/>
  <c r="DH10" i="1"/>
  <c r="DG10" i="1"/>
  <c r="DK9" i="1"/>
  <c r="DJ9" i="1"/>
  <c r="DI9" i="1"/>
  <c r="DH9" i="1"/>
  <c r="DG9" i="1"/>
  <c r="DK8" i="1"/>
  <c r="DJ8" i="1"/>
  <c r="DI8" i="1"/>
  <c r="DH8" i="1"/>
  <c r="DG8" i="1"/>
  <c r="DK6" i="1"/>
  <c r="DJ6" i="1"/>
  <c r="DI6" i="1"/>
  <c r="DH6" i="1"/>
  <c r="DG6" i="1"/>
  <c r="DK5" i="1"/>
  <c r="DJ5" i="1"/>
  <c r="DI5" i="1"/>
  <c r="DH5" i="1"/>
  <c r="DG5" i="1"/>
  <c r="DK4" i="1"/>
  <c r="DJ4" i="1"/>
  <c r="DI4" i="1"/>
  <c r="DH4" i="1"/>
  <c r="DG4" i="1"/>
  <c r="DF60" i="1"/>
  <c r="DE60" i="1"/>
  <c r="DD60" i="1"/>
  <c r="DC60" i="1"/>
  <c r="DB60" i="1"/>
  <c r="DF59" i="1"/>
  <c r="DE59" i="1"/>
  <c r="DD59" i="1"/>
  <c r="DC59" i="1"/>
  <c r="DB59" i="1"/>
  <c r="DF58" i="1"/>
  <c r="DE58" i="1"/>
  <c r="DD58" i="1"/>
  <c r="DC58" i="1"/>
  <c r="DB58" i="1"/>
  <c r="DF57" i="1"/>
  <c r="DE57" i="1"/>
  <c r="DD57" i="1"/>
  <c r="DC57" i="1"/>
  <c r="DB57" i="1"/>
  <c r="DF56" i="1"/>
  <c r="DE56" i="1"/>
  <c r="DD56" i="1"/>
  <c r="DC56" i="1"/>
  <c r="DB56" i="1"/>
  <c r="DF55" i="1"/>
  <c r="DE55" i="1"/>
  <c r="DD55" i="1"/>
  <c r="DC55" i="1"/>
  <c r="DB55" i="1"/>
  <c r="DF54" i="1"/>
  <c r="DE54" i="1"/>
  <c r="DD54" i="1"/>
  <c r="DC54" i="1"/>
  <c r="DB54" i="1"/>
  <c r="DF53" i="1"/>
  <c r="DE53" i="1"/>
  <c r="DD53" i="1"/>
  <c r="DC53" i="1"/>
  <c r="DB53" i="1"/>
  <c r="DF52" i="1"/>
  <c r="DE52" i="1"/>
  <c r="DD52" i="1"/>
  <c r="DC52" i="1"/>
  <c r="DB52" i="1"/>
  <c r="DF51" i="1"/>
  <c r="DE51" i="1"/>
  <c r="DD51" i="1"/>
  <c r="DC51" i="1"/>
  <c r="DB51" i="1"/>
  <c r="DF50" i="1"/>
  <c r="DE50" i="1"/>
  <c r="DD50" i="1"/>
  <c r="DC50" i="1"/>
  <c r="DB50" i="1"/>
  <c r="DF49" i="1"/>
  <c r="DE49" i="1"/>
  <c r="DD49" i="1"/>
  <c r="DC49" i="1"/>
  <c r="DB49" i="1"/>
  <c r="DF48" i="1"/>
  <c r="DE48" i="1"/>
  <c r="DD48" i="1"/>
  <c r="DC48" i="1"/>
  <c r="DB48" i="1"/>
  <c r="DF47" i="1"/>
  <c r="DE47" i="1"/>
  <c r="DD47" i="1"/>
  <c r="DC47" i="1"/>
  <c r="DB47" i="1"/>
  <c r="DF46" i="1"/>
  <c r="DE46" i="1"/>
  <c r="DD46" i="1"/>
  <c r="DC46" i="1"/>
  <c r="DB46" i="1"/>
  <c r="DF45" i="1"/>
  <c r="DE45" i="1"/>
  <c r="DD45" i="1"/>
  <c r="DC45" i="1"/>
  <c r="DB45" i="1"/>
  <c r="DF44" i="1"/>
  <c r="DE44" i="1"/>
  <c r="DD44" i="1"/>
  <c r="DC44" i="1"/>
  <c r="DB44" i="1"/>
  <c r="DF43" i="1"/>
  <c r="DE43" i="1"/>
  <c r="DD43" i="1"/>
  <c r="DC43" i="1"/>
  <c r="DB43" i="1"/>
  <c r="DF41" i="1"/>
  <c r="DE41" i="1"/>
  <c r="DD41" i="1"/>
  <c r="DC41" i="1"/>
  <c r="DB41" i="1"/>
  <c r="DF40" i="1"/>
  <c r="DE40" i="1"/>
  <c r="DD40" i="1"/>
  <c r="DC40" i="1"/>
  <c r="DB40" i="1"/>
  <c r="DF39" i="1"/>
  <c r="DE39" i="1"/>
  <c r="DD39" i="1"/>
  <c r="DC39" i="1"/>
  <c r="DB39" i="1"/>
  <c r="DF38" i="1"/>
  <c r="DE38" i="1"/>
  <c r="DD38" i="1"/>
  <c r="DC38" i="1"/>
  <c r="DB38" i="1"/>
  <c r="DF36" i="1"/>
  <c r="DE36" i="1"/>
  <c r="DD36" i="1"/>
  <c r="DC36" i="1"/>
  <c r="DB36" i="1"/>
  <c r="DF35" i="1"/>
  <c r="DE35" i="1"/>
  <c r="DD35" i="1"/>
  <c r="DC35" i="1"/>
  <c r="DB35" i="1"/>
  <c r="DF34" i="1"/>
  <c r="DE34" i="1"/>
  <c r="DD34" i="1"/>
  <c r="DC34" i="1"/>
  <c r="DB34" i="1"/>
  <c r="DF32" i="1"/>
  <c r="DE32" i="1"/>
  <c r="DD32" i="1"/>
  <c r="DC32" i="1"/>
  <c r="DB32" i="1"/>
  <c r="DF31" i="1"/>
  <c r="DE31" i="1"/>
  <c r="DD31" i="1"/>
  <c r="DC31" i="1"/>
  <c r="DB31" i="1"/>
  <c r="DF30" i="1"/>
  <c r="DE30" i="1"/>
  <c r="DD30" i="1"/>
  <c r="DC30" i="1"/>
  <c r="DB30" i="1"/>
  <c r="DF29" i="1"/>
  <c r="DE29" i="1"/>
  <c r="DD29" i="1"/>
  <c r="DC29" i="1"/>
  <c r="DB29" i="1"/>
  <c r="DF28" i="1"/>
  <c r="DE28" i="1"/>
  <c r="DD28" i="1"/>
  <c r="DC28" i="1"/>
  <c r="DB28" i="1"/>
  <c r="DF26" i="1"/>
  <c r="DE26" i="1"/>
  <c r="DD26" i="1"/>
  <c r="DC26" i="1"/>
  <c r="DB26" i="1"/>
  <c r="DF25" i="1"/>
  <c r="DE25" i="1"/>
  <c r="DD25" i="1"/>
  <c r="DC25" i="1"/>
  <c r="DB25" i="1"/>
  <c r="DF24" i="1"/>
  <c r="DE24" i="1"/>
  <c r="DD24" i="1"/>
  <c r="DC24" i="1"/>
  <c r="DB24" i="1"/>
  <c r="DF23" i="1"/>
  <c r="DE23" i="1"/>
  <c r="DD23" i="1"/>
  <c r="DC23" i="1"/>
  <c r="DB23" i="1"/>
  <c r="DF22" i="1"/>
  <c r="DE22" i="1"/>
  <c r="DD22" i="1"/>
  <c r="DC22" i="1"/>
  <c r="DB22" i="1"/>
  <c r="DF21" i="1"/>
  <c r="DE21" i="1"/>
  <c r="DD21" i="1"/>
  <c r="DC21" i="1"/>
  <c r="DB21" i="1"/>
  <c r="DF20" i="1"/>
  <c r="DE20" i="1"/>
  <c r="DD20" i="1"/>
  <c r="DC20" i="1"/>
  <c r="DB20" i="1"/>
  <c r="DF18" i="1"/>
  <c r="DE18" i="1"/>
  <c r="DD18" i="1"/>
  <c r="DC18" i="1"/>
  <c r="DB18" i="1"/>
  <c r="DF17" i="1"/>
  <c r="DE17" i="1"/>
  <c r="DD17" i="1"/>
  <c r="DC17" i="1"/>
  <c r="DB17" i="1"/>
  <c r="DF16" i="1"/>
  <c r="DE16" i="1"/>
  <c r="DD16" i="1"/>
  <c r="DC16" i="1"/>
  <c r="DB16" i="1"/>
  <c r="DF15" i="1"/>
  <c r="DE15" i="1"/>
  <c r="DD15" i="1"/>
  <c r="DC15" i="1"/>
  <c r="DB15" i="1"/>
  <c r="DF14" i="1"/>
  <c r="DE14" i="1"/>
  <c r="DD14" i="1"/>
  <c r="DC14" i="1"/>
  <c r="DB14" i="1"/>
  <c r="DF13" i="1"/>
  <c r="DE13" i="1"/>
  <c r="DD13" i="1"/>
  <c r="DC13" i="1"/>
  <c r="DB13" i="1"/>
  <c r="DF12" i="1"/>
  <c r="DE12" i="1"/>
  <c r="DD12" i="1"/>
  <c r="DC12" i="1"/>
  <c r="DB12" i="1"/>
  <c r="DF10" i="1"/>
  <c r="DE10" i="1"/>
  <c r="DD10" i="1"/>
  <c r="DC10" i="1"/>
  <c r="DB10" i="1"/>
  <c r="DF9" i="1"/>
  <c r="DE9" i="1"/>
  <c r="DD9" i="1"/>
  <c r="DC9" i="1"/>
  <c r="DB9" i="1"/>
  <c r="DF8" i="1"/>
  <c r="DE8" i="1"/>
  <c r="DD8" i="1"/>
  <c r="DC8" i="1"/>
  <c r="DB8" i="1"/>
  <c r="DF6" i="1"/>
  <c r="DE6" i="1"/>
  <c r="DD6" i="1"/>
  <c r="DC6" i="1"/>
  <c r="DB6" i="1"/>
  <c r="DF5" i="1"/>
  <c r="DE5" i="1"/>
  <c r="DD5" i="1"/>
  <c r="DC5" i="1"/>
  <c r="DB5" i="1"/>
  <c r="DF4" i="1"/>
  <c r="DE4" i="1"/>
  <c r="DD4" i="1"/>
  <c r="DC4" i="1"/>
  <c r="DB4" i="1"/>
  <c r="DA60" i="1"/>
  <c r="CZ60" i="1"/>
  <c r="CY60" i="1"/>
  <c r="CX60" i="1"/>
  <c r="CW60" i="1"/>
  <c r="DA59" i="1"/>
  <c r="CZ59" i="1"/>
  <c r="CY59" i="1"/>
  <c r="CX59" i="1"/>
  <c r="CW59" i="1"/>
  <c r="DA58" i="1"/>
  <c r="CZ58" i="1"/>
  <c r="CY58" i="1"/>
  <c r="CX58" i="1"/>
  <c r="CW58" i="1"/>
  <c r="DA57" i="1"/>
  <c r="CZ57" i="1"/>
  <c r="CY57" i="1"/>
  <c r="CX57" i="1"/>
  <c r="CW57" i="1"/>
  <c r="DA56" i="1"/>
  <c r="CZ56" i="1"/>
  <c r="CY56" i="1"/>
  <c r="CX56" i="1"/>
  <c r="CW56" i="1"/>
  <c r="DA55" i="1"/>
  <c r="CZ55" i="1"/>
  <c r="CY55" i="1"/>
  <c r="CX55" i="1"/>
  <c r="CW55" i="1"/>
  <c r="DA54" i="1"/>
  <c r="CZ54" i="1"/>
  <c r="CY54" i="1"/>
  <c r="CX54" i="1"/>
  <c r="CW54" i="1"/>
  <c r="DA53" i="1"/>
  <c r="CZ53" i="1"/>
  <c r="CY53" i="1"/>
  <c r="CX53" i="1"/>
  <c r="CW53" i="1"/>
  <c r="DA52" i="1"/>
  <c r="CZ52" i="1"/>
  <c r="CY52" i="1"/>
  <c r="CX52" i="1"/>
  <c r="CW52" i="1"/>
  <c r="DA51" i="1"/>
  <c r="CZ51" i="1"/>
  <c r="CY51" i="1"/>
  <c r="CX51" i="1"/>
  <c r="CW51" i="1"/>
  <c r="DA50" i="1"/>
  <c r="CZ50" i="1"/>
  <c r="CY50" i="1"/>
  <c r="CX50" i="1"/>
  <c r="CW50" i="1"/>
  <c r="DA49" i="1"/>
  <c r="CZ49" i="1"/>
  <c r="CY49" i="1"/>
  <c r="CX49" i="1"/>
  <c r="CW49" i="1"/>
  <c r="DA48" i="1"/>
  <c r="CZ48" i="1"/>
  <c r="CY48" i="1"/>
  <c r="CX48" i="1"/>
  <c r="CW48" i="1"/>
  <c r="DA47" i="1"/>
  <c r="CZ47" i="1"/>
  <c r="CY47" i="1"/>
  <c r="CX47" i="1"/>
  <c r="CW47" i="1"/>
  <c r="DA46" i="1"/>
  <c r="CZ46" i="1"/>
  <c r="CY46" i="1"/>
  <c r="CX46" i="1"/>
  <c r="CW46" i="1"/>
  <c r="DA45" i="1"/>
  <c r="CZ45" i="1"/>
  <c r="CY45" i="1"/>
  <c r="CX45" i="1"/>
  <c r="CW45" i="1"/>
  <c r="DA44" i="1"/>
  <c r="CZ44" i="1"/>
  <c r="CY44" i="1"/>
  <c r="CX44" i="1"/>
  <c r="CW44" i="1"/>
  <c r="DA43" i="1"/>
  <c r="CZ43" i="1"/>
  <c r="CY43" i="1"/>
  <c r="CX43" i="1"/>
  <c r="CW43" i="1"/>
  <c r="DA41" i="1"/>
  <c r="CZ41" i="1"/>
  <c r="CY41" i="1"/>
  <c r="CX41" i="1"/>
  <c r="CW41" i="1"/>
  <c r="DA40" i="1"/>
  <c r="CZ40" i="1"/>
  <c r="CY40" i="1"/>
  <c r="CX40" i="1"/>
  <c r="CW40" i="1"/>
  <c r="DA39" i="1"/>
  <c r="CZ39" i="1"/>
  <c r="CY39" i="1"/>
  <c r="CX39" i="1"/>
  <c r="CW39" i="1"/>
  <c r="DA38" i="1"/>
  <c r="CZ38" i="1"/>
  <c r="CY38" i="1"/>
  <c r="CX38" i="1"/>
  <c r="CW38" i="1"/>
  <c r="DA36" i="1"/>
  <c r="CZ36" i="1"/>
  <c r="CY36" i="1"/>
  <c r="CX36" i="1"/>
  <c r="CW36" i="1"/>
  <c r="DA35" i="1"/>
  <c r="CZ35" i="1"/>
  <c r="CY35" i="1"/>
  <c r="CX35" i="1"/>
  <c r="CW35" i="1"/>
  <c r="DA34" i="1"/>
  <c r="CZ34" i="1"/>
  <c r="CY34" i="1"/>
  <c r="CX34" i="1"/>
  <c r="CW34" i="1"/>
  <c r="DA32" i="1"/>
  <c r="CZ32" i="1"/>
  <c r="CY32" i="1"/>
  <c r="CX32" i="1"/>
  <c r="CW32" i="1"/>
  <c r="DA31" i="1"/>
  <c r="CZ31" i="1"/>
  <c r="CY31" i="1"/>
  <c r="CX31" i="1"/>
  <c r="CW31" i="1"/>
  <c r="DA30" i="1"/>
  <c r="CZ30" i="1"/>
  <c r="CY30" i="1"/>
  <c r="CX30" i="1"/>
  <c r="CW30" i="1"/>
  <c r="DA29" i="1"/>
  <c r="CZ29" i="1"/>
  <c r="CY29" i="1"/>
  <c r="CX29" i="1"/>
  <c r="CW29" i="1"/>
  <c r="DA28" i="1"/>
  <c r="CZ28" i="1"/>
  <c r="CY28" i="1"/>
  <c r="CX28" i="1"/>
  <c r="CW28" i="1"/>
  <c r="DA26" i="1"/>
  <c r="CZ26" i="1"/>
  <c r="CY26" i="1"/>
  <c r="CX26" i="1"/>
  <c r="CW26" i="1"/>
  <c r="DA25" i="1"/>
  <c r="CZ25" i="1"/>
  <c r="CY25" i="1"/>
  <c r="CX25" i="1"/>
  <c r="CW25" i="1"/>
  <c r="DA24" i="1"/>
  <c r="CZ24" i="1"/>
  <c r="CY24" i="1"/>
  <c r="CX24" i="1"/>
  <c r="CW24" i="1"/>
  <c r="DA23" i="1"/>
  <c r="CZ23" i="1"/>
  <c r="CY23" i="1"/>
  <c r="CX23" i="1"/>
  <c r="CW23" i="1"/>
  <c r="DA22" i="1"/>
  <c r="CZ22" i="1"/>
  <c r="CY22" i="1"/>
  <c r="CX22" i="1"/>
  <c r="CW22" i="1"/>
  <c r="DA21" i="1"/>
  <c r="CZ21" i="1"/>
  <c r="CY21" i="1"/>
  <c r="CX21" i="1"/>
  <c r="CW21" i="1"/>
  <c r="DA20" i="1"/>
  <c r="CZ20" i="1"/>
  <c r="CY20" i="1"/>
  <c r="CX20" i="1"/>
  <c r="CW20" i="1"/>
  <c r="DA18" i="1"/>
  <c r="CZ18" i="1"/>
  <c r="CY18" i="1"/>
  <c r="CX18" i="1"/>
  <c r="CW18" i="1"/>
  <c r="DA17" i="1"/>
  <c r="CZ17" i="1"/>
  <c r="CY17" i="1"/>
  <c r="CX17" i="1"/>
  <c r="CW17" i="1"/>
  <c r="DA16" i="1"/>
  <c r="CZ16" i="1"/>
  <c r="CY16" i="1"/>
  <c r="CX16" i="1"/>
  <c r="CW16" i="1"/>
  <c r="DA15" i="1"/>
  <c r="CZ15" i="1"/>
  <c r="CY15" i="1"/>
  <c r="CX15" i="1"/>
  <c r="CW15" i="1"/>
  <c r="DA14" i="1"/>
  <c r="CZ14" i="1"/>
  <c r="CY14" i="1"/>
  <c r="CX14" i="1"/>
  <c r="CW14" i="1"/>
  <c r="DA13" i="1"/>
  <c r="CZ13" i="1"/>
  <c r="CY13" i="1"/>
  <c r="CX13" i="1"/>
  <c r="CW13" i="1"/>
  <c r="DA12" i="1"/>
  <c r="CZ12" i="1"/>
  <c r="CY12" i="1"/>
  <c r="CX12" i="1"/>
  <c r="CW12" i="1"/>
  <c r="DA10" i="1"/>
  <c r="CZ10" i="1"/>
  <c r="CY10" i="1"/>
  <c r="CX10" i="1"/>
  <c r="CW10" i="1"/>
  <c r="DA9" i="1"/>
  <c r="CZ9" i="1"/>
  <c r="CY9" i="1"/>
  <c r="CX9" i="1"/>
  <c r="CW9" i="1"/>
  <c r="DA8" i="1"/>
  <c r="CZ8" i="1"/>
  <c r="CY8" i="1"/>
  <c r="CX8" i="1"/>
  <c r="CW8" i="1"/>
  <c r="DA6" i="1"/>
  <c r="CZ6" i="1"/>
  <c r="CY6" i="1"/>
  <c r="CX6" i="1"/>
  <c r="CW6" i="1"/>
  <c r="DA5" i="1"/>
  <c r="CZ5" i="1"/>
  <c r="CY5" i="1"/>
  <c r="CX5" i="1"/>
  <c r="CW5" i="1"/>
  <c r="DA4" i="1"/>
  <c r="CZ4" i="1"/>
  <c r="CY4" i="1"/>
  <c r="CX4" i="1"/>
  <c r="CW4" i="1"/>
  <c r="CV60" i="1"/>
  <c r="CU60" i="1"/>
  <c r="CT60" i="1"/>
  <c r="CS60" i="1"/>
  <c r="CR60" i="1"/>
  <c r="CV59" i="1"/>
  <c r="CU59" i="1"/>
  <c r="CT59" i="1"/>
  <c r="CS59" i="1"/>
  <c r="CR59" i="1"/>
  <c r="CV58" i="1"/>
  <c r="CU58" i="1"/>
  <c r="CT58" i="1"/>
  <c r="CS58" i="1"/>
  <c r="CR58" i="1"/>
  <c r="CV57" i="1"/>
  <c r="CU57" i="1"/>
  <c r="CT57" i="1"/>
  <c r="CS57" i="1"/>
  <c r="CR57" i="1"/>
  <c r="CV56" i="1"/>
  <c r="CU56" i="1"/>
  <c r="CT56" i="1"/>
  <c r="CS56" i="1"/>
  <c r="CR56" i="1"/>
  <c r="CV55" i="1"/>
  <c r="CU55" i="1"/>
  <c r="CT55" i="1"/>
  <c r="CS55" i="1"/>
  <c r="CR55" i="1"/>
  <c r="CV54" i="1"/>
  <c r="CU54" i="1"/>
  <c r="CT54" i="1"/>
  <c r="CS54" i="1"/>
  <c r="CR54" i="1"/>
  <c r="CV53" i="1"/>
  <c r="CU53" i="1"/>
  <c r="CT53" i="1"/>
  <c r="CS53" i="1"/>
  <c r="CR53" i="1"/>
  <c r="CV52" i="1"/>
  <c r="CU52" i="1"/>
  <c r="CT52" i="1"/>
  <c r="CS52" i="1"/>
  <c r="CR52" i="1"/>
  <c r="CV51" i="1"/>
  <c r="CU51" i="1"/>
  <c r="CT51" i="1"/>
  <c r="CS51" i="1"/>
  <c r="CR51" i="1"/>
  <c r="CV50" i="1"/>
  <c r="CU50" i="1"/>
  <c r="CT50" i="1"/>
  <c r="CS50" i="1"/>
  <c r="CR50" i="1"/>
  <c r="CV49" i="1"/>
  <c r="CU49" i="1"/>
  <c r="CT49" i="1"/>
  <c r="CS49" i="1"/>
  <c r="CR49" i="1"/>
  <c r="CV48" i="1"/>
  <c r="CU48" i="1"/>
  <c r="CT48" i="1"/>
  <c r="CS48" i="1"/>
  <c r="CR48" i="1"/>
  <c r="CV47" i="1"/>
  <c r="CU47" i="1"/>
  <c r="CT47" i="1"/>
  <c r="CS47" i="1"/>
  <c r="CR47" i="1"/>
  <c r="CV46" i="1"/>
  <c r="CU46" i="1"/>
  <c r="CT46" i="1"/>
  <c r="CS46" i="1"/>
  <c r="CR46" i="1"/>
  <c r="CV45" i="1"/>
  <c r="CU45" i="1"/>
  <c r="CT45" i="1"/>
  <c r="CS45" i="1"/>
  <c r="CR45" i="1"/>
  <c r="CV44" i="1"/>
  <c r="CU44" i="1"/>
  <c r="CT44" i="1"/>
  <c r="CS44" i="1"/>
  <c r="CR44" i="1"/>
  <c r="CV43" i="1"/>
  <c r="CU43" i="1"/>
  <c r="CT43" i="1"/>
  <c r="CS43" i="1"/>
  <c r="CR43" i="1"/>
  <c r="CV41" i="1"/>
  <c r="CU41" i="1"/>
  <c r="CT41" i="1"/>
  <c r="CS41" i="1"/>
  <c r="CR41" i="1"/>
  <c r="CV40" i="1"/>
  <c r="CU40" i="1"/>
  <c r="CT40" i="1"/>
  <c r="CS40" i="1"/>
  <c r="CR40" i="1"/>
  <c r="CV39" i="1"/>
  <c r="CU39" i="1"/>
  <c r="CT39" i="1"/>
  <c r="CS39" i="1"/>
  <c r="CR39" i="1"/>
  <c r="CV38" i="1"/>
  <c r="CU38" i="1"/>
  <c r="CT38" i="1"/>
  <c r="CS38" i="1"/>
  <c r="CR38" i="1"/>
  <c r="CV36" i="1"/>
  <c r="CU36" i="1"/>
  <c r="CT36" i="1"/>
  <c r="CS36" i="1"/>
  <c r="CR36" i="1"/>
  <c r="CV35" i="1"/>
  <c r="CU35" i="1"/>
  <c r="CT35" i="1"/>
  <c r="CS35" i="1"/>
  <c r="CR35" i="1"/>
  <c r="CV34" i="1"/>
  <c r="CU34" i="1"/>
  <c r="CT34" i="1"/>
  <c r="CS34" i="1"/>
  <c r="CR34" i="1"/>
  <c r="CV32" i="1"/>
  <c r="CU32" i="1"/>
  <c r="CT32" i="1"/>
  <c r="CS32" i="1"/>
  <c r="CR32" i="1"/>
  <c r="CV31" i="1"/>
  <c r="CU31" i="1"/>
  <c r="CT31" i="1"/>
  <c r="CS31" i="1"/>
  <c r="CR31" i="1"/>
  <c r="CV30" i="1"/>
  <c r="CU30" i="1"/>
  <c r="CT30" i="1"/>
  <c r="CS30" i="1"/>
  <c r="CR30" i="1"/>
  <c r="CV29" i="1"/>
  <c r="CU29" i="1"/>
  <c r="CT29" i="1"/>
  <c r="CS29" i="1"/>
  <c r="CR29" i="1"/>
  <c r="CV28" i="1"/>
  <c r="CU28" i="1"/>
  <c r="CT28" i="1"/>
  <c r="CS28" i="1"/>
  <c r="CR28" i="1"/>
  <c r="CV26" i="1"/>
  <c r="CU26" i="1"/>
  <c r="CT26" i="1"/>
  <c r="CS26" i="1"/>
  <c r="CR26" i="1"/>
  <c r="CV25" i="1"/>
  <c r="CU25" i="1"/>
  <c r="CT25" i="1"/>
  <c r="CS25" i="1"/>
  <c r="CR25" i="1"/>
  <c r="CV24" i="1"/>
  <c r="CU24" i="1"/>
  <c r="CT24" i="1"/>
  <c r="CS24" i="1"/>
  <c r="CR24" i="1"/>
  <c r="CV23" i="1"/>
  <c r="CU23" i="1"/>
  <c r="CT23" i="1"/>
  <c r="CS23" i="1"/>
  <c r="CR23" i="1"/>
  <c r="CV22" i="1"/>
  <c r="CU22" i="1"/>
  <c r="CT22" i="1"/>
  <c r="CS22" i="1"/>
  <c r="CR22" i="1"/>
  <c r="CV21" i="1"/>
  <c r="CU21" i="1"/>
  <c r="CT21" i="1"/>
  <c r="CS21" i="1"/>
  <c r="CR21" i="1"/>
  <c r="CV20" i="1"/>
  <c r="CU20" i="1"/>
  <c r="CT20" i="1"/>
  <c r="CS20" i="1"/>
  <c r="CR20" i="1"/>
  <c r="CV18" i="1"/>
  <c r="CU18" i="1"/>
  <c r="CT18" i="1"/>
  <c r="CS18" i="1"/>
  <c r="CR18" i="1"/>
  <c r="CV17" i="1"/>
  <c r="CU17" i="1"/>
  <c r="CT17" i="1"/>
  <c r="CS17" i="1"/>
  <c r="CR17" i="1"/>
  <c r="CV16" i="1"/>
  <c r="CU16" i="1"/>
  <c r="CT16" i="1"/>
  <c r="CS16" i="1"/>
  <c r="CR16" i="1"/>
  <c r="CV15" i="1"/>
  <c r="CU15" i="1"/>
  <c r="CT15" i="1"/>
  <c r="CS15" i="1"/>
  <c r="CR15" i="1"/>
  <c r="CV14" i="1"/>
  <c r="CU14" i="1"/>
  <c r="CT14" i="1"/>
  <c r="CS14" i="1"/>
  <c r="CR14" i="1"/>
  <c r="CV13" i="1"/>
  <c r="CU13" i="1"/>
  <c r="CT13" i="1"/>
  <c r="CS13" i="1"/>
  <c r="CR13" i="1"/>
  <c r="CV12" i="1"/>
  <c r="CU12" i="1"/>
  <c r="CT12" i="1"/>
  <c r="CS12" i="1"/>
  <c r="CR12" i="1"/>
  <c r="CV10" i="1"/>
  <c r="CU10" i="1"/>
  <c r="CT10" i="1"/>
  <c r="CS10" i="1"/>
  <c r="CR10" i="1"/>
  <c r="CV9" i="1"/>
  <c r="CU9" i="1"/>
  <c r="CT9" i="1"/>
  <c r="CS9" i="1"/>
  <c r="CR9" i="1"/>
  <c r="CV8" i="1"/>
  <c r="CU8" i="1"/>
  <c r="CT8" i="1"/>
  <c r="CS8" i="1"/>
  <c r="CR8" i="1"/>
  <c r="CV6" i="1"/>
  <c r="CU6" i="1"/>
  <c r="CT6" i="1"/>
  <c r="CS6" i="1"/>
  <c r="CR6" i="1"/>
  <c r="CV5" i="1"/>
  <c r="CU5" i="1"/>
  <c r="CT5" i="1"/>
  <c r="CS5" i="1"/>
  <c r="CR5" i="1"/>
  <c r="CV4" i="1"/>
  <c r="CU4" i="1"/>
  <c r="CT4" i="1"/>
  <c r="CS4" i="1"/>
  <c r="CR4" i="1"/>
  <c r="CP60" i="1"/>
  <c r="CO60" i="1"/>
  <c r="CN60" i="1"/>
  <c r="CM60" i="1"/>
  <c r="CL60" i="1"/>
  <c r="CK60" i="1"/>
  <c r="CP59" i="1"/>
  <c r="CO59" i="1"/>
  <c r="CN59" i="1"/>
  <c r="CM59" i="1"/>
  <c r="CL59" i="1"/>
  <c r="CK59" i="1"/>
  <c r="CP58" i="1"/>
  <c r="CO58" i="1"/>
  <c r="CN58" i="1"/>
  <c r="CM58" i="1"/>
  <c r="CL58" i="1"/>
  <c r="CK58" i="1"/>
  <c r="CP57" i="1"/>
  <c r="CO57" i="1"/>
  <c r="CN57" i="1"/>
  <c r="CM57" i="1"/>
  <c r="CL57" i="1"/>
  <c r="CK57" i="1"/>
  <c r="CP56" i="1"/>
  <c r="CO56" i="1"/>
  <c r="CN56" i="1"/>
  <c r="CM56" i="1"/>
  <c r="CL56" i="1"/>
  <c r="CK56" i="1"/>
  <c r="CP55" i="1"/>
  <c r="CO55" i="1"/>
  <c r="CN55" i="1"/>
  <c r="CM55" i="1"/>
  <c r="CL55" i="1"/>
  <c r="CK55" i="1"/>
  <c r="CP54" i="1"/>
  <c r="CO54" i="1"/>
  <c r="CN54" i="1"/>
  <c r="CM54" i="1"/>
  <c r="CL54" i="1"/>
  <c r="CK54" i="1"/>
  <c r="CP53" i="1"/>
  <c r="CO53" i="1"/>
  <c r="CN53" i="1"/>
  <c r="CM53" i="1"/>
  <c r="CL53" i="1"/>
  <c r="CK53" i="1"/>
  <c r="CP52" i="1"/>
  <c r="CO52" i="1"/>
  <c r="CN52" i="1"/>
  <c r="CM52" i="1"/>
  <c r="CL52" i="1"/>
  <c r="CK52" i="1"/>
  <c r="CP51" i="1"/>
  <c r="CO51" i="1"/>
  <c r="CN51" i="1"/>
  <c r="CM51" i="1"/>
  <c r="CL51" i="1"/>
  <c r="CK51" i="1"/>
  <c r="CP50" i="1"/>
  <c r="CO50" i="1"/>
  <c r="CN50" i="1"/>
  <c r="CM50" i="1"/>
  <c r="CL50" i="1"/>
  <c r="CK50" i="1"/>
  <c r="CP49" i="1"/>
  <c r="CO49" i="1"/>
  <c r="CN49" i="1"/>
  <c r="CM49" i="1"/>
  <c r="CL49" i="1"/>
  <c r="CK49" i="1"/>
  <c r="CP48" i="1"/>
  <c r="CO48" i="1"/>
  <c r="CN48" i="1"/>
  <c r="CM48" i="1"/>
  <c r="CL48" i="1"/>
  <c r="CK48" i="1"/>
  <c r="CP47" i="1"/>
  <c r="CO47" i="1"/>
  <c r="CN47" i="1"/>
  <c r="CM47" i="1"/>
  <c r="CL47" i="1"/>
  <c r="CK47" i="1"/>
  <c r="CP46" i="1"/>
  <c r="CO46" i="1"/>
  <c r="CN46" i="1"/>
  <c r="CM46" i="1"/>
  <c r="CL46" i="1"/>
  <c r="CK46" i="1"/>
  <c r="CP45" i="1"/>
  <c r="CO45" i="1"/>
  <c r="CN45" i="1"/>
  <c r="CM45" i="1"/>
  <c r="CL45" i="1"/>
  <c r="CK45" i="1"/>
  <c r="CP44" i="1"/>
  <c r="CO44" i="1"/>
  <c r="CN44" i="1"/>
  <c r="CM44" i="1"/>
  <c r="CL44" i="1"/>
  <c r="CK44" i="1"/>
  <c r="CP43" i="1"/>
  <c r="CO43" i="1"/>
  <c r="CN43" i="1"/>
  <c r="CM43" i="1"/>
  <c r="CL43" i="1"/>
  <c r="CK43" i="1"/>
  <c r="CP41" i="1"/>
  <c r="CO41" i="1"/>
  <c r="CN41" i="1"/>
  <c r="CM41" i="1"/>
  <c r="CL41" i="1"/>
  <c r="CK41" i="1"/>
  <c r="CP40" i="1"/>
  <c r="CO40" i="1"/>
  <c r="CN40" i="1"/>
  <c r="CM40" i="1"/>
  <c r="CL40" i="1"/>
  <c r="CK40" i="1"/>
  <c r="CP39" i="1"/>
  <c r="CO39" i="1"/>
  <c r="CN39" i="1"/>
  <c r="CM39" i="1"/>
  <c r="CL39" i="1"/>
  <c r="CK39" i="1"/>
  <c r="CP38" i="1"/>
  <c r="CO38" i="1"/>
  <c r="CN38" i="1"/>
  <c r="CM38" i="1"/>
  <c r="CL38" i="1"/>
  <c r="CK38" i="1"/>
  <c r="CP36" i="1"/>
  <c r="CO36" i="1"/>
  <c r="CN36" i="1"/>
  <c r="CM36" i="1"/>
  <c r="CL36" i="1"/>
  <c r="CK36" i="1"/>
  <c r="CP35" i="1"/>
  <c r="CO35" i="1"/>
  <c r="CN35" i="1"/>
  <c r="CM35" i="1"/>
  <c r="CL35" i="1"/>
  <c r="CK35" i="1"/>
  <c r="CP34" i="1"/>
  <c r="CO34" i="1"/>
  <c r="CN34" i="1"/>
  <c r="CM34" i="1"/>
  <c r="CL34" i="1"/>
  <c r="CK34" i="1"/>
  <c r="CP32" i="1"/>
  <c r="CO32" i="1"/>
  <c r="CN32" i="1"/>
  <c r="CM32" i="1"/>
  <c r="CL32" i="1"/>
  <c r="CK32" i="1"/>
  <c r="CP31" i="1"/>
  <c r="CO31" i="1"/>
  <c r="CN31" i="1"/>
  <c r="CM31" i="1"/>
  <c r="CL31" i="1"/>
  <c r="CK31" i="1"/>
  <c r="CP30" i="1"/>
  <c r="CO30" i="1"/>
  <c r="CN30" i="1"/>
  <c r="CM30" i="1"/>
  <c r="CL30" i="1"/>
  <c r="CK30" i="1"/>
  <c r="CP29" i="1"/>
  <c r="CO29" i="1"/>
  <c r="CN29" i="1"/>
  <c r="CM29" i="1"/>
  <c r="CL29" i="1"/>
  <c r="CK29" i="1"/>
  <c r="CP28" i="1"/>
  <c r="CO28" i="1"/>
  <c r="CN28" i="1"/>
  <c r="CM28" i="1"/>
  <c r="CL28" i="1"/>
  <c r="CK28" i="1"/>
  <c r="CP26" i="1"/>
  <c r="CO26" i="1"/>
  <c r="CN26" i="1"/>
  <c r="CM26" i="1"/>
  <c r="CL26" i="1"/>
  <c r="CK26" i="1"/>
  <c r="CP25" i="1"/>
  <c r="CO25" i="1"/>
  <c r="CN25" i="1"/>
  <c r="CM25" i="1"/>
  <c r="CL25" i="1"/>
  <c r="CK25" i="1"/>
  <c r="CP24" i="1"/>
  <c r="CO24" i="1"/>
  <c r="CN24" i="1"/>
  <c r="CM24" i="1"/>
  <c r="CL24" i="1"/>
  <c r="CK24" i="1"/>
  <c r="CP23" i="1"/>
  <c r="CO23" i="1"/>
  <c r="CN23" i="1"/>
  <c r="CM23" i="1"/>
  <c r="CL23" i="1"/>
  <c r="CK23" i="1"/>
  <c r="CP22" i="1"/>
  <c r="CO22" i="1"/>
  <c r="CN22" i="1"/>
  <c r="CM22" i="1"/>
  <c r="CL22" i="1"/>
  <c r="CK22" i="1"/>
  <c r="CP21" i="1"/>
  <c r="CO21" i="1"/>
  <c r="CN21" i="1"/>
  <c r="CM21" i="1"/>
  <c r="CL21" i="1"/>
  <c r="CK21" i="1"/>
  <c r="CP20" i="1"/>
  <c r="CO20" i="1"/>
  <c r="CN20" i="1"/>
  <c r="CM20" i="1"/>
  <c r="CL20" i="1"/>
  <c r="CK20" i="1"/>
  <c r="CP18" i="1"/>
  <c r="CO18" i="1"/>
  <c r="CN18" i="1"/>
  <c r="CM18" i="1"/>
  <c r="CL18" i="1"/>
  <c r="CK18" i="1"/>
  <c r="CP17" i="1"/>
  <c r="CO17" i="1"/>
  <c r="CN17" i="1"/>
  <c r="CM17" i="1"/>
  <c r="CL17" i="1"/>
  <c r="CK17" i="1"/>
  <c r="CP16" i="1"/>
  <c r="CO16" i="1"/>
  <c r="CN16" i="1"/>
  <c r="CM16" i="1"/>
  <c r="CL16" i="1"/>
  <c r="CK16" i="1"/>
  <c r="CP15" i="1"/>
  <c r="CO15" i="1"/>
  <c r="CN15" i="1"/>
  <c r="CM15" i="1"/>
  <c r="CL15" i="1"/>
  <c r="CK15" i="1"/>
  <c r="CP14" i="1"/>
  <c r="CO14" i="1"/>
  <c r="CN14" i="1"/>
  <c r="CM14" i="1"/>
  <c r="CL14" i="1"/>
  <c r="CK14" i="1"/>
  <c r="CP13" i="1"/>
  <c r="CO13" i="1"/>
  <c r="CN13" i="1"/>
  <c r="CM13" i="1"/>
  <c r="CL13" i="1"/>
  <c r="CK13" i="1"/>
  <c r="CP12" i="1"/>
  <c r="CO12" i="1"/>
  <c r="CN12" i="1"/>
  <c r="CM12" i="1"/>
  <c r="CL12" i="1"/>
  <c r="CK12" i="1"/>
  <c r="CP10" i="1"/>
  <c r="CO10" i="1"/>
  <c r="CN10" i="1"/>
  <c r="CM10" i="1"/>
  <c r="CL10" i="1"/>
  <c r="CK10" i="1"/>
  <c r="CP9" i="1"/>
  <c r="CO9" i="1"/>
  <c r="CN9" i="1"/>
  <c r="CM9" i="1"/>
  <c r="CL9" i="1"/>
  <c r="CK9" i="1"/>
  <c r="CP8" i="1"/>
  <c r="CO8" i="1"/>
  <c r="CN8" i="1"/>
  <c r="CM8" i="1"/>
  <c r="CL8" i="1"/>
  <c r="CK8" i="1"/>
  <c r="CP6" i="1"/>
  <c r="CO6" i="1"/>
  <c r="CN6" i="1"/>
  <c r="CM6" i="1"/>
  <c r="CL6" i="1"/>
  <c r="CK6" i="1"/>
  <c r="CP5" i="1"/>
  <c r="CO5" i="1"/>
  <c r="CN5" i="1"/>
  <c r="CM5" i="1"/>
  <c r="CL5" i="1"/>
  <c r="CK5" i="1"/>
  <c r="CP4" i="1"/>
  <c r="CO4" i="1"/>
  <c r="CN4" i="1"/>
  <c r="CM4" i="1"/>
  <c r="CL4" i="1"/>
  <c r="CK4" i="1"/>
  <c r="CJ60" i="1"/>
  <c r="CI60" i="1"/>
  <c r="CH60" i="1"/>
  <c r="CG60" i="1"/>
  <c r="CF60" i="1"/>
  <c r="CE60" i="1"/>
  <c r="CJ59" i="1"/>
  <c r="CI59" i="1"/>
  <c r="CH59" i="1"/>
  <c r="CG59" i="1"/>
  <c r="CF59" i="1"/>
  <c r="CE59" i="1"/>
  <c r="CJ58" i="1"/>
  <c r="CI58" i="1"/>
  <c r="CH58" i="1"/>
  <c r="CG58" i="1"/>
  <c r="CF58" i="1"/>
  <c r="CE58" i="1"/>
  <c r="CJ57" i="1"/>
  <c r="CI57" i="1"/>
  <c r="CH57" i="1"/>
  <c r="CG57" i="1"/>
  <c r="CF57" i="1"/>
  <c r="CE57" i="1"/>
  <c r="CJ56" i="1"/>
  <c r="CI56" i="1"/>
  <c r="CH56" i="1"/>
  <c r="CG56" i="1"/>
  <c r="CF56" i="1"/>
  <c r="CE56" i="1"/>
  <c r="CJ55" i="1"/>
  <c r="CI55" i="1"/>
  <c r="CH55" i="1"/>
  <c r="CG55" i="1"/>
  <c r="CF55" i="1"/>
  <c r="CE55" i="1"/>
  <c r="CJ54" i="1"/>
  <c r="CI54" i="1"/>
  <c r="CH54" i="1"/>
  <c r="CG54" i="1"/>
  <c r="CF54" i="1"/>
  <c r="CE54" i="1"/>
  <c r="CJ53" i="1"/>
  <c r="CI53" i="1"/>
  <c r="CH53" i="1"/>
  <c r="CG53" i="1"/>
  <c r="CF53" i="1"/>
  <c r="CE53" i="1"/>
  <c r="CJ52" i="1"/>
  <c r="CI52" i="1"/>
  <c r="CH52" i="1"/>
  <c r="CG52" i="1"/>
  <c r="CF52" i="1"/>
  <c r="CE52" i="1"/>
  <c r="CJ51" i="1"/>
  <c r="CI51" i="1"/>
  <c r="CH51" i="1"/>
  <c r="CG51" i="1"/>
  <c r="CF51" i="1"/>
  <c r="CE51" i="1"/>
  <c r="CJ50" i="1"/>
  <c r="CI50" i="1"/>
  <c r="CH50" i="1"/>
  <c r="CG50" i="1"/>
  <c r="CF50" i="1"/>
  <c r="CE50" i="1"/>
  <c r="CJ49" i="1"/>
  <c r="CI49" i="1"/>
  <c r="CH49" i="1"/>
  <c r="CG49" i="1"/>
  <c r="CF49" i="1"/>
  <c r="CE49" i="1"/>
  <c r="CJ48" i="1"/>
  <c r="CI48" i="1"/>
  <c r="CH48" i="1"/>
  <c r="CG48" i="1"/>
  <c r="CF48" i="1"/>
  <c r="CE48" i="1"/>
  <c r="CJ47" i="1"/>
  <c r="CI47" i="1"/>
  <c r="CH47" i="1"/>
  <c r="CG47" i="1"/>
  <c r="CF47" i="1"/>
  <c r="CE47" i="1"/>
  <c r="CJ46" i="1"/>
  <c r="CI46" i="1"/>
  <c r="CH46" i="1"/>
  <c r="CG46" i="1"/>
  <c r="CF46" i="1"/>
  <c r="CE46" i="1"/>
  <c r="CJ45" i="1"/>
  <c r="CI45" i="1"/>
  <c r="CH45" i="1"/>
  <c r="CG45" i="1"/>
  <c r="CF45" i="1"/>
  <c r="CE45" i="1"/>
  <c r="CJ44" i="1"/>
  <c r="CI44" i="1"/>
  <c r="CH44" i="1"/>
  <c r="CG44" i="1"/>
  <c r="CF44" i="1"/>
  <c r="CE44" i="1"/>
  <c r="CJ43" i="1"/>
  <c r="CI43" i="1"/>
  <c r="CH43" i="1"/>
  <c r="CG43" i="1"/>
  <c r="CF43" i="1"/>
  <c r="CE43" i="1"/>
  <c r="CJ41" i="1"/>
  <c r="CI41" i="1"/>
  <c r="CH41" i="1"/>
  <c r="CG41" i="1"/>
  <c r="CF41" i="1"/>
  <c r="CE41" i="1"/>
  <c r="CJ40" i="1"/>
  <c r="CI40" i="1"/>
  <c r="CH40" i="1"/>
  <c r="CG40" i="1"/>
  <c r="CF40" i="1"/>
  <c r="CE40" i="1"/>
  <c r="CJ39" i="1"/>
  <c r="CI39" i="1"/>
  <c r="CH39" i="1"/>
  <c r="CG39" i="1"/>
  <c r="CF39" i="1"/>
  <c r="CE39" i="1"/>
  <c r="CJ38" i="1"/>
  <c r="CI38" i="1"/>
  <c r="CH38" i="1"/>
  <c r="CG38" i="1"/>
  <c r="CF38" i="1"/>
  <c r="CE38" i="1"/>
  <c r="CJ36" i="1"/>
  <c r="CI36" i="1"/>
  <c r="CH36" i="1"/>
  <c r="CG36" i="1"/>
  <c r="CF36" i="1"/>
  <c r="CE36" i="1"/>
  <c r="CJ35" i="1"/>
  <c r="CI35" i="1"/>
  <c r="CH35" i="1"/>
  <c r="CG35" i="1"/>
  <c r="CF35" i="1"/>
  <c r="CE35" i="1"/>
  <c r="CJ34" i="1"/>
  <c r="CI34" i="1"/>
  <c r="CH34" i="1"/>
  <c r="CG34" i="1"/>
  <c r="CF34" i="1"/>
  <c r="CE34" i="1"/>
  <c r="CJ32" i="1"/>
  <c r="CI32" i="1"/>
  <c r="CH32" i="1"/>
  <c r="CG32" i="1"/>
  <c r="CF32" i="1"/>
  <c r="CE32" i="1"/>
  <c r="CJ31" i="1"/>
  <c r="CI31" i="1"/>
  <c r="CH31" i="1"/>
  <c r="CG31" i="1"/>
  <c r="CF31" i="1"/>
  <c r="CE31" i="1"/>
  <c r="CJ30" i="1"/>
  <c r="CI30" i="1"/>
  <c r="CH30" i="1"/>
  <c r="CG30" i="1"/>
  <c r="CF30" i="1"/>
  <c r="CE30" i="1"/>
  <c r="CJ29" i="1"/>
  <c r="CI29" i="1"/>
  <c r="CH29" i="1"/>
  <c r="CG29" i="1"/>
  <c r="CF29" i="1"/>
  <c r="CE29" i="1"/>
  <c r="CJ28" i="1"/>
  <c r="CI28" i="1"/>
  <c r="CH28" i="1"/>
  <c r="CG28" i="1"/>
  <c r="CF28" i="1"/>
  <c r="CE28" i="1"/>
  <c r="CJ26" i="1"/>
  <c r="CI26" i="1"/>
  <c r="CH26" i="1"/>
  <c r="CG26" i="1"/>
  <c r="CF26" i="1"/>
  <c r="CE26" i="1"/>
  <c r="CJ25" i="1"/>
  <c r="CI25" i="1"/>
  <c r="CH25" i="1"/>
  <c r="CG25" i="1"/>
  <c r="CF25" i="1"/>
  <c r="CE25" i="1"/>
  <c r="CJ24" i="1"/>
  <c r="CI24" i="1"/>
  <c r="CH24" i="1"/>
  <c r="CG24" i="1"/>
  <c r="CF24" i="1"/>
  <c r="CE24" i="1"/>
  <c r="CJ23" i="1"/>
  <c r="CI23" i="1"/>
  <c r="CH23" i="1"/>
  <c r="CG23" i="1"/>
  <c r="CF23" i="1"/>
  <c r="CE23" i="1"/>
  <c r="CJ22" i="1"/>
  <c r="CI22" i="1"/>
  <c r="CH22" i="1"/>
  <c r="CG22" i="1"/>
  <c r="CF22" i="1"/>
  <c r="CE22" i="1"/>
  <c r="CJ21" i="1"/>
  <c r="CI21" i="1"/>
  <c r="CH21" i="1"/>
  <c r="CG21" i="1"/>
  <c r="CF21" i="1"/>
  <c r="CE21" i="1"/>
  <c r="CJ20" i="1"/>
  <c r="CI20" i="1"/>
  <c r="CH20" i="1"/>
  <c r="CG20" i="1"/>
  <c r="CF20" i="1"/>
  <c r="CE20" i="1"/>
  <c r="CJ18" i="1"/>
  <c r="CI18" i="1"/>
  <c r="CH18" i="1"/>
  <c r="CG18" i="1"/>
  <c r="CF18" i="1"/>
  <c r="CE18" i="1"/>
  <c r="CJ17" i="1"/>
  <c r="CI17" i="1"/>
  <c r="CH17" i="1"/>
  <c r="CG17" i="1"/>
  <c r="CF17" i="1"/>
  <c r="CE17" i="1"/>
  <c r="CJ16" i="1"/>
  <c r="CI16" i="1"/>
  <c r="CH16" i="1"/>
  <c r="CG16" i="1"/>
  <c r="CF16" i="1"/>
  <c r="CE16" i="1"/>
  <c r="CJ15" i="1"/>
  <c r="CI15" i="1"/>
  <c r="CH15" i="1"/>
  <c r="CG15" i="1"/>
  <c r="CF15" i="1"/>
  <c r="CE15" i="1"/>
  <c r="CJ14" i="1"/>
  <c r="CI14" i="1"/>
  <c r="CH14" i="1"/>
  <c r="CG14" i="1"/>
  <c r="CF14" i="1"/>
  <c r="CE14" i="1"/>
  <c r="CJ13" i="1"/>
  <c r="CI13" i="1"/>
  <c r="CH13" i="1"/>
  <c r="CG13" i="1"/>
  <c r="CF13" i="1"/>
  <c r="CE13" i="1"/>
  <c r="CJ12" i="1"/>
  <c r="CI12" i="1"/>
  <c r="CH12" i="1"/>
  <c r="CG12" i="1"/>
  <c r="CF12" i="1"/>
  <c r="CE12" i="1"/>
  <c r="CJ10" i="1"/>
  <c r="CI10" i="1"/>
  <c r="CH10" i="1"/>
  <c r="CG10" i="1"/>
  <c r="CF10" i="1"/>
  <c r="CE10" i="1"/>
  <c r="CJ9" i="1"/>
  <c r="CI9" i="1"/>
  <c r="CH9" i="1"/>
  <c r="CG9" i="1"/>
  <c r="CF9" i="1"/>
  <c r="CE9" i="1"/>
  <c r="CJ8" i="1"/>
  <c r="CI8" i="1"/>
  <c r="CH8" i="1"/>
  <c r="CG8" i="1"/>
  <c r="CF8" i="1"/>
  <c r="CE8" i="1"/>
  <c r="CJ6" i="1"/>
  <c r="CI6" i="1"/>
  <c r="CH6" i="1"/>
  <c r="CG6" i="1"/>
  <c r="CF6" i="1"/>
  <c r="CE6" i="1"/>
  <c r="CJ5" i="1"/>
  <c r="CI5" i="1"/>
  <c r="CH5" i="1"/>
  <c r="CG5" i="1"/>
  <c r="CF5" i="1"/>
  <c r="CE5" i="1"/>
  <c r="CJ4" i="1"/>
  <c r="CI4" i="1"/>
  <c r="CH4" i="1"/>
  <c r="CG4" i="1"/>
  <c r="CF4" i="1"/>
  <c r="CE4" i="1"/>
  <c r="CD60" i="1"/>
  <c r="CC60" i="1"/>
  <c r="CB60" i="1"/>
  <c r="CA60" i="1"/>
  <c r="BZ60" i="1"/>
  <c r="BY60" i="1"/>
  <c r="CD59" i="1"/>
  <c r="CC59" i="1"/>
  <c r="CB59" i="1"/>
  <c r="CA59" i="1"/>
  <c r="BZ59" i="1"/>
  <c r="BY59" i="1"/>
  <c r="CD58" i="1"/>
  <c r="CC58" i="1"/>
  <c r="CB58" i="1"/>
  <c r="CA58" i="1"/>
  <c r="BZ58" i="1"/>
  <c r="BY58" i="1"/>
  <c r="CD57" i="1"/>
  <c r="CC57" i="1"/>
  <c r="CB57" i="1"/>
  <c r="CA57" i="1"/>
  <c r="BZ57" i="1"/>
  <c r="BY57" i="1"/>
  <c r="CD56" i="1"/>
  <c r="CC56" i="1"/>
  <c r="CB56" i="1"/>
  <c r="CA56" i="1"/>
  <c r="BZ56" i="1"/>
  <c r="BY56" i="1"/>
  <c r="CD55" i="1"/>
  <c r="CC55" i="1"/>
  <c r="CB55" i="1"/>
  <c r="CA55" i="1"/>
  <c r="BZ55" i="1"/>
  <c r="BY55" i="1"/>
  <c r="CD54" i="1"/>
  <c r="CC54" i="1"/>
  <c r="CB54" i="1"/>
  <c r="CA54" i="1"/>
  <c r="BZ54" i="1"/>
  <c r="BY54" i="1"/>
  <c r="CD53" i="1"/>
  <c r="CC53" i="1"/>
  <c r="CB53" i="1"/>
  <c r="CA53" i="1"/>
  <c r="BZ53" i="1"/>
  <c r="BY53" i="1"/>
  <c r="CD52" i="1"/>
  <c r="CC52" i="1"/>
  <c r="CB52" i="1"/>
  <c r="CA52" i="1"/>
  <c r="BZ52" i="1"/>
  <c r="BY52" i="1"/>
  <c r="CD51" i="1"/>
  <c r="CC51" i="1"/>
  <c r="CB51" i="1"/>
  <c r="CA51" i="1"/>
  <c r="BZ51" i="1"/>
  <c r="BY51" i="1"/>
  <c r="CD50" i="1"/>
  <c r="CC50" i="1"/>
  <c r="CB50" i="1"/>
  <c r="CA50" i="1"/>
  <c r="BZ50" i="1"/>
  <c r="BY50" i="1"/>
  <c r="CD49" i="1"/>
  <c r="CC49" i="1"/>
  <c r="CB49" i="1"/>
  <c r="CA49" i="1"/>
  <c r="BZ49" i="1"/>
  <c r="BY49" i="1"/>
  <c r="CD48" i="1"/>
  <c r="CC48" i="1"/>
  <c r="CB48" i="1"/>
  <c r="CA48" i="1"/>
  <c r="BZ48" i="1"/>
  <c r="BY48" i="1"/>
  <c r="CD47" i="1"/>
  <c r="CC47" i="1"/>
  <c r="CB47" i="1"/>
  <c r="CA47" i="1"/>
  <c r="BZ47" i="1"/>
  <c r="BY47" i="1"/>
  <c r="CD46" i="1"/>
  <c r="CC46" i="1"/>
  <c r="CB46" i="1"/>
  <c r="CA46" i="1"/>
  <c r="BZ46" i="1"/>
  <c r="BY46" i="1"/>
  <c r="CD45" i="1"/>
  <c r="CC45" i="1"/>
  <c r="CB45" i="1"/>
  <c r="CA45" i="1"/>
  <c r="BZ45" i="1"/>
  <c r="BY45" i="1"/>
  <c r="CD44" i="1"/>
  <c r="CC44" i="1"/>
  <c r="CB44" i="1"/>
  <c r="CA44" i="1"/>
  <c r="BZ44" i="1"/>
  <c r="BY44" i="1"/>
  <c r="CD43" i="1"/>
  <c r="CC43" i="1"/>
  <c r="CB43" i="1"/>
  <c r="CA43" i="1"/>
  <c r="BZ43" i="1"/>
  <c r="BY43" i="1"/>
  <c r="CD41" i="1"/>
  <c r="CC41" i="1"/>
  <c r="CB41" i="1"/>
  <c r="CA41" i="1"/>
  <c r="BZ41" i="1"/>
  <c r="BY41" i="1"/>
  <c r="CD40" i="1"/>
  <c r="CC40" i="1"/>
  <c r="CB40" i="1"/>
  <c r="CA40" i="1"/>
  <c r="BZ40" i="1"/>
  <c r="BY40" i="1"/>
  <c r="CD39" i="1"/>
  <c r="CC39" i="1"/>
  <c r="CB39" i="1"/>
  <c r="CA39" i="1"/>
  <c r="BZ39" i="1"/>
  <c r="BY39" i="1"/>
  <c r="CD38" i="1"/>
  <c r="CC38" i="1"/>
  <c r="CB38" i="1"/>
  <c r="CA38" i="1"/>
  <c r="BZ38" i="1"/>
  <c r="BY38" i="1"/>
  <c r="CD36" i="1"/>
  <c r="CC36" i="1"/>
  <c r="CB36" i="1"/>
  <c r="CA36" i="1"/>
  <c r="BZ36" i="1"/>
  <c r="BY36" i="1"/>
  <c r="CD35" i="1"/>
  <c r="CC35" i="1"/>
  <c r="CB35" i="1"/>
  <c r="CA35" i="1"/>
  <c r="BZ35" i="1"/>
  <c r="BY35" i="1"/>
  <c r="CD34" i="1"/>
  <c r="CC34" i="1"/>
  <c r="CB34" i="1"/>
  <c r="CA34" i="1"/>
  <c r="BZ34" i="1"/>
  <c r="BY34" i="1"/>
  <c r="CD32" i="1"/>
  <c r="CC32" i="1"/>
  <c r="CB32" i="1"/>
  <c r="CA32" i="1"/>
  <c r="BZ32" i="1"/>
  <c r="BY32" i="1"/>
  <c r="CD31" i="1"/>
  <c r="CC31" i="1"/>
  <c r="CB31" i="1"/>
  <c r="CA31" i="1"/>
  <c r="BZ31" i="1"/>
  <c r="BY31" i="1"/>
  <c r="CD30" i="1"/>
  <c r="CC30" i="1"/>
  <c r="CB30" i="1"/>
  <c r="CA30" i="1"/>
  <c r="BZ30" i="1"/>
  <c r="BY30" i="1"/>
  <c r="CD29" i="1"/>
  <c r="CC29" i="1"/>
  <c r="CB29" i="1"/>
  <c r="CA29" i="1"/>
  <c r="BZ29" i="1"/>
  <c r="BY29" i="1"/>
  <c r="CD28" i="1"/>
  <c r="CC28" i="1"/>
  <c r="CB28" i="1"/>
  <c r="CA28" i="1"/>
  <c r="BZ28" i="1"/>
  <c r="BY28" i="1"/>
  <c r="CD26" i="1"/>
  <c r="CC26" i="1"/>
  <c r="CB26" i="1"/>
  <c r="CA26" i="1"/>
  <c r="BZ26" i="1"/>
  <c r="BY26" i="1"/>
  <c r="CD25" i="1"/>
  <c r="CC25" i="1"/>
  <c r="CB25" i="1"/>
  <c r="CA25" i="1"/>
  <c r="BZ25" i="1"/>
  <c r="BY25" i="1"/>
  <c r="CD24" i="1"/>
  <c r="CC24" i="1"/>
  <c r="CB24" i="1"/>
  <c r="CA24" i="1"/>
  <c r="BZ24" i="1"/>
  <c r="BY24" i="1"/>
  <c r="CD23" i="1"/>
  <c r="CC23" i="1"/>
  <c r="CB23" i="1"/>
  <c r="CA23" i="1"/>
  <c r="BZ23" i="1"/>
  <c r="BY23" i="1"/>
  <c r="CD22" i="1"/>
  <c r="CC22" i="1"/>
  <c r="CB22" i="1"/>
  <c r="CA22" i="1"/>
  <c r="BZ22" i="1"/>
  <c r="BY22" i="1"/>
  <c r="CD21" i="1"/>
  <c r="CC21" i="1"/>
  <c r="CB21" i="1"/>
  <c r="CA21" i="1"/>
  <c r="BZ21" i="1"/>
  <c r="BY21" i="1"/>
  <c r="CD20" i="1"/>
  <c r="CC20" i="1"/>
  <c r="CB20" i="1"/>
  <c r="CA20" i="1"/>
  <c r="BZ20" i="1"/>
  <c r="BY20" i="1"/>
  <c r="CD18" i="1"/>
  <c r="CC18" i="1"/>
  <c r="CB18" i="1"/>
  <c r="CA18" i="1"/>
  <c r="BZ18" i="1"/>
  <c r="BY18" i="1"/>
  <c r="CD17" i="1"/>
  <c r="CC17" i="1"/>
  <c r="CB17" i="1"/>
  <c r="CA17" i="1"/>
  <c r="BZ17" i="1"/>
  <c r="BY17" i="1"/>
  <c r="CD16" i="1"/>
  <c r="CC16" i="1"/>
  <c r="CB16" i="1"/>
  <c r="CA16" i="1"/>
  <c r="BZ16" i="1"/>
  <c r="BY16" i="1"/>
  <c r="CD15" i="1"/>
  <c r="CC15" i="1"/>
  <c r="CB15" i="1"/>
  <c r="CA15" i="1"/>
  <c r="BZ15" i="1"/>
  <c r="BY15" i="1"/>
  <c r="CD14" i="1"/>
  <c r="CC14" i="1"/>
  <c r="CB14" i="1"/>
  <c r="CA14" i="1"/>
  <c r="BZ14" i="1"/>
  <c r="BY14" i="1"/>
  <c r="CD13" i="1"/>
  <c r="CC13" i="1"/>
  <c r="CB13" i="1"/>
  <c r="CA13" i="1"/>
  <c r="BZ13" i="1"/>
  <c r="BY13" i="1"/>
  <c r="CD12" i="1"/>
  <c r="CC12" i="1"/>
  <c r="CB12" i="1"/>
  <c r="CA12" i="1"/>
  <c r="BZ12" i="1"/>
  <c r="BY12" i="1"/>
  <c r="CD10" i="1"/>
  <c r="CC10" i="1"/>
  <c r="CB10" i="1"/>
  <c r="CA10" i="1"/>
  <c r="BZ10" i="1"/>
  <c r="BY10" i="1"/>
  <c r="CD9" i="1"/>
  <c r="CC9" i="1"/>
  <c r="CB9" i="1"/>
  <c r="CA9" i="1"/>
  <c r="BZ9" i="1"/>
  <c r="BY9" i="1"/>
  <c r="CD8" i="1"/>
  <c r="CC8" i="1"/>
  <c r="CB8" i="1"/>
  <c r="CA8" i="1"/>
  <c r="BZ8" i="1"/>
  <c r="BY8" i="1"/>
  <c r="CD6" i="1"/>
  <c r="CC6" i="1"/>
  <c r="CB6" i="1"/>
  <c r="CA6" i="1"/>
  <c r="BZ6" i="1"/>
  <c r="BY6" i="1"/>
  <c r="CD5" i="1"/>
  <c r="CC5" i="1"/>
  <c r="CB5" i="1"/>
  <c r="CA5" i="1"/>
  <c r="BZ5" i="1"/>
  <c r="BY5" i="1"/>
  <c r="CD4" i="1"/>
  <c r="CC4" i="1"/>
  <c r="CB4" i="1"/>
  <c r="CA4" i="1"/>
  <c r="BZ4" i="1"/>
  <c r="BY4" i="1"/>
  <c r="BX60" i="1"/>
  <c r="BW60" i="1"/>
  <c r="BV60" i="1"/>
  <c r="BU60" i="1"/>
  <c r="BT60" i="1"/>
  <c r="BS60" i="1"/>
  <c r="BX59" i="1"/>
  <c r="BW59" i="1"/>
  <c r="BV59" i="1"/>
  <c r="BU59" i="1"/>
  <c r="BT59" i="1"/>
  <c r="BS59" i="1"/>
  <c r="BX58" i="1"/>
  <c r="BW58" i="1"/>
  <c r="BV58" i="1"/>
  <c r="BU58" i="1"/>
  <c r="BT58" i="1"/>
  <c r="BS58" i="1"/>
  <c r="BX57" i="1"/>
  <c r="BW57" i="1"/>
  <c r="BV57" i="1"/>
  <c r="BU57" i="1"/>
  <c r="BT57" i="1"/>
  <c r="BS57" i="1"/>
  <c r="BX56" i="1"/>
  <c r="BW56" i="1"/>
  <c r="BV56" i="1"/>
  <c r="BU56" i="1"/>
  <c r="BT56" i="1"/>
  <c r="BS56" i="1"/>
  <c r="BX55" i="1"/>
  <c r="BW55" i="1"/>
  <c r="BV55" i="1"/>
  <c r="BU55" i="1"/>
  <c r="BT55" i="1"/>
  <c r="BS55" i="1"/>
  <c r="BX54" i="1"/>
  <c r="BW54" i="1"/>
  <c r="BV54" i="1"/>
  <c r="BU54" i="1"/>
  <c r="BT54" i="1"/>
  <c r="BS54" i="1"/>
  <c r="BX53" i="1"/>
  <c r="BW53" i="1"/>
  <c r="BV53" i="1"/>
  <c r="BU53" i="1"/>
  <c r="BT53" i="1"/>
  <c r="BS53" i="1"/>
  <c r="BX52" i="1"/>
  <c r="BW52" i="1"/>
  <c r="BV52" i="1"/>
  <c r="BU52" i="1"/>
  <c r="BT52" i="1"/>
  <c r="BS52" i="1"/>
  <c r="BX51" i="1"/>
  <c r="BW51" i="1"/>
  <c r="BV51" i="1"/>
  <c r="BU51" i="1"/>
  <c r="BT51" i="1"/>
  <c r="BS51" i="1"/>
  <c r="BX50" i="1"/>
  <c r="BW50" i="1"/>
  <c r="BV50" i="1"/>
  <c r="BU50" i="1"/>
  <c r="BT50" i="1"/>
  <c r="BS50" i="1"/>
  <c r="BX49" i="1"/>
  <c r="BW49" i="1"/>
  <c r="BV49" i="1"/>
  <c r="BU49" i="1"/>
  <c r="BT49" i="1"/>
  <c r="BS49" i="1"/>
  <c r="BX48" i="1"/>
  <c r="BW48" i="1"/>
  <c r="BV48" i="1"/>
  <c r="BU48" i="1"/>
  <c r="BT48" i="1"/>
  <c r="BS48" i="1"/>
  <c r="BX47" i="1"/>
  <c r="BW47" i="1"/>
  <c r="BV47" i="1"/>
  <c r="BU47" i="1"/>
  <c r="BT47" i="1"/>
  <c r="BS47" i="1"/>
  <c r="BX46" i="1"/>
  <c r="BW46" i="1"/>
  <c r="BV46" i="1"/>
  <c r="BU46" i="1"/>
  <c r="BT46" i="1"/>
  <c r="BS46" i="1"/>
  <c r="BX45" i="1"/>
  <c r="BW45" i="1"/>
  <c r="BV45" i="1"/>
  <c r="BU45" i="1"/>
  <c r="BT45" i="1"/>
  <c r="BS45" i="1"/>
  <c r="BX44" i="1"/>
  <c r="BW44" i="1"/>
  <c r="BV44" i="1"/>
  <c r="BU44" i="1"/>
  <c r="BT44" i="1"/>
  <c r="BS44" i="1"/>
  <c r="BX43" i="1"/>
  <c r="BW43" i="1"/>
  <c r="BV43" i="1"/>
  <c r="BU43" i="1"/>
  <c r="BT43" i="1"/>
  <c r="BS43" i="1"/>
  <c r="BX41" i="1"/>
  <c r="BW41" i="1"/>
  <c r="BV41" i="1"/>
  <c r="BU41" i="1"/>
  <c r="BT41" i="1"/>
  <c r="BS41" i="1"/>
  <c r="BX40" i="1"/>
  <c r="BW40" i="1"/>
  <c r="BV40" i="1"/>
  <c r="BU40" i="1"/>
  <c r="BT40" i="1"/>
  <c r="BS40" i="1"/>
  <c r="BX39" i="1"/>
  <c r="BW39" i="1"/>
  <c r="BV39" i="1"/>
  <c r="BU39" i="1"/>
  <c r="BT39" i="1"/>
  <c r="BS39" i="1"/>
  <c r="BX38" i="1"/>
  <c r="BW38" i="1"/>
  <c r="BV38" i="1"/>
  <c r="BU38" i="1"/>
  <c r="BT38" i="1"/>
  <c r="BS38" i="1"/>
  <c r="BX36" i="1"/>
  <c r="BW36" i="1"/>
  <c r="BV36" i="1"/>
  <c r="BU36" i="1"/>
  <c r="BT36" i="1"/>
  <c r="BS36" i="1"/>
  <c r="BX35" i="1"/>
  <c r="BW35" i="1"/>
  <c r="BV35" i="1"/>
  <c r="BU35" i="1"/>
  <c r="BT35" i="1"/>
  <c r="BS35" i="1"/>
  <c r="BX34" i="1"/>
  <c r="BW34" i="1"/>
  <c r="BV34" i="1"/>
  <c r="BU34" i="1"/>
  <c r="BT34" i="1"/>
  <c r="BS34" i="1"/>
  <c r="BX32" i="1"/>
  <c r="BW32" i="1"/>
  <c r="BV32" i="1"/>
  <c r="BU32" i="1"/>
  <c r="BT32" i="1"/>
  <c r="BS32" i="1"/>
  <c r="BX31" i="1"/>
  <c r="BW31" i="1"/>
  <c r="BV31" i="1"/>
  <c r="BU31" i="1"/>
  <c r="BT31" i="1"/>
  <c r="BS31" i="1"/>
  <c r="BX30" i="1"/>
  <c r="BW30" i="1"/>
  <c r="BV30" i="1"/>
  <c r="BU30" i="1"/>
  <c r="BT30" i="1"/>
  <c r="BS30" i="1"/>
  <c r="BX29" i="1"/>
  <c r="BW29" i="1"/>
  <c r="BV29" i="1"/>
  <c r="BU29" i="1"/>
  <c r="BT29" i="1"/>
  <c r="BS29" i="1"/>
  <c r="BX28" i="1"/>
  <c r="BW28" i="1"/>
  <c r="BV28" i="1"/>
  <c r="BU28" i="1"/>
  <c r="BT28" i="1"/>
  <c r="BS28" i="1"/>
  <c r="BX26" i="1"/>
  <c r="BW26" i="1"/>
  <c r="BV26" i="1"/>
  <c r="BU26" i="1"/>
  <c r="BT26" i="1"/>
  <c r="BS26" i="1"/>
  <c r="BX25" i="1"/>
  <c r="BW25" i="1"/>
  <c r="BV25" i="1"/>
  <c r="BU25" i="1"/>
  <c r="BT25" i="1"/>
  <c r="BS25" i="1"/>
  <c r="BX24" i="1"/>
  <c r="BW24" i="1"/>
  <c r="BV24" i="1"/>
  <c r="BU24" i="1"/>
  <c r="BT24" i="1"/>
  <c r="BS24" i="1"/>
  <c r="BX23" i="1"/>
  <c r="BW23" i="1"/>
  <c r="BV23" i="1"/>
  <c r="BU23" i="1"/>
  <c r="BT23" i="1"/>
  <c r="BS23" i="1"/>
  <c r="BX22" i="1"/>
  <c r="BW22" i="1"/>
  <c r="BV22" i="1"/>
  <c r="BU22" i="1"/>
  <c r="BT22" i="1"/>
  <c r="BS22" i="1"/>
  <c r="BX21" i="1"/>
  <c r="BW21" i="1"/>
  <c r="BV21" i="1"/>
  <c r="BU21" i="1"/>
  <c r="BT21" i="1"/>
  <c r="BS21" i="1"/>
  <c r="BX20" i="1"/>
  <c r="BW20" i="1"/>
  <c r="BV20" i="1"/>
  <c r="BU20" i="1"/>
  <c r="BT20" i="1"/>
  <c r="BS20" i="1"/>
  <c r="BX18" i="1"/>
  <c r="BW18" i="1"/>
  <c r="BV18" i="1"/>
  <c r="BU18" i="1"/>
  <c r="BT18" i="1"/>
  <c r="BS18" i="1"/>
  <c r="BX17" i="1"/>
  <c r="BW17" i="1"/>
  <c r="BV17" i="1"/>
  <c r="BU17" i="1"/>
  <c r="BT17" i="1"/>
  <c r="BS17" i="1"/>
  <c r="BX16" i="1"/>
  <c r="BW16" i="1"/>
  <c r="BV16" i="1"/>
  <c r="BU16" i="1"/>
  <c r="BT16" i="1"/>
  <c r="BS16" i="1"/>
  <c r="BX15" i="1"/>
  <c r="BW15" i="1"/>
  <c r="BV15" i="1"/>
  <c r="BU15" i="1"/>
  <c r="BT15" i="1"/>
  <c r="BS15" i="1"/>
  <c r="BX14" i="1"/>
  <c r="BW14" i="1"/>
  <c r="BV14" i="1"/>
  <c r="BU14" i="1"/>
  <c r="BT14" i="1"/>
  <c r="BS14" i="1"/>
  <c r="BX13" i="1"/>
  <c r="BW13" i="1"/>
  <c r="BV13" i="1"/>
  <c r="BU13" i="1"/>
  <c r="BT13" i="1"/>
  <c r="BS13" i="1"/>
  <c r="BX12" i="1"/>
  <c r="BW12" i="1"/>
  <c r="BV12" i="1"/>
  <c r="BU12" i="1"/>
  <c r="BT12" i="1"/>
  <c r="BS12" i="1"/>
  <c r="BX10" i="1"/>
  <c r="BW10" i="1"/>
  <c r="BV10" i="1"/>
  <c r="BU10" i="1"/>
  <c r="BT10" i="1"/>
  <c r="BS10" i="1"/>
  <c r="BX9" i="1"/>
  <c r="BW9" i="1"/>
  <c r="BV9" i="1"/>
  <c r="BU9" i="1"/>
  <c r="BT9" i="1"/>
  <c r="BS9" i="1"/>
  <c r="BX8" i="1"/>
  <c r="BW8" i="1"/>
  <c r="BV8" i="1"/>
  <c r="BU8" i="1"/>
  <c r="BT8" i="1"/>
  <c r="BS8" i="1"/>
  <c r="BX6" i="1"/>
  <c r="BW6" i="1"/>
  <c r="BV6" i="1"/>
  <c r="BU6" i="1"/>
  <c r="BT6" i="1"/>
  <c r="BS6" i="1"/>
  <c r="BX5" i="1"/>
  <c r="BW5" i="1"/>
  <c r="BV5" i="1"/>
  <c r="BU5" i="1"/>
  <c r="BT5" i="1"/>
  <c r="BS5" i="1"/>
  <c r="BX4" i="1"/>
  <c r="BW4" i="1"/>
  <c r="BV4" i="1"/>
  <c r="BU4" i="1"/>
  <c r="BT4" i="1"/>
  <c r="BS4" i="1"/>
  <c r="BQ60" i="1"/>
  <c r="BP60" i="1"/>
  <c r="BO60" i="1"/>
  <c r="BN60" i="1"/>
  <c r="BM60" i="1"/>
  <c r="BL60" i="1"/>
  <c r="BK60" i="1"/>
  <c r="BQ59" i="1"/>
  <c r="BP59" i="1"/>
  <c r="BO59" i="1"/>
  <c r="BN59" i="1"/>
  <c r="BM59" i="1"/>
  <c r="BL59" i="1"/>
  <c r="BK59" i="1"/>
  <c r="BQ58" i="1"/>
  <c r="BP58" i="1"/>
  <c r="BO58" i="1"/>
  <c r="BN58" i="1"/>
  <c r="BM58" i="1"/>
  <c r="BL58" i="1"/>
  <c r="BK58" i="1"/>
  <c r="BQ57" i="1"/>
  <c r="BP57" i="1"/>
  <c r="BO57" i="1"/>
  <c r="BN57" i="1"/>
  <c r="BM57" i="1"/>
  <c r="BL57" i="1"/>
  <c r="BK57" i="1"/>
  <c r="BQ56" i="1"/>
  <c r="BP56" i="1"/>
  <c r="BO56" i="1"/>
  <c r="BN56" i="1"/>
  <c r="BM56" i="1"/>
  <c r="BL56" i="1"/>
  <c r="BK56" i="1"/>
  <c r="BQ55" i="1"/>
  <c r="BP55" i="1"/>
  <c r="BO55" i="1"/>
  <c r="BN55" i="1"/>
  <c r="BM55" i="1"/>
  <c r="BL55" i="1"/>
  <c r="BK55" i="1"/>
  <c r="BQ54" i="1"/>
  <c r="BP54" i="1"/>
  <c r="BO54" i="1"/>
  <c r="BN54" i="1"/>
  <c r="BM54" i="1"/>
  <c r="BL54" i="1"/>
  <c r="BK54" i="1"/>
  <c r="BQ53" i="1"/>
  <c r="BP53" i="1"/>
  <c r="BO53" i="1"/>
  <c r="BN53" i="1"/>
  <c r="BM53" i="1"/>
  <c r="BL53" i="1"/>
  <c r="BK53" i="1"/>
  <c r="BQ52" i="1"/>
  <c r="BP52" i="1"/>
  <c r="BO52" i="1"/>
  <c r="BN52" i="1"/>
  <c r="BM52" i="1"/>
  <c r="BL52" i="1"/>
  <c r="BK52" i="1"/>
  <c r="BQ51" i="1"/>
  <c r="BP51" i="1"/>
  <c r="BO51" i="1"/>
  <c r="BN51" i="1"/>
  <c r="BM51" i="1"/>
  <c r="BL51" i="1"/>
  <c r="BK51" i="1"/>
  <c r="BQ50" i="1"/>
  <c r="BP50" i="1"/>
  <c r="BO50" i="1"/>
  <c r="BN50" i="1"/>
  <c r="BM50" i="1"/>
  <c r="BL50" i="1"/>
  <c r="BK50" i="1"/>
  <c r="BQ49" i="1"/>
  <c r="BP49" i="1"/>
  <c r="BO49" i="1"/>
  <c r="BN49" i="1"/>
  <c r="BM49" i="1"/>
  <c r="BL49" i="1"/>
  <c r="BK49" i="1"/>
  <c r="BQ48" i="1"/>
  <c r="BP48" i="1"/>
  <c r="BO48" i="1"/>
  <c r="BN48" i="1"/>
  <c r="BM48" i="1"/>
  <c r="BL48" i="1"/>
  <c r="BK48" i="1"/>
  <c r="BQ47" i="1"/>
  <c r="BP47" i="1"/>
  <c r="BO47" i="1"/>
  <c r="BN47" i="1"/>
  <c r="BM47" i="1"/>
  <c r="BL47" i="1"/>
  <c r="BK47" i="1"/>
  <c r="BQ46" i="1"/>
  <c r="BP46" i="1"/>
  <c r="BO46" i="1"/>
  <c r="BN46" i="1"/>
  <c r="BM46" i="1"/>
  <c r="BL46" i="1"/>
  <c r="BK46" i="1"/>
  <c r="BQ45" i="1"/>
  <c r="BP45" i="1"/>
  <c r="BO45" i="1"/>
  <c r="BN45" i="1"/>
  <c r="BM45" i="1"/>
  <c r="BL45" i="1"/>
  <c r="BK45" i="1"/>
  <c r="BQ44" i="1"/>
  <c r="BP44" i="1"/>
  <c r="BO44" i="1"/>
  <c r="BN44" i="1"/>
  <c r="BM44" i="1"/>
  <c r="BL44" i="1"/>
  <c r="BK44" i="1"/>
  <c r="BQ43" i="1"/>
  <c r="BP43" i="1"/>
  <c r="BO43" i="1"/>
  <c r="BN43" i="1"/>
  <c r="BM43" i="1"/>
  <c r="BL43" i="1"/>
  <c r="BK43" i="1"/>
  <c r="BQ41" i="1"/>
  <c r="BP41" i="1"/>
  <c r="BO41" i="1"/>
  <c r="BN41" i="1"/>
  <c r="BM41" i="1"/>
  <c r="BL41" i="1"/>
  <c r="BK41" i="1"/>
  <c r="BQ40" i="1"/>
  <c r="BP40" i="1"/>
  <c r="BO40" i="1"/>
  <c r="BN40" i="1"/>
  <c r="BM40" i="1"/>
  <c r="BL40" i="1"/>
  <c r="BK40" i="1"/>
  <c r="BQ39" i="1"/>
  <c r="BP39" i="1"/>
  <c r="BO39" i="1"/>
  <c r="BN39" i="1"/>
  <c r="BM39" i="1"/>
  <c r="BL39" i="1"/>
  <c r="BK39" i="1"/>
  <c r="BQ38" i="1"/>
  <c r="BP38" i="1"/>
  <c r="BO38" i="1"/>
  <c r="BN38" i="1"/>
  <c r="BM38" i="1"/>
  <c r="BL38" i="1"/>
  <c r="BK38" i="1"/>
  <c r="BQ36" i="1"/>
  <c r="BP36" i="1"/>
  <c r="BO36" i="1"/>
  <c r="BN36" i="1"/>
  <c r="BM36" i="1"/>
  <c r="BL36" i="1"/>
  <c r="BK36" i="1"/>
  <c r="BQ35" i="1"/>
  <c r="BP35" i="1"/>
  <c r="BO35" i="1"/>
  <c r="BN35" i="1"/>
  <c r="BM35" i="1"/>
  <c r="BL35" i="1"/>
  <c r="BK35" i="1"/>
  <c r="BQ34" i="1"/>
  <c r="BP34" i="1"/>
  <c r="BO34" i="1"/>
  <c r="BN34" i="1"/>
  <c r="BM34" i="1"/>
  <c r="BL34" i="1"/>
  <c r="BK34" i="1"/>
  <c r="BQ32" i="1"/>
  <c r="BP32" i="1"/>
  <c r="BO32" i="1"/>
  <c r="BN32" i="1"/>
  <c r="BM32" i="1"/>
  <c r="BL32" i="1"/>
  <c r="BK32" i="1"/>
  <c r="BQ31" i="1"/>
  <c r="BP31" i="1"/>
  <c r="BO31" i="1"/>
  <c r="BN31" i="1"/>
  <c r="BM31" i="1"/>
  <c r="BL31" i="1"/>
  <c r="BK31" i="1"/>
  <c r="BQ30" i="1"/>
  <c r="BP30" i="1"/>
  <c r="BO30" i="1"/>
  <c r="BN30" i="1"/>
  <c r="BM30" i="1"/>
  <c r="BL30" i="1"/>
  <c r="BK30" i="1"/>
  <c r="BQ29" i="1"/>
  <c r="BP29" i="1"/>
  <c r="BO29" i="1"/>
  <c r="BN29" i="1"/>
  <c r="BM29" i="1"/>
  <c r="BL29" i="1"/>
  <c r="BK29" i="1"/>
  <c r="BQ28" i="1"/>
  <c r="BP28" i="1"/>
  <c r="BO28" i="1"/>
  <c r="BN28" i="1"/>
  <c r="BM28" i="1"/>
  <c r="BL28" i="1"/>
  <c r="BK28" i="1"/>
  <c r="BQ26" i="1"/>
  <c r="BP26" i="1"/>
  <c r="BO26" i="1"/>
  <c r="BN26" i="1"/>
  <c r="BM26" i="1"/>
  <c r="BL26" i="1"/>
  <c r="BK26" i="1"/>
  <c r="BQ25" i="1"/>
  <c r="BP25" i="1"/>
  <c r="BO25" i="1"/>
  <c r="BN25" i="1"/>
  <c r="BM25" i="1"/>
  <c r="BL25" i="1"/>
  <c r="BK25" i="1"/>
  <c r="BQ24" i="1"/>
  <c r="BP24" i="1"/>
  <c r="BO24" i="1"/>
  <c r="BN24" i="1"/>
  <c r="BM24" i="1"/>
  <c r="BL24" i="1"/>
  <c r="BK24" i="1"/>
  <c r="BQ23" i="1"/>
  <c r="BP23" i="1"/>
  <c r="BO23" i="1"/>
  <c r="BN23" i="1"/>
  <c r="BM23" i="1"/>
  <c r="BL23" i="1"/>
  <c r="BK23" i="1"/>
  <c r="BQ22" i="1"/>
  <c r="BP22" i="1"/>
  <c r="BO22" i="1"/>
  <c r="BN22" i="1"/>
  <c r="BM22" i="1"/>
  <c r="BL22" i="1"/>
  <c r="BK22" i="1"/>
  <c r="BQ21" i="1"/>
  <c r="BP21" i="1"/>
  <c r="BO21" i="1"/>
  <c r="BN21" i="1"/>
  <c r="BM21" i="1"/>
  <c r="BL21" i="1"/>
  <c r="BK21" i="1"/>
  <c r="BQ20" i="1"/>
  <c r="BP20" i="1"/>
  <c r="BO20" i="1"/>
  <c r="BN20" i="1"/>
  <c r="BM20" i="1"/>
  <c r="BL20" i="1"/>
  <c r="BK20" i="1"/>
  <c r="BQ18" i="1"/>
  <c r="BP18" i="1"/>
  <c r="BO18" i="1"/>
  <c r="BN18" i="1"/>
  <c r="BM18" i="1"/>
  <c r="BL18" i="1"/>
  <c r="BK18" i="1"/>
  <c r="BQ17" i="1"/>
  <c r="BP17" i="1"/>
  <c r="BO17" i="1"/>
  <c r="BN17" i="1"/>
  <c r="BM17" i="1"/>
  <c r="BL17" i="1"/>
  <c r="BK17" i="1"/>
  <c r="BQ16" i="1"/>
  <c r="BP16" i="1"/>
  <c r="BO16" i="1"/>
  <c r="BN16" i="1"/>
  <c r="BM16" i="1"/>
  <c r="BL16" i="1"/>
  <c r="BK16" i="1"/>
  <c r="BQ15" i="1"/>
  <c r="BP15" i="1"/>
  <c r="BO15" i="1"/>
  <c r="BN15" i="1"/>
  <c r="BM15" i="1"/>
  <c r="BL15" i="1"/>
  <c r="BK15" i="1"/>
  <c r="BQ14" i="1"/>
  <c r="BP14" i="1"/>
  <c r="BO14" i="1"/>
  <c r="BN14" i="1"/>
  <c r="BM14" i="1"/>
  <c r="BL14" i="1"/>
  <c r="BK14" i="1"/>
  <c r="BQ13" i="1"/>
  <c r="BP13" i="1"/>
  <c r="BO13" i="1"/>
  <c r="BN13" i="1"/>
  <c r="BM13" i="1"/>
  <c r="BL13" i="1"/>
  <c r="BK13" i="1"/>
  <c r="BQ12" i="1"/>
  <c r="BP12" i="1"/>
  <c r="BO12" i="1"/>
  <c r="BN12" i="1"/>
  <c r="BM12" i="1"/>
  <c r="BL12" i="1"/>
  <c r="BK12" i="1"/>
  <c r="BQ10" i="1"/>
  <c r="BP10" i="1"/>
  <c r="BO10" i="1"/>
  <c r="BN10" i="1"/>
  <c r="BM10" i="1"/>
  <c r="BL10" i="1"/>
  <c r="BK10" i="1"/>
  <c r="BQ9" i="1"/>
  <c r="BP9" i="1"/>
  <c r="BO9" i="1"/>
  <c r="BN9" i="1"/>
  <c r="BM9" i="1"/>
  <c r="BL9" i="1"/>
  <c r="BK9" i="1"/>
  <c r="BQ8" i="1"/>
  <c r="BP8" i="1"/>
  <c r="BO8" i="1"/>
  <c r="BN8" i="1"/>
  <c r="BM8" i="1"/>
  <c r="BL8" i="1"/>
  <c r="BK8" i="1"/>
  <c r="BQ6" i="1"/>
  <c r="BP6" i="1"/>
  <c r="BO6" i="1"/>
  <c r="BN6" i="1"/>
  <c r="BM6" i="1"/>
  <c r="BL6" i="1"/>
  <c r="BK6" i="1"/>
  <c r="BQ5" i="1"/>
  <c r="BP5" i="1"/>
  <c r="BO5" i="1"/>
  <c r="BN5" i="1"/>
  <c r="BM5" i="1"/>
  <c r="BL5" i="1"/>
  <c r="BK5" i="1"/>
  <c r="BQ4" i="1"/>
  <c r="BP4" i="1"/>
  <c r="BO4" i="1"/>
  <c r="BN4" i="1"/>
  <c r="BM4" i="1"/>
  <c r="BL4" i="1"/>
  <c r="BK4" i="1"/>
  <c r="BJ60" i="1"/>
  <c r="BI60" i="1"/>
  <c r="BH60" i="1"/>
  <c r="BG60" i="1"/>
  <c r="BF60" i="1"/>
  <c r="BE60" i="1"/>
  <c r="BD60" i="1"/>
  <c r="BJ59" i="1"/>
  <c r="BI59" i="1"/>
  <c r="BH59" i="1"/>
  <c r="BG59" i="1"/>
  <c r="BF59" i="1"/>
  <c r="BE59" i="1"/>
  <c r="BD59" i="1"/>
  <c r="BJ58" i="1"/>
  <c r="BI58" i="1"/>
  <c r="BH58" i="1"/>
  <c r="BG58" i="1"/>
  <c r="BF58" i="1"/>
  <c r="BE58" i="1"/>
  <c r="BD58" i="1"/>
  <c r="BJ57" i="1"/>
  <c r="BI57" i="1"/>
  <c r="BH57" i="1"/>
  <c r="BG57" i="1"/>
  <c r="BF57" i="1"/>
  <c r="BE57" i="1"/>
  <c r="BD57" i="1"/>
  <c r="BJ56" i="1"/>
  <c r="BI56" i="1"/>
  <c r="BH56" i="1"/>
  <c r="BG56" i="1"/>
  <c r="BF56" i="1"/>
  <c r="BE56" i="1"/>
  <c r="BD56" i="1"/>
  <c r="BJ55" i="1"/>
  <c r="BI55" i="1"/>
  <c r="BH55" i="1"/>
  <c r="BG55" i="1"/>
  <c r="BF55" i="1"/>
  <c r="BE55" i="1"/>
  <c r="BD55" i="1"/>
  <c r="BJ54" i="1"/>
  <c r="BI54" i="1"/>
  <c r="BH54" i="1"/>
  <c r="BG54" i="1"/>
  <c r="BF54" i="1"/>
  <c r="BE54" i="1"/>
  <c r="BD54" i="1"/>
  <c r="BJ53" i="1"/>
  <c r="BI53" i="1"/>
  <c r="BH53" i="1"/>
  <c r="BG53" i="1"/>
  <c r="BF53" i="1"/>
  <c r="BE53" i="1"/>
  <c r="BD53" i="1"/>
  <c r="BJ52" i="1"/>
  <c r="BI52" i="1"/>
  <c r="BH52" i="1"/>
  <c r="BG52" i="1"/>
  <c r="BF52" i="1"/>
  <c r="BE52" i="1"/>
  <c r="BD52" i="1"/>
  <c r="BJ51" i="1"/>
  <c r="BI51" i="1"/>
  <c r="BH51" i="1"/>
  <c r="BG51" i="1"/>
  <c r="BF51" i="1"/>
  <c r="BE51" i="1"/>
  <c r="BD51" i="1"/>
  <c r="BJ50" i="1"/>
  <c r="BI50" i="1"/>
  <c r="BH50" i="1"/>
  <c r="BG50" i="1"/>
  <c r="BF50" i="1"/>
  <c r="BE50" i="1"/>
  <c r="BD50" i="1"/>
  <c r="BJ49" i="1"/>
  <c r="BI49" i="1"/>
  <c r="BH49" i="1"/>
  <c r="BG49" i="1"/>
  <c r="BF49" i="1"/>
  <c r="BE49" i="1"/>
  <c r="BD49" i="1"/>
  <c r="BJ48" i="1"/>
  <c r="BI48" i="1"/>
  <c r="BH48" i="1"/>
  <c r="BG48" i="1"/>
  <c r="BF48" i="1"/>
  <c r="BE48" i="1"/>
  <c r="BD48" i="1"/>
  <c r="BJ47" i="1"/>
  <c r="BI47" i="1"/>
  <c r="BH47" i="1"/>
  <c r="BG47" i="1"/>
  <c r="BF47" i="1"/>
  <c r="BE47" i="1"/>
  <c r="BD47" i="1"/>
  <c r="BJ46" i="1"/>
  <c r="BI46" i="1"/>
  <c r="BH46" i="1"/>
  <c r="BG46" i="1"/>
  <c r="BF46" i="1"/>
  <c r="BE46" i="1"/>
  <c r="BD46" i="1"/>
  <c r="BJ45" i="1"/>
  <c r="BI45" i="1"/>
  <c r="BH45" i="1"/>
  <c r="BG45" i="1"/>
  <c r="BF45" i="1"/>
  <c r="BE45" i="1"/>
  <c r="BD45" i="1"/>
  <c r="BJ44" i="1"/>
  <c r="BI44" i="1"/>
  <c r="BH44" i="1"/>
  <c r="BG44" i="1"/>
  <c r="BF44" i="1"/>
  <c r="BE44" i="1"/>
  <c r="BD44" i="1"/>
  <c r="BJ43" i="1"/>
  <c r="BI43" i="1"/>
  <c r="BH43" i="1"/>
  <c r="BG43" i="1"/>
  <c r="BF43" i="1"/>
  <c r="BE43" i="1"/>
  <c r="BD43" i="1"/>
  <c r="BJ41" i="1"/>
  <c r="BI41" i="1"/>
  <c r="BH41" i="1"/>
  <c r="BG41" i="1"/>
  <c r="BF41" i="1"/>
  <c r="BE41" i="1"/>
  <c r="BD41" i="1"/>
  <c r="BJ40" i="1"/>
  <c r="BI40" i="1"/>
  <c r="BH40" i="1"/>
  <c r="BG40" i="1"/>
  <c r="BF40" i="1"/>
  <c r="BE40" i="1"/>
  <c r="BD40" i="1"/>
  <c r="BJ39" i="1"/>
  <c r="BI39" i="1"/>
  <c r="BH39" i="1"/>
  <c r="BG39" i="1"/>
  <c r="BF39" i="1"/>
  <c r="BE39" i="1"/>
  <c r="BD39" i="1"/>
  <c r="BJ38" i="1"/>
  <c r="BI38" i="1"/>
  <c r="BH38" i="1"/>
  <c r="BG38" i="1"/>
  <c r="BF38" i="1"/>
  <c r="BE38" i="1"/>
  <c r="BD38" i="1"/>
  <c r="BJ36" i="1"/>
  <c r="BI36" i="1"/>
  <c r="BH36" i="1"/>
  <c r="BG36" i="1"/>
  <c r="BF36" i="1"/>
  <c r="BE36" i="1"/>
  <c r="BD36" i="1"/>
  <c r="BJ35" i="1"/>
  <c r="BI35" i="1"/>
  <c r="BH35" i="1"/>
  <c r="BG35" i="1"/>
  <c r="BF35" i="1"/>
  <c r="BE35" i="1"/>
  <c r="BD35" i="1"/>
  <c r="BJ34" i="1"/>
  <c r="BI34" i="1"/>
  <c r="BH34" i="1"/>
  <c r="BG34" i="1"/>
  <c r="BF34" i="1"/>
  <c r="BE34" i="1"/>
  <c r="BD34" i="1"/>
  <c r="BJ32" i="1"/>
  <c r="BI32" i="1"/>
  <c r="BH32" i="1"/>
  <c r="BG32" i="1"/>
  <c r="BF32" i="1"/>
  <c r="BE32" i="1"/>
  <c r="BD32" i="1"/>
  <c r="BJ31" i="1"/>
  <c r="BI31" i="1"/>
  <c r="BH31" i="1"/>
  <c r="BG31" i="1"/>
  <c r="BF31" i="1"/>
  <c r="BE31" i="1"/>
  <c r="BD31" i="1"/>
  <c r="BJ30" i="1"/>
  <c r="BI30" i="1"/>
  <c r="BH30" i="1"/>
  <c r="BG30" i="1"/>
  <c r="BF30" i="1"/>
  <c r="BE30" i="1"/>
  <c r="BD30" i="1"/>
  <c r="BJ29" i="1"/>
  <c r="BI29" i="1"/>
  <c r="BH29" i="1"/>
  <c r="BG29" i="1"/>
  <c r="BF29" i="1"/>
  <c r="BE29" i="1"/>
  <c r="BD29" i="1"/>
  <c r="BJ28" i="1"/>
  <c r="BI28" i="1"/>
  <c r="BH28" i="1"/>
  <c r="BG28" i="1"/>
  <c r="BF28" i="1"/>
  <c r="BE28" i="1"/>
  <c r="BD28" i="1"/>
  <c r="BJ26" i="1"/>
  <c r="BI26" i="1"/>
  <c r="BH26" i="1"/>
  <c r="BG26" i="1"/>
  <c r="BF26" i="1"/>
  <c r="BE26" i="1"/>
  <c r="BD26" i="1"/>
  <c r="BJ25" i="1"/>
  <c r="BI25" i="1"/>
  <c r="BH25" i="1"/>
  <c r="BG25" i="1"/>
  <c r="BF25" i="1"/>
  <c r="BE25" i="1"/>
  <c r="BD25" i="1"/>
  <c r="BJ24" i="1"/>
  <c r="BI24" i="1"/>
  <c r="BH24" i="1"/>
  <c r="BG24" i="1"/>
  <c r="BF24" i="1"/>
  <c r="BE24" i="1"/>
  <c r="BD24" i="1"/>
  <c r="BJ23" i="1"/>
  <c r="BI23" i="1"/>
  <c r="BH23" i="1"/>
  <c r="BG23" i="1"/>
  <c r="BF23" i="1"/>
  <c r="BE23" i="1"/>
  <c r="BD23" i="1"/>
  <c r="BJ22" i="1"/>
  <c r="BI22" i="1"/>
  <c r="BH22" i="1"/>
  <c r="BG22" i="1"/>
  <c r="BF22" i="1"/>
  <c r="BE22" i="1"/>
  <c r="BD22" i="1"/>
  <c r="BJ21" i="1"/>
  <c r="BI21" i="1"/>
  <c r="BH21" i="1"/>
  <c r="BG21" i="1"/>
  <c r="BF21" i="1"/>
  <c r="BE21" i="1"/>
  <c r="BD21" i="1"/>
  <c r="BJ20" i="1"/>
  <c r="BI20" i="1"/>
  <c r="BH20" i="1"/>
  <c r="BG20" i="1"/>
  <c r="BF20" i="1"/>
  <c r="BE20" i="1"/>
  <c r="BD20" i="1"/>
  <c r="BJ18" i="1"/>
  <c r="BI18" i="1"/>
  <c r="BH18" i="1"/>
  <c r="BG18" i="1"/>
  <c r="BF18" i="1"/>
  <c r="BE18" i="1"/>
  <c r="BD18" i="1"/>
  <c r="BJ17" i="1"/>
  <c r="BI17" i="1"/>
  <c r="BH17" i="1"/>
  <c r="BG17" i="1"/>
  <c r="BF17" i="1"/>
  <c r="BE17" i="1"/>
  <c r="BD17" i="1"/>
  <c r="BJ16" i="1"/>
  <c r="BI16" i="1"/>
  <c r="BH16" i="1"/>
  <c r="BG16" i="1"/>
  <c r="BF16" i="1"/>
  <c r="BE16" i="1"/>
  <c r="BD16" i="1"/>
  <c r="BJ15" i="1"/>
  <c r="BI15" i="1"/>
  <c r="BH15" i="1"/>
  <c r="BG15" i="1"/>
  <c r="BF15" i="1"/>
  <c r="BE15" i="1"/>
  <c r="BD15" i="1"/>
  <c r="BJ14" i="1"/>
  <c r="BI14" i="1"/>
  <c r="BH14" i="1"/>
  <c r="BG14" i="1"/>
  <c r="BF14" i="1"/>
  <c r="BE14" i="1"/>
  <c r="BD14" i="1"/>
  <c r="BJ13" i="1"/>
  <c r="BI13" i="1"/>
  <c r="BH13" i="1"/>
  <c r="BG13" i="1"/>
  <c r="BF13" i="1"/>
  <c r="BE13" i="1"/>
  <c r="BD13" i="1"/>
  <c r="BJ12" i="1"/>
  <c r="BI12" i="1"/>
  <c r="BH12" i="1"/>
  <c r="BG12" i="1"/>
  <c r="BF12" i="1"/>
  <c r="BE12" i="1"/>
  <c r="BD12" i="1"/>
  <c r="BJ10" i="1"/>
  <c r="BI10" i="1"/>
  <c r="BH10" i="1"/>
  <c r="BG10" i="1"/>
  <c r="BF10" i="1"/>
  <c r="BE10" i="1"/>
  <c r="BD10" i="1"/>
  <c r="BJ9" i="1"/>
  <c r="BI9" i="1"/>
  <c r="BH9" i="1"/>
  <c r="BG9" i="1"/>
  <c r="BF9" i="1"/>
  <c r="BE9" i="1"/>
  <c r="BD9" i="1"/>
  <c r="BJ8" i="1"/>
  <c r="BI8" i="1"/>
  <c r="BH8" i="1"/>
  <c r="BG8" i="1"/>
  <c r="BF8" i="1"/>
  <c r="BE8" i="1"/>
  <c r="BD8" i="1"/>
  <c r="BJ6" i="1"/>
  <c r="BI6" i="1"/>
  <c r="BH6" i="1"/>
  <c r="BG6" i="1"/>
  <c r="BF6" i="1"/>
  <c r="BE6" i="1"/>
  <c r="BD6" i="1"/>
  <c r="BJ5" i="1"/>
  <c r="BI5" i="1"/>
  <c r="BH5" i="1"/>
  <c r="BG5" i="1"/>
  <c r="BF5" i="1"/>
  <c r="BE5" i="1"/>
  <c r="BD5" i="1"/>
  <c r="BJ4" i="1"/>
  <c r="BI4" i="1"/>
  <c r="BH4" i="1"/>
  <c r="BG4" i="1"/>
  <c r="BF4" i="1"/>
  <c r="BE4" i="1"/>
  <c r="BD4" i="1"/>
  <c r="BC60" i="1"/>
  <c r="BB60" i="1"/>
  <c r="BA60" i="1"/>
  <c r="AZ60" i="1"/>
  <c r="AY60" i="1"/>
  <c r="AX60" i="1"/>
  <c r="AW60" i="1"/>
  <c r="BC59" i="1"/>
  <c r="BB59" i="1"/>
  <c r="BA59" i="1"/>
  <c r="AZ59" i="1"/>
  <c r="AY59" i="1"/>
  <c r="AX59" i="1"/>
  <c r="AW59" i="1"/>
  <c r="BC58" i="1"/>
  <c r="BB58" i="1"/>
  <c r="BA58" i="1"/>
  <c r="AZ58" i="1"/>
  <c r="AY58" i="1"/>
  <c r="AX58" i="1"/>
  <c r="AW58" i="1"/>
  <c r="BC57" i="1"/>
  <c r="BB57" i="1"/>
  <c r="BA57" i="1"/>
  <c r="AZ57" i="1"/>
  <c r="AY57" i="1"/>
  <c r="AX57" i="1"/>
  <c r="AW57" i="1"/>
  <c r="BC56" i="1"/>
  <c r="BB56" i="1"/>
  <c r="BA56" i="1"/>
  <c r="AZ56" i="1"/>
  <c r="AY56" i="1"/>
  <c r="AX56" i="1"/>
  <c r="AW56" i="1"/>
  <c r="BC55" i="1"/>
  <c r="BB55" i="1"/>
  <c r="BA55" i="1"/>
  <c r="AZ55" i="1"/>
  <c r="AY55" i="1"/>
  <c r="AX55" i="1"/>
  <c r="AW55" i="1"/>
  <c r="BC54" i="1"/>
  <c r="BB54" i="1"/>
  <c r="BA54" i="1"/>
  <c r="AZ54" i="1"/>
  <c r="AY54" i="1"/>
  <c r="AX54" i="1"/>
  <c r="AW54" i="1"/>
  <c r="BC53" i="1"/>
  <c r="BB53" i="1"/>
  <c r="BA53" i="1"/>
  <c r="AZ53" i="1"/>
  <c r="AY53" i="1"/>
  <c r="AX53" i="1"/>
  <c r="AW53" i="1"/>
  <c r="BC52" i="1"/>
  <c r="BB52" i="1"/>
  <c r="BA52" i="1"/>
  <c r="AZ52" i="1"/>
  <c r="AY52" i="1"/>
  <c r="AX52" i="1"/>
  <c r="AW52" i="1"/>
  <c r="BC51" i="1"/>
  <c r="BB51" i="1"/>
  <c r="BA51" i="1"/>
  <c r="AZ51" i="1"/>
  <c r="AY51" i="1"/>
  <c r="AX51" i="1"/>
  <c r="AW51" i="1"/>
  <c r="BC50" i="1"/>
  <c r="BB50" i="1"/>
  <c r="BA50" i="1"/>
  <c r="AZ50" i="1"/>
  <c r="AY50" i="1"/>
  <c r="AX50" i="1"/>
  <c r="AW50" i="1"/>
  <c r="BC49" i="1"/>
  <c r="BB49" i="1"/>
  <c r="BA49" i="1"/>
  <c r="AZ49" i="1"/>
  <c r="AY49" i="1"/>
  <c r="AX49" i="1"/>
  <c r="AW49" i="1"/>
  <c r="BC48" i="1"/>
  <c r="BB48" i="1"/>
  <c r="BA48" i="1"/>
  <c r="AZ48" i="1"/>
  <c r="AY48" i="1"/>
  <c r="AX48" i="1"/>
  <c r="AW48" i="1"/>
  <c r="BC47" i="1"/>
  <c r="BB47" i="1"/>
  <c r="BA47" i="1"/>
  <c r="AZ47" i="1"/>
  <c r="AY47" i="1"/>
  <c r="AX47" i="1"/>
  <c r="AW47" i="1"/>
  <c r="BC46" i="1"/>
  <c r="BB46" i="1"/>
  <c r="BA46" i="1"/>
  <c r="AZ46" i="1"/>
  <c r="AY46" i="1"/>
  <c r="AX46" i="1"/>
  <c r="AW46" i="1"/>
  <c r="BC45" i="1"/>
  <c r="BB45" i="1"/>
  <c r="BA45" i="1"/>
  <c r="AZ45" i="1"/>
  <c r="AY45" i="1"/>
  <c r="AX45" i="1"/>
  <c r="AW45" i="1"/>
  <c r="BC44" i="1"/>
  <c r="BB44" i="1"/>
  <c r="BA44" i="1"/>
  <c r="AZ44" i="1"/>
  <c r="AY44" i="1"/>
  <c r="AX44" i="1"/>
  <c r="AW44" i="1"/>
  <c r="BC43" i="1"/>
  <c r="BB43" i="1"/>
  <c r="BA43" i="1"/>
  <c r="AZ43" i="1"/>
  <c r="AY43" i="1"/>
  <c r="AX43" i="1"/>
  <c r="AW43" i="1"/>
  <c r="BC41" i="1"/>
  <c r="BB41" i="1"/>
  <c r="BA41" i="1"/>
  <c r="AZ41" i="1"/>
  <c r="AY41" i="1"/>
  <c r="AX41" i="1"/>
  <c r="AW41" i="1"/>
  <c r="BC40" i="1"/>
  <c r="BB40" i="1"/>
  <c r="BA40" i="1"/>
  <c r="AZ40" i="1"/>
  <c r="AY40" i="1"/>
  <c r="AX40" i="1"/>
  <c r="AW40" i="1"/>
  <c r="BC39" i="1"/>
  <c r="BB39" i="1"/>
  <c r="BA39" i="1"/>
  <c r="AZ39" i="1"/>
  <c r="AY39" i="1"/>
  <c r="AX39" i="1"/>
  <c r="AW39" i="1"/>
  <c r="BC38" i="1"/>
  <c r="BB38" i="1"/>
  <c r="BA38" i="1"/>
  <c r="AZ38" i="1"/>
  <c r="AY38" i="1"/>
  <c r="AX38" i="1"/>
  <c r="AW38" i="1"/>
  <c r="BC36" i="1"/>
  <c r="BB36" i="1"/>
  <c r="BA36" i="1"/>
  <c r="AZ36" i="1"/>
  <c r="AY36" i="1"/>
  <c r="AX36" i="1"/>
  <c r="AW36" i="1"/>
  <c r="BC35" i="1"/>
  <c r="BB35" i="1"/>
  <c r="BA35" i="1"/>
  <c r="AZ35" i="1"/>
  <c r="AY35" i="1"/>
  <c r="AX35" i="1"/>
  <c r="AW35" i="1"/>
  <c r="BC34" i="1"/>
  <c r="BB34" i="1"/>
  <c r="BA34" i="1"/>
  <c r="AZ34" i="1"/>
  <c r="AY34" i="1"/>
  <c r="AX34" i="1"/>
  <c r="AW34" i="1"/>
  <c r="BC32" i="1"/>
  <c r="BB32" i="1"/>
  <c r="BA32" i="1"/>
  <c r="AZ32" i="1"/>
  <c r="AY32" i="1"/>
  <c r="AX32" i="1"/>
  <c r="AW32" i="1"/>
  <c r="BC31" i="1"/>
  <c r="BB31" i="1"/>
  <c r="BA31" i="1"/>
  <c r="AZ31" i="1"/>
  <c r="AY31" i="1"/>
  <c r="AX31" i="1"/>
  <c r="AW31" i="1"/>
  <c r="BC30" i="1"/>
  <c r="BB30" i="1"/>
  <c r="BA30" i="1"/>
  <c r="AZ30" i="1"/>
  <c r="AY30" i="1"/>
  <c r="AX30" i="1"/>
  <c r="AW30" i="1"/>
  <c r="BC29" i="1"/>
  <c r="BB29" i="1"/>
  <c r="BA29" i="1"/>
  <c r="AZ29" i="1"/>
  <c r="AY29" i="1"/>
  <c r="AX29" i="1"/>
  <c r="AW29" i="1"/>
  <c r="BC28" i="1"/>
  <c r="BB28" i="1"/>
  <c r="BA28" i="1"/>
  <c r="AZ28" i="1"/>
  <c r="AY28" i="1"/>
  <c r="AX28" i="1"/>
  <c r="AW28" i="1"/>
  <c r="BC26" i="1"/>
  <c r="BB26" i="1"/>
  <c r="BA26" i="1"/>
  <c r="AZ26" i="1"/>
  <c r="AY26" i="1"/>
  <c r="AX26" i="1"/>
  <c r="AW26" i="1"/>
  <c r="BC25" i="1"/>
  <c r="BB25" i="1"/>
  <c r="BA25" i="1"/>
  <c r="AZ25" i="1"/>
  <c r="AY25" i="1"/>
  <c r="AX25" i="1"/>
  <c r="AW25" i="1"/>
  <c r="BC24" i="1"/>
  <c r="BB24" i="1"/>
  <c r="BA24" i="1"/>
  <c r="AZ24" i="1"/>
  <c r="AY24" i="1"/>
  <c r="AX24" i="1"/>
  <c r="AW24" i="1"/>
  <c r="BC23" i="1"/>
  <c r="BB23" i="1"/>
  <c r="BA23" i="1"/>
  <c r="AZ23" i="1"/>
  <c r="AY23" i="1"/>
  <c r="AX23" i="1"/>
  <c r="AW23" i="1"/>
  <c r="BC22" i="1"/>
  <c r="BB22" i="1"/>
  <c r="BA22" i="1"/>
  <c r="AZ22" i="1"/>
  <c r="AY22" i="1"/>
  <c r="AX22" i="1"/>
  <c r="AW22" i="1"/>
  <c r="BC21" i="1"/>
  <c r="BB21" i="1"/>
  <c r="BA21" i="1"/>
  <c r="AZ21" i="1"/>
  <c r="AY21" i="1"/>
  <c r="AX21" i="1"/>
  <c r="AW21" i="1"/>
  <c r="BC20" i="1"/>
  <c r="BB20" i="1"/>
  <c r="BA20" i="1"/>
  <c r="AZ20" i="1"/>
  <c r="AY20" i="1"/>
  <c r="AX20" i="1"/>
  <c r="AW20" i="1"/>
  <c r="BC18" i="1"/>
  <c r="BB18" i="1"/>
  <c r="BA18" i="1"/>
  <c r="AZ18" i="1"/>
  <c r="AY18" i="1"/>
  <c r="AX18" i="1"/>
  <c r="AW18" i="1"/>
  <c r="BC17" i="1"/>
  <c r="BB17" i="1"/>
  <c r="BA17" i="1"/>
  <c r="AZ17" i="1"/>
  <c r="AY17" i="1"/>
  <c r="AX17" i="1"/>
  <c r="AW17" i="1"/>
  <c r="BC16" i="1"/>
  <c r="BB16" i="1"/>
  <c r="BA16" i="1"/>
  <c r="AZ16" i="1"/>
  <c r="AY16" i="1"/>
  <c r="AX16" i="1"/>
  <c r="AW16" i="1"/>
  <c r="BC15" i="1"/>
  <c r="BB15" i="1"/>
  <c r="BA15" i="1"/>
  <c r="AZ15" i="1"/>
  <c r="AY15" i="1"/>
  <c r="AX15" i="1"/>
  <c r="AW15" i="1"/>
  <c r="BC14" i="1"/>
  <c r="BB14" i="1"/>
  <c r="BA14" i="1"/>
  <c r="AZ14" i="1"/>
  <c r="AY14" i="1"/>
  <c r="AX14" i="1"/>
  <c r="AW14" i="1"/>
  <c r="BC13" i="1"/>
  <c r="BB13" i="1"/>
  <c r="BA13" i="1"/>
  <c r="AZ13" i="1"/>
  <c r="AY13" i="1"/>
  <c r="AX13" i="1"/>
  <c r="AW13" i="1"/>
  <c r="BC12" i="1"/>
  <c r="BB12" i="1"/>
  <c r="BA12" i="1"/>
  <c r="AZ12" i="1"/>
  <c r="AY12" i="1"/>
  <c r="AX12" i="1"/>
  <c r="AW12" i="1"/>
  <c r="BC10" i="1"/>
  <c r="BB10" i="1"/>
  <c r="BA10" i="1"/>
  <c r="AZ10" i="1"/>
  <c r="AY10" i="1"/>
  <c r="AX10" i="1"/>
  <c r="AW10" i="1"/>
  <c r="BC9" i="1"/>
  <c r="BB9" i="1"/>
  <c r="BA9" i="1"/>
  <c r="AZ9" i="1"/>
  <c r="AY9" i="1"/>
  <c r="AX9" i="1"/>
  <c r="AW9" i="1"/>
  <c r="BC8" i="1"/>
  <c r="BB8" i="1"/>
  <c r="BA8" i="1"/>
  <c r="AZ8" i="1"/>
  <c r="AY8" i="1"/>
  <c r="AX8" i="1"/>
  <c r="AW8" i="1"/>
  <c r="BC6" i="1"/>
  <c r="BB6" i="1"/>
  <c r="BA6" i="1"/>
  <c r="AZ6" i="1"/>
  <c r="AY6" i="1"/>
  <c r="AX6" i="1"/>
  <c r="AW6" i="1"/>
  <c r="BC5" i="1"/>
  <c r="BB5" i="1"/>
  <c r="BA5" i="1"/>
  <c r="AZ5" i="1"/>
  <c r="AY5" i="1"/>
  <c r="AX5" i="1"/>
  <c r="AW5" i="1"/>
  <c r="BC4" i="1"/>
  <c r="BB4" i="1"/>
  <c r="BA4" i="1"/>
  <c r="AZ4" i="1"/>
  <c r="AY4" i="1"/>
  <c r="AX4" i="1"/>
  <c r="AW4" i="1"/>
  <c r="AV60" i="1"/>
  <c r="AU60" i="1"/>
  <c r="AT60" i="1"/>
  <c r="AS60" i="1"/>
  <c r="AR60" i="1"/>
  <c r="AQ60" i="1"/>
  <c r="AP60" i="1"/>
  <c r="AV59" i="1"/>
  <c r="AU59" i="1"/>
  <c r="AT59" i="1"/>
  <c r="AS59" i="1"/>
  <c r="AR59" i="1"/>
  <c r="AQ59" i="1"/>
  <c r="AP59" i="1"/>
  <c r="AV58" i="1"/>
  <c r="AU58" i="1"/>
  <c r="AT58" i="1"/>
  <c r="AS58" i="1"/>
  <c r="AR58" i="1"/>
  <c r="AQ58" i="1"/>
  <c r="AP58" i="1"/>
  <c r="AV57" i="1"/>
  <c r="AU57" i="1"/>
  <c r="AT57" i="1"/>
  <c r="AS57" i="1"/>
  <c r="AR57" i="1"/>
  <c r="AQ57" i="1"/>
  <c r="AP57" i="1"/>
  <c r="AV56" i="1"/>
  <c r="AU56" i="1"/>
  <c r="AT56" i="1"/>
  <c r="AS56" i="1"/>
  <c r="AR56" i="1"/>
  <c r="AQ56" i="1"/>
  <c r="AP56" i="1"/>
  <c r="AV55" i="1"/>
  <c r="AU55" i="1"/>
  <c r="AT55" i="1"/>
  <c r="AS55" i="1"/>
  <c r="AR55" i="1"/>
  <c r="AQ55" i="1"/>
  <c r="AP55" i="1"/>
  <c r="AV54" i="1"/>
  <c r="AU54" i="1"/>
  <c r="AT54" i="1"/>
  <c r="AS54" i="1"/>
  <c r="AR54" i="1"/>
  <c r="AQ54" i="1"/>
  <c r="AP54" i="1"/>
  <c r="AV53" i="1"/>
  <c r="AU53" i="1"/>
  <c r="AT53" i="1"/>
  <c r="AS53" i="1"/>
  <c r="AR53" i="1"/>
  <c r="AQ53" i="1"/>
  <c r="AP53" i="1"/>
  <c r="AV52" i="1"/>
  <c r="AU52" i="1"/>
  <c r="AT52" i="1"/>
  <c r="AS52" i="1"/>
  <c r="AR52" i="1"/>
  <c r="AQ52" i="1"/>
  <c r="AP52" i="1"/>
  <c r="AV51" i="1"/>
  <c r="AU51" i="1"/>
  <c r="AT51" i="1"/>
  <c r="AS51" i="1"/>
  <c r="AR51" i="1"/>
  <c r="AQ51" i="1"/>
  <c r="AP51" i="1"/>
  <c r="AV50" i="1"/>
  <c r="AU50" i="1"/>
  <c r="AT50" i="1"/>
  <c r="AS50" i="1"/>
  <c r="AR50" i="1"/>
  <c r="AQ50" i="1"/>
  <c r="AP50" i="1"/>
  <c r="AV49" i="1"/>
  <c r="AU49" i="1"/>
  <c r="AT49" i="1"/>
  <c r="AS49" i="1"/>
  <c r="AR49" i="1"/>
  <c r="AQ49" i="1"/>
  <c r="AP49" i="1"/>
  <c r="AV48" i="1"/>
  <c r="AU48" i="1"/>
  <c r="AT48" i="1"/>
  <c r="AS48" i="1"/>
  <c r="AR48" i="1"/>
  <c r="AQ48" i="1"/>
  <c r="AP48" i="1"/>
  <c r="AV47" i="1"/>
  <c r="AU47" i="1"/>
  <c r="AT47" i="1"/>
  <c r="AS47" i="1"/>
  <c r="AR47" i="1"/>
  <c r="AQ47" i="1"/>
  <c r="AP47" i="1"/>
  <c r="AV46" i="1"/>
  <c r="AU46" i="1"/>
  <c r="AT46" i="1"/>
  <c r="AS46" i="1"/>
  <c r="AR46" i="1"/>
  <c r="AQ46" i="1"/>
  <c r="AP46" i="1"/>
  <c r="AV45" i="1"/>
  <c r="AU45" i="1"/>
  <c r="AT45" i="1"/>
  <c r="AS45" i="1"/>
  <c r="AR45" i="1"/>
  <c r="AQ45" i="1"/>
  <c r="AP45" i="1"/>
  <c r="AV44" i="1"/>
  <c r="AU44" i="1"/>
  <c r="AT44" i="1"/>
  <c r="AS44" i="1"/>
  <c r="AR44" i="1"/>
  <c r="AQ44" i="1"/>
  <c r="AP44" i="1"/>
  <c r="AV43" i="1"/>
  <c r="AU43" i="1"/>
  <c r="AT43" i="1"/>
  <c r="AS43" i="1"/>
  <c r="AR43" i="1"/>
  <c r="AQ43" i="1"/>
  <c r="AP43" i="1"/>
  <c r="AV41" i="1"/>
  <c r="AU41" i="1"/>
  <c r="AT41" i="1"/>
  <c r="AS41" i="1"/>
  <c r="AR41" i="1"/>
  <c r="AQ41" i="1"/>
  <c r="AP41" i="1"/>
  <c r="AV40" i="1"/>
  <c r="AU40" i="1"/>
  <c r="AT40" i="1"/>
  <c r="AS40" i="1"/>
  <c r="AR40" i="1"/>
  <c r="AQ40" i="1"/>
  <c r="AP40" i="1"/>
  <c r="AV39" i="1"/>
  <c r="AU39" i="1"/>
  <c r="AT39" i="1"/>
  <c r="AS39" i="1"/>
  <c r="AR39" i="1"/>
  <c r="AQ39" i="1"/>
  <c r="AP39" i="1"/>
  <c r="AV38" i="1"/>
  <c r="AU38" i="1"/>
  <c r="AT38" i="1"/>
  <c r="AS38" i="1"/>
  <c r="AR38" i="1"/>
  <c r="AQ38" i="1"/>
  <c r="AP38" i="1"/>
  <c r="AV36" i="1"/>
  <c r="AU36" i="1"/>
  <c r="AT36" i="1"/>
  <c r="AS36" i="1"/>
  <c r="AR36" i="1"/>
  <c r="AQ36" i="1"/>
  <c r="AP36" i="1"/>
  <c r="AV35" i="1"/>
  <c r="AU35" i="1"/>
  <c r="AT35" i="1"/>
  <c r="AS35" i="1"/>
  <c r="AR35" i="1"/>
  <c r="AQ35" i="1"/>
  <c r="AP35" i="1"/>
  <c r="AV34" i="1"/>
  <c r="AU34" i="1"/>
  <c r="AT34" i="1"/>
  <c r="AS34" i="1"/>
  <c r="AR34" i="1"/>
  <c r="AQ34" i="1"/>
  <c r="AP34" i="1"/>
  <c r="AV32" i="1"/>
  <c r="AU32" i="1"/>
  <c r="AT32" i="1"/>
  <c r="AS32" i="1"/>
  <c r="AR32" i="1"/>
  <c r="AQ32" i="1"/>
  <c r="AP32" i="1"/>
  <c r="AV31" i="1"/>
  <c r="AU31" i="1"/>
  <c r="AT31" i="1"/>
  <c r="AS31" i="1"/>
  <c r="AR31" i="1"/>
  <c r="AQ31" i="1"/>
  <c r="AP31" i="1"/>
  <c r="AV30" i="1"/>
  <c r="AU30" i="1"/>
  <c r="AT30" i="1"/>
  <c r="AS30" i="1"/>
  <c r="AR30" i="1"/>
  <c r="AQ30" i="1"/>
  <c r="AP30" i="1"/>
  <c r="AV29" i="1"/>
  <c r="AU29" i="1"/>
  <c r="AT29" i="1"/>
  <c r="AS29" i="1"/>
  <c r="AR29" i="1"/>
  <c r="AQ29" i="1"/>
  <c r="AP29" i="1"/>
  <c r="AV28" i="1"/>
  <c r="AU28" i="1"/>
  <c r="AT28" i="1"/>
  <c r="AS28" i="1"/>
  <c r="AR28" i="1"/>
  <c r="AQ28" i="1"/>
  <c r="AP28" i="1"/>
  <c r="AV26" i="1"/>
  <c r="AU26" i="1"/>
  <c r="AT26" i="1"/>
  <c r="AS26" i="1"/>
  <c r="AR26" i="1"/>
  <c r="AQ26" i="1"/>
  <c r="AP26" i="1"/>
  <c r="AV25" i="1"/>
  <c r="AU25" i="1"/>
  <c r="AT25" i="1"/>
  <c r="AS25" i="1"/>
  <c r="AR25" i="1"/>
  <c r="AQ25" i="1"/>
  <c r="AP25" i="1"/>
  <c r="AV24" i="1"/>
  <c r="AU24" i="1"/>
  <c r="AT24" i="1"/>
  <c r="AS24" i="1"/>
  <c r="AR24" i="1"/>
  <c r="AQ24" i="1"/>
  <c r="AP24" i="1"/>
  <c r="AV23" i="1"/>
  <c r="AU23" i="1"/>
  <c r="AT23" i="1"/>
  <c r="AS23" i="1"/>
  <c r="AR23" i="1"/>
  <c r="AQ23" i="1"/>
  <c r="AP23" i="1"/>
  <c r="AV22" i="1"/>
  <c r="AU22" i="1"/>
  <c r="AT22" i="1"/>
  <c r="AS22" i="1"/>
  <c r="AR22" i="1"/>
  <c r="AQ22" i="1"/>
  <c r="AP22" i="1"/>
  <c r="AV21" i="1"/>
  <c r="AU21" i="1"/>
  <c r="AT21" i="1"/>
  <c r="AS21" i="1"/>
  <c r="AR21" i="1"/>
  <c r="AQ21" i="1"/>
  <c r="AP21" i="1"/>
  <c r="AV20" i="1"/>
  <c r="AU20" i="1"/>
  <c r="AT20" i="1"/>
  <c r="AS20" i="1"/>
  <c r="AR20" i="1"/>
  <c r="AQ20" i="1"/>
  <c r="AP20" i="1"/>
  <c r="AV18" i="1"/>
  <c r="AU18" i="1"/>
  <c r="AT18" i="1"/>
  <c r="AS18" i="1"/>
  <c r="AR18" i="1"/>
  <c r="AQ18" i="1"/>
  <c r="AP18" i="1"/>
  <c r="AV17" i="1"/>
  <c r="AU17" i="1"/>
  <c r="AT17" i="1"/>
  <c r="AS17" i="1"/>
  <c r="AR17" i="1"/>
  <c r="AQ17" i="1"/>
  <c r="AP17" i="1"/>
  <c r="AV16" i="1"/>
  <c r="AU16" i="1"/>
  <c r="AT16" i="1"/>
  <c r="AS16" i="1"/>
  <c r="AR16" i="1"/>
  <c r="AQ16" i="1"/>
  <c r="AP16" i="1"/>
  <c r="AV15" i="1"/>
  <c r="AU15" i="1"/>
  <c r="AT15" i="1"/>
  <c r="AS15" i="1"/>
  <c r="AR15" i="1"/>
  <c r="AQ15" i="1"/>
  <c r="AP15" i="1"/>
  <c r="AV14" i="1"/>
  <c r="AU14" i="1"/>
  <c r="AT14" i="1"/>
  <c r="AS14" i="1"/>
  <c r="AR14" i="1"/>
  <c r="AQ14" i="1"/>
  <c r="AP14" i="1"/>
  <c r="AV13" i="1"/>
  <c r="AU13" i="1"/>
  <c r="AT13" i="1"/>
  <c r="AS13" i="1"/>
  <c r="AR13" i="1"/>
  <c r="AQ13" i="1"/>
  <c r="AP13" i="1"/>
  <c r="AV12" i="1"/>
  <c r="AU12" i="1"/>
  <c r="AT12" i="1"/>
  <c r="AS12" i="1"/>
  <c r="AR12" i="1"/>
  <c r="AQ12" i="1"/>
  <c r="AP12" i="1"/>
  <c r="AV10" i="1"/>
  <c r="AU10" i="1"/>
  <c r="AT10" i="1"/>
  <c r="AS10" i="1"/>
  <c r="AR10" i="1"/>
  <c r="AQ10" i="1"/>
  <c r="AP10" i="1"/>
  <c r="AV9" i="1"/>
  <c r="AU9" i="1"/>
  <c r="AT9" i="1"/>
  <c r="AS9" i="1"/>
  <c r="AR9" i="1"/>
  <c r="AQ9" i="1"/>
  <c r="AP9" i="1"/>
  <c r="AV8" i="1"/>
  <c r="AU8" i="1"/>
  <c r="AT8" i="1"/>
  <c r="AS8" i="1"/>
  <c r="AR8" i="1"/>
  <c r="AQ8" i="1"/>
  <c r="AP8" i="1"/>
  <c r="AV6" i="1"/>
  <c r="AU6" i="1"/>
  <c r="AT6" i="1"/>
  <c r="AS6" i="1"/>
  <c r="AR6" i="1"/>
  <c r="AQ6" i="1"/>
  <c r="AP6" i="1"/>
  <c r="AV5" i="1"/>
  <c r="AU5" i="1"/>
  <c r="AT5" i="1"/>
  <c r="AS5" i="1"/>
  <c r="AR5" i="1"/>
  <c r="AQ5" i="1"/>
  <c r="AP5" i="1"/>
  <c r="AV4" i="1"/>
  <c r="AU4" i="1"/>
  <c r="AT4" i="1"/>
  <c r="AS4" i="1"/>
  <c r="AR4" i="1"/>
  <c r="AQ4" i="1"/>
  <c r="AP4" i="1"/>
  <c r="AN60" i="1"/>
  <c r="AM60" i="1"/>
  <c r="AL60" i="1"/>
  <c r="AK60" i="1"/>
  <c r="AJ60" i="1"/>
  <c r="AI60" i="1"/>
  <c r="AH60" i="1"/>
  <c r="AG60" i="1"/>
  <c r="AN59" i="1"/>
  <c r="AM59" i="1"/>
  <c r="AL59" i="1"/>
  <c r="AK59" i="1"/>
  <c r="AJ59" i="1"/>
  <c r="AI59" i="1"/>
  <c r="AH59" i="1"/>
  <c r="AG59" i="1"/>
  <c r="AN58" i="1"/>
  <c r="AM58" i="1"/>
  <c r="AL58" i="1"/>
  <c r="AK58" i="1"/>
  <c r="AJ58" i="1"/>
  <c r="AI58" i="1"/>
  <c r="AH58" i="1"/>
  <c r="AG58" i="1"/>
  <c r="AN57" i="1"/>
  <c r="AM57" i="1"/>
  <c r="AL57" i="1"/>
  <c r="AK57" i="1"/>
  <c r="AJ57" i="1"/>
  <c r="AI57" i="1"/>
  <c r="AH57" i="1"/>
  <c r="AG57" i="1"/>
  <c r="AN56" i="1"/>
  <c r="AM56" i="1"/>
  <c r="AL56" i="1"/>
  <c r="AK56" i="1"/>
  <c r="AJ56" i="1"/>
  <c r="AI56" i="1"/>
  <c r="AH56" i="1"/>
  <c r="AG56" i="1"/>
  <c r="AN55" i="1"/>
  <c r="AM55" i="1"/>
  <c r="AL55" i="1"/>
  <c r="AK55" i="1"/>
  <c r="AJ55" i="1"/>
  <c r="AI55" i="1"/>
  <c r="AH55" i="1"/>
  <c r="AG55" i="1"/>
  <c r="AN54" i="1"/>
  <c r="AM54" i="1"/>
  <c r="AL54" i="1"/>
  <c r="AK54" i="1"/>
  <c r="AJ54" i="1"/>
  <c r="AI54" i="1"/>
  <c r="AH54" i="1"/>
  <c r="AG54" i="1"/>
  <c r="AN53" i="1"/>
  <c r="AM53" i="1"/>
  <c r="AL53" i="1"/>
  <c r="AK53" i="1"/>
  <c r="AJ53" i="1"/>
  <c r="AI53" i="1"/>
  <c r="AH53" i="1"/>
  <c r="AG53" i="1"/>
  <c r="AN52" i="1"/>
  <c r="AM52" i="1"/>
  <c r="AL52" i="1"/>
  <c r="AK52" i="1"/>
  <c r="AJ52" i="1"/>
  <c r="AI52" i="1"/>
  <c r="AH52" i="1"/>
  <c r="AG52" i="1"/>
  <c r="AN51" i="1"/>
  <c r="AM51" i="1"/>
  <c r="AL51" i="1"/>
  <c r="AK51" i="1"/>
  <c r="AJ51" i="1"/>
  <c r="AI51" i="1"/>
  <c r="AH51" i="1"/>
  <c r="AG51" i="1"/>
  <c r="AN50" i="1"/>
  <c r="AM50" i="1"/>
  <c r="AL50" i="1"/>
  <c r="AK50" i="1"/>
  <c r="AJ50" i="1"/>
  <c r="AI50" i="1"/>
  <c r="AH50" i="1"/>
  <c r="AG50" i="1"/>
  <c r="AN49" i="1"/>
  <c r="AM49" i="1"/>
  <c r="AL49" i="1"/>
  <c r="AK49" i="1"/>
  <c r="AJ49" i="1"/>
  <c r="AI49" i="1"/>
  <c r="AH49" i="1"/>
  <c r="AG49" i="1"/>
  <c r="AN48" i="1"/>
  <c r="AM48" i="1"/>
  <c r="AL48" i="1"/>
  <c r="AK48" i="1"/>
  <c r="AJ48" i="1"/>
  <c r="AI48" i="1"/>
  <c r="AH48" i="1"/>
  <c r="AG48" i="1"/>
  <c r="AN47" i="1"/>
  <c r="AM47" i="1"/>
  <c r="AL47" i="1"/>
  <c r="AK47" i="1"/>
  <c r="AJ47" i="1"/>
  <c r="AI47" i="1"/>
  <c r="AH47" i="1"/>
  <c r="AG47" i="1"/>
  <c r="AN46" i="1"/>
  <c r="AM46" i="1"/>
  <c r="AL46" i="1"/>
  <c r="AK46" i="1"/>
  <c r="AJ46" i="1"/>
  <c r="AI46" i="1"/>
  <c r="AH46" i="1"/>
  <c r="AG46" i="1"/>
  <c r="AN45" i="1"/>
  <c r="AM45" i="1"/>
  <c r="AL45" i="1"/>
  <c r="AK45" i="1"/>
  <c r="AJ45" i="1"/>
  <c r="AI45" i="1"/>
  <c r="AH45" i="1"/>
  <c r="AG45" i="1"/>
  <c r="AN44" i="1"/>
  <c r="AM44" i="1"/>
  <c r="AL44" i="1"/>
  <c r="AK44" i="1"/>
  <c r="AJ44" i="1"/>
  <c r="AI44" i="1"/>
  <c r="AH44" i="1"/>
  <c r="AG44" i="1"/>
  <c r="AN43" i="1"/>
  <c r="AM43" i="1"/>
  <c r="AL43" i="1"/>
  <c r="AK43" i="1"/>
  <c r="AJ43" i="1"/>
  <c r="AI43" i="1"/>
  <c r="AH43" i="1"/>
  <c r="AG43" i="1"/>
  <c r="AN41" i="1"/>
  <c r="AM41" i="1"/>
  <c r="AL41" i="1"/>
  <c r="AK41" i="1"/>
  <c r="AJ41" i="1"/>
  <c r="AI41" i="1"/>
  <c r="AH41" i="1"/>
  <c r="AG41" i="1"/>
  <c r="AN40" i="1"/>
  <c r="AM40" i="1"/>
  <c r="AL40" i="1"/>
  <c r="AK40" i="1"/>
  <c r="AJ40" i="1"/>
  <c r="AI40" i="1"/>
  <c r="AH40" i="1"/>
  <c r="AG40" i="1"/>
  <c r="AN39" i="1"/>
  <c r="AM39" i="1"/>
  <c r="AL39" i="1"/>
  <c r="AK39" i="1"/>
  <c r="AJ39" i="1"/>
  <c r="AI39" i="1"/>
  <c r="AH39" i="1"/>
  <c r="AG39" i="1"/>
  <c r="AN38" i="1"/>
  <c r="AM38" i="1"/>
  <c r="AL38" i="1"/>
  <c r="AK38" i="1"/>
  <c r="AJ38" i="1"/>
  <c r="AI38" i="1"/>
  <c r="AH38" i="1"/>
  <c r="AG38" i="1"/>
  <c r="AN36" i="1"/>
  <c r="AM36" i="1"/>
  <c r="AL36" i="1"/>
  <c r="AK36" i="1"/>
  <c r="AJ36" i="1"/>
  <c r="AI36" i="1"/>
  <c r="AH36" i="1"/>
  <c r="AG36" i="1"/>
  <c r="AN35" i="1"/>
  <c r="AM35" i="1"/>
  <c r="AL35" i="1"/>
  <c r="AK35" i="1"/>
  <c r="AJ35" i="1"/>
  <c r="AI35" i="1"/>
  <c r="AH35" i="1"/>
  <c r="AG35" i="1"/>
  <c r="AN34" i="1"/>
  <c r="AM34" i="1"/>
  <c r="AL34" i="1"/>
  <c r="AK34" i="1"/>
  <c r="AJ34" i="1"/>
  <c r="AI34" i="1"/>
  <c r="AH34" i="1"/>
  <c r="AG34" i="1"/>
  <c r="AN32" i="1"/>
  <c r="AM32" i="1"/>
  <c r="AL32" i="1"/>
  <c r="AK32" i="1"/>
  <c r="AJ32" i="1"/>
  <c r="AI32" i="1"/>
  <c r="AH32" i="1"/>
  <c r="AG32" i="1"/>
  <c r="AN31" i="1"/>
  <c r="AM31" i="1"/>
  <c r="AL31" i="1"/>
  <c r="AK31" i="1"/>
  <c r="AJ31" i="1"/>
  <c r="AI31" i="1"/>
  <c r="AH31" i="1"/>
  <c r="AG31" i="1"/>
  <c r="AN30" i="1"/>
  <c r="AM30" i="1"/>
  <c r="AL30" i="1"/>
  <c r="AK30" i="1"/>
  <c r="AJ30" i="1"/>
  <c r="AI30" i="1"/>
  <c r="AH30" i="1"/>
  <c r="AG30" i="1"/>
  <c r="AN29" i="1"/>
  <c r="AM29" i="1"/>
  <c r="AL29" i="1"/>
  <c r="AK29" i="1"/>
  <c r="AJ29" i="1"/>
  <c r="AI29" i="1"/>
  <c r="AH29" i="1"/>
  <c r="AG29" i="1"/>
  <c r="AN28" i="1"/>
  <c r="AM28" i="1"/>
  <c r="AL28" i="1"/>
  <c r="AK28" i="1"/>
  <c r="AJ28" i="1"/>
  <c r="AI28" i="1"/>
  <c r="AH28" i="1"/>
  <c r="AG28" i="1"/>
  <c r="AN26" i="1"/>
  <c r="AM26" i="1"/>
  <c r="AL26" i="1"/>
  <c r="AK26" i="1"/>
  <c r="AJ26" i="1"/>
  <c r="AI26" i="1"/>
  <c r="AH26" i="1"/>
  <c r="AG26" i="1"/>
  <c r="AN25" i="1"/>
  <c r="AM25" i="1"/>
  <c r="AL25" i="1"/>
  <c r="AK25" i="1"/>
  <c r="AJ25" i="1"/>
  <c r="AI25" i="1"/>
  <c r="AH25" i="1"/>
  <c r="AG25" i="1"/>
  <c r="AN24" i="1"/>
  <c r="AM24" i="1"/>
  <c r="AL24" i="1"/>
  <c r="AK24" i="1"/>
  <c r="AJ24" i="1"/>
  <c r="AI24" i="1"/>
  <c r="AH24" i="1"/>
  <c r="AG24" i="1"/>
  <c r="AN23" i="1"/>
  <c r="AM23" i="1"/>
  <c r="AL23" i="1"/>
  <c r="AK23" i="1"/>
  <c r="AJ23" i="1"/>
  <c r="AI23" i="1"/>
  <c r="AH23" i="1"/>
  <c r="AG23" i="1"/>
  <c r="AN22" i="1"/>
  <c r="AM22" i="1"/>
  <c r="AL22" i="1"/>
  <c r="AK22" i="1"/>
  <c r="AJ22" i="1"/>
  <c r="AI22" i="1"/>
  <c r="AH22" i="1"/>
  <c r="AG22" i="1"/>
  <c r="AN21" i="1"/>
  <c r="AM21" i="1"/>
  <c r="AL21" i="1"/>
  <c r="AK21" i="1"/>
  <c r="AJ21" i="1"/>
  <c r="AI21" i="1"/>
  <c r="AH21" i="1"/>
  <c r="AG21" i="1"/>
  <c r="AN20" i="1"/>
  <c r="AM20" i="1"/>
  <c r="AL20" i="1"/>
  <c r="AK20" i="1"/>
  <c r="AJ20" i="1"/>
  <c r="AI20" i="1"/>
  <c r="AH20" i="1"/>
  <c r="AG20" i="1"/>
  <c r="AN18" i="1"/>
  <c r="AM18" i="1"/>
  <c r="AL18" i="1"/>
  <c r="AK18" i="1"/>
  <c r="AJ18" i="1"/>
  <c r="AI18" i="1"/>
  <c r="AH18" i="1"/>
  <c r="AG18" i="1"/>
  <c r="AN17" i="1"/>
  <c r="AM17" i="1"/>
  <c r="AL17" i="1"/>
  <c r="AK17" i="1"/>
  <c r="AJ17" i="1"/>
  <c r="AI17" i="1"/>
  <c r="AH17" i="1"/>
  <c r="AG17" i="1"/>
  <c r="AN16" i="1"/>
  <c r="AM16" i="1"/>
  <c r="AL16" i="1"/>
  <c r="AK16" i="1"/>
  <c r="AJ16" i="1"/>
  <c r="AI16" i="1"/>
  <c r="AH16" i="1"/>
  <c r="AG16" i="1"/>
  <c r="AN15" i="1"/>
  <c r="AM15" i="1"/>
  <c r="AL15" i="1"/>
  <c r="AK15" i="1"/>
  <c r="AJ15" i="1"/>
  <c r="AI15" i="1"/>
  <c r="AH15" i="1"/>
  <c r="AG15" i="1"/>
  <c r="AN14" i="1"/>
  <c r="AM14" i="1"/>
  <c r="AL14" i="1"/>
  <c r="AK14" i="1"/>
  <c r="AJ14" i="1"/>
  <c r="AI14" i="1"/>
  <c r="AH14" i="1"/>
  <c r="AG14" i="1"/>
  <c r="AN13" i="1"/>
  <c r="AM13" i="1"/>
  <c r="AL13" i="1"/>
  <c r="AK13" i="1"/>
  <c r="AJ13" i="1"/>
  <c r="AI13" i="1"/>
  <c r="AH13" i="1"/>
  <c r="AG13" i="1"/>
  <c r="AN12" i="1"/>
  <c r="AM12" i="1"/>
  <c r="AL12" i="1"/>
  <c r="AK12" i="1"/>
  <c r="AJ12" i="1"/>
  <c r="AI12" i="1"/>
  <c r="AH12" i="1"/>
  <c r="AG12" i="1"/>
  <c r="AN10" i="1"/>
  <c r="AM10" i="1"/>
  <c r="AL10" i="1"/>
  <c r="AK10" i="1"/>
  <c r="AJ10" i="1"/>
  <c r="AI10" i="1"/>
  <c r="AH10" i="1"/>
  <c r="AG10" i="1"/>
  <c r="AN9" i="1"/>
  <c r="AM9" i="1"/>
  <c r="AL9" i="1"/>
  <c r="AK9" i="1"/>
  <c r="AJ9" i="1"/>
  <c r="AI9" i="1"/>
  <c r="AH9" i="1"/>
  <c r="AG9" i="1"/>
  <c r="AN8" i="1"/>
  <c r="AM8" i="1"/>
  <c r="AL8" i="1"/>
  <c r="AK8" i="1"/>
  <c r="AJ8" i="1"/>
  <c r="AI8" i="1"/>
  <c r="AH8" i="1"/>
  <c r="AG8" i="1"/>
  <c r="AN6" i="1"/>
  <c r="AM6" i="1"/>
  <c r="AL6" i="1"/>
  <c r="AK6" i="1"/>
  <c r="AJ6" i="1"/>
  <c r="AI6" i="1"/>
  <c r="AH6" i="1"/>
  <c r="AG6" i="1"/>
  <c r="AN5" i="1"/>
  <c r="AM5" i="1"/>
  <c r="AL5" i="1"/>
  <c r="AK5" i="1"/>
  <c r="AJ5" i="1"/>
  <c r="AI5" i="1"/>
  <c r="AH5" i="1"/>
  <c r="AG5" i="1"/>
  <c r="AN4" i="1"/>
  <c r="AM4" i="1"/>
  <c r="AL4" i="1"/>
  <c r="AK4" i="1"/>
  <c r="AJ4" i="1"/>
  <c r="AI4" i="1"/>
  <c r="AH4" i="1"/>
  <c r="AG4" i="1"/>
  <c r="AF60" i="1"/>
  <c r="AE60" i="1"/>
  <c r="AD60" i="1"/>
  <c r="AC60" i="1"/>
  <c r="AB60" i="1"/>
  <c r="AA60" i="1"/>
  <c r="Z60" i="1"/>
  <c r="Y60" i="1"/>
  <c r="AF59" i="1"/>
  <c r="AE59" i="1"/>
  <c r="AD59" i="1"/>
  <c r="AC59" i="1"/>
  <c r="AB59" i="1"/>
  <c r="AA59" i="1"/>
  <c r="Z59" i="1"/>
  <c r="Y59" i="1"/>
  <c r="AF58" i="1"/>
  <c r="AE58" i="1"/>
  <c r="AD58" i="1"/>
  <c r="AC58" i="1"/>
  <c r="AB58" i="1"/>
  <c r="AA58" i="1"/>
  <c r="Z58" i="1"/>
  <c r="Y58" i="1"/>
  <c r="AF57" i="1"/>
  <c r="AE57" i="1"/>
  <c r="AD57" i="1"/>
  <c r="AC57" i="1"/>
  <c r="AB57" i="1"/>
  <c r="AA57" i="1"/>
  <c r="Z57" i="1"/>
  <c r="Y57" i="1"/>
  <c r="AF56" i="1"/>
  <c r="AE56" i="1"/>
  <c r="AD56" i="1"/>
  <c r="AC56" i="1"/>
  <c r="AB56" i="1"/>
  <c r="AA56" i="1"/>
  <c r="Z56" i="1"/>
  <c r="Y56" i="1"/>
  <c r="AF55" i="1"/>
  <c r="AE55" i="1"/>
  <c r="AD55" i="1"/>
  <c r="AC55" i="1"/>
  <c r="AB55" i="1"/>
  <c r="AA55" i="1"/>
  <c r="Z55" i="1"/>
  <c r="Y55" i="1"/>
  <c r="AF54" i="1"/>
  <c r="AE54" i="1"/>
  <c r="AD54" i="1"/>
  <c r="AC54" i="1"/>
  <c r="AB54" i="1"/>
  <c r="AA54" i="1"/>
  <c r="Z54" i="1"/>
  <c r="Y54" i="1"/>
  <c r="AF53" i="1"/>
  <c r="AE53" i="1"/>
  <c r="AD53" i="1"/>
  <c r="AC53" i="1"/>
  <c r="AB53" i="1"/>
  <c r="AA53" i="1"/>
  <c r="Z53" i="1"/>
  <c r="Y53" i="1"/>
  <c r="AF52" i="1"/>
  <c r="AE52" i="1"/>
  <c r="AD52" i="1"/>
  <c r="AC52" i="1"/>
  <c r="AB52" i="1"/>
  <c r="AA52" i="1"/>
  <c r="Z52" i="1"/>
  <c r="Y52" i="1"/>
  <c r="AF51" i="1"/>
  <c r="AE51" i="1"/>
  <c r="AD51" i="1"/>
  <c r="AC51" i="1"/>
  <c r="AB51" i="1"/>
  <c r="AA51" i="1"/>
  <c r="Z51" i="1"/>
  <c r="Y51" i="1"/>
  <c r="AF50" i="1"/>
  <c r="AE50" i="1"/>
  <c r="AD50" i="1"/>
  <c r="AC50" i="1"/>
  <c r="AB50" i="1"/>
  <c r="AA50" i="1"/>
  <c r="Z50" i="1"/>
  <c r="Y50" i="1"/>
  <c r="AF49" i="1"/>
  <c r="AE49" i="1"/>
  <c r="AD49" i="1"/>
  <c r="AC49" i="1"/>
  <c r="AB49" i="1"/>
  <c r="AA49" i="1"/>
  <c r="Z49" i="1"/>
  <c r="Y49" i="1"/>
  <c r="AF48" i="1"/>
  <c r="AE48" i="1"/>
  <c r="AD48" i="1"/>
  <c r="AC48" i="1"/>
  <c r="AB48" i="1"/>
  <c r="AA48" i="1"/>
  <c r="Z48" i="1"/>
  <c r="Y48" i="1"/>
  <c r="AF47" i="1"/>
  <c r="AE47" i="1"/>
  <c r="AD47" i="1"/>
  <c r="AC47" i="1"/>
  <c r="AB47" i="1"/>
  <c r="AA47" i="1"/>
  <c r="Z47" i="1"/>
  <c r="Y47" i="1"/>
  <c r="AF46" i="1"/>
  <c r="AE46" i="1"/>
  <c r="AD46" i="1"/>
  <c r="AC46" i="1"/>
  <c r="AB46" i="1"/>
  <c r="AA46" i="1"/>
  <c r="Z46" i="1"/>
  <c r="Y46" i="1"/>
  <c r="AF45" i="1"/>
  <c r="AE45" i="1"/>
  <c r="AD45" i="1"/>
  <c r="AC45" i="1"/>
  <c r="AB45" i="1"/>
  <c r="AA45" i="1"/>
  <c r="Z45" i="1"/>
  <c r="Y45" i="1"/>
  <c r="AF44" i="1"/>
  <c r="AE44" i="1"/>
  <c r="AD44" i="1"/>
  <c r="AC44" i="1"/>
  <c r="AB44" i="1"/>
  <c r="AA44" i="1"/>
  <c r="Z44" i="1"/>
  <c r="Y44" i="1"/>
  <c r="AF43" i="1"/>
  <c r="AE43" i="1"/>
  <c r="AD43" i="1"/>
  <c r="AC43" i="1"/>
  <c r="AB43" i="1"/>
  <c r="AA43" i="1"/>
  <c r="Z43" i="1"/>
  <c r="Y43" i="1"/>
  <c r="AF41" i="1"/>
  <c r="AE41" i="1"/>
  <c r="AD41" i="1"/>
  <c r="AC41" i="1"/>
  <c r="AB41" i="1"/>
  <c r="AA41" i="1"/>
  <c r="Z41" i="1"/>
  <c r="Y41" i="1"/>
  <c r="AF40" i="1"/>
  <c r="AE40" i="1"/>
  <c r="AD40" i="1"/>
  <c r="AC40" i="1"/>
  <c r="AB40" i="1"/>
  <c r="AA40" i="1"/>
  <c r="Z40" i="1"/>
  <c r="Y40" i="1"/>
  <c r="AF39" i="1"/>
  <c r="AE39" i="1"/>
  <c r="AD39" i="1"/>
  <c r="AC39" i="1"/>
  <c r="AB39" i="1"/>
  <c r="AA39" i="1"/>
  <c r="Z39" i="1"/>
  <c r="Y39" i="1"/>
  <c r="AF38" i="1"/>
  <c r="AE38" i="1"/>
  <c r="AD38" i="1"/>
  <c r="AC38" i="1"/>
  <c r="AB38" i="1"/>
  <c r="AA38" i="1"/>
  <c r="Z38" i="1"/>
  <c r="Y38" i="1"/>
  <c r="AF36" i="1"/>
  <c r="AE36" i="1"/>
  <c r="AD36" i="1"/>
  <c r="AC36" i="1"/>
  <c r="AB36" i="1"/>
  <c r="AA36" i="1"/>
  <c r="Z36" i="1"/>
  <c r="Y36" i="1"/>
  <c r="AF35" i="1"/>
  <c r="AE35" i="1"/>
  <c r="AD35" i="1"/>
  <c r="AC35" i="1"/>
  <c r="AB35" i="1"/>
  <c r="AA35" i="1"/>
  <c r="Z35" i="1"/>
  <c r="Y35" i="1"/>
  <c r="AF34" i="1"/>
  <c r="AE34" i="1"/>
  <c r="AD34" i="1"/>
  <c r="AC34" i="1"/>
  <c r="AB34" i="1"/>
  <c r="AA34" i="1"/>
  <c r="Z34" i="1"/>
  <c r="Y34" i="1"/>
  <c r="AF32" i="1"/>
  <c r="AE32" i="1"/>
  <c r="AD32" i="1"/>
  <c r="AC32" i="1"/>
  <c r="AB32" i="1"/>
  <c r="AA32" i="1"/>
  <c r="Z32" i="1"/>
  <c r="Y32" i="1"/>
  <c r="AF31" i="1"/>
  <c r="AE31" i="1"/>
  <c r="AD31" i="1"/>
  <c r="AC31" i="1"/>
  <c r="AB31" i="1"/>
  <c r="AA31" i="1"/>
  <c r="Z31" i="1"/>
  <c r="Y31" i="1"/>
  <c r="AF30" i="1"/>
  <c r="AE30" i="1"/>
  <c r="AD30" i="1"/>
  <c r="AC30" i="1"/>
  <c r="AB30" i="1"/>
  <c r="AA30" i="1"/>
  <c r="Z30" i="1"/>
  <c r="Y30" i="1"/>
  <c r="AF29" i="1"/>
  <c r="AE29" i="1"/>
  <c r="AD29" i="1"/>
  <c r="AC29" i="1"/>
  <c r="AB29" i="1"/>
  <c r="AA29" i="1"/>
  <c r="Z29" i="1"/>
  <c r="Y29" i="1"/>
  <c r="AF28" i="1"/>
  <c r="AE28" i="1"/>
  <c r="AD28" i="1"/>
  <c r="AC28" i="1"/>
  <c r="AB28" i="1"/>
  <c r="AA28" i="1"/>
  <c r="Z28" i="1"/>
  <c r="Y28" i="1"/>
  <c r="AF26" i="1"/>
  <c r="AE26" i="1"/>
  <c r="AD26" i="1"/>
  <c r="AC26" i="1"/>
  <c r="AB26" i="1"/>
  <c r="AA26" i="1"/>
  <c r="Z26" i="1"/>
  <c r="Y26" i="1"/>
  <c r="AF25" i="1"/>
  <c r="AE25" i="1"/>
  <c r="AD25" i="1"/>
  <c r="AC25" i="1"/>
  <c r="AB25" i="1"/>
  <c r="AA25" i="1"/>
  <c r="Z25" i="1"/>
  <c r="Y25" i="1"/>
  <c r="AF24" i="1"/>
  <c r="AE24" i="1"/>
  <c r="AD24" i="1"/>
  <c r="AC24" i="1"/>
  <c r="AB24" i="1"/>
  <c r="AA24" i="1"/>
  <c r="Z24" i="1"/>
  <c r="Y24" i="1"/>
  <c r="AF23" i="1"/>
  <c r="AE23" i="1"/>
  <c r="AD23" i="1"/>
  <c r="AC23" i="1"/>
  <c r="AB23" i="1"/>
  <c r="AA23" i="1"/>
  <c r="Z23" i="1"/>
  <c r="Y23" i="1"/>
  <c r="AF22" i="1"/>
  <c r="AE22" i="1"/>
  <c r="AD22" i="1"/>
  <c r="AC22" i="1"/>
  <c r="AB22" i="1"/>
  <c r="AA22" i="1"/>
  <c r="Z22" i="1"/>
  <c r="Y22" i="1"/>
  <c r="AF21" i="1"/>
  <c r="AE21" i="1"/>
  <c r="AD21" i="1"/>
  <c r="AC21" i="1"/>
  <c r="AB21" i="1"/>
  <c r="AA21" i="1"/>
  <c r="Z21" i="1"/>
  <c r="Y21" i="1"/>
  <c r="AF20" i="1"/>
  <c r="AE20" i="1"/>
  <c r="AD20" i="1"/>
  <c r="AC20" i="1"/>
  <c r="AB20" i="1"/>
  <c r="AA20" i="1"/>
  <c r="Z20" i="1"/>
  <c r="Y20" i="1"/>
  <c r="AF18" i="1"/>
  <c r="AE18" i="1"/>
  <c r="AD18" i="1"/>
  <c r="AC18" i="1"/>
  <c r="AB18" i="1"/>
  <c r="AA18" i="1"/>
  <c r="Z18" i="1"/>
  <c r="Y18" i="1"/>
  <c r="AF17" i="1"/>
  <c r="AE17" i="1"/>
  <c r="AD17" i="1"/>
  <c r="AC17" i="1"/>
  <c r="AB17" i="1"/>
  <c r="AA17" i="1"/>
  <c r="Z17" i="1"/>
  <c r="Y17" i="1"/>
  <c r="AF16" i="1"/>
  <c r="AE16" i="1"/>
  <c r="AD16" i="1"/>
  <c r="AC16" i="1"/>
  <c r="AB16" i="1"/>
  <c r="AA16" i="1"/>
  <c r="Z16" i="1"/>
  <c r="Y16" i="1"/>
  <c r="AF15" i="1"/>
  <c r="AE15" i="1"/>
  <c r="AD15" i="1"/>
  <c r="AC15" i="1"/>
  <c r="AB15" i="1"/>
  <c r="AA15" i="1"/>
  <c r="Z15" i="1"/>
  <c r="Y15" i="1"/>
  <c r="AF14" i="1"/>
  <c r="AE14" i="1"/>
  <c r="AD14" i="1"/>
  <c r="AC14" i="1"/>
  <c r="AB14" i="1"/>
  <c r="AA14" i="1"/>
  <c r="Z14" i="1"/>
  <c r="Y14" i="1"/>
  <c r="AF13" i="1"/>
  <c r="AE13" i="1"/>
  <c r="AD13" i="1"/>
  <c r="AC13" i="1"/>
  <c r="AB13" i="1"/>
  <c r="AA13" i="1"/>
  <c r="Z13" i="1"/>
  <c r="Y13" i="1"/>
  <c r="AF12" i="1"/>
  <c r="AE12" i="1"/>
  <c r="AD12" i="1"/>
  <c r="AC12" i="1"/>
  <c r="AB12" i="1"/>
  <c r="AA12" i="1"/>
  <c r="Z12" i="1"/>
  <c r="Y12" i="1"/>
  <c r="AF10" i="1"/>
  <c r="AE10" i="1"/>
  <c r="AD10" i="1"/>
  <c r="AC10" i="1"/>
  <c r="AB10" i="1"/>
  <c r="AA10" i="1"/>
  <c r="Z10" i="1"/>
  <c r="Y10" i="1"/>
  <c r="AF9" i="1"/>
  <c r="AE9" i="1"/>
  <c r="AD9" i="1"/>
  <c r="AC9" i="1"/>
  <c r="AB9" i="1"/>
  <c r="AA9" i="1"/>
  <c r="Z9" i="1"/>
  <c r="Y9" i="1"/>
  <c r="AF8" i="1"/>
  <c r="AE8" i="1"/>
  <c r="AD8" i="1"/>
  <c r="AC8" i="1"/>
  <c r="AB8" i="1"/>
  <c r="AA8" i="1"/>
  <c r="Z8" i="1"/>
  <c r="Y8" i="1"/>
  <c r="AF6" i="1"/>
  <c r="AE6" i="1"/>
  <c r="AD6" i="1"/>
  <c r="AC6" i="1"/>
  <c r="AB6" i="1"/>
  <c r="AA6" i="1"/>
  <c r="Z6" i="1"/>
  <c r="Y6" i="1"/>
  <c r="AF5" i="1"/>
  <c r="AE5" i="1"/>
  <c r="AD5" i="1"/>
  <c r="AC5" i="1"/>
  <c r="AB5" i="1"/>
  <c r="AA5" i="1"/>
  <c r="Z5" i="1"/>
  <c r="Y5" i="1"/>
  <c r="AF4" i="1"/>
  <c r="AE4" i="1"/>
  <c r="AD4" i="1"/>
  <c r="AC4" i="1"/>
  <c r="AB4" i="1"/>
  <c r="AA4" i="1"/>
  <c r="Z4" i="1"/>
  <c r="Y4" i="1"/>
  <c r="X60" i="1"/>
  <c r="W60" i="1"/>
  <c r="V60" i="1"/>
  <c r="U60" i="1"/>
  <c r="T60" i="1"/>
  <c r="S60" i="1"/>
  <c r="R60" i="1"/>
  <c r="Q60" i="1"/>
  <c r="X59" i="1"/>
  <c r="W59" i="1"/>
  <c r="V59" i="1"/>
  <c r="U59" i="1"/>
  <c r="T59" i="1"/>
  <c r="S59" i="1"/>
  <c r="R59" i="1"/>
  <c r="Q59" i="1"/>
  <c r="X58" i="1"/>
  <c r="W58" i="1"/>
  <c r="V58" i="1"/>
  <c r="U58" i="1"/>
  <c r="T58" i="1"/>
  <c r="S58" i="1"/>
  <c r="R58" i="1"/>
  <c r="Q58" i="1"/>
  <c r="X57" i="1"/>
  <c r="W57" i="1"/>
  <c r="V57" i="1"/>
  <c r="U57" i="1"/>
  <c r="T57" i="1"/>
  <c r="S57" i="1"/>
  <c r="R57" i="1"/>
  <c r="Q57" i="1"/>
  <c r="X56" i="1"/>
  <c r="W56" i="1"/>
  <c r="V56" i="1"/>
  <c r="U56" i="1"/>
  <c r="T56" i="1"/>
  <c r="S56" i="1"/>
  <c r="R56" i="1"/>
  <c r="Q56" i="1"/>
  <c r="X55" i="1"/>
  <c r="W55" i="1"/>
  <c r="V55" i="1"/>
  <c r="U55" i="1"/>
  <c r="T55" i="1"/>
  <c r="S55" i="1"/>
  <c r="R55" i="1"/>
  <c r="Q55" i="1"/>
  <c r="X54" i="1"/>
  <c r="W54" i="1"/>
  <c r="V54" i="1"/>
  <c r="U54" i="1"/>
  <c r="T54" i="1"/>
  <c r="S54" i="1"/>
  <c r="R54" i="1"/>
  <c r="Q54" i="1"/>
  <c r="X53" i="1"/>
  <c r="W53" i="1"/>
  <c r="V53" i="1"/>
  <c r="U53" i="1"/>
  <c r="T53" i="1"/>
  <c r="S53" i="1"/>
  <c r="R53" i="1"/>
  <c r="Q53" i="1"/>
  <c r="X52" i="1"/>
  <c r="W52" i="1"/>
  <c r="V52" i="1"/>
  <c r="U52" i="1"/>
  <c r="T52" i="1"/>
  <c r="S52" i="1"/>
  <c r="R52" i="1"/>
  <c r="Q52" i="1"/>
  <c r="X51" i="1"/>
  <c r="W51" i="1"/>
  <c r="V51" i="1"/>
  <c r="U51" i="1"/>
  <c r="T51" i="1"/>
  <c r="S51" i="1"/>
  <c r="R51" i="1"/>
  <c r="Q51" i="1"/>
  <c r="X50" i="1"/>
  <c r="W50" i="1"/>
  <c r="V50" i="1"/>
  <c r="U50" i="1"/>
  <c r="T50" i="1"/>
  <c r="S50" i="1"/>
  <c r="R50" i="1"/>
  <c r="Q50" i="1"/>
  <c r="X49" i="1"/>
  <c r="W49" i="1"/>
  <c r="V49" i="1"/>
  <c r="U49" i="1"/>
  <c r="T49" i="1"/>
  <c r="S49" i="1"/>
  <c r="R49" i="1"/>
  <c r="Q49" i="1"/>
  <c r="X48" i="1"/>
  <c r="W48" i="1"/>
  <c r="V48" i="1"/>
  <c r="U48" i="1"/>
  <c r="T48" i="1"/>
  <c r="S48" i="1"/>
  <c r="R48" i="1"/>
  <c r="Q48" i="1"/>
  <c r="X47" i="1"/>
  <c r="W47" i="1"/>
  <c r="V47" i="1"/>
  <c r="U47" i="1"/>
  <c r="T47" i="1"/>
  <c r="S47" i="1"/>
  <c r="R47" i="1"/>
  <c r="Q47" i="1"/>
  <c r="X46" i="1"/>
  <c r="W46" i="1"/>
  <c r="V46" i="1"/>
  <c r="U46" i="1"/>
  <c r="T46" i="1"/>
  <c r="S46" i="1"/>
  <c r="R46" i="1"/>
  <c r="Q46" i="1"/>
  <c r="X45" i="1"/>
  <c r="W45" i="1"/>
  <c r="V45" i="1"/>
  <c r="U45" i="1"/>
  <c r="T45" i="1"/>
  <c r="S45" i="1"/>
  <c r="R45" i="1"/>
  <c r="Q45" i="1"/>
  <c r="X44" i="1"/>
  <c r="W44" i="1"/>
  <c r="V44" i="1"/>
  <c r="U44" i="1"/>
  <c r="T44" i="1"/>
  <c r="S44" i="1"/>
  <c r="R44" i="1"/>
  <c r="Q44" i="1"/>
  <c r="X43" i="1"/>
  <c r="W43" i="1"/>
  <c r="V43" i="1"/>
  <c r="U43" i="1"/>
  <c r="T43" i="1"/>
  <c r="S43" i="1"/>
  <c r="R43" i="1"/>
  <c r="Q43" i="1"/>
  <c r="X41" i="1"/>
  <c r="W41" i="1"/>
  <c r="V41" i="1"/>
  <c r="U41" i="1"/>
  <c r="T41" i="1"/>
  <c r="S41" i="1"/>
  <c r="R41" i="1"/>
  <c r="Q41" i="1"/>
  <c r="X40" i="1"/>
  <c r="W40" i="1"/>
  <c r="V40" i="1"/>
  <c r="U40" i="1"/>
  <c r="T40" i="1"/>
  <c r="S40" i="1"/>
  <c r="R40" i="1"/>
  <c r="Q40" i="1"/>
  <c r="X39" i="1"/>
  <c r="W39" i="1"/>
  <c r="V39" i="1"/>
  <c r="U39" i="1"/>
  <c r="T39" i="1"/>
  <c r="S39" i="1"/>
  <c r="R39" i="1"/>
  <c r="Q39" i="1"/>
  <c r="X38" i="1"/>
  <c r="W38" i="1"/>
  <c r="V38" i="1"/>
  <c r="U38" i="1"/>
  <c r="T38" i="1"/>
  <c r="S38" i="1"/>
  <c r="R38" i="1"/>
  <c r="Q38" i="1"/>
  <c r="X36" i="1"/>
  <c r="W36" i="1"/>
  <c r="V36" i="1"/>
  <c r="U36" i="1"/>
  <c r="T36" i="1"/>
  <c r="S36" i="1"/>
  <c r="R36" i="1"/>
  <c r="Q36" i="1"/>
  <c r="X35" i="1"/>
  <c r="W35" i="1"/>
  <c r="V35" i="1"/>
  <c r="U35" i="1"/>
  <c r="T35" i="1"/>
  <c r="S35" i="1"/>
  <c r="R35" i="1"/>
  <c r="Q35" i="1"/>
  <c r="X34" i="1"/>
  <c r="W34" i="1"/>
  <c r="V34" i="1"/>
  <c r="U34" i="1"/>
  <c r="T34" i="1"/>
  <c r="S34" i="1"/>
  <c r="R34" i="1"/>
  <c r="Q34" i="1"/>
  <c r="X32" i="1"/>
  <c r="W32" i="1"/>
  <c r="V32" i="1"/>
  <c r="U32" i="1"/>
  <c r="T32" i="1"/>
  <c r="S32" i="1"/>
  <c r="R32" i="1"/>
  <c r="Q32" i="1"/>
  <c r="X31" i="1"/>
  <c r="W31" i="1"/>
  <c r="V31" i="1"/>
  <c r="U31" i="1"/>
  <c r="T31" i="1"/>
  <c r="S31" i="1"/>
  <c r="R31" i="1"/>
  <c r="Q31" i="1"/>
  <c r="X30" i="1"/>
  <c r="W30" i="1"/>
  <c r="V30" i="1"/>
  <c r="U30" i="1"/>
  <c r="T30" i="1"/>
  <c r="S30" i="1"/>
  <c r="R30" i="1"/>
  <c r="Q30" i="1"/>
  <c r="X29" i="1"/>
  <c r="W29" i="1"/>
  <c r="V29" i="1"/>
  <c r="U29" i="1"/>
  <c r="T29" i="1"/>
  <c r="S29" i="1"/>
  <c r="R29" i="1"/>
  <c r="Q29" i="1"/>
  <c r="X28" i="1"/>
  <c r="W28" i="1"/>
  <c r="V28" i="1"/>
  <c r="U28" i="1"/>
  <c r="T28" i="1"/>
  <c r="S28" i="1"/>
  <c r="R28" i="1"/>
  <c r="Q28" i="1"/>
  <c r="X26" i="1"/>
  <c r="W26" i="1"/>
  <c r="V26" i="1"/>
  <c r="U26" i="1"/>
  <c r="T26" i="1"/>
  <c r="S26" i="1"/>
  <c r="R26" i="1"/>
  <c r="Q26" i="1"/>
  <c r="X25" i="1"/>
  <c r="W25" i="1"/>
  <c r="V25" i="1"/>
  <c r="U25" i="1"/>
  <c r="T25" i="1"/>
  <c r="S25" i="1"/>
  <c r="R25" i="1"/>
  <c r="Q25" i="1"/>
  <c r="X24" i="1"/>
  <c r="W24" i="1"/>
  <c r="V24" i="1"/>
  <c r="U24" i="1"/>
  <c r="T24" i="1"/>
  <c r="S24" i="1"/>
  <c r="R24" i="1"/>
  <c r="Q24" i="1"/>
  <c r="X23" i="1"/>
  <c r="W23" i="1"/>
  <c r="V23" i="1"/>
  <c r="U23" i="1"/>
  <c r="T23" i="1"/>
  <c r="S23" i="1"/>
  <c r="R23" i="1"/>
  <c r="Q23" i="1"/>
  <c r="X22" i="1"/>
  <c r="W22" i="1"/>
  <c r="V22" i="1"/>
  <c r="U22" i="1"/>
  <c r="T22" i="1"/>
  <c r="S22" i="1"/>
  <c r="R22" i="1"/>
  <c r="Q22" i="1"/>
  <c r="X21" i="1"/>
  <c r="W21" i="1"/>
  <c r="V21" i="1"/>
  <c r="U21" i="1"/>
  <c r="T21" i="1"/>
  <c r="S21" i="1"/>
  <c r="R21" i="1"/>
  <c r="Q21" i="1"/>
  <c r="X20" i="1"/>
  <c r="W20" i="1"/>
  <c r="V20" i="1"/>
  <c r="U20" i="1"/>
  <c r="T20" i="1"/>
  <c r="S20" i="1"/>
  <c r="R20" i="1"/>
  <c r="Q20" i="1"/>
  <c r="X18" i="1"/>
  <c r="W18" i="1"/>
  <c r="V18" i="1"/>
  <c r="U18" i="1"/>
  <c r="T18" i="1"/>
  <c r="S18" i="1"/>
  <c r="R18" i="1"/>
  <c r="Q18" i="1"/>
  <c r="X17" i="1"/>
  <c r="W17" i="1"/>
  <c r="V17" i="1"/>
  <c r="U17" i="1"/>
  <c r="T17" i="1"/>
  <c r="S17" i="1"/>
  <c r="R17" i="1"/>
  <c r="Q17" i="1"/>
  <c r="X16" i="1"/>
  <c r="W16" i="1"/>
  <c r="V16" i="1"/>
  <c r="U16" i="1"/>
  <c r="T16" i="1"/>
  <c r="S16" i="1"/>
  <c r="R16" i="1"/>
  <c r="Q16" i="1"/>
  <c r="X15" i="1"/>
  <c r="W15" i="1"/>
  <c r="V15" i="1"/>
  <c r="U15" i="1"/>
  <c r="T15" i="1"/>
  <c r="S15" i="1"/>
  <c r="R15" i="1"/>
  <c r="Q15" i="1"/>
  <c r="X14" i="1"/>
  <c r="W14" i="1"/>
  <c r="V14" i="1"/>
  <c r="U14" i="1"/>
  <c r="T14" i="1"/>
  <c r="S14" i="1"/>
  <c r="R14" i="1"/>
  <c r="Q14" i="1"/>
  <c r="X13" i="1"/>
  <c r="W13" i="1"/>
  <c r="V13" i="1"/>
  <c r="U13" i="1"/>
  <c r="T13" i="1"/>
  <c r="S13" i="1"/>
  <c r="R13" i="1"/>
  <c r="Q13" i="1"/>
  <c r="X12" i="1"/>
  <c r="W12" i="1"/>
  <c r="V12" i="1"/>
  <c r="U12" i="1"/>
  <c r="T12" i="1"/>
  <c r="S12" i="1"/>
  <c r="R12" i="1"/>
  <c r="Q12" i="1"/>
  <c r="X10" i="1"/>
  <c r="W10" i="1"/>
  <c r="V10" i="1"/>
  <c r="U10" i="1"/>
  <c r="T10" i="1"/>
  <c r="S10" i="1"/>
  <c r="R10" i="1"/>
  <c r="Q10" i="1"/>
  <c r="X9" i="1"/>
  <c r="W9" i="1"/>
  <c r="V9" i="1"/>
  <c r="U9" i="1"/>
  <c r="T9" i="1"/>
  <c r="S9" i="1"/>
  <c r="R9" i="1"/>
  <c r="Q9" i="1"/>
  <c r="X8" i="1"/>
  <c r="W8" i="1"/>
  <c r="V8" i="1"/>
  <c r="U8" i="1"/>
  <c r="T8" i="1"/>
  <c r="S8" i="1"/>
  <c r="R8" i="1"/>
  <c r="Q8" i="1"/>
  <c r="X6" i="1"/>
  <c r="W6" i="1"/>
  <c r="V6" i="1"/>
  <c r="U6" i="1"/>
  <c r="T6" i="1"/>
  <c r="S6" i="1"/>
  <c r="R6" i="1"/>
  <c r="Q6" i="1"/>
  <c r="X5" i="1"/>
  <c r="W5" i="1"/>
  <c r="V5" i="1"/>
  <c r="U5" i="1"/>
  <c r="T5" i="1"/>
  <c r="S5" i="1"/>
  <c r="R5" i="1"/>
  <c r="Q5" i="1"/>
  <c r="X4" i="1"/>
  <c r="W4" i="1"/>
  <c r="V4" i="1"/>
  <c r="U4" i="1"/>
  <c r="T4" i="1"/>
  <c r="S4" i="1"/>
  <c r="R4" i="1"/>
  <c r="Q4" i="1"/>
  <c r="J38" i="1"/>
  <c r="K38" i="1"/>
  <c r="L38" i="1"/>
  <c r="M38" i="1"/>
  <c r="N38" i="1"/>
  <c r="O38" i="1"/>
  <c r="P38" i="1"/>
  <c r="I38" i="1"/>
  <c r="J34" i="1"/>
  <c r="K34" i="1"/>
  <c r="L34" i="1"/>
  <c r="M34" i="1"/>
  <c r="N34" i="1"/>
  <c r="O34" i="1"/>
  <c r="P34" i="1"/>
  <c r="J35" i="1"/>
  <c r="K35" i="1"/>
  <c r="L35" i="1"/>
  <c r="M35" i="1"/>
  <c r="N35" i="1"/>
  <c r="O35" i="1"/>
  <c r="P35" i="1"/>
  <c r="J36" i="1"/>
  <c r="K36" i="1"/>
  <c r="L36" i="1"/>
  <c r="M36" i="1"/>
  <c r="N36" i="1"/>
  <c r="O36" i="1"/>
  <c r="P36" i="1"/>
  <c r="I36" i="1"/>
  <c r="I35" i="1"/>
  <c r="I34" i="1"/>
  <c r="P60" i="1"/>
  <c r="O60" i="1"/>
  <c r="N60" i="1"/>
  <c r="M60" i="1"/>
  <c r="L60" i="1"/>
  <c r="K60" i="1"/>
  <c r="J60" i="1"/>
  <c r="P57" i="1"/>
  <c r="O57" i="1"/>
  <c r="N57" i="1"/>
  <c r="M57" i="1"/>
  <c r="L57" i="1"/>
  <c r="K57" i="1"/>
  <c r="J57" i="1"/>
  <c r="P55" i="1"/>
  <c r="O55" i="1"/>
  <c r="N55" i="1"/>
  <c r="M55" i="1"/>
  <c r="L55" i="1"/>
  <c r="K55" i="1"/>
  <c r="J55" i="1"/>
  <c r="P53" i="1"/>
  <c r="O53" i="1"/>
  <c r="N53" i="1"/>
  <c r="M53" i="1"/>
  <c r="L53" i="1"/>
  <c r="K53" i="1"/>
  <c r="J53" i="1"/>
  <c r="P52" i="1"/>
  <c r="O52" i="1"/>
  <c r="N52" i="1"/>
  <c r="M52" i="1"/>
  <c r="L52" i="1"/>
  <c r="K52" i="1"/>
  <c r="J52" i="1"/>
  <c r="P47" i="1"/>
  <c r="O47" i="1"/>
  <c r="N47" i="1"/>
  <c r="M47" i="1"/>
  <c r="L47" i="1"/>
  <c r="K47" i="1"/>
  <c r="J47" i="1"/>
  <c r="P46" i="1"/>
  <c r="O46" i="1"/>
  <c r="N46" i="1"/>
  <c r="M46" i="1"/>
  <c r="L46" i="1"/>
  <c r="K46" i="1"/>
  <c r="J46" i="1"/>
  <c r="I60" i="1"/>
  <c r="I57" i="1"/>
  <c r="I55" i="1"/>
  <c r="I53" i="1"/>
  <c r="I52" i="1"/>
  <c r="I47" i="1"/>
  <c r="I46" i="1"/>
  <c r="J4" i="1"/>
  <c r="K4" i="1"/>
  <c r="L4" i="1"/>
  <c r="M4" i="1"/>
  <c r="N4" i="1"/>
  <c r="O4" i="1"/>
  <c r="P4" i="1"/>
  <c r="P40" i="1"/>
  <c r="O40" i="1"/>
  <c r="N40" i="1"/>
  <c r="M40" i="1"/>
  <c r="L40" i="1"/>
  <c r="K40" i="1"/>
  <c r="J40" i="1"/>
  <c r="P39" i="1"/>
  <c r="O39" i="1"/>
  <c r="N39" i="1"/>
  <c r="M39" i="1"/>
  <c r="L39" i="1"/>
  <c r="K39" i="1"/>
  <c r="J39" i="1"/>
  <c r="P6" i="1"/>
  <c r="O6" i="1"/>
  <c r="N6" i="1"/>
  <c r="M6" i="1"/>
  <c r="L6" i="1"/>
  <c r="K6" i="1"/>
  <c r="J6" i="1"/>
  <c r="P5" i="1"/>
  <c r="O5" i="1"/>
  <c r="N5" i="1"/>
  <c r="M5" i="1"/>
  <c r="L5" i="1"/>
  <c r="K5" i="1"/>
  <c r="J5" i="1"/>
  <c r="I40" i="1"/>
  <c r="I39" i="1"/>
  <c r="I6" i="1"/>
  <c r="I5" i="1"/>
  <c r="I4" i="1"/>
  <c r="P50" i="1"/>
  <c r="O50" i="1"/>
  <c r="N50" i="1"/>
  <c r="M50" i="1"/>
  <c r="L50" i="1"/>
  <c r="K50" i="1"/>
  <c r="J50" i="1"/>
  <c r="P44" i="1"/>
  <c r="O44" i="1"/>
  <c r="N44" i="1"/>
  <c r="M44" i="1"/>
  <c r="L44" i="1"/>
  <c r="K44" i="1"/>
  <c r="J44" i="1"/>
  <c r="P18" i="1"/>
  <c r="O18" i="1"/>
  <c r="N18" i="1"/>
  <c r="M18" i="1"/>
  <c r="L18" i="1"/>
  <c r="K18" i="1"/>
  <c r="J18" i="1"/>
  <c r="P17" i="1"/>
  <c r="O17" i="1"/>
  <c r="N17" i="1"/>
  <c r="M17" i="1"/>
  <c r="L17" i="1"/>
  <c r="K17" i="1"/>
  <c r="J17" i="1"/>
  <c r="P16" i="1"/>
  <c r="O16" i="1"/>
  <c r="N16" i="1"/>
  <c r="M16" i="1"/>
  <c r="L16" i="1"/>
  <c r="K16" i="1"/>
  <c r="J16" i="1"/>
  <c r="P15" i="1"/>
  <c r="O15" i="1"/>
  <c r="N15" i="1"/>
  <c r="M15" i="1"/>
  <c r="L15" i="1"/>
  <c r="K15" i="1"/>
  <c r="J15" i="1"/>
  <c r="P14" i="1"/>
  <c r="O14" i="1"/>
  <c r="N14" i="1"/>
  <c r="M14" i="1"/>
  <c r="L14" i="1"/>
  <c r="K14" i="1"/>
  <c r="J14" i="1"/>
  <c r="P13" i="1"/>
  <c r="O13" i="1"/>
  <c r="N13" i="1"/>
  <c r="M13" i="1"/>
  <c r="L13" i="1"/>
  <c r="K13" i="1"/>
  <c r="J13" i="1"/>
  <c r="P12" i="1"/>
  <c r="O12" i="1"/>
  <c r="N12" i="1"/>
  <c r="M12" i="1"/>
  <c r="L12" i="1"/>
  <c r="K12" i="1"/>
  <c r="J12" i="1"/>
  <c r="I50" i="1"/>
  <c r="I44" i="1"/>
  <c r="I18" i="1"/>
  <c r="I17" i="1"/>
  <c r="I16" i="1"/>
  <c r="I15" i="1"/>
  <c r="I14" i="1"/>
  <c r="I13" i="1"/>
  <c r="I12" i="1"/>
  <c r="P59" i="1"/>
  <c r="O59" i="1"/>
  <c r="N59" i="1"/>
  <c r="M59" i="1"/>
  <c r="L59" i="1"/>
  <c r="K59" i="1"/>
  <c r="J59" i="1"/>
  <c r="P56" i="1"/>
  <c r="O56" i="1"/>
  <c r="N56" i="1"/>
  <c r="M56" i="1"/>
  <c r="L56" i="1"/>
  <c r="K56" i="1"/>
  <c r="J56" i="1"/>
  <c r="P51" i="1"/>
  <c r="O51" i="1"/>
  <c r="N51" i="1"/>
  <c r="M51" i="1"/>
  <c r="L51" i="1"/>
  <c r="K51" i="1"/>
  <c r="J51" i="1"/>
  <c r="P43" i="1"/>
  <c r="O43" i="1"/>
  <c r="N43" i="1"/>
  <c r="M43" i="1"/>
  <c r="L43" i="1"/>
  <c r="K43" i="1"/>
  <c r="J43" i="1"/>
  <c r="P32" i="1"/>
  <c r="O32" i="1"/>
  <c r="N32" i="1"/>
  <c r="M32" i="1"/>
  <c r="L32" i="1"/>
  <c r="K32" i="1"/>
  <c r="J32" i="1"/>
  <c r="P31" i="1"/>
  <c r="O31" i="1"/>
  <c r="N31" i="1"/>
  <c r="M31" i="1"/>
  <c r="L31" i="1"/>
  <c r="K31" i="1"/>
  <c r="J31" i="1"/>
  <c r="P30" i="1"/>
  <c r="O30" i="1"/>
  <c r="N30" i="1"/>
  <c r="M30" i="1"/>
  <c r="L30" i="1"/>
  <c r="K30" i="1"/>
  <c r="J30" i="1"/>
  <c r="P29" i="1"/>
  <c r="O29" i="1"/>
  <c r="N29" i="1"/>
  <c r="M29" i="1"/>
  <c r="L29" i="1"/>
  <c r="K29" i="1"/>
  <c r="J29" i="1"/>
  <c r="P28" i="1"/>
  <c r="O28" i="1"/>
  <c r="N28" i="1"/>
  <c r="M28" i="1"/>
  <c r="L28" i="1"/>
  <c r="K28" i="1"/>
  <c r="J28" i="1"/>
  <c r="I59" i="1"/>
  <c r="I56" i="1"/>
  <c r="I51" i="1"/>
  <c r="I43" i="1"/>
  <c r="I32" i="1"/>
  <c r="I31" i="1"/>
  <c r="I30" i="1"/>
  <c r="I29" i="1"/>
  <c r="I28" i="1"/>
  <c r="P49" i="1"/>
  <c r="O49" i="1"/>
  <c r="N49" i="1"/>
  <c r="M49" i="1"/>
  <c r="L49" i="1"/>
  <c r="K49" i="1"/>
  <c r="J49" i="1"/>
  <c r="P48" i="1"/>
  <c r="O48" i="1"/>
  <c r="N48" i="1"/>
  <c r="M48" i="1"/>
  <c r="L48" i="1"/>
  <c r="K48" i="1"/>
  <c r="J48" i="1"/>
  <c r="P10" i="1"/>
  <c r="O10" i="1"/>
  <c r="N10" i="1"/>
  <c r="M10" i="1"/>
  <c r="L10" i="1"/>
  <c r="K10" i="1"/>
  <c r="J10" i="1"/>
  <c r="P9" i="1"/>
  <c r="O9" i="1"/>
  <c r="N9" i="1"/>
  <c r="M9" i="1"/>
  <c r="L9" i="1"/>
  <c r="K9" i="1"/>
  <c r="J9" i="1"/>
  <c r="P8" i="1"/>
  <c r="O8" i="1"/>
  <c r="N8" i="1"/>
  <c r="M8" i="1"/>
  <c r="L8" i="1"/>
  <c r="K8" i="1"/>
  <c r="J8" i="1"/>
  <c r="I49" i="1"/>
  <c r="I48" i="1"/>
  <c r="I10" i="1"/>
  <c r="I9" i="1"/>
  <c r="I8" i="1"/>
  <c r="P58" i="1"/>
  <c r="O58" i="1"/>
  <c r="N58" i="1"/>
  <c r="M58" i="1"/>
  <c r="L58" i="1"/>
  <c r="K58" i="1"/>
  <c r="J58" i="1"/>
  <c r="P54" i="1"/>
  <c r="O54" i="1"/>
  <c r="N54" i="1"/>
  <c r="M54" i="1"/>
  <c r="L54" i="1"/>
  <c r="K54" i="1"/>
  <c r="J54" i="1"/>
  <c r="P45" i="1"/>
  <c r="O45" i="1"/>
  <c r="N45" i="1"/>
  <c r="M45" i="1"/>
  <c r="L45" i="1"/>
  <c r="K45" i="1"/>
  <c r="J45" i="1"/>
  <c r="I58" i="1"/>
  <c r="I54" i="1"/>
  <c r="I45" i="1"/>
  <c r="J41" i="1"/>
  <c r="K41" i="1"/>
  <c r="L41" i="1"/>
  <c r="M41" i="1"/>
  <c r="N41" i="1"/>
  <c r="O41" i="1"/>
  <c r="P41" i="1"/>
  <c r="I41" i="1"/>
  <c r="J21" i="1"/>
  <c r="K21" i="1"/>
  <c r="L21" i="1"/>
  <c r="M21" i="1"/>
  <c r="N21" i="1"/>
  <c r="O21" i="1"/>
  <c r="P21" i="1"/>
  <c r="J22" i="1"/>
  <c r="K22" i="1"/>
  <c r="L22" i="1"/>
  <c r="M22" i="1"/>
  <c r="N22" i="1"/>
  <c r="O22" i="1"/>
  <c r="P22" i="1"/>
  <c r="J23" i="1"/>
  <c r="K23" i="1"/>
  <c r="L23" i="1"/>
  <c r="M23" i="1"/>
  <c r="N23" i="1"/>
  <c r="O23" i="1"/>
  <c r="P23" i="1"/>
  <c r="J24" i="1"/>
  <c r="K24" i="1"/>
  <c r="L24" i="1"/>
  <c r="M24" i="1"/>
  <c r="N24" i="1"/>
  <c r="O24" i="1"/>
  <c r="P24" i="1"/>
  <c r="J25" i="1"/>
  <c r="K25" i="1"/>
  <c r="L25" i="1"/>
  <c r="M25" i="1"/>
  <c r="N25" i="1"/>
  <c r="O25" i="1"/>
  <c r="P25" i="1"/>
  <c r="J26" i="1"/>
  <c r="K26" i="1"/>
  <c r="L26" i="1"/>
  <c r="M26" i="1"/>
  <c r="N26" i="1"/>
  <c r="O26" i="1"/>
  <c r="P26" i="1"/>
  <c r="I26" i="1"/>
  <c r="I25" i="1"/>
  <c r="I24" i="1"/>
  <c r="I23" i="1"/>
  <c r="I22" i="1"/>
  <c r="I21" i="1"/>
  <c r="J20" i="1"/>
  <c r="K20" i="1"/>
  <c r="L20" i="1"/>
  <c r="M20" i="1"/>
  <c r="N20" i="1"/>
  <c r="O20" i="1"/>
  <c r="P20" i="1"/>
  <c r="I20" i="1"/>
  <c r="A259" i="4"/>
  <c r="A257" i="4"/>
  <c r="A222" i="4"/>
  <c r="A221" i="4"/>
  <c r="A220" i="4"/>
  <c r="A219" i="4"/>
  <c r="Y2" i="5"/>
  <c r="A249" i="4"/>
  <c r="A250" i="4"/>
  <c r="A251" i="4"/>
  <c r="A252" i="4"/>
  <c r="A253" i="4"/>
  <c r="A254" i="4"/>
  <c r="A255" i="4"/>
  <c r="A240" i="4"/>
  <c r="A241" i="4"/>
  <c r="A242" i="4"/>
  <c r="A243" i="4"/>
  <c r="A244" i="4"/>
  <c r="A239" i="4"/>
  <c r="A232" i="4"/>
  <c r="A233" i="4"/>
  <c r="A234" i="4"/>
  <c r="A235" i="4"/>
  <c r="A236" i="4"/>
  <c r="A231" i="4"/>
  <c r="A247" i="4"/>
  <c r="A246" i="4"/>
  <c r="A238" i="4"/>
  <c r="A237" i="4"/>
  <c r="A230" i="4"/>
  <c r="U4" i="16"/>
  <c r="N17" i="5"/>
  <c r="N16" i="5"/>
  <c r="N15" i="5"/>
  <c r="N14" i="5"/>
  <c r="AK4" i="9"/>
  <c r="W286" i="16"/>
  <c r="P286" i="16" s="1"/>
  <c r="V286" i="16"/>
  <c r="I286" i="16" s="1"/>
  <c r="W285" i="16"/>
  <c r="P285" i="16" s="1"/>
  <c r="V285" i="16"/>
  <c r="I285" i="16" s="1"/>
  <c r="W284" i="16"/>
  <c r="P284" i="16" s="1"/>
  <c r="V284" i="16"/>
  <c r="I284" i="16" s="1"/>
  <c r="W283" i="16"/>
  <c r="P283" i="16" s="1"/>
  <c r="V283" i="16"/>
  <c r="I283" i="16" s="1"/>
  <c r="W282" i="16"/>
  <c r="P282" i="16" s="1"/>
  <c r="V282" i="16"/>
  <c r="I282" i="16" s="1"/>
  <c r="W281" i="16"/>
  <c r="P281" i="16" s="1"/>
  <c r="V281" i="16"/>
  <c r="I281" i="16" s="1"/>
  <c r="W280" i="16"/>
  <c r="P280" i="16" s="1"/>
  <c r="V280" i="16"/>
  <c r="I280" i="16" s="1"/>
  <c r="W279" i="16"/>
  <c r="P279" i="16" s="1"/>
  <c r="V279" i="16"/>
  <c r="I279" i="16" s="1"/>
  <c r="W275" i="16"/>
  <c r="P275" i="16" s="1"/>
  <c r="V275" i="16"/>
  <c r="I275" i="16" s="1"/>
  <c r="W274" i="16"/>
  <c r="P274" i="16" s="1"/>
  <c r="V274" i="16"/>
  <c r="I274" i="16" s="1"/>
  <c r="W273" i="16"/>
  <c r="P273" i="16" s="1"/>
  <c r="V273" i="16"/>
  <c r="I273" i="16" s="1"/>
  <c r="W272" i="16"/>
  <c r="P272" i="16" s="1"/>
  <c r="V272" i="16"/>
  <c r="I272" i="16" s="1"/>
  <c r="W271" i="16"/>
  <c r="P271" i="16" s="1"/>
  <c r="V271" i="16"/>
  <c r="I271" i="16" s="1"/>
  <c r="W270" i="16"/>
  <c r="P270" i="16" s="1"/>
  <c r="V270" i="16"/>
  <c r="I270" i="16" s="1"/>
  <c r="W269" i="16"/>
  <c r="P269" i="16" s="1"/>
  <c r="V269" i="16"/>
  <c r="I269" i="16" s="1"/>
  <c r="W268" i="16"/>
  <c r="P268" i="16" s="1"/>
  <c r="V268" i="16"/>
  <c r="I268" i="16" s="1"/>
  <c r="W264" i="16"/>
  <c r="P264" i="16" s="1"/>
  <c r="V264" i="16"/>
  <c r="I264" i="16" s="1"/>
  <c r="W263" i="16"/>
  <c r="P263" i="16" s="1"/>
  <c r="V263" i="16"/>
  <c r="I263" i="16" s="1"/>
  <c r="W262" i="16"/>
  <c r="P262" i="16" s="1"/>
  <c r="V262" i="16"/>
  <c r="I262" i="16" s="1"/>
  <c r="W261" i="16"/>
  <c r="P261" i="16" s="1"/>
  <c r="V261" i="16"/>
  <c r="I261" i="16" s="1"/>
  <c r="W260" i="16"/>
  <c r="P260" i="16" s="1"/>
  <c r="V260" i="16"/>
  <c r="I260" i="16" s="1"/>
  <c r="W259" i="16"/>
  <c r="P259" i="16" s="1"/>
  <c r="V259" i="16"/>
  <c r="I259" i="16" s="1"/>
  <c r="W258" i="16"/>
  <c r="P258" i="16" s="1"/>
  <c r="V258" i="16"/>
  <c r="I258" i="16" s="1"/>
  <c r="W257" i="16"/>
  <c r="P257" i="16" s="1"/>
  <c r="V257" i="16"/>
  <c r="I257" i="16" s="1"/>
  <c r="W253" i="16"/>
  <c r="P253" i="16" s="1"/>
  <c r="V253" i="16"/>
  <c r="I253" i="16" s="1"/>
  <c r="W252" i="16"/>
  <c r="P252" i="16" s="1"/>
  <c r="V252" i="16"/>
  <c r="I252" i="16" s="1"/>
  <c r="W251" i="16"/>
  <c r="P251" i="16" s="1"/>
  <c r="V251" i="16"/>
  <c r="I251" i="16" s="1"/>
  <c r="W250" i="16"/>
  <c r="P250" i="16" s="1"/>
  <c r="V250" i="16"/>
  <c r="I250" i="16" s="1"/>
  <c r="W249" i="16"/>
  <c r="P249" i="16" s="1"/>
  <c r="V249" i="16"/>
  <c r="I249" i="16" s="1"/>
  <c r="W248" i="16"/>
  <c r="P248" i="16" s="1"/>
  <c r="V248" i="16"/>
  <c r="I248" i="16" s="1"/>
  <c r="W247" i="16"/>
  <c r="P247" i="16" s="1"/>
  <c r="V247" i="16"/>
  <c r="I247" i="16" s="1"/>
  <c r="W246" i="16"/>
  <c r="P246" i="16" s="1"/>
  <c r="V246" i="16"/>
  <c r="I246" i="16" s="1"/>
  <c r="M4" i="17"/>
  <c r="T279" i="16"/>
  <c r="T268" i="16"/>
  <c r="T257" i="16"/>
  <c r="T246" i="16"/>
  <c r="T235" i="16"/>
  <c r="T224" i="16"/>
  <c r="T213" i="16"/>
  <c r="T202" i="16"/>
  <c r="T191" i="16"/>
  <c r="T180" i="16"/>
  <c r="T169" i="16"/>
  <c r="T158" i="16"/>
  <c r="T147" i="16"/>
  <c r="T136" i="16"/>
  <c r="T125" i="16"/>
  <c r="T114" i="16"/>
  <c r="T103" i="16"/>
  <c r="T92" i="16"/>
  <c r="T81" i="16"/>
  <c r="T70" i="16"/>
  <c r="T59" i="16"/>
  <c r="T48" i="16"/>
  <c r="T37" i="16"/>
  <c r="T26" i="16"/>
  <c r="T15" i="16"/>
  <c r="T4" i="16"/>
  <c r="U279" i="16"/>
  <c r="U268" i="16"/>
  <c r="U257" i="16"/>
  <c r="U246" i="16"/>
  <c r="U235" i="16"/>
  <c r="U224" i="16"/>
  <c r="U213" i="16"/>
  <c r="U202" i="16"/>
  <c r="U191" i="16"/>
  <c r="U180" i="16"/>
  <c r="U169" i="16"/>
  <c r="U158" i="16"/>
  <c r="U147" i="16"/>
  <c r="U136" i="16"/>
  <c r="U125" i="16"/>
  <c r="U114" i="16"/>
  <c r="U103" i="16"/>
  <c r="U92" i="16"/>
  <c r="U81" i="16"/>
  <c r="U70" i="16"/>
  <c r="U59" i="16"/>
  <c r="U48" i="16"/>
  <c r="U37" i="16"/>
  <c r="U26" i="16"/>
  <c r="U15" i="16"/>
  <c r="N59" i="17"/>
  <c r="M59" i="17"/>
  <c r="N48" i="17"/>
  <c r="M48" i="17"/>
  <c r="N37" i="17"/>
  <c r="M37" i="17"/>
  <c r="N26" i="17"/>
  <c r="M26" i="17"/>
  <c r="N15" i="17"/>
  <c r="M15" i="17"/>
  <c r="N4" i="17"/>
  <c r="I135" i="18"/>
  <c r="I99" i="18"/>
  <c r="I63" i="18"/>
  <c r="I27" i="18"/>
  <c r="I125" i="18"/>
  <c r="I124" i="18"/>
  <c r="I123" i="18"/>
  <c r="I122" i="18"/>
  <c r="I121" i="18"/>
  <c r="I120" i="18"/>
  <c r="I119" i="18"/>
  <c r="I118" i="18"/>
  <c r="I117" i="18"/>
  <c r="I116" i="18"/>
  <c r="I115" i="18"/>
  <c r="I114" i="18"/>
  <c r="I113" i="18"/>
  <c r="I112" i="18"/>
  <c r="I111" i="18"/>
  <c r="I110" i="18"/>
  <c r="I89" i="18"/>
  <c r="I88" i="18"/>
  <c r="I87" i="18"/>
  <c r="I86" i="18"/>
  <c r="I85" i="18"/>
  <c r="I84" i="18"/>
  <c r="I83" i="18"/>
  <c r="I82" i="18"/>
  <c r="I81" i="18"/>
  <c r="I80" i="18"/>
  <c r="I79" i="18"/>
  <c r="I78" i="18"/>
  <c r="I77" i="18"/>
  <c r="I76" i="18"/>
  <c r="I75" i="18"/>
  <c r="I74" i="18"/>
  <c r="I53" i="18"/>
  <c r="I52" i="18"/>
  <c r="I51" i="18"/>
  <c r="I50" i="18"/>
  <c r="I49" i="18"/>
  <c r="I48" i="18"/>
  <c r="I47" i="18"/>
  <c r="I46" i="18"/>
  <c r="I45" i="18"/>
  <c r="I44" i="18"/>
  <c r="I43" i="18"/>
  <c r="I42" i="18"/>
  <c r="I41" i="18"/>
  <c r="I40" i="18"/>
  <c r="I39" i="18"/>
  <c r="I38" i="18"/>
  <c r="I17" i="18"/>
  <c r="I16" i="18"/>
  <c r="I15" i="18"/>
  <c r="I14" i="18"/>
  <c r="I13" i="18"/>
  <c r="I12" i="18"/>
  <c r="I11" i="18"/>
  <c r="I10" i="18"/>
  <c r="I9" i="18"/>
  <c r="I8" i="18"/>
  <c r="I7" i="18"/>
  <c r="I6" i="18"/>
  <c r="I5" i="18"/>
  <c r="I4" i="18"/>
  <c r="I3" i="18"/>
  <c r="O14" i="5"/>
  <c r="O15" i="5"/>
  <c r="O16" i="5"/>
  <c r="O17" i="5"/>
  <c r="O13" i="5"/>
  <c r="J110" i="18"/>
  <c r="J74" i="18"/>
  <c r="J38" i="18"/>
  <c r="J2" i="18"/>
  <c r="U7" i="5"/>
  <c r="U9" i="5"/>
  <c r="U8" i="5"/>
  <c r="B1" i="54" s="1"/>
  <c r="I108" i="18"/>
  <c r="I109" i="18"/>
  <c r="I72" i="18"/>
  <c r="I73" i="18"/>
  <c r="I36" i="18"/>
  <c r="I37" i="18"/>
  <c r="I18" i="18"/>
  <c r="I54" i="18"/>
  <c r="I90" i="18"/>
  <c r="P2" i="18"/>
  <c r="P3" i="18"/>
  <c r="P4" i="18"/>
  <c r="P5" i="18"/>
  <c r="P6" i="18"/>
  <c r="P7" i="18"/>
  <c r="P8" i="18"/>
  <c r="P9" i="18"/>
  <c r="K49" i="17"/>
  <c r="K50" i="17"/>
  <c r="K51" i="17"/>
  <c r="K52" i="17"/>
  <c r="K53" i="17"/>
  <c r="K54" i="17"/>
  <c r="K55" i="17"/>
  <c r="K56" i="17"/>
  <c r="K59" i="17"/>
  <c r="K60" i="17"/>
  <c r="K61" i="17"/>
  <c r="K62" i="17"/>
  <c r="K63" i="17"/>
  <c r="K64" i="17"/>
  <c r="K65" i="17"/>
  <c r="K66" i="17"/>
  <c r="K48" i="17"/>
  <c r="V210" i="16"/>
  <c r="W210" i="16"/>
  <c r="V211" i="16"/>
  <c r="W211" i="16"/>
  <c r="V221" i="16"/>
  <c r="W221" i="16"/>
  <c r="V222" i="16"/>
  <c r="W222" i="16"/>
  <c r="V232" i="16"/>
  <c r="W232" i="16"/>
  <c r="V233" i="16"/>
  <c r="W233" i="16"/>
  <c r="V243" i="16"/>
  <c r="W243" i="16"/>
  <c r="V244" i="16"/>
  <c r="W244" i="16"/>
  <c r="V254" i="16"/>
  <c r="W254" i="16"/>
  <c r="V255" i="16"/>
  <c r="W255" i="16"/>
  <c r="V265" i="16"/>
  <c r="W265" i="16"/>
  <c r="V266" i="16"/>
  <c r="W266" i="16"/>
  <c r="V276" i="16"/>
  <c r="W276" i="16"/>
  <c r="V277" i="16"/>
  <c r="W277" i="16"/>
  <c r="K233" i="12"/>
  <c r="K222" i="12"/>
  <c r="K211" i="12"/>
  <c r="K200" i="12"/>
  <c r="K189" i="12"/>
  <c r="K178" i="12"/>
  <c r="K167" i="12"/>
  <c r="K156" i="12"/>
  <c r="K145" i="12"/>
  <c r="K134" i="12"/>
  <c r="K123" i="12"/>
  <c r="K112" i="12"/>
  <c r="K101" i="12"/>
  <c r="K90" i="12"/>
  <c r="K79" i="12"/>
  <c r="K68" i="12"/>
  <c r="K57" i="12"/>
  <c r="K46" i="12"/>
  <c r="K35" i="12"/>
  <c r="K24" i="12"/>
  <c r="K13" i="12"/>
  <c r="K2" i="12"/>
  <c r="D233" i="12"/>
  <c r="D222" i="12"/>
  <c r="D211" i="12"/>
  <c r="D200" i="12"/>
  <c r="D189" i="12"/>
  <c r="D178" i="12"/>
  <c r="D167" i="12"/>
  <c r="D156" i="12"/>
  <c r="D145" i="12"/>
  <c r="D134" i="12"/>
  <c r="D123" i="12"/>
  <c r="D112" i="12"/>
  <c r="D101" i="12"/>
  <c r="D90" i="12"/>
  <c r="D79" i="12"/>
  <c r="D68" i="12"/>
  <c r="D57" i="12"/>
  <c r="D46" i="12"/>
  <c r="D35" i="12"/>
  <c r="D24" i="12"/>
  <c r="D13" i="12"/>
  <c r="D2" i="12"/>
  <c r="K35" i="19"/>
  <c r="K24" i="19"/>
  <c r="K13" i="19"/>
  <c r="K2" i="19"/>
  <c r="D35" i="19"/>
  <c r="R36" i="19" s="1"/>
  <c r="D24" i="19"/>
  <c r="R25" i="19" s="1"/>
  <c r="D13" i="19"/>
  <c r="R14" i="19" s="1"/>
  <c r="D2" i="19"/>
  <c r="R3" i="19" s="1"/>
  <c r="K277" i="16"/>
  <c r="K266" i="16"/>
  <c r="K255" i="16"/>
  <c r="K244" i="16"/>
  <c r="K233" i="16"/>
  <c r="K222" i="16"/>
  <c r="K211" i="16"/>
  <c r="K200" i="16"/>
  <c r="K189" i="16"/>
  <c r="K178" i="16"/>
  <c r="K167" i="16"/>
  <c r="K156" i="16"/>
  <c r="K145" i="16"/>
  <c r="K134" i="16"/>
  <c r="K123" i="16"/>
  <c r="K112" i="16"/>
  <c r="K101" i="16"/>
  <c r="K90" i="16"/>
  <c r="K79" i="16"/>
  <c r="K68" i="16"/>
  <c r="K57" i="16"/>
  <c r="K46" i="16"/>
  <c r="K35" i="16"/>
  <c r="K24" i="16"/>
  <c r="K13" i="16"/>
  <c r="K2" i="16"/>
  <c r="D277" i="16"/>
  <c r="R278" i="16" s="1"/>
  <c r="D266" i="16"/>
  <c r="R267" i="16" s="1"/>
  <c r="D255" i="16"/>
  <c r="R256" i="16" s="1"/>
  <c r="D244" i="16"/>
  <c r="C252" i="16" s="1"/>
  <c r="D233" i="16"/>
  <c r="R234" i="16" s="1"/>
  <c r="D222" i="16"/>
  <c r="C230" i="16" s="1"/>
  <c r="D211" i="16"/>
  <c r="R212" i="16" s="1"/>
  <c r="D200" i="16"/>
  <c r="R201" i="16" s="1"/>
  <c r="D189" i="16"/>
  <c r="R190" i="16" s="1"/>
  <c r="D178" i="16"/>
  <c r="C186" i="16" s="1"/>
  <c r="D167" i="16"/>
  <c r="R168" i="16" s="1"/>
  <c r="D156" i="16"/>
  <c r="C164" i="16" s="1"/>
  <c r="D145" i="16"/>
  <c r="R146" i="16" s="1"/>
  <c r="D134" i="16"/>
  <c r="R135" i="16" s="1"/>
  <c r="R136" i="16" s="1"/>
  <c r="D123" i="16"/>
  <c r="C131" i="16" s="1"/>
  <c r="D112" i="16"/>
  <c r="R113" i="16" s="1"/>
  <c r="D101" i="16"/>
  <c r="R102" i="16" s="1"/>
  <c r="D90" i="16"/>
  <c r="R91" i="16" s="1"/>
  <c r="D79" i="16"/>
  <c r="R80" i="16" s="1"/>
  <c r="D68" i="16"/>
  <c r="R69" i="16" s="1"/>
  <c r="D57" i="16"/>
  <c r="R58" i="16" s="1"/>
  <c r="D46" i="16"/>
  <c r="R47" i="16" s="1"/>
  <c r="D35" i="16"/>
  <c r="R36" i="16" s="1"/>
  <c r="D24" i="16"/>
  <c r="R25" i="16" s="1"/>
  <c r="D13" i="16"/>
  <c r="R14" i="16" s="1"/>
  <c r="A4" i="6"/>
  <c r="A33" i="6" s="1"/>
  <c r="R21" i="15"/>
  <c r="Q29" i="15" s="1"/>
  <c r="R2" i="15"/>
  <c r="Q10" i="15" s="1"/>
  <c r="J21" i="15"/>
  <c r="I29" i="15" s="1"/>
  <c r="J2" i="15"/>
  <c r="I10" i="15" s="1"/>
  <c r="B21" i="15"/>
  <c r="A29" i="15" s="1"/>
  <c r="B2" i="15"/>
  <c r="A10" i="15" s="1"/>
  <c r="D2" i="16"/>
  <c r="R3" i="16" s="1"/>
  <c r="A146" i="40"/>
  <c r="A1" i="17"/>
  <c r="A124" i="50" s="1"/>
  <c r="C1" i="19"/>
  <c r="A58" i="50"/>
  <c r="C1" i="16"/>
  <c r="A69" i="50" s="1"/>
  <c r="EO32" i="1"/>
  <c r="EO40" i="1"/>
  <c r="EO41" i="1"/>
  <c r="EO42" i="1"/>
  <c r="EO43" i="1"/>
  <c r="EO44" i="1"/>
  <c r="EO45" i="1"/>
  <c r="EO46" i="1"/>
  <c r="EO47" i="1"/>
  <c r="EO48" i="1"/>
  <c r="EO49" i="1"/>
  <c r="EO50" i="1"/>
  <c r="EO51" i="1"/>
  <c r="EO52" i="1"/>
  <c r="EO53" i="1"/>
  <c r="EO54" i="1"/>
  <c r="EO55" i="1"/>
  <c r="EO56" i="1"/>
  <c r="EO57" i="1"/>
  <c r="EO58" i="1"/>
  <c r="EO59" i="1"/>
  <c r="EO60" i="1"/>
  <c r="EO39" i="1"/>
  <c r="EO30" i="1"/>
  <c r="EO31" i="1"/>
  <c r="EO29" i="1"/>
  <c r="EO38" i="1"/>
  <c r="EO37" i="1"/>
  <c r="EO36" i="1"/>
  <c r="EO35" i="1"/>
  <c r="EO34" i="1"/>
  <c r="EO33" i="1"/>
  <c r="EO28" i="1"/>
  <c r="EO27" i="1"/>
  <c r="EO26" i="1"/>
  <c r="EO25" i="1"/>
  <c r="EO24" i="1"/>
  <c r="EO23" i="1"/>
  <c r="EO22" i="1"/>
  <c r="EO21" i="1"/>
  <c r="EO20" i="1"/>
  <c r="EO19" i="1"/>
  <c r="EO18" i="1"/>
  <c r="EO17" i="1"/>
  <c r="EO16" i="1"/>
  <c r="EO15" i="1"/>
  <c r="EO14" i="1"/>
  <c r="EO13" i="1"/>
  <c r="EO12" i="1"/>
  <c r="EO11" i="1"/>
  <c r="EO10" i="1"/>
  <c r="EO9" i="1"/>
  <c r="EO8" i="1"/>
  <c r="EO7" i="1"/>
  <c r="EO6" i="1"/>
  <c r="EO5" i="1"/>
  <c r="EO4" i="1"/>
  <c r="EO3" i="1"/>
  <c r="EJ55" i="1"/>
  <c r="EJ42" i="1"/>
  <c r="EJ3" i="1"/>
  <c r="EJ49" i="1"/>
  <c r="EJ48" i="1"/>
  <c r="EJ47" i="1"/>
  <c r="EJ46" i="1"/>
  <c r="EJ60" i="1"/>
  <c r="EJ59" i="1"/>
  <c r="EJ58" i="1"/>
  <c r="EJ57" i="1"/>
  <c r="EJ56" i="1"/>
  <c r="EJ54" i="1"/>
  <c r="EJ53" i="1"/>
  <c r="EJ52" i="1"/>
  <c r="EJ51" i="1"/>
  <c r="EJ50" i="1"/>
  <c r="EJ45" i="1"/>
  <c r="EJ44" i="1"/>
  <c r="EJ43" i="1"/>
  <c r="EJ41" i="1"/>
  <c r="EJ40" i="1"/>
  <c r="EJ39" i="1"/>
  <c r="EJ38" i="1"/>
  <c r="EJ37" i="1"/>
  <c r="EJ36" i="1"/>
  <c r="EJ35" i="1"/>
  <c r="EJ34" i="1"/>
  <c r="EJ33" i="1"/>
  <c r="EJ32" i="1"/>
  <c r="EJ31" i="1"/>
  <c r="EJ30" i="1"/>
  <c r="EJ29" i="1"/>
  <c r="EJ28" i="1"/>
  <c r="EJ27" i="1"/>
  <c r="EJ26" i="1"/>
  <c r="EJ25" i="1"/>
  <c r="EJ24" i="1"/>
  <c r="EJ23" i="1"/>
  <c r="EJ22" i="1"/>
  <c r="EJ21" i="1"/>
  <c r="EJ20" i="1"/>
  <c r="EJ19" i="1"/>
  <c r="EJ18" i="1"/>
  <c r="EJ17" i="1"/>
  <c r="EJ16" i="1"/>
  <c r="EJ15" i="1"/>
  <c r="EJ14" i="1"/>
  <c r="EJ13" i="1"/>
  <c r="EJ12" i="1"/>
  <c r="EJ11" i="1"/>
  <c r="EJ10" i="1"/>
  <c r="EJ9" i="1"/>
  <c r="EJ8" i="1"/>
  <c r="EJ7" i="1"/>
  <c r="EJ6" i="1"/>
  <c r="EJ5" i="1"/>
  <c r="EJ4" i="1"/>
  <c r="A36" i="14"/>
  <c r="A61" i="14" s="1"/>
  <c r="A68" i="14"/>
  <c r="F69" i="14" s="1"/>
  <c r="A71" i="14" s="1"/>
  <c r="A100" i="14"/>
  <c r="R101" i="14" s="1"/>
  <c r="A132" i="14"/>
  <c r="R133" i="14" s="1"/>
  <c r="A164" i="14"/>
  <c r="R165" i="14" s="1"/>
  <c r="A4" i="14"/>
  <c r="C3" i="14" s="1"/>
  <c r="C147" i="16"/>
  <c r="C268" i="16"/>
  <c r="A36" i="6"/>
  <c r="AA36" i="6" s="1"/>
  <c r="A68" i="6"/>
  <c r="AA68" i="6" s="1"/>
  <c r="A100" i="6"/>
  <c r="A126" i="6" s="1"/>
  <c r="A132" i="6"/>
  <c r="Y132" i="6" s="1"/>
  <c r="A164" i="6"/>
  <c r="A193" i="6" s="1"/>
  <c r="A196" i="6"/>
  <c r="A228" i="6"/>
  <c r="A252" i="6" s="1"/>
  <c r="A260" i="6"/>
  <c r="A284" i="6" s="1"/>
  <c r="A292" i="6"/>
  <c r="A316" i="6" s="1"/>
  <c r="A324" i="6"/>
  <c r="A347" i="6" s="1"/>
  <c r="A356" i="6"/>
  <c r="A388" i="6"/>
  <c r="A417" i="6" s="1"/>
  <c r="A420" i="6"/>
  <c r="A443" i="6" s="1"/>
  <c r="A452" i="6"/>
  <c r="A477" i="6" s="1"/>
  <c r="A484" i="6"/>
  <c r="AA484" i="6" s="1"/>
  <c r="B6" i="6"/>
  <c r="C6" i="6"/>
  <c r="U6" i="5"/>
  <c r="A195" i="6" s="1"/>
  <c r="U2" i="4"/>
  <c r="U3" i="4"/>
  <c r="U4" i="4"/>
  <c r="U5" i="4"/>
  <c r="U6" i="4"/>
  <c r="U13" i="4"/>
  <c r="U14" i="4"/>
  <c r="U15" i="4"/>
  <c r="U16" i="4"/>
  <c r="U17" i="4"/>
  <c r="B38" i="6"/>
  <c r="C38" i="6"/>
  <c r="AI4" i="10"/>
  <c r="AI5" i="10"/>
  <c r="AI6" i="10"/>
  <c r="AI7" i="10"/>
  <c r="AM5" i="10"/>
  <c r="AM6" i="10" s="1"/>
  <c r="AM7" i="10" s="1"/>
  <c r="AI8" i="10"/>
  <c r="AI9" i="10"/>
  <c r="AM9" i="10"/>
  <c r="AM10" i="10" s="1"/>
  <c r="AM11" i="10" s="1"/>
  <c r="AI10" i="10"/>
  <c r="AI11" i="10"/>
  <c r="AI12" i="10"/>
  <c r="AI13" i="10"/>
  <c r="AM13" i="10"/>
  <c r="AM14" i="10" s="1"/>
  <c r="AM15" i="10" s="1"/>
  <c r="AI14" i="10"/>
  <c r="AI15" i="10"/>
  <c r="AI16" i="10"/>
  <c r="AI17" i="10"/>
  <c r="AM17" i="10"/>
  <c r="AM18" i="10" s="1"/>
  <c r="AM19" i="10" s="1"/>
  <c r="AI18" i="10"/>
  <c r="AI19" i="10"/>
  <c r="AM22" i="10"/>
  <c r="AM23" i="10" s="1"/>
  <c r="AM24" i="10" s="1"/>
  <c r="ED3" i="1"/>
  <c r="ED4" i="1"/>
  <c r="ED5" i="1"/>
  <c r="ED6" i="1"/>
  <c r="EH4" i="1"/>
  <c r="EH5" i="1" s="1"/>
  <c r="EH6" i="1" s="1"/>
  <c r="ED7" i="1"/>
  <c r="ED8" i="1"/>
  <c r="EH8" i="1"/>
  <c r="EH9" i="1" s="1"/>
  <c r="EH10" i="1" s="1"/>
  <c r="ED9" i="1"/>
  <c r="ED10" i="1"/>
  <c r="ED11" i="1"/>
  <c r="ED12" i="1"/>
  <c r="EH12" i="1"/>
  <c r="EH13" i="1" s="1"/>
  <c r="EH14" i="1" s="1"/>
  <c r="ED13" i="1"/>
  <c r="ED14" i="1"/>
  <c r="ED15" i="1"/>
  <c r="ED16" i="1"/>
  <c r="EH16" i="1"/>
  <c r="EH17" i="1" s="1"/>
  <c r="EH18" i="1" s="1"/>
  <c r="ED17" i="1"/>
  <c r="B70" i="6"/>
  <c r="C70" i="6"/>
  <c r="B102" i="6"/>
  <c r="C102" i="6"/>
  <c r="B134" i="6"/>
  <c r="C134" i="6"/>
  <c r="B166" i="6"/>
  <c r="C166" i="6"/>
  <c r="B198" i="6"/>
  <c r="C198" i="6"/>
  <c r="B230" i="6"/>
  <c r="C230" i="6"/>
  <c r="B262" i="6"/>
  <c r="C262" i="6"/>
  <c r="B294" i="6"/>
  <c r="C294" i="6"/>
  <c r="B326" i="6"/>
  <c r="C326" i="6"/>
  <c r="B358" i="6"/>
  <c r="C358" i="6"/>
  <c r="B390" i="6"/>
  <c r="C390" i="6"/>
  <c r="B422" i="6"/>
  <c r="C422" i="6"/>
  <c r="B454" i="6"/>
  <c r="C454" i="6"/>
  <c r="B486" i="6"/>
  <c r="C486" i="6"/>
  <c r="C33" i="12"/>
  <c r="C66" i="12"/>
  <c r="B5" i="14"/>
  <c r="C6" i="14"/>
  <c r="B6" i="14"/>
  <c r="B37" i="14"/>
  <c r="C38" i="14"/>
  <c r="B38" i="14"/>
  <c r="C198" i="12"/>
  <c r="B69" i="14"/>
  <c r="C70" i="14"/>
  <c r="B101" i="14"/>
  <c r="C102" i="14"/>
  <c r="B102" i="14"/>
  <c r="B133" i="14"/>
  <c r="C134" i="14"/>
  <c r="B165" i="14"/>
  <c r="C166" i="14"/>
  <c r="B70" i="14"/>
  <c r="C209" i="12"/>
  <c r="B134" i="14"/>
  <c r="B166" i="14"/>
  <c r="A37" i="13"/>
  <c r="D37" i="13" s="1"/>
  <c r="K10" i="18"/>
  <c r="P10" i="18" s="1"/>
  <c r="K11" i="18"/>
  <c r="P11" i="18" s="1"/>
  <c r="K12" i="18"/>
  <c r="P12" i="18" s="1"/>
  <c r="K13" i="18"/>
  <c r="P13" i="18" s="1"/>
  <c r="K14" i="18"/>
  <c r="P14" i="18"/>
  <c r="K15" i="18"/>
  <c r="P15" i="18" s="1"/>
  <c r="K16" i="18"/>
  <c r="P16" i="18" s="1"/>
  <c r="K17" i="18"/>
  <c r="P17" i="18" s="1"/>
  <c r="B37" i="18"/>
  <c r="B73" i="18" s="1"/>
  <c r="B109" i="18" s="1"/>
  <c r="K46" i="18"/>
  <c r="P46" i="18" s="1"/>
  <c r="K47" i="18"/>
  <c r="P47" i="18" s="1"/>
  <c r="K48" i="18"/>
  <c r="P48" i="18" s="1"/>
  <c r="K49" i="18"/>
  <c r="P49" i="18" s="1"/>
  <c r="K50" i="18"/>
  <c r="P50" i="18"/>
  <c r="K51" i="18"/>
  <c r="P51" i="18" s="1"/>
  <c r="K52" i="18"/>
  <c r="K53" i="18"/>
  <c r="P53" i="18" s="1"/>
  <c r="A77" i="18"/>
  <c r="K82" i="18"/>
  <c r="P82" i="18" s="1"/>
  <c r="K83" i="18"/>
  <c r="P83" i="18"/>
  <c r="K84" i="18"/>
  <c r="P84" i="18" s="1"/>
  <c r="K85" i="18"/>
  <c r="P85" i="18" s="1"/>
  <c r="K86" i="18"/>
  <c r="P86" i="18" s="1"/>
  <c r="K87" i="18"/>
  <c r="P87" i="18" s="1"/>
  <c r="K88" i="18"/>
  <c r="P88" i="18" s="1"/>
  <c r="K89" i="18"/>
  <c r="P89" i="18" s="1"/>
  <c r="K118" i="18"/>
  <c r="P118" i="18" s="1"/>
  <c r="K119" i="18"/>
  <c r="P119" i="18" s="1"/>
  <c r="K120" i="18"/>
  <c r="P120" i="18" s="1"/>
  <c r="K121" i="18"/>
  <c r="P121" i="18" s="1"/>
  <c r="K122" i="18"/>
  <c r="P122" i="18" s="1"/>
  <c r="K123" i="18"/>
  <c r="P123" i="18" s="1"/>
  <c r="K124" i="18"/>
  <c r="P124" i="18" s="1"/>
  <c r="K125" i="18"/>
  <c r="P125" i="18"/>
  <c r="B13" i="17"/>
  <c r="A21" i="17" s="1"/>
  <c r="A42" i="17"/>
  <c r="A61" i="17"/>
  <c r="A2" i="9"/>
  <c r="B2" i="9" s="1"/>
  <c r="C37" i="18"/>
  <c r="C73" i="18" s="1"/>
  <c r="C109" i="18" s="1"/>
  <c r="P110" i="18"/>
  <c r="P111" i="18"/>
  <c r="P112" i="18"/>
  <c r="P113" i="18"/>
  <c r="P114" i="18"/>
  <c r="P115" i="18"/>
  <c r="P116" i="18"/>
  <c r="P117" i="18"/>
  <c r="P74" i="18"/>
  <c r="P75" i="18"/>
  <c r="P76" i="18"/>
  <c r="P77" i="18"/>
  <c r="P78" i="18"/>
  <c r="P79" i="18"/>
  <c r="P80" i="18"/>
  <c r="P81" i="18"/>
  <c r="P38" i="18"/>
  <c r="P39" i="18"/>
  <c r="P40" i="18"/>
  <c r="P41" i="18"/>
  <c r="P42" i="18"/>
  <c r="P43" i="18"/>
  <c r="P44" i="18"/>
  <c r="P45" i="18"/>
  <c r="O116" i="9"/>
  <c r="P116" i="9" s="1"/>
  <c r="H116" i="9"/>
  <c r="I116" i="9"/>
  <c r="A116" i="9"/>
  <c r="B116" i="9" s="1"/>
  <c r="O97" i="9"/>
  <c r="P97" i="9" s="1"/>
  <c r="H97" i="9"/>
  <c r="I97" i="9"/>
  <c r="A97" i="9"/>
  <c r="B97" i="9" s="1"/>
  <c r="O78" i="9"/>
  <c r="H78" i="9"/>
  <c r="I78" i="9" s="1"/>
  <c r="A78" i="9"/>
  <c r="B78" i="9" s="1"/>
  <c r="O59" i="9"/>
  <c r="P59" i="9" s="1"/>
  <c r="H59" i="9"/>
  <c r="I59" i="9" s="1"/>
  <c r="A59" i="9"/>
  <c r="B59" i="9" s="1"/>
  <c r="O40" i="9"/>
  <c r="P40" i="9" s="1"/>
  <c r="H40" i="9"/>
  <c r="I40" i="9" s="1"/>
  <c r="A40" i="9"/>
  <c r="B40" i="9" s="1"/>
  <c r="O21" i="9"/>
  <c r="P21" i="9" s="1"/>
  <c r="H21" i="9"/>
  <c r="I21" i="9" s="1"/>
  <c r="A21" i="9"/>
  <c r="B21" i="9" s="1"/>
  <c r="O2" i="9"/>
  <c r="P2" i="9" s="1"/>
  <c r="H2" i="9"/>
  <c r="I2" i="9" s="1"/>
  <c r="C257" i="16"/>
  <c r="C246" i="16"/>
  <c r="C191" i="16"/>
  <c r="C180" i="16"/>
  <c r="C92" i="16"/>
  <c r="C15" i="16"/>
  <c r="A31" i="13"/>
  <c r="D31" i="13" s="1"/>
  <c r="C22" i="16"/>
  <c r="I13" i="16" s="1"/>
  <c r="A7" i="13"/>
  <c r="A8" i="13"/>
  <c r="A9" i="13"/>
  <c r="D9" i="13" s="1"/>
  <c r="A10" i="13"/>
  <c r="A11" i="13"/>
  <c r="C11" i="13" s="1"/>
  <c r="A12" i="13"/>
  <c r="A13" i="13"/>
  <c r="C13" i="13" s="1"/>
  <c r="A14" i="13"/>
  <c r="D14" i="13" s="1"/>
  <c r="A15" i="13"/>
  <c r="D15" i="13" s="1"/>
  <c r="A16" i="13"/>
  <c r="D16" i="13" s="1"/>
  <c r="A25" i="13"/>
  <c r="A26" i="13"/>
  <c r="D26" i="13" s="1"/>
  <c r="A27" i="13"/>
  <c r="C27" i="13" s="1"/>
  <c r="A28" i="13"/>
  <c r="A29" i="13"/>
  <c r="D29" i="13" s="1"/>
  <c r="A30" i="13"/>
  <c r="D30" i="13" s="1"/>
  <c r="A32" i="13"/>
  <c r="C32" i="13" s="1"/>
  <c r="A33" i="13"/>
  <c r="C33" i="13" s="1"/>
  <c r="A34" i="13"/>
  <c r="A35" i="13"/>
  <c r="D35" i="13" s="1"/>
  <c r="A36" i="13"/>
  <c r="C36" i="13" s="1"/>
  <c r="A38" i="13"/>
  <c r="D38" i="13" s="1"/>
  <c r="A39" i="13"/>
  <c r="D39" i="13" s="1"/>
  <c r="A49" i="13"/>
  <c r="A50" i="13"/>
  <c r="D50" i="13" s="1"/>
  <c r="A51" i="13"/>
  <c r="D51" i="13" s="1"/>
  <c r="A52" i="13"/>
  <c r="D52" i="13" s="1"/>
  <c r="A53" i="13"/>
  <c r="A54" i="13"/>
  <c r="C54" i="13" s="1"/>
  <c r="A55" i="13"/>
  <c r="C55" i="13" s="1"/>
  <c r="A56" i="13"/>
  <c r="D56" i="13" s="1"/>
  <c r="A57" i="13"/>
  <c r="C57" i="13" s="1"/>
  <c r="A58" i="13"/>
  <c r="C58" i="13" s="1"/>
  <c r="A59" i="13"/>
  <c r="D59" i="13" s="1"/>
  <c r="A60" i="13"/>
  <c r="A61" i="13"/>
  <c r="A62" i="13"/>
  <c r="D62" i="13" s="1"/>
  <c r="A63" i="13"/>
  <c r="A64" i="13"/>
  <c r="D64" i="13" s="1"/>
  <c r="A65" i="13"/>
  <c r="C65" i="13" s="1"/>
  <c r="A66" i="13"/>
  <c r="C66" i="13" s="1"/>
  <c r="A67" i="13"/>
  <c r="C67" i="13" s="1"/>
  <c r="A68" i="13"/>
  <c r="D68" i="13" s="1"/>
  <c r="A69" i="13"/>
  <c r="C69" i="13" s="1"/>
  <c r="A80" i="13"/>
  <c r="A81" i="13"/>
  <c r="A82" i="13"/>
  <c r="A83" i="13"/>
  <c r="A84" i="13"/>
  <c r="C84" i="13" s="1"/>
  <c r="A85" i="13"/>
  <c r="C85" i="13" s="1"/>
  <c r="A86" i="13"/>
  <c r="A87" i="13"/>
  <c r="A88" i="13"/>
  <c r="C88" i="13" s="1"/>
  <c r="A89" i="13"/>
  <c r="D89" i="13" s="1"/>
  <c r="A90" i="13"/>
  <c r="D90" i="13" s="1"/>
  <c r="A91" i="13"/>
  <c r="C91" i="13" s="1"/>
  <c r="A92" i="13"/>
  <c r="D92" i="13" s="1"/>
  <c r="A93" i="13"/>
  <c r="C93" i="13" s="1"/>
  <c r="A94" i="13"/>
  <c r="C94" i="13" s="1"/>
  <c r="A95" i="13"/>
  <c r="D95" i="13" s="1"/>
  <c r="A96" i="13"/>
  <c r="C96" i="13" s="1"/>
  <c r="A97" i="13"/>
  <c r="D97" i="13" s="1"/>
  <c r="A98" i="13"/>
  <c r="D98" i="13" s="1"/>
  <c r="A99" i="13"/>
  <c r="C99" i="13" s="1"/>
  <c r="A100" i="13"/>
  <c r="D100" i="13" s="1"/>
  <c r="A101" i="13"/>
  <c r="C101" i="13" s="1"/>
  <c r="A102" i="13"/>
  <c r="C102" i="13" s="1"/>
  <c r="A103" i="13"/>
  <c r="D103" i="13" s="1"/>
  <c r="A104" i="13"/>
  <c r="D104" i="13" s="1"/>
  <c r="A105" i="13"/>
  <c r="D105" i="13" s="1"/>
  <c r="A106" i="13"/>
  <c r="D106" i="13" s="1"/>
  <c r="A107" i="13"/>
  <c r="D107" i="13" s="1"/>
  <c r="Q24" i="15"/>
  <c r="I24" i="15"/>
  <c r="Q5" i="15"/>
  <c r="I5" i="15"/>
  <c r="D96" i="13"/>
  <c r="D69" i="13"/>
  <c r="O100" i="9"/>
  <c r="H100" i="9"/>
  <c r="O81" i="9"/>
  <c r="H81" i="9"/>
  <c r="O62" i="9"/>
  <c r="H62" i="9"/>
  <c r="O43" i="9"/>
  <c r="H43" i="9"/>
  <c r="O24" i="9"/>
  <c r="H24" i="9"/>
  <c r="O5" i="9"/>
  <c r="H5" i="9"/>
  <c r="C187" i="16"/>
  <c r="I178" i="16" s="1"/>
  <c r="C198" i="16"/>
  <c r="I189" i="16" s="1"/>
  <c r="C99" i="16"/>
  <c r="I90" i="16" s="1"/>
  <c r="C264" i="16"/>
  <c r="C121" i="16"/>
  <c r="I112" i="16" s="1"/>
  <c r="C33" i="16"/>
  <c r="I24" i="16" s="1"/>
  <c r="C275" i="16"/>
  <c r="I266" i="16" s="1"/>
  <c r="A8" i="17"/>
  <c r="C114" i="16"/>
  <c r="C26" i="16"/>
  <c r="C88" i="12"/>
  <c r="C77" i="12"/>
  <c r="A53" i="17"/>
  <c r="A55" i="17"/>
  <c r="A50" i="17"/>
  <c r="A52" i="17"/>
  <c r="C136" i="16"/>
  <c r="C209" i="16"/>
  <c r="I200" i="16" s="1"/>
  <c r="C55" i="16"/>
  <c r="I46" i="16" s="1"/>
  <c r="C11" i="16"/>
  <c r="I2" i="16" s="1"/>
  <c r="C202" i="16"/>
  <c r="C48" i="16"/>
  <c r="C4" i="16"/>
  <c r="C143" i="16"/>
  <c r="I134" i="16" s="1"/>
  <c r="C176" i="12"/>
  <c r="C55" i="12"/>
  <c r="A51" i="17"/>
  <c r="A18" i="17"/>
  <c r="A22" i="17"/>
  <c r="A20" i="17"/>
  <c r="A19" i="17"/>
  <c r="A17" i="17"/>
  <c r="C66" i="16"/>
  <c r="I57" i="16" s="1"/>
  <c r="C59" i="16"/>
  <c r="C154" i="16"/>
  <c r="C213" i="16"/>
  <c r="C220" i="16"/>
  <c r="I211" i="16" s="1"/>
  <c r="C169" i="16"/>
  <c r="G167" i="16"/>
  <c r="N167" i="16"/>
  <c r="G222" i="16"/>
  <c r="N222" i="16"/>
  <c r="C165" i="16"/>
  <c r="I156" i="16" s="1"/>
  <c r="G156" i="16"/>
  <c r="N156" i="16"/>
  <c r="G68" i="16"/>
  <c r="N68" i="16"/>
  <c r="G233" i="16"/>
  <c r="N233" i="16"/>
  <c r="G211" i="16"/>
  <c r="N211" i="16"/>
  <c r="G145" i="16"/>
  <c r="N145" i="16"/>
  <c r="G57" i="16"/>
  <c r="N57" i="16"/>
  <c r="G79" i="16"/>
  <c r="N79" i="16"/>
  <c r="N2" i="16"/>
  <c r="G2" i="16"/>
  <c r="G200" i="16"/>
  <c r="N200" i="16"/>
  <c r="G134" i="16"/>
  <c r="N134" i="16"/>
  <c r="N46" i="16"/>
  <c r="G46" i="16"/>
  <c r="G277" i="16"/>
  <c r="C125" i="16"/>
  <c r="N123" i="16"/>
  <c r="G123" i="16"/>
  <c r="N35" i="16"/>
  <c r="G35" i="16"/>
  <c r="N266" i="16"/>
  <c r="G266" i="16"/>
  <c r="N112" i="16"/>
  <c r="G112" i="16"/>
  <c r="N24" i="16"/>
  <c r="G24" i="16"/>
  <c r="N255" i="16"/>
  <c r="G255" i="16"/>
  <c r="N189" i="16"/>
  <c r="G189" i="16"/>
  <c r="N13" i="16"/>
  <c r="G13" i="16"/>
  <c r="G244" i="16"/>
  <c r="G178" i="16"/>
  <c r="N178" i="16"/>
  <c r="N90" i="16"/>
  <c r="G90" i="16"/>
  <c r="C220" i="12"/>
  <c r="C154" i="12"/>
  <c r="C110" i="12"/>
  <c r="C33" i="19"/>
  <c r="C132" i="12"/>
  <c r="C44" i="12"/>
  <c r="A7" i="17"/>
  <c r="C81" i="16"/>
  <c r="C176" i="16"/>
  <c r="I167" i="16" s="1"/>
  <c r="C88" i="16"/>
  <c r="I79" i="16" s="1"/>
  <c r="C11" i="12"/>
  <c r="C242" i="16"/>
  <c r="I233" i="16" s="1"/>
  <c r="C235" i="16"/>
  <c r="B46" i="17"/>
  <c r="A54" i="17" s="1"/>
  <c r="C11" i="19"/>
  <c r="C44" i="19"/>
  <c r="C22" i="12"/>
  <c r="C22" i="19"/>
  <c r="C37" i="16"/>
  <c r="A9" i="17"/>
  <c r="A5" i="18"/>
  <c r="A31" i="17"/>
  <c r="A28" i="17"/>
  <c r="AA356" i="6"/>
  <c r="C158" i="16"/>
  <c r="C224" i="16"/>
  <c r="A33" i="17"/>
  <c r="C44" i="16"/>
  <c r="I35" i="16" s="1"/>
  <c r="C231" i="12"/>
  <c r="B2" i="17"/>
  <c r="L3" i="17" s="1"/>
  <c r="L11" i="17" s="1"/>
  <c r="C121" i="12"/>
  <c r="C70" i="16"/>
  <c r="A11" i="17"/>
  <c r="A6" i="17"/>
  <c r="C187" i="12"/>
  <c r="C77" i="16"/>
  <c r="I68" i="16" s="1"/>
  <c r="A29" i="17"/>
  <c r="C165" i="12"/>
  <c r="C231" i="16"/>
  <c r="I222" i="16" s="1"/>
  <c r="A30" i="17"/>
  <c r="C132" i="16"/>
  <c r="I123" i="16" s="1"/>
  <c r="A40" i="17"/>
  <c r="A66" i="17"/>
  <c r="B24" i="17"/>
  <c r="L25" i="17" s="1"/>
  <c r="L33" i="17" s="1"/>
  <c r="A93" i="6"/>
  <c r="A62" i="17"/>
  <c r="Y68" i="6"/>
  <c r="A92" i="6"/>
  <c r="A64" i="17"/>
  <c r="A91" i="6"/>
  <c r="A41" i="18"/>
  <c r="A321" i="6"/>
  <c r="A63" i="17"/>
  <c r="C99" i="12"/>
  <c r="C143" i="12"/>
  <c r="A97" i="6"/>
  <c r="A382" i="6"/>
  <c r="A385" i="6"/>
  <c r="A379" i="6"/>
  <c r="A381" i="6"/>
  <c r="A380" i="6"/>
  <c r="B57" i="17"/>
  <c r="L58" i="17" s="1"/>
  <c r="L64" i="17" s="1"/>
  <c r="A113" i="18"/>
  <c r="C4" i="19"/>
  <c r="A158" i="14"/>
  <c r="A156" i="14"/>
  <c r="B131" i="14"/>
  <c r="A161" i="14"/>
  <c r="A157" i="14"/>
  <c r="C131" i="14"/>
  <c r="A475" i="6"/>
  <c r="A221" i="6"/>
  <c r="D27" i="13"/>
  <c r="B35" i="17"/>
  <c r="L36" i="17" s="1"/>
  <c r="L43" i="17" s="1"/>
  <c r="A44" i="17"/>
  <c r="A41" i="17"/>
  <c r="A39" i="17"/>
  <c r="N277" i="16"/>
  <c r="C279" i="16"/>
  <c r="C286" i="16"/>
  <c r="I277" i="16" s="1"/>
  <c r="G101" i="16"/>
  <c r="C110" i="16"/>
  <c r="I101" i="16" s="1"/>
  <c r="N101" i="16"/>
  <c r="C253" i="16"/>
  <c r="I244" i="16" s="1"/>
  <c r="C103" i="16"/>
  <c r="N244" i="16"/>
  <c r="A161" i="6"/>
  <c r="A158" i="6"/>
  <c r="C30" i="13"/>
  <c r="C52" i="13"/>
  <c r="A507" i="6"/>
  <c r="C9" i="13"/>
  <c r="A125" i="14"/>
  <c r="D57" i="13"/>
  <c r="C98" i="13"/>
  <c r="D99" i="13"/>
  <c r="A510" i="6"/>
  <c r="D65" i="13"/>
  <c r="C104" i="13"/>
  <c r="C103" i="13"/>
  <c r="D91" i="13"/>
  <c r="C26" i="13"/>
  <c r="R5" i="14"/>
  <c r="A219" i="6"/>
  <c r="C14" i="13"/>
  <c r="C107" i="13"/>
  <c r="A476" i="6"/>
  <c r="C35" i="13"/>
  <c r="A222" i="6"/>
  <c r="A481" i="6"/>
  <c r="AA452" i="6"/>
  <c r="AA228" i="6"/>
  <c r="A449" i="6"/>
  <c r="A225" i="6"/>
  <c r="Y452" i="6"/>
  <c r="A220" i="6"/>
  <c r="A257" i="6"/>
  <c r="C50" i="13"/>
  <c r="F293" i="6"/>
  <c r="A295" i="6" s="1"/>
  <c r="A94" i="6"/>
  <c r="O69" i="6"/>
  <c r="F69" i="6"/>
  <c r="A71" i="6" s="1"/>
  <c r="P78" i="9"/>
  <c r="O453" i="6"/>
  <c r="F453" i="6"/>
  <c r="A455" i="6" s="1"/>
  <c r="F101" i="6"/>
  <c r="A103" i="6" s="1"/>
  <c r="O229" i="6"/>
  <c r="F5" i="14"/>
  <c r="A7" i="14" s="1"/>
  <c r="A93" i="14"/>
  <c r="A446" i="6"/>
  <c r="AA196" i="6"/>
  <c r="O197" i="6"/>
  <c r="F197" i="6"/>
  <c r="A199" i="6" s="1"/>
  <c r="F165" i="14"/>
  <c r="A167" i="14" s="1"/>
  <c r="A155" i="14"/>
  <c r="F133" i="14"/>
  <c r="A135" i="14" s="1"/>
  <c r="Y356" i="6"/>
  <c r="O357" i="6"/>
  <c r="F357" i="6"/>
  <c r="A359" i="6" s="1"/>
  <c r="F325" i="6"/>
  <c r="A327" i="6" s="1"/>
  <c r="A156" i="6"/>
  <c r="O133" i="6"/>
  <c r="F133" i="6"/>
  <c r="A135" i="6" s="1"/>
  <c r="AC68" i="14"/>
  <c r="A317" i="6"/>
  <c r="AA292" i="6"/>
  <c r="A33" i="14"/>
  <c r="A318" i="6"/>
  <c r="A61" i="6"/>
  <c r="A28" i="14"/>
  <c r="P52" i="18"/>
  <c r="T176" i="40"/>
  <c r="T168" i="40"/>
  <c r="F71" i="50"/>
  <c r="M70" i="50"/>
  <c r="I60" i="50"/>
  <c r="B77" i="50"/>
  <c r="I63" i="50"/>
  <c r="J76" i="50"/>
  <c r="F70" i="50"/>
  <c r="F68" i="50"/>
  <c r="C76" i="50"/>
  <c r="M77" i="50"/>
  <c r="C73" i="50"/>
  <c r="C77" i="50"/>
  <c r="F69" i="50"/>
  <c r="K69" i="50"/>
  <c r="J74" i="50"/>
  <c r="N71" i="50"/>
  <c r="D77" i="50"/>
  <c r="B73" i="50"/>
  <c r="G75" i="50"/>
  <c r="C75" i="50"/>
  <c r="K77" i="50"/>
  <c r="N73" i="50"/>
  <c r="N72" i="50"/>
  <c r="D74" i="50"/>
  <c r="B58" i="50"/>
  <c r="D75" i="50"/>
  <c r="E69" i="50"/>
  <c r="D73" i="50"/>
  <c r="B76" i="50"/>
  <c r="F76" i="50"/>
  <c r="K76" i="50"/>
  <c r="G146" i="40"/>
  <c r="N76" i="50"/>
  <c r="B75" i="50"/>
  <c r="B74" i="50"/>
  <c r="F73" i="50"/>
  <c r="J72" i="50"/>
  <c r="M73" i="50"/>
  <c r="B70" i="50"/>
  <c r="I71" i="50"/>
  <c r="I72" i="50"/>
  <c r="N77" i="50"/>
  <c r="B71" i="50"/>
  <c r="M76" i="50"/>
  <c r="K72" i="50"/>
  <c r="J73" i="50"/>
  <c r="K74" i="50"/>
  <c r="I77" i="50"/>
  <c r="C74" i="50"/>
  <c r="C70" i="50"/>
  <c r="G73" i="50"/>
  <c r="G70" i="50"/>
  <c r="I69" i="50"/>
  <c r="K71" i="50"/>
  <c r="B72" i="50"/>
  <c r="G77" i="50"/>
  <c r="K75" i="50"/>
  <c r="I66" i="50"/>
  <c r="F75" i="50"/>
  <c r="G72" i="50"/>
  <c r="J69" i="50"/>
  <c r="M72" i="50"/>
  <c r="I61" i="50"/>
  <c r="F77" i="50"/>
  <c r="I68" i="50"/>
  <c r="B66" i="50"/>
  <c r="G69" i="50"/>
  <c r="I70" i="50"/>
  <c r="J70" i="50"/>
  <c r="M71" i="50"/>
  <c r="K70" i="50"/>
  <c r="G71" i="50"/>
  <c r="J77" i="50"/>
  <c r="I73" i="50"/>
  <c r="I75" i="50"/>
  <c r="B68" i="50"/>
  <c r="I76" i="50"/>
  <c r="B69" i="50"/>
  <c r="K73" i="50"/>
  <c r="G68" i="50"/>
  <c r="I74" i="50"/>
  <c r="D72" i="50"/>
  <c r="F74" i="50"/>
  <c r="C69" i="50"/>
  <c r="N75" i="50"/>
  <c r="N70" i="50"/>
  <c r="M69" i="50"/>
  <c r="F72" i="50"/>
  <c r="D76" i="50"/>
  <c r="G74" i="50"/>
  <c r="J71" i="50"/>
  <c r="L69" i="50"/>
  <c r="C58" i="50"/>
  <c r="J75" i="50"/>
  <c r="D70" i="50"/>
  <c r="C71" i="50"/>
  <c r="D69" i="50"/>
  <c r="L58" i="50"/>
  <c r="C72" i="50"/>
  <c r="N69" i="50"/>
  <c r="M68" i="50"/>
  <c r="N74" i="50"/>
  <c r="B62" i="50"/>
  <c r="M74" i="50"/>
  <c r="I146" i="40"/>
  <c r="D71" i="50"/>
  <c r="M75" i="50"/>
  <c r="G76" i="50"/>
  <c r="J146" i="40"/>
  <c r="F421" i="6" l="1"/>
  <c r="A423" i="6" s="1"/>
  <c r="AA420" i="6"/>
  <c r="D102" i="13"/>
  <c r="V222" i="48"/>
  <c r="A65" i="6"/>
  <c r="O421" i="6"/>
  <c r="A444" i="6"/>
  <c r="AA164" i="6"/>
  <c r="AA132" i="6"/>
  <c r="V314" i="49"/>
  <c r="T326" i="49"/>
  <c r="V327" i="50"/>
  <c r="T316" i="50"/>
  <c r="T244" i="48"/>
  <c r="V310" i="48"/>
  <c r="V277" i="49"/>
  <c r="T321" i="48"/>
  <c r="R37" i="14"/>
  <c r="O293" i="6"/>
  <c r="F37" i="14"/>
  <c r="A39" i="14" s="1"/>
  <c r="Y420" i="6"/>
  <c r="C68" i="13"/>
  <c r="D55" i="13"/>
  <c r="V255" i="48"/>
  <c r="T244" i="50"/>
  <c r="T324" i="50"/>
  <c r="T312" i="50"/>
  <c r="A190" i="6"/>
  <c r="A187" i="6"/>
  <c r="D36" i="13"/>
  <c r="V350" i="50"/>
  <c r="T344" i="50"/>
  <c r="A189" i="6"/>
  <c r="F37" i="6"/>
  <c r="A39" i="6" s="1"/>
  <c r="C106" i="13"/>
  <c r="A62" i="6"/>
  <c r="O37" i="6"/>
  <c r="A315" i="6"/>
  <c r="A478" i="6"/>
  <c r="C62" i="13"/>
  <c r="C90" i="13"/>
  <c r="A283" i="6"/>
  <c r="V318" i="50"/>
  <c r="V310" i="49"/>
  <c r="V328" i="49"/>
  <c r="V344" i="49"/>
  <c r="V211" i="50"/>
  <c r="T277" i="50"/>
  <c r="T287" i="50"/>
  <c r="A62" i="14"/>
  <c r="C38" i="13"/>
  <c r="A445" i="6"/>
  <c r="A157" i="6"/>
  <c r="V310" i="50"/>
  <c r="T334" i="49"/>
  <c r="A155" i="6"/>
  <c r="T211" i="48"/>
  <c r="V343" i="48"/>
  <c r="V317" i="50"/>
  <c r="T333" i="50"/>
  <c r="T340" i="50"/>
  <c r="A59" i="6"/>
  <c r="A60" i="6"/>
  <c r="T277" i="48"/>
  <c r="Y292" i="6"/>
  <c r="A193" i="14"/>
  <c r="D88" i="13"/>
  <c r="D66" i="13"/>
  <c r="D94" i="13"/>
  <c r="A412" i="6"/>
  <c r="Y36" i="6"/>
  <c r="V222" i="50"/>
  <c r="T288" i="48"/>
  <c r="V340" i="49"/>
  <c r="T346" i="49"/>
  <c r="T311" i="50"/>
  <c r="F261" i="6"/>
  <c r="A263" i="6" s="1"/>
  <c r="A289" i="6"/>
  <c r="O261" i="6"/>
  <c r="A253" i="6"/>
  <c r="A513" i="6"/>
  <c r="A286" i="6"/>
  <c r="A285" i="6"/>
  <c r="A254" i="6"/>
  <c r="Y484" i="6"/>
  <c r="F229" i="6"/>
  <c r="A231" i="6" s="1"/>
  <c r="F485" i="6"/>
  <c r="A487" i="6" s="1"/>
  <c r="A508" i="6"/>
  <c r="AA260" i="6"/>
  <c r="O485" i="6"/>
  <c r="A251" i="6"/>
  <c r="Y260" i="6"/>
  <c r="A509" i="6"/>
  <c r="V312" i="49"/>
  <c r="B626" i="44"/>
  <c r="B650" i="44"/>
  <c r="A694" i="44"/>
  <c r="B686" i="44"/>
  <c r="B638" i="44"/>
  <c r="A684" i="44"/>
  <c r="B674" i="44"/>
  <c r="A672" i="44"/>
  <c r="B662" i="44"/>
  <c r="A670" i="44"/>
  <c r="A682" i="44"/>
  <c r="T298" i="50"/>
  <c r="V255" i="50"/>
  <c r="C83" i="13"/>
  <c r="D83" i="13"/>
  <c r="C61" i="13"/>
  <c r="D61" i="13"/>
  <c r="D53" i="13"/>
  <c r="C53" i="13"/>
  <c r="C49" i="13"/>
  <c r="D49" i="13"/>
  <c r="C10" i="13"/>
  <c r="D10" i="13"/>
  <c r="C86" i="13"/>
  <c r="D86" i="13"/>
  <c r="D60" i="13"/>
  <c r="C60" i="13"/>
  <c r="D34" i="13"/>
  <c r="C34" i="13"/>
  <c r="D25" i="13"/>
  <c r="C25" i="13"/>
  <c r="C63" i="13"/>
  <c r="D63" i="13"/>
  <c r="D28" i="13"/>
  <c r="C28" i="13"/>
  <c r="D12" i="13"/>
  <c r="C12" i="13"/>
  <c r="C8" i="13"/>
  <c r="D8" i="13"/>
  <c r="A643" i="44"/>
  <c r="T221" i="40"/>
  <c r="V232" i="40"/>
  <c r="T254" i="40"/>
  <c r="T335" i="50"/>
  <c r="A414" i="6"/>
  <c r="Y164" i="6"/>
  <c r="T243" i="40"/>
  <c r="V276" i="40"/>
  <c r="T233" i="40"/>
  <c r="T346" i="50"/>
  <c r="A691" i="44"/>
  <c r="A129" i="14"/>
  <c r="A123" i="14"/>
  <c r="B99" i="14"/>
  <c r="A27" i="14"/>
  <c r="A124" i="14"/>
  <c r="A29" i="14"/>
  <c r="A126" i="14"/>
  <c r="A30" i="14"/>
  <c r="A188" i="14"/>
  <c r="C99" i="14"/>
  <c r="B3" i="14"/>
  <c r="F101" i="14"/>
  <c r="A103" i="14" s="1"/>
  <c r="N11" i="54"/>
  <c r="V11" i="54" s="1"/>
  <c r="N16" i="54"/>
  <c r="V16" i="54" s="1"/>
  <c r="V232" i="50"/>
  <c r="T348" i="50"/>
  <c r="V352" i="50"/>
  <c r="C16" i="13"/>
  <c r="C15" i="13"/>
  <c r="D67" i="13"/>
  <c r="D101" i="13"/>
  <c r="A634" i="44"/>
  <c r="V298" i="40"/>
  <c r="V342" i="50"/>
  <c r="A97" i="14"/>
  <c r="C31" i="13"/>
  <c r="A65" i="14"/>
  <c r="C59" i="13"/>
  <c r="V265" i="40"/>
  <c r="V277" i="40"/>
  <c r="T345" i="50"/>
  <c r="T331" i="50"/>
  <c r="V328" i="50"/>
  <c r="Y388" i="6"/>
  <c r="A411" i="6"/>
  <c r="A655" i="44"/>
  <c r="T319" i="50"/>
  <c r="V332" i="50"/>
  <c r="A92" i="14"/>
  <c r="F165" i="6"/>
  <c r="A167" i="6" s="1"/>
  <c r="O165" i="6"/>
  <c r="F389" i="6"/>
  <c r="A391" i="6" s="1"/>
  <c r="C100" i="13"/>
  <c r="C35" i="14"/>
  <c r="A413" i="6"/>
  <c r="T310" i="40"/>
  <c r="T315" i="49"/>
  <c r="B67" i="14"/>
  <c r="C67" i="14"/>
  <c r="A188" i="6"/>
  <c r="O389" i="6"/>
  <c r="A60" i="14"/>
  <c r="B35" i="14"/>
  <c r="C51" i="13"/>
  <c r="D84" i="13"/>
  <c r="AA388" i="6"/>
  <c r="U4" i="5"/>
  <c r="C638" i="44"/>
  <c r="C674" i="44"/>
  <c r="A683" i="44" s="1"/>
  <c r="V321" i="40"/>
  <c r="V332" i="40"/>
  <c r="V316" i="49"/>
  <c r="A656" i="44"/>
  <c r="A91" i="14"/>
  <c r="A94" i="14"/>
  <c r="D32" i="13"/>
  <c r="D85" i="13"/>
  <c r="C92" i="13"/>
  <c r="A657" i="44"/>
  <c r="V343" i="40"/>
  <c r="V210" i="40"/>
  <c r="J1" i="18"/>
  <c r="N8" i="54"/>
  <c r="V8" i="54" s="1"/>
  <c r="N7" i="54"/>
  <c r="V7" i="54" s="1"/>
  <c r="O325" i="6"/>
  <c r="O101" i="6"/>
  <c r="Y324" i="6"/>
  <c r="A350" i="6"/>
  <c r="AA100" i="6"/>
  <c r="A123" i="6"/>
  <c r="A125" i="6"/>
  <c r="A348" i="6"/>
  <c r="AA324" i="6"/>
  <c r="Y100" i="6"/>
  <c r="A129" i="6"/>
  <c r="A349" i="6"/>
  <c r="F5" i="6"/>
  <c r="A7" i="6" s="1"/>
  <c r="A353" i="6"/>
  <c r="O5" i="6"/>
  <c r="A124" i="6"/>
  <c r="A29" i="6"/>
  <c r="N15" i="54"/>
  <c r="V15" i="54" s="1"/>
  <c r="N10" i="54"/>
  <c r="V10" i="54" s="1"/>
  <c r="N9" i="54"/>
  <c r="V9" i="54" s="1"/>
  <c r="N6" i="54"/>
  <c r="V6" i="54" s="1"/>
  <c r="N5" i="54"/>
  <c r="V5" i="54" s="1"/>
  <c r="R696" i="44"/>
  <c r="A680" i="44"/>
  <c r="C686" i="44"/>
  <c r="A695" i="44" s="1"/>
  <c r="R681" i="44"/>
  <c r="R680" i="44"/>
  <c r="R679" i="44"/>
  <c r="R678" i="44"/>
  <c r="R677" i="44"/>
  <c r="R684" i="44"/>
  <c r="R683" i="44"/>
  <c r="R682" i="44"/>
  <c r="R669" i="44"/>
  <c r="R668" i="44"/>
  <c r="R667" i="44"/>
  <c r="R666" i="44"/>
  <c r="R665" i="44"/>
  <c r="R672" i="44"/>
  <c r="R671" i="44"/>
  <c r="R670" i="44"/>
  <c r="R657" i="44"/>
  <c r="R656" i="44"/>
  <c r="R655" i="44"/>
  <c r="R654" i="44"/>
  <c r="R653" i="44"/>
  <c r="R660" i="44"/>
  <c r="R659" i="44"/>
  <c r="R658" i="44"/>
  <c r="A693" i="44"/>
  <c r="A631" i="44"/>
  <c r="R645" i="44"/>
  <c r="R633" i="44"/>
  <c r="R644" i="44"/>
  <c r="R632" i="44"/>
  <c r="R643" i="44"/>
  <c r="R631" i="44"/>
  <c r="R642" i="44"/>
  <c r="R630" i="44"/>
  <c r="R641" i="44"/>
  <c r="R629" i="44"/>
  <c r="R648" i="44"/>
  <c r="R636" i="44"/>
  <c r="R647" i="44"/>
  <c r="R635" i="44"/>
  <c r="R646" i="44"/>
  <c r="R634" i="44"/>
  <c r="A27" i="6"/>
  <c r="Y4" i="6"/>
  <c r="A190" i="14"/>
  <c r="A187" i="14"/>
  <c r="AA4" i="6"/>
  <c r="A28" i="6"/>
  <c r="A30" i="6"/>
  <c r="B163" i="14"/>
  <c r="A189" i="14"/>
  <c r="C163" i="14"/>
  <c r="D87" i="13"/>
  <c r="C87" i="13"/>
  <c r="D82" i="13"/>
  <c r="C82" i="13"/>
  <c r="D81" i="13"/>
  <c r="C81" i="13"/>
  <c r="D80" i="13"/>
  <c r="C80" i="13"/>
  <c r="C29" i="13"/>
  <c r="D13" i="13"/>
  <c r="C39" i="13"/>
  <c r="C56" i="13"/>
  <c r="C105" i="13"/>
  <c r="C89" i="13"/>
  <c r="C97" i="13"/>
  <c r="D33" i="13"/>
  <c r="D7" i="13"/>
  <c r="C7" i="13"/>
  <c r="C37" i="13"/>
  <c r="C64" i="13"/>
  <c r="Y228" i="6"/>
  <c r="Y196" i="6"/>
  <c r="R69" i="14"/>
  <c r="A59" i="14"/>
  <c r="C650" i="44"/>
  <c r="A659" i="44" s="1"/>
  <c r="K4" i="6"/>
  <c r="H1" i="44"/>
  <c r="C241" i="16"/>
  <c r="C32" i="16"/>
  <c r="C120" i="16"/>
  <c r="C208" i="16"/>
  <c r="C153" i="16"/>
  <c r="C65" i="16"/>
  <c r="B86" i="18"/>
  <c r="B76" i="18"/>
  <c r="B75" i="18"/>
  <c r="C285" i="16"/>
  <c r="B85" i="18"/>
  <c r="B88" i="18"/>
  <c r="B77" i="18"/>
  <c r="B84" i="18"/>
  <c r="B78" i="18"/>
  <c r="B79" i="18"/>
  <c r="C197" i="16"/>
  <c r="B83" i="18"/>
  <c r="B87" i="18"/>
  <c r="C54" i="16"/>
  <c r="B8" i="18"/>
  <c r="B15" i="18"/>
  <c r="B6" i="18"/>
  <c r="B5" i="18"/>
  <c r="B11" i="18"/>
  <c r="B17" i="18"/>
  <c r="B14" i="18"/>
  <c r="B9" i="18"/>
  <c r="B2" i="18"/>
  <c r="B10" i="18"/>
  <c r="B16" i="18"/>
  <c r="B12" i="18"/>
  <c r="C219" i="16"/>
  <c r="C43" i="16"/>
  <c r="B52" i="18"/>
  <c r="B48" i="18"/>
  <c r="C142" i="16"/>
  <c r="R223" i="16"/>
  <c r="S231" i="16" s="1"/>
  <c r="L47" i="17"/>
  <c r="L55" i="17" s="1"/>
  <c r="C175" i="16"/>
  <c r="C87" i="16"/>
  <c r="C10" i="16"/>
  <c r="C263" i="16"/>
  <c r="B51" i="18"/>
  <c r="L10" i="17"/>
  <c r="B53" i="18"/>
  <c r="C109" i="16"/>
  <c r="A43" i="17"/>
  <c r="B47" i="18"/>
  <c r="B39" i="18"/>
  <c r="B38" i="18"/>
  <c r="C37" i="19"/>
  <c r="A65" i="17"/>
  <c r="A10" i="17"/>
  <c r="L66" i="17"/>
  <c r="L65" i="17"/>
  <c r="C26" i="19"/>
  <c r="B89" i="18"/>
  <c r="C15" i="19"/>
  <c r="A69" i="48" s="1"/>
  <c r="B7" i="18"/>
  <c r="B81" i="18"/>
  <c r="B4" i="18"/>
  <c r="A32" i="17"/>
  <c r="B74" i="18"/>
  <c r="B80" i="18"/>
  <c r="B13" i="18"/>
  <c r="B3" i="18"/>
  <c r="R157" i="16"/>
  <c r="S158" i="16" s="1"/>
  <c r="B117" i="18"/>
  <c r="B112" i="18"/>
  <c r="B111" i="18"/>
  <c r="B124" i="18"/>
  <c r="B114" i="18"/>
  <c r="B125" i="18"/>
  <c r="B121" i="18"/>
  <c r="B118" i="18"/>
  <c r="B119" i="18"/>
  <c r="B122" i="18"/>
  <c r="B110" i="18"/>
  <c r="B116" i="18"/>
  <c r="B120" i="18"/>
  <c r="B113" i="18"/>
  <c r="B123" i="18"/>
  <c r="B115" i="18"/>
  <c r="C76" i="16"/>
  <c r="R245" i="16"/>
  <c r="R249" i="16" s="1"/>
  <c r="R99" i="16"/>
  <c r="S99" i="16"/>
  <c r="B50" i="18"/>
  <c r="B49" i="18"/>
  <c r="R124" i="16"/>
  <c r="B46" i="18"/>
  <c r="R179" i="16"/>
  <c r="B42" i="18"/>
  <c r="L14" i="17"/>
  <c r="C274" i="16"/>
  <c r="L32" i="17"/>
  <c r="C21" i="16"/>
  <c r="B41" i="18"/>
  <c r="B40" i="18"/>
  <c r="C98" i="16"/>
  <c r="B44" i="18"/>
  <c r="B43" i="18"/>
  <c r="B45" i="18"/>
  <c r="L44" i="17"/>
  <c r="L42" i="17"/>
  <c r="D11" i="13"/>
  <c r="D58" i="13"/>
  <c r="D93" i="13"/>
  <c r="D54" i="13"/>
  <c r="A258" i="4"/>
  <c r="A668" i="44"/>
  <c r="A667" i="44"/>
  <c r="A692" i="44"/>
  <c r="A648" i="44"/>
  <c r="A644" i="44"/>
  <c r="A646" i="44"/>
  <c r="T331" i="40"/>
  <c r="T320" i="40"/>
  <c r="T309" i="50"/>
  <c r="T349" i="50"/>
  <c r="V320" i="50"/>
  <c r="T288" i="40"/>
  <c r="V288" i="40"/>
  <c r="T200" i="40"/>
  <c r="V200" i="40"/>
  <c r="A632" i="44"/>
  <c r="A636" i="44"/>
  <c r="A633" i="44"/>
  <c r="C626" i="44"/>
  <c r="V200" i="50"/>
  <c r="T329" i="50"/>
  <c r="V288" i="50"/>
  <c r="T211" i="40"/>
  <c r="T222" i="40"/>
  <c r="C95" i="13"/>
  <c r="A669" i="44"/>
  <c r="A645" i="44"/>
  <c r="C662" i="44"/>
  <c r="T350" i="49"/>
  <c r="V351" i="50"/>
  <c r="T334" i="50"/>
  <c r="T244" i="40"/>
  <c r="V266" i="40"/>
  <c r="T299" i="40"/>
  <c r="V299" i="40"/>
  <c r="V255" i="40"/>
  <c r="A660" i="44"/>
  <c r="A658" i="44"/>
  <c r="A679" i="44"/>
  <c r="A681" i="44"/>
  <c r="T210" i="50"/>
  <c r="M1" i="17"/>
  <c r="N14" i="54" s="1"/>
  <c r="N1" i="17"/>
  <c r="A58" i="49"/>
  <c r="U1" i="16"/>
  <c r="S88" i="16"/>
  <c r="S87" i="16"/>
  <c r="R88" i="16"/>
  <c r="R121" i="16"/>
  <c r="S120" i="16"/>
  <c r="S121" i="16"/>
  <c r="S209" i="16"/>
  <c r="S208" i="16"/>
  <c r="R209" i="16"/>
  <c r="R261" i="16"/>
  <c r="S259" i="16"/>
  <c r="S262" i="16"/>
  <c r="R262" i="16"/>
  <c r="S258" i="16"/>
  <c r="S260" i="16"/>
  <c r="S264" i="16"/>
  <c r="R259" i="16"/>
  <c r="R260" i="16"/>
  <c r="S257" i="16"/>
  <c r="S261" i="16"/>
  <c r="S263" i="16"/>
  <c r="R263" i="16"/>
  <c r="R257" i="16"/>
  <c r="R258" i="16"/>
  <c r="R264" i="16"/>
  <c r="S22" i="16"/>
  <c r="S19" i="16"/>
  <c r="S21" i="16"/>
  <c r="S18" i="16"/>
  <c r="R22" i="16"/>
  <c r="S20" i="16"/>
  <c r="S66" i="16"/>
  <c r="S65" i="16"/>
  <c r="R66" i="16"/>
  <c r="R138" i="16"/>
  <c r="R142" i="16"/>
  <c r="S143" i="16"/>
  <c r="S137" i="16"/>
  <c r="S139" i="16"/>
  <c r="R141" i="16"/>
  <c r="S141" i="16"/>
  <c r="R143" i="16"/>
  <c r="S142" i="16"/>
  <c r="S140" i="16"/>
  <c r="S136" i="16"/>
  <c r="R137" i="16"/>
  <c r="R140" i="16"/>
  <c r="R139" i="16"/>
  <c r="S138" i="16"/>
  <c r="S10" i="16"/>
  <c r="S11" i="16"/>
  <c r="R11" i="16"/>
  <c r="R33" i="16"/>
  <c r="S32" i="16"/>
  <c r="S33" i="16"/>
  <c r="S153" i="16"/>
  <c r="R151" i="16"/>
  <c r="S147" i="16"/>
  <c r="R152" i="16"/>
  <c r="S149" i="16"/>
  <c r="R153" i="16"/>
  <c r="S148" i="16"/>
  <c r="R154" i="16"/>
  <c r="R150" i="16"/>
  <c r="R149" i="16"/>
  <c r="S154" i="16"/>
  <c r="R147" i="16"/>
  <c r="S152" i="16"/>
  <c r="S150" i="16"/>
  <c r="R148" i="16"/>
  <c r="S151" i="16"/>
  <c r="S219" i="16"/>
  <c r="S220" i="16"/>
  <c r="R220" i="16"/>
  <c r="R219" i="16"/>
  <c r="R286" i="16"/>
  <c r="S280" i="16"/>
  <c r="R279" i="16"/>
  <c r="R280" i="16"/>
  <c r="R282" i="16"/>
  <c r="S279" i="16"/>
  <c r="S282" i="16"/>
  <c r="S286" i="16"/>
  <c r="S281" i="16"/>
  <c r="R284" i="16"/>
  <c r="R285" i="16"/>
  <c r="R281" i="16"/>
  <c r="S284" i="16"/>
  <c r="S283" i="16"/>
  <c r="R283" i="16"/>
  <c r="S285" i="16"/>
  <c r="S41" i="16"/>
  <c r="S44" i="16"/>
  <c r="R44" i="16"/>
  <c r="S43" i="16"/>
  <c r="S42" i="16"/>
  <c r="S40" i="16"/>
  <c r="R42" i="16"/>
  <c r="R77" i="16"/>
  <c r="S77" i="16"/>
  <c r="S76" i="16"/>
  <c r="R198" i="16"/>
  <c r="S197" i="16"/>
  <c r="S198" i="16"/>
  <c r="S196" i="16"/>
  <c r="S55" i="16"/>
  <c r="R55" i="16"/>
  <c r="S54" i="16"/>
  <c r="R110" i="16"/>
  <c r="S110" i="16"/>
  <c r="R109" i="16"/>
  <c r="S109" i="16"/>
  <c r="S169" i="16"/>
  <c r="S173" i="16"/>
  <c r="R169" i="16"/>
  <c r="R174" i="16"/>
  <c r="R172" i="16"/>
  <c r="R176" i="16"/>
  <c r="S172" i="16"/>
  <c r="S170" i="16"/>
  <c r="R173" i="16"/>
  <c r="R175" i="16"/>
  <c r="R170" i="16"/>
  <c r="S175" i="16"/>
  <c r="S176" i="16"/>
  <c r="S174" i="16"/>
  <c r="S171" i="16"/>
  <c r="R171" i="16"/>
  <c r="S241" i="16"/>
  <c r="S242" i="16"/>
  <c r="R241" i="16"/>
  <c r="R242" i="16"/>
  <c r="R271" i="16"/>
  <c r="R270" i="16"/>
  <c r="S268" i="16"/>
  <c r="S272" i="16"/>
  <c r="R274" i="16"/>
  <c r="R272" i="16"/>
  <c r="S274" i="16"/>
  <c r="S271" i="16"/>
  <c r="S270" i="16"/>
  <c r="R275" i="16"/>
  <c r="S275" i="16"/>
  <c r="S269" i="16"/>
  <c r="R269" i="16"/>
  <c r="R268" i="16"/>
  <c r="S273" i="16"/>
  <c r="R273" i="16"/>
  <c r="T1" i="16"/>
  <c r="N4" i="54" s="1"/>
  <c r="V233" i="50"/>
  <c r="T243" i="50"/>
  <c r="V210" i="48"/>
  <c r="V199" i="40"/>
  <c r="A35" i="6"/>
  <c r="A163" i="14"/>
  <c r="A355" i="6"/>
  <c r="A67" i="6"/>
  <c r="K69" i="6" s="1"/>
  <c r="A35" i="14"/>
  <c r="A131" i="14"/>
  <c r="K164" i="14"/>
  <c r="A259" i="6"/>
  <c r="A131" i="6"/>
  <c r="A3" i="14"/>
  <c r="A323" i="6"/>
  <c r="A227" i="6"/>
  <c r="A451" i="6"/>
  <c r="A387" i="6"/>
  <c r="A483" i="6"/>
  <c r="A163" i="6"/>
  <c r="A67" i="14"/>
  <c r="A3" i="6"/>
  <c r="A291" i="6"/>
  <c r="A419" i="6"/>
  <c r="K421" i="6" s="1"/>
  <c r="A99" i="14"/>
  <c r="A99" i="6"/>
  <c r="K36" i="14"/>
  <c r="K452" i="6"/>
  <c r="K197" i="6"/>
  <c r="K4" i="14"/>
  <c r="S420" i="6"/>
  <c r="S36" i="6"/>
  <c r="S100" i="6"/>
  <c r="K228" i="6"/>
  <c r="K388" i="6"/>
  <c r="K324" i="6"/>
  <c r="K420" i="6"/>
  <c r="K100" i="14"/>
  <c r="K260" i="6"/>
  <c r="K132" i="6"/>
  <c r="L1" i="44"/>
  <c r="AC132" i="14"/>
  <c r="AC4" i="14"/>
  <c r="S260" i="6"/>
  <c r="S484" i="6"/>
  <c r="S452" i="6"/>
  <c r="AC100" i="14"/>
  <c r="S324" i="6"/>
  <c r="S356" i="6"/>
  <c r="AC164" i="14"/>
  <c r="S4" i="6"/>
  <c r="S132" i="6"/>
  <c r="S228" i="6"/>
  <c r="S164" i="6"/>
  <c r="S68" i="6"/>
  <c r="S388" i="6"/>
  <c r="AC36" i="14"/>
  <c r="S292" i="6"/>
  <c r="S196" i="6"/>
  <c r="K68" i="14"/>
  <c r="K132" i="14"/>
  <c r="K68" i="6"/>
  <c r="K100" i="6"/>
  <c r="K196" i="6"/>
  <c r="K36" i="6"/>
  <c r="K484" i="6"/>
  <c r="K356" i="6"/>
  <c r="K292" i="6"/>
  <c r="K164" i="6"/>
  <c r="S240" i="16"/>
  <c r="R10" i="16"/>
  <c r="R43" i="16"/>
  <c r="R21" i="16"/>
  <c r="R41" i="16"/>
  <c r="C125" i="50"/>
  <c r="C126" i="50"/>
  <c r="I75" i="48"/>
  <c r="B59" i="49"/>
  <c r="I68" i="48"/>
  <c r="C146" i="40"/>
  <c r="F58" i="49"/>
  <c r="B68" i="48"/>
  <c r="B70" i="48"/>
  <c r="L58" i="49"/>
  <c r="D58" i="50"/>
  <c r="B64" i="49"/>
  <c r="B66" i="49"/>
  <c r="C124" i="50"/>
  <c r="B146" i="40"/>
  <c r="N146" i="40"/>
  <c r="C128" i="50"/>
  <c r="C127" i="50"/>
  <c r="E58" i="49"/>
  <c r="B73" i="48"/>
  <c r="B65" i="49"/>
  <c r="B65" i="50"/>
  <c r="C69" i="48"/>
  <c r="M69" i="48"/>
  <c r="B59" i="50"/>
  <c r="G57" i="50"/>
  <c r="B61" i="49"/>
  <c r="I70" i="48"/>
  <c r="I57" i="49"/>
  <c r="B123" i="50"/>
  <c r="B131" i="50"/>
  <c r="G58" i="50"/>
  <c r="N58" i="50"/>
  <c r="M146" i="40"/>
  <c r="N58" i="49"/>
  <c r="F69" i="48"/>
  <c r="I76" i="48"/>
  <c r="G57" i="49"/>
  <c r="I59" i="49"/>
  <c r="M58" i="49"/>
  <c r="B74" i="48"/>
  <c r="I60" i="49"/>
  <c r="B57" i="50"/>
  <c r="K58" i="50"/>
  <c r="J58" i="50"/>
  <c r="B60" i="49"/>
  <c r="B132" i="50"/>
  <c r="I77" i="48"/>
  <c r="D127" i="50"/>
  <c r="B126" i="50"/>
  <c r="E146" i="40"/>
  <c r="B60" i="50"/>
  <c r="I72" i="48"/>
  <c r="I73" i="48"/>
  <c r="B57" i="49"/>
  <c r="B69" i="48"/>
  <c r="I58" i="50"/>
  <c r="I71" i="48"/>
  <c r="B64" i="50"/>
  <c r="I63" i="49"/>
  <c r="D128" i="50"/>
  <c r="E58" i="50"/>
  <c r="C131" i="50"/>
  <c r="D125" i="50"/>
  <c r="M58" i="50"/>
  <c r="EM3" i="1"/>
  <c r="I74" i="48"/>
  <c r="C130" i="50"/>
  <c r="B127" i="50"/>
  <c r="B63" i="49"/>
  <c r="B128" i="50"/>
  <c r="B75" i="48"/>
  <c r="B72" i="48"/>
  <c r="I145" i="40"/>
  <c r="D129" i="50"/>
  <c r="B124" i="50"/>
  <c r="B145" i="40"/>
  <c r="I59" i="50"/>
  <c r="D146" i="40"/>
  <c r="B129" i="50"/>
  <c r="B125" i="50"/>
  <c r="B61" i="50"/>
  <c r="J69" i="48"/>
  <c r="K58" i="49"/>
  <c r="I65" i="50"/>
  <c r="D58" i="49"/>
  <c r="F146" i="40"/>
  <c r="B71" i="48"/>
  <c r="L69" i="48"/>
  <c r="J58" i="49"/>
  <c r="B77" i="48"/>
  <c r="I66" i="49"/>
  <c r="G68" i="48"/>
  <c r="K146" i="40"/>
  <c r="C132" i="50"/>
  <c r="D126" i="50"/>
  <c r="I57" i="50"/>
  <c r="L146" i="40"/>
  <c r="I58" i="49"/>
  <c r="B58" i="49"/>
  <c r="B62" i="49"/>
  <c r="F58" i="50"/>
  <c r="I64" i="50"/>
  <c r="B130" i="50"/>
  <c r="C129" i="50"/>
  <c r="I61" i="49"/>
  <c r="I62" i="50"/>
  <c r="B63" i="50"/>
  <c r="I64" i="49"/>
  <c r="B76" i="48"/>
  <c r="K69" i="48"/>
  <c r="I69" i="48"/>
  <c r="D69" i="48"/>
  <c r="C58" i="49"/>
  <c r="EN3" i="1" l="1"/>
  <c r="F4" i="54" s="1"/>
  <c r="D636" i="44"/>
  <c r="E636" i="44" s="1"/>
  <c r="D672" i="44"/>
  <c r="E672" i="44" s="1"/>
  <c r="D648" i="44"/>
  <c r="E648" i="44" s="1"/>
  <c r="D660" i="44"/>
  <c r="E660" i="44" s="1"/>
  <c r="D659" i="44"/>
  <c r="E659" i="44" s="1"/>
  <c r="D635" i="44"/>
  <c r="E635" i="44" s="1"/>
  <c r="D695" i="44"/>
  <c r="E695" i="44" s="1"/>
  <c r="D684" i="44"/>
  <c r="E684" i="44" s="1"/>
  <c r="D671" i="44"/>
  <c r="E671" i="44" s="1"/>
  <c r="D683" i="44"/>
  <c r="E683" i="44" s="1"/>
  <c r="D647" i="44"/>
  <c r="E647" i="44" s="1"/>
  <c r="D696" i="44"/>
  <c r="E696" i="44" s="1"/>
  <c r="M676" i="44"/>
  <c r="D642" i="44"/>
  <c r="E642" i="44" s="1"/>
  <c r="D634" i="44"/>
  <c r="E634" i="44" s="1"/>
  <c r="M688" i="44"/>
  <c r="D630" i="44"/>
  <c r="E630" i="44" s="1"/>
  <c r="D632" i="44"/>
  <c r="E632" i="44" s="1"/>
  <c r="D643" i="44"/>
  <c r="E643" i="44" s="1"/>
  <c r="D629" i="44"/>
  <c r="E629" i="44" s="1"/>
  <c r="D657" i="44"/>
  <c r="E657" i="44" s="1"/>
  <c r="D631" i="44"/>
  <c r="E631" i="44" s="1"/>
  <c r="D646" i="44"/>
  <c r="E646" i="44" s="1"/>
  <c r="D655" i="44"/>
  <c r="E655" i="44" s="1"/>
  <c r="D665" i="44"/>
  <c r="E665" i="44" s="1"/>
  <c r="D678" i="44"/>
  <c r="E678" i="44" s="1"/>
  <c r="D693" i="44"/>
  <c r="E693" i="44" s="1"/>
  <c r="D653" i="44"/>
  <c r="E653" i="44" s="1"/>
  <c r="D681" i="44"/>
  <c r="E681" i="44" s="1"/>
  <c r="D633" i="44"/>
  <c r="E633" i="44" s="1"/>
  <c r="D645" i="44"/>
  <c r="E645" i="44" s="1"/>
  <c r="D654" i="44"/>
  <c r="E654" i="44" s="1"/>
  <c r="D669" i="44"/>
  <c r="E669" i="44" s="1"/>
  <c r="D679" i="44"/>
  <c r="E679" i="44" s="1"/>
  <c r="D692" i="44"/>
  <c r="E692" i="44" s="1"/>
  <c r="D666" i="44"/>
  <c r="E666" i="44" s="1"/>
  <c r="D644" i="44"/>
  <c r="E644" i="44" s="1"/>
  <c r="D656" i="44"/>
  <c r="E656" i="44" s="1"/>
  <c r="D668" i="44"/>
  <c r="E668" i="44" s="1"/>
  <c r="D677" i="44"/>
  <c r="E677" i="44" s="1"/>
  <c r="D641" i="44"/>
  <c r="E641" i="44" s="1"/>
  <c r="D658" i="44"/>
  <c r="E658" i="44" s="1"/>
  <c r="D667" i="44"/>
  <c r="E667" i="44" s="1"/>
  <c r="D670" i="44"/>
  <c r="D682" i="44"/>
  <c r="E682" i="44" s="1"/>
  <c r="D691" i="44"/>
  <c r="E691" i="44" s="1"/>
  <c r="D690" i="44"/>
  <c r="E690" i="44" s="1"/>
  <c r="D694" i="44"/>
  <c r="E694" i="44" s="1"/>
  <c r="D689" i="44"/>
  <c r="E689" i="44" s="1"/>
  <c r="A647" i="44"/>
  <c r="M640" i="44"/>
  <c r="D680" i="44"/>
  <c r="E680" i="44" s="1"/>
  <c r="L111" i="18"/>
  <c r="L76" i="18"/>
  <c r="L40" i="18"/>
  <c r="L4" i="18"/>
  <c r="M652" i="44"/>
  <c r="A25" i="48"/>
  <c r="A80" i="40"/>
  <c r="L5" i="18"/>
  <c r="A80" i="48"/>
  <c r="A25" i="50"/>
  <c r="A25" i="49"/>
  <c r="R158" i="16"/>
  <c r="R162" i="16"/>
  <c r="R163" i="16"/>
  <c r="S161" i="16"/>
  <c r="R160" i="16"/>
  <c r="S165" i="16"/>
  <c r="S229" i="16"/>
  <c r="A69" i="49"/>
  <c r="L78" i="18"/>
  <c r="L113" i="18"/>
  <c r="A69" i="40"/>
  <c r="L6" i="18"/>
  <c r="L41" i="18"/>
  <c r="S230" i="16"/>
  <c r="A14" i="40"/>
  <c r="A14" i="48"/>
  <c r="A124" i="49"/>
  <c r="A179" i="48"/>
  <c r="A168" i="48"/>
  <c r="L11" i="18"/>
  <c r="L81" i="18"/>
  <c r="L15" i="18"/>
  <c r="A36" i="49"/>
  <c r="A36" i="40"/>
  <c r="L80" i="18"/>
  <c r="S163" i="16"/>
  <c r="L54" i="17"/>
  <c r="L39" i="18"/>
  <c r="L84" i="18"/>
  <c r="L88" i="18"/>
  <c r="S162" i="16"/>
  <c r="L110" i="18"/>
  <c r="L12" i="18"/>
  <c r="L86" i="18"/>
  <c r="L74" i="18"/>
  <c r="L87" i="18"/>
  <c r="R161" i="16"/>
  <c r="L85" i="18"/>
  <c r="L77" i="18"/>
  <c r="S160" i="16"/>
  <c r="L75" i="18"/>
  <c r="L79" i="18"/>
  <c r="L43" i="18"/>
  <c r="L10" i="18"/>
  <c r="L3" i="18"/>
  <c r="L2" i="18"/>
  <c r="L89" i="18"/>
  <c r="A168" i="40"/>
  <c r="L16" i="18"/>
  <c r="R246" i="16"/>
  <c r="L38" i="18"/>
  <c r="A36" i="48"/>
  <c r="L48" i="18"/>
  <c r="L82" i="18"/>
  <c r="L13" i="18"/>
  <c r="S246" i="16"/>
  <c r="L47" i="18"/>
  <c r="L119" i="18"/>
  <c r="L46" i="18"/>
  <c r="L112" i="18"/>
  <c r="L122" i="18"/>
  <c r="A36" i="50"/>
  <c r="L9" i="18"/>
  <c r="A179" i="40"/>
  <c r="L17" i="18"/>
  <c r="R164" i="16"/>
  <c r="S164" i="16"/>
  <c r="R165" i="16"/>
  <c r="A14" i="49"/>
  <c r="L53" i="18"/>
  <c r="L120" i="18"/>
  <c r="A47" i="48"/>
  <c r="A3" i="49"/>
  <c r="A3" i="48"/>
  <c r="L42" i="18"/>
  <c r="L50" i="18"/>
  <c r="A3" i="50"/>
  <c r="L45" i="18"/>
  <c r="L123" i="18"/>
  <c r="L115" i="18"/>
  <c r="L124" i="18"/>
  <c r="A58" i="48"/>
  <c r="L116" i="18"/>
  <c r="A47" i="40"/>
  <c r="A14" i="50"/>
  <c r="A58" i="40"/>
  <c r="A47" i="50"/>
  <c r="A25" i="40"/>
  <c r="L121" i="18"/>
  <c r="L118" i="18"/>
  <c r="L8" i="18"/>
  <c r="A47" i="49"/>
  <c r="L117" i="18"/>
  <c r="A3" i="40"/>
  <c r="L7" i="18"/>
  <c r="L44" i="18"/>
  <c r="L49" i="18"/>
  <c r="L52" i="18"/>
  <c r="L14" i="18"/>
  <c r="L125" i="18"/>
  <c r="R159" i="16"/>
  <c r="S159" i="16"/>
  <c r="L83" i="18"/>
  <c r="R251" i="16"/>
  <c r="R248" i="16"/>
  <c r="S251" i="16"/>
  <c r="R250" i="16"/>
  <c r="S252" i="16"/>
  <c r="R252" i="16"/>
  <c r="S253" i="16"/>
  <c r="R247" i="16"/>
  <c r="R253" i="16"/>
  <c r="S249" i="16"/>
  <c r="S250" i="16"/>
  <c r="S247" i="16"/>
  <c r="S248" i="16"/>
  <c r="L114" i="18"/>
  <c r="L51" i="18"/>
  <c r="S130" i="16"/>
  <c r="R132" i="16"/>
  <c r="S132" i="16"/>
  <c r="S131" i="16"/>
  <c r="L21" i="17"/>
  <c r="L22" i="17"/>
  <c r="S186" i="16"/>
  <c r="S185" i="16"/>
  <c r="R186" i="16"/>
  <c r="R187" i="16"/>
  <c r="S187" i="16"/>
  <c r="A635" i="44"/>
  <c r="M628" i="44"/>
  <c r="A260" i="4"/>
  <c r="A225" i="4"/>
  <c r="A671" i="44"/>
  <c r="A224" i="4"/>
  <c r="A223" i="4"/>
  <c r="K357" i="6"/>
  <c r="K101" i="6"/>
  <c r="K101" i="14"/>
  <c r="K453" i="6"/>
  <c r="K37" i="14"/>
  <c r="K229" i="6"/>
  <c r="C4" i="12"/>
  <c r="A146" i="48" s="1"/>
  <c r="K69" i="14"/>
  <c r="K165" i="14"/>
  <c r="K37" i="6"/>
  <c r="K5" i="14"/>
  <c r="C180" i="12"/>
  <c r="K5" i="6"/>
  <c r="K165" i="6"/>
  <c r="K133" i="6"/>
  <c r="K261" i="6"/>
  <c r="K485" i="6"/>
  <c r="K325" i="6"/>
  <c r="K389" i="6"/>
  <c r="K293" i="6"/>
  <c r="K133" i="14"/>
  <c r="R231" i="16"/>
  <c r="R230" i="16"/>
  <c r="G69" i="48"/>
  <c r="B169" i="48"/>
  <c r="B124" i="49"/>
  <c r="F53" i="49"/>
  <c r="M66" i="48"/>
  <c r="D183" i="48"/>
  <c r="B174" i="48"/>
  <c r="B180" i="48"/>
  <c r="F60" i="48"/>
  <c r="F48" i="50"/>
  <c r="D182" i="48"/>
  <c r="D186" i="48"/>
  <c r="M51" i="49"/>
  <c r="C168" i="48"/>
  <c r="M125" i="49"/>
  <c r="F66" i="48"/>
  <c r="B184" i="40"/>
  <c r="C175" i="40"/>
  <c r="F48" i="49"/>
  <c r="F59" i="48"/>
  <c r="B185" i="48"/>
  <c r="M51" i="40"/>
  <c r="N69" i="48"/>
  <c r="M53" i="49"/>
  <c r="C172" i="48"/>
  <c r="M55" i="49"/>
  <c r="C130" i="49"/>
  <c r="F51" i="49"/>
  <c r="D187" i="40"/>
  <c r="D181" i="48"/>
  <c r="C180" i="48"/>
  <c r="B178" i="48"/>
  <c r="C187" i="40"/>
  <c r="C183" i="40"/>
  <c r="M124" i="49"/>
  <c r="C186" i="48"/>
  <c r="B186" i="40"/>
  <c r="C181" i="48"/>
  <c r="D184" i="48"/>
  <c r="F55" i="49"/>
  <c r="B186" i="48"/>
  <c r="B187" i="48"/>
  <c r="M49" i="49"/>
  <c r="C186" i="40"/>
  <c r="I65" i="49"/>
  <c r="D127" i="49"/>
  <c r="B128" i="49"/>
  <c r="B183" i="40"/>
  <c r="D183" i="40"/>
  <c r="B180" i="40"/>
  <c r="C184" i="40"/>
  <c r="B126" i="49"/>
  <c r="C182" i="48"/>
  <c r="B179" i="48"/>
  <c r="B187" i="40"/>
  <c r="F37" i="49"/>
  <c r="B175" i="48"/>
  <c r="M60" i="48"/>
  <c r="M48" i="50"/>
  <c r="B170" i="48"/>
  <c r="M43" i="49"/>
  <c r="D172" i="40"/>
  <c r="C181" i="40"/>
  <c r="M50" i="49"/>
  <c r="F65" i="40"/>
  <c r="M37" i="49"/>
  <c r="G58" i="49"/>
  <c r="C183" i="48"/>
  <c r="C176" i="48"/>
  <c r="D185" i="40"/>
  <c r="D132" i="49"/>
  <c r="B179" i="40"/>
  <c r="F55" i="50"/>
  <c r="M132" i="49"/>
  <c r="M65" i="48"/>
  <c r="B123" i="49"/>
  <c r="F38" i="50"/>
  <c r="I62" i="49"/>
  <c r="C171" i="48"/>
  <c r="C127" i="49"/>
  <c r="D171" i="48"/>
  <c r="M54" i="49"/>
  <c r="D130" i="49"/>
  <c r="C173" i="48"/>
  <c r="B181" i="40"/>
  <c r="B185" i="40"/>
  <c r="C185" i="40"/>
  <c r="D125" i="49"/>
  <c r="F49" i="49"/>
  <c r="D180" i="48"/>
  <c r="F64" i="48"/>
  <c r="F50" i="48"/>
  <c r="D176" i="40"/>
  <c r="M55" i="48"/>
  <c r="E69" i="48"/>
  <c r="B129" i="49"/>
  <c r="F54" i="49"/>
  <c r="C182" i="40"/>
  <c r="D180" i="40"/>
  <c r="B172" i="48"/>
  <c r="B173" i="48"/>
  <c r="B184" i="48"/>
  <c r="C179" i="40"/>
  <c r="D176" i="48"/>
  <c r="B183" i="48"/>
  <c r="F48" i="40"/>
  <c r="C176" i="40"/>
  <c r="C180" i="40"/>
  <c r="D169" i="40"/>
  <c r="D186" i="40"/>
  <c r="M50" i="50"/>
  <c r="B181" i="48"/>
  <c r="F42" i="49"/>
  <c r="F63" i="48"/>
  <c r="D170" i="40"/>
  <c r="M128" i="49"/>
  <c r="F54" i="40"/>
  <c r="M60" i="40"/>
  <c r="B182" i="48"/>
  <c r="M52" i="49"/>
  <c r="F50" i="49"/>
  <c r="M64" i="48"/>
  <c r="C132" i="49"/>
  <c r="M39" i="49"/>
  <c r="M129" i="49"/>
  <c r="C184" i="48"/>
  <c r="B130" i="49"/>
  <c r="D181" i="40"/>
  <c r="M55" i="50"/>
  <c r="M51" i="50"/>
  <c r="M53" i="50"/>
  <c r="D171" i="40"/>
  <c r="C187" i="48"/>
  <c r="D128" i="49"/>
  <c r="F43" i="49"/>
  <c r="B171" i="40"/>
  <c r="F55" i="48"/>
  <c r="F53" i="40"/>
  <c r="F43" i="50"/>
  <c r="M66" i="40"/>
  <c r="B178" i="40"/>
  <c r="M59" i="48"/>
  <c r="F52" i="50"/>
  <c r="D187" i="48"/>
  <c r="M48" i="49"/>
  <c r="Q670" i="44" l="1"/>
  <c r="E670" i="44"/>
  <c r="Q653" i="44"/>
  <c r="Q665" i="44"/>
  <c r="Q630" i="44"/>
  <c r="Q642" i="44"/>
  <c r="Q634" i="44"/>
  <c r="Q636" i="44"/>
  <c r="Q657" i="44"/>
  <c r="Q695" i="44"/>
  <c r="Q684" i="44"/>
  <c r="Q635" i="44"/>
  <c r="Q646" i="44"/>
  <c r="Q659" i="44"/>
  <c r="Q696" i="44"/>
  <c r="Q660" i="44"/>
  <c r="Q647" i="44"/>
  <c r="Q648" i="44"/>
  <c r="Q683" i="44"/>
  <c r="Q672" i="44"/>
  <c r="Q671" i="44"/>
  <c r="Q655" i="44"/>
  <c r="Q632" i="44"/>
  <c r="Q693" i="44"/>
  <c r="Q692" i="44"/>
  <c r="Q629" i="44"/>
  <c r="Q643" i="44"/>
  <c r="Q690" i="44"/>
  <c r="Q644" i="44"/>
  <c r="Q681" i="44"/>
  <c r="Q666" i="44"/>
  <c r="Q631" i="44"/>
  <c r="Q633" i="44"/>
  <c r="Q641" i="44"/>
  <c r="Q668" i="44"/>
  <c r="Q667" i="44"/>
  <c r="Q677" i="44"/>
  <c r="Q680" i="44"/>
  <c r="Q691" i="44"/>
  <c r="Q654" i="44"/>
  <c r="Q656" i="44"/>
  <c r="Q679" i="44"/>
  <c r="Q645" i="44"/>
  <c r="Q694" i="44"/>
  <c r="Q689" i="44"/>
  <c r="Q682" i="44"/>
  <c r="Q669" i="44"/>
  <c r="Q678" i="44"/>
  <c r="Q658" i="44"/>
  <c r="M40" i="18"/>
  <c r="S40" i="18" s="1"/>
  <c r="M119" i="18"/>
  <c r="R119" i="18" s="1"/>
  <c r="M117" i="18"/>
  <c r="S117" i="18" s="1"/>
  <c r="O117" i="18" s="1"/>
  <c r="M84" i="18"/>
  <c r="R84" i="18" s="1"/>
  <c r="N84" i="18" s="1"/>
  <c r="M12" i="18"/>
  <c r="R12" i="18" s="1"/>
  <c r="M5" i="18"/>
  <c r="S5" i="18" s="1"/>
  <c r="O5" i="18" s="1"/>
  <c r="M51" i="18"/>
  <c r="R51" i="18" s="1"/>
  <c r="M6" i="18"/>
  <c r="R6" i="18" s="1"/>
  <c r="M121" i="18"/>
  <c r="R121" i="18" s="1"/>
  <c r="M39" i="18"/>
  <c r="R39" i="18" s="1"/>
  <c r="M89" i="18"/>
  <c r="S89" i="18" s="1"/>
  <c r="O89" i="18" s="1"/>
  <c r="M86" i="18"/>
  <c r="S86" i="18" s="1"/>
  <c r="M81" i="18"/>
  <c r="R81" i="18" s="1"/>
  <c r="N81" i="18" s="1"/>
  <c r="M85" i="18"/>
  <c r="R85" i="18" s="1"/>
  <c r="N85" i="18" s="1"/>
  <c r="M78" i="18"/>
  <c r="S78" i="18" s="1"/>
  <c r="O78" i="18" s="1"/>
  <c r="M47" i="18"/>
  <c r="R47" i="18" s="1"/>
  <c r="M83" i="18"/>
  <c r="R83" i="18" s="1"/>
  <c r="M49" i="18"/>
  <c r="R49" i="18" s="1"/>
  <c r="N49" i="18" s="1"/>
  <c r="M4" i="18"/>
  <c r="S4" i="18" s="1"/>
  <c r="M16" i="18"/>
  <c r="R16" i="18" s="1"/>
  <c r="N16" i="18" s="1"/>
  <c r="M11" i="18"/>
  <c r="R11" i="18" s="1"/>
  <c r="N11" i="18" s="1"/>
  <c r="M48" i="18"/>
  <c r="S48" i="18" s="1"/>
  <c r="M44" i="18"/>
  <c r="S44" i="18" s="1"/>
  <c r="O44" i="18" s="1"/>
  <c r="M120" i="18"/>
  <c r="M13" i="18"/>
  <c r="R13" i="18" s="1"/>
  <c r="N13" i="18" s="1"/>
  <c r="M17" i="18"/>
  <c r="S17" i="18" s="1"/>
  <c r="O17" i="18" s="1"/>
  <c r="M80" i="18"/>
  <c r="R80" i="18" s="1"/>
  <c r="M88" i="18"/>
  <c r="S88" i="18" s="1"/>
  <c r="M110" i="18"/>
  <c r="R110" i="18" s="1"/>
  <c r="M7" i="18"/>
  <c r="R7" i="18" s="1"/>
  <c r="M112" i="18"/>
  <c r="S112" i="18" s="1"/>
  <c r="M3" i="18"/>
  <c r="S3" i="18" s="1"/>
  <c r="M9" i="18"/>
  <c r="S9" i="18" s="1"/>
  <c r="O9" i="18" s="1"/>
  <c r="M2" i="18"/>
  <c r="S2" i="18" s="1"/>
  <c r="M77" i="18"/>
  <c r="S77" i="18" s="1"/>
  <c r="O77" i="18" s="1"/>
  <c r="M46" i="18"/>
  <c r="R46" i="18" s="1"/>
  <c r="M45" i="18"/>
  <c r="S45" i="18" s="1"/>
  <c r="M87" i="18"/>
  <c r="M43" i="18"/>
  <c r="R43" i="18" s="1"/>
  <c r="M14" i="18"/>
  <c r="R14" i="18" s="1"/>
  <c r="M76" i="18"/>
  <c r="R76" i="18" s="1"/>
  <c r="M111" i="18"/>
  <c r="S111" i="18" s="1"/>
  <c r="M113" i="18"/>
  <c r="S113" i="18" s="1"/>
  <c r="M74" i="18"/>
  <c r="S74" i="18" s="1"/>
  <c r="O74" i="18" s="1"/>
  <c r="M10" i="18"/>
  <c r="S10" i="18" s="1"/>
  <c r="M52" i="18"/>
  <c r="R52" i="18" s="1"/>
  <c r="N52" i="18" s="1"/>
  <c r="M118" i="18"/>
  <c r="S118" i="18" s="1"/>
  <c r="M75" i="18"/>
  <c r="R75" i="18" s="1"/>
  <c r="M79" i="18"/>
  <c r="M8" i="18"/>
  <c r="R8" i="18" s="1"/>
  <c r="M42" i="18"/>
  <c r="R42" i="18" s="1"/>
  <c r="M82" i="18"/>
  <c r="R82" i="18" s="1"/>
  <c r="N82" i="18" s="1"/>
  <c r="M123" i="18"/>
  <c r="S123" i="18" s="1"/>
  <c r="M38" i="18"/>
  <c r="S38" i="18" s="1"/>
  <c r="M114" i="18"/>
  <c r="S114" i="18" s="1"/>
  <c r="M53" i="18"/>
  <c r="S53" i="18" s="1"/>
  <c r="O53" i="18" s="1"/>
  <c r="M50" i="18"/>
  <c r="R50" i="18" s="1"/>
  <c r="M115" i="18"/>
  <c r="S115" i="18" s="1"/>
  <c r="M124" i="18"/>
  <c r="R124" i="18" s="1"/>
  <c r="N124" i="18" s="1"/>
  <c r="M125" i="18"/>
  <c r="R125" i="18" s="1"/>
  <c r="N125" i="18" s="1"/>
  <c r="M116" i="18"/>
  <c r="S116" i="18" s="1"/>
  <c r="O116" i="18" s="1"/>
  <c r="M15" i="18"/>
  <c r="M41" i="18"/>
  <c r="M122" i="18"/>
  <c r="R122" i="18" s="1"/>
  <c r="A261" i="4"/>
  <c r="A226" i="4"/>
  <c r="C170" i="40"/>
  <c r="F39" i="50"/>
  <c r="M54" i="50"/>
  <c r="F44" i="49"/>
  <c r="M44" i="49"/>
  <c r="F41" i="50"/>
  <c r="F39" i="49"/>
  <c r="M41" i="50"/>
  <c r="C129" i="49"/>
  <c r="B168" i="48"/>
  <c r="B131" i="49"/>
  <c r="L124" i="49"/>
  <c r="C175" i="48"/>
  <c r="M44" i="50"/>
  <c r="B127" i="49"/>
  <c r="M48" i="40"/>
  <c r="F54" i="50"/>
  <c r="B168" i="40"/>
  <c r="M49" i="50"/>
  <c r="F50" i="50"/>
  <c r="C171" i="40"/>
  <c r="B172" i="40"/>
  <c r="M127" i="49"/>
  <c r="C174" i="48"/>
  <c r="D184" i="40"/>
  <c r="B132" i="49"/>
  <c r="C131" i="49"/>
  <c r="M51" i="48"/>
  <c r="C124" i="49"/>
  <c r="D169" i="48"/>
  <c r="D170" i="48"/>
  <c r="M50" i="40"/>
  <c r="M43" i="50"/>
  <c r="B176" i="40"/>
  <c r="M62" i="40"/>
  <c r="M126" i="49"/>
  <c r="D172" i="48"/>
  <c r="F49" i="48"/>
  <c r="M42" i="50"/>
  <c r="M63" i="48"/>
  <c r="C170" i="48"/>
  <c r="M64" i="40"/>
  <c r="M54" i="40"/>
  <c r="F48" i="48"/>
  <c r="M40" i="49"/>
  <c r="C179" i="48"/>
  <c r="F38" i="49"/>
  <c r="M40" i="50"/>
  <c r="M38" i="50"/>
  <c r="B170" i="40"/>
  <c r="F52" i="48"/>
  <c r="F49" i="40"/>
  <c r="F53" i="50"/>
  <c r="C172" i="40"/>
  <c r="B173" i="40"/>
  <c r="M61" i="48"/>
  <c r="M49" i="48"/>
  <c r="C174" i="40"/>
  <c r="C169" i="48"/>
  <c r="F63" i="40"/>
  <c r="F60" i="40"/>
  <c r="F52" i="49"/>
  <c r="M61" i="40"/>
  <c r="D129" i="49"/>
  <c r="C168" i="40"/>
  <c r="F51" i="50"/>
  <c r="F49" i="50"/>
  <c r="F61" i="40"/>
  <c r="C185" i="48"/>
  <c r="C169" i="40"/>
  <c r="M65" i="40"/>
  <c r="D131" i="49"/>
  <c r="F66" i="40"/>
  <c r="M53" i="40"/>
  <c r="F52" i="40"/>
  <c r="M37" i="50"/>
  <c r="B171" i="48"/>
  <c r="F41" i="49"/>
  <c r="D173" i="48"/>
  <c r="B182" i="40"/>
  <c r="F61" i="48"/>
  <c r="M42" i="49"/>
  <c r="M55" i="40"/>
  <c r="M52" i="40"/>
  <c r="F44" i="50"/>
  <c r="F55" i="40"/>
  <c r="C173" i="40"/>
  <c r="M52" i="48"/>
  <c r="B175" i="40"/>
  <c r="F62" i="48"/>
  <c r="D174" i="48"/>
  <c r="B174" i="40"/>
  <c r="F54" i="48"/>
  <c r="F53" i="48"/>
  <c r="B167" i="48"/>
  <c r="M131" i="49"/>
  <c r="F64" i="40"/>
  <c r="F37" i="50"/>
  <c r="F51" i="40"/>
  <c r="D175" i="48"/>
  <c r="M50" i="48"/>
  <c r="M49" i="40"/>
  <c r="M130" i="49"/>
  <c r="F65" i="48"/>
  <c r="B125" i="49"/>
  <c r="M59" i="40"/>
  <c r="D126" i="49"/>
  <c r="M52" i="50"/>
  <c r="B176" i="48"/>
  <c r="M54" i="48"/>
  <c r="M39" i="50"/>
  <c r="D182" i="40"/>
  <c r="F40" i="50"/>
  <c r="M62" i="48"/>
  <c r="D175" i="40"/>
  <c r="B167" i="40"/>
  <c r="C126" i="49"/>
  <c r="C125" i="49"/>
  <c r="D185" i="48"/>
  <c r="M63" i="40"/>
  <c r="F59" i="40"/>
  <c r="M41" i="49"/>
  <c r="F42" i="50"/>
  <c r="D174" i="40"/>
  <c r="F51" i="48"/>
  <c r="B169" i="40"/>
  <c r="M48" i="48"/>
  <c r="F40" i="49"/>
  <c r="F50" i="40"/>
  <c r="M38" i="49"/>
  <c r="F62" i="40"/>
  <c r="M53" i="48"/>
  <c r="C128" i="49"/>
  <c r="D173" i="40"/>
  <c r="R5" i="18" l="1"/>
  <c r="R40" i="18"/>
  <c r="R117" i="18"/>
  <c r="N117" i="18" s="1"/>
  <c r="S119" i="18"/>
  <c r="S84" i="18"/>
  <c r="O40" i="18"/>
  <c r="S12" i="18"/>
  <c r="S121" i="18"/>
  <c r="S51" i="18"/>
  <c r="S39" i="18"/>
  <c r="R89" i="18"/>
  <c r="N89" i="18" s="1"/>
  <c r="R86" i="18"/>
  <c r="N86" i="18" s="1"/>
  <c r="S47" i="18"/>
  <c r="S6" i="18"/>
  <c r="S85" i="18"/>
  <c r="R48" i="18"/>
  <c r="N48" i="18" s="1"/>
  <c r="R78" i="18"/>
  <c r="R45" i="18"/>
  <c r="N45" i="18" s="1"/>
  <c r="S81" i="18"/>
  <c r="O81" i="18" s="1"/>
  <c r="R44" i="18"/>
  <c r="S110" i="18"/>
  <c r="O110" i="18" s="1"/>
  <c r="S83" i="18"/>
  <c r="S7" i="18"/>
  <c r="O7" i="18" s="1"/>
  <c r="R118" i="18"/>
  <c r="N118" i="18" s="1"/>
  <c r="S14" i="18"/>
  <c r="S49" i="18"/>
  <c r="R17" i="18"/>
  <c r="N17" i="18" s="1"/>
  <c r="R77" i="18"/>
  <c r="R88" i="18"/>
  <c r="S16" i="18"/>
  <c r="R38" i="18"/>
  <c r="N51" i="18" s="1"/>
  <c r="S11" i="18"/>
  <c r="R111" i="18"/>
  <c r="S13" i="18"/>
  <c r="S42" i="18"/>
  <c r="R112" i="18"/>
  <c r="R4" i="18"/>
  <c r="R74" i="18"/>
  <c r="O112" i="18"/>
  <c r="S76" i="18"/>
  <c r="O76" i="18" s="1"/>
  <c r="S80" i="18"/>
  <c r="O45" i="18"/>
  <c r="R2" i="18"/>
  <c r="R120" i="18"/>
  <c r="N120" i="18" s="1"/>
  <c r="S120" i="18"/>
  <c r="S75" i="18"/>
  <c r="R3" i="18"/>
  <c r="S46" i="18"/>
  <c r="R113" i="18"/>
  <c r="R9" i="18"/>
  <c r="N9" i="18" s="1"/>
  <c r="R53" i="18"/>
  <c r="N53" i="18" s="1"/>
  <c r="O3" i="18"/>
  <c r="S87" i="18"/>
  <c r="R87" i="18"/>
  <c r="N87" i="18" s="1"/>
  <c r="S82" i="18"/>
  <c r="R10" i="18"/>
  <c r="S43" i="18"/>
  <c r="O43" i="18" s="1"/>
  <c r="S52" i="18"/>
  <c r="S79" i="18"/>
  <c r="O79" i="18" s="1"/>
  <c r="R79" i="18"/>
  <c r="S8" i="18"/>
  <c r="O8" i="18" s="1"/>
  <c r="R114" i="18"/>
  <c r="R123" i="18"/>
  <c r="R115" i="18"/>
  <c r="S125" i="18"/>
  <c r="O125" i="18" s="1"/>
  <c r="S50" i="18"/>
  <c r="S124" i="18"/>
  <c r="R116" i="18"/>
  <c r="S41" i="18"/>
  <c r="O41" i="18" s="1"/>
  <c r="R41" i="18"/>
  <c r="N46" i="18" s="1"/>
  <c r="R15" i="18"/>
  <c r="S15" i="18"/>
  <c r="S122" i="18"/>
  <c r="A227" i="4"/>
  <c r="A228" i="4"/>
  <c r="A262" i="4"/>
  <c r="N121" i="18" l="1"/>
  <c r="O113" i="18"/>
  <c r="O80" i="18"/>
  <c r="N88" i="18"/>
  <c r="O16" i="18"/>
  <c r="O42" i="18"/>
  <c r="N50" i="18"/>
  <c r="O52" i="18"/>
  <c r="O51" i="18"/>
  <c r="N44" i="18"/>
  <c r="N8" i="18"/>
  <c r="O14" i="18"/>
  <c r="N122" i="18"/>
  <c r="O123" i="18"/>
  <c r="N115" i="18"/>
  <c r="O114" i="18"/>
  <c r="N116" i="18"/>
  <c r="O124" i="18"/>
  <c r="O85" i="18"/>
  <c r="O83" i="18"/>
  <c r="O88" i="18"/>
  <c r="O82" i="18"/>
  <c r="N80" i="18"/>
  <c r="N74" i="18"/>
  <c r="O38" i="18"/>
  <c r="O2" i="18"/>
  <c r="N10" i="18"/>
  <c r="O111" i="18"/>
  <c r="N119" i="18"/>
  <c r="N75" i="18"/>
  <c r="O39" i="18"/>
  <c r="N47" i="18"/>
  <c r="O4" i="18"/>
  <c r="N12" i="18"/>
  <c r="N6" i="18"/>
  <c r="O13" i="18"/>
  <c r="N43" i="18"/>
  <c r="N79" i="18"/>
  <c r="N77" i="18"/>
  <c r="N3" i="18"/>
  <c r="N83" i="18"/>
  <c r="N78" i="18"/>
  <c r="N76" i="18"/>
  <c r="O84" i="18"/>
  <c r="O75" i="18"/>
  <c r="N4" i="18"/>
  <c r="O86" i="18"/>
  <c r="O87" i="18"/>
  <c r="N113" i="18"/>
  <c r="N14" i="18"/>
  <c r="O47" i="18"/>
  <c r="N123" i="18"/>
  <c r="O12" i="18"/>
  <c r="N114" i="18"/>
  <c r="N7" i="18"/>
  <c r="O122" i="18"/>
  <c r="O50" i="18"/>
  <c r="O6" i="18"/>
  <c r="O121" i="18"/>
  <c r="N42" i="18"/>
  <c r="N41" i="18"/>
  <c r="O48" i="18"/>
  <c r="O118" i="18"/>
  <c r="O49" i="18"/>
  <c r="O46" i="18"/>
  <c r="O15" i="18"/>
  <c r="O11" i="18"/>
  <c r="N110" i="18"/>
  <c r="N112" i="18"/>
  <c r="N111" i="18"/>
  <c r="N40" i="18"/>
  <c r="N15" i="18"/>
  <c r="N5" i="18"/>
  <c r="N39" i="18"/>
  <c r="N2" i="18"/>
  <c r="N38" i="18"/>
  <c r="O10" i="18"/>
  <c r="O120" i="18"/>
  <c r="O115" i="18"/>
  <c r="O119" i="18"/>
  <c r="A264" i="4"/>
  <c r="C16" i="5" s="1"/>
  <c r="A263" i="4"/>
  <c r="D13" i="5" s="1"/>
  <c r="Y2" i="4" s="1"/>
  <c r="D16" i="5" l="1"/>
  <c r="C17" i="5"/>
  <c r="C14" i="5"/>
  <c r="D15" i="5"/>
  <c r="C15" i="5"/>
  <c r="D17" i="5"/>
  <c r="D14" i="5"/>
  <c r="E28" i="18"/>
  <c r="H28" i="18" s="1"/>
  <c r="E58" i="18"/>
  <c r="H58" i="18" s="1"/>
  <c r="E131" i="18"/>
  <c r="H131" i="18" s="1"/>
  <c r="E138" i="18"/>
  <c r="H138" i="18" s="1"/>
  <c r="E91" i="18"/>
  <c r="H91" i="18" s="1"/>
  <c r="E103" i="18"/>
  <c r="H103" i="18" s="1"/>
  <c r="E93" i="18"/>
  <c r="H93" i="18" s="1"/>
  <c r="E94" i="18"/>
  <c r="H94" i="18" s="1"/>
  <c r="E98" i="18"/>
  <c r="H98" i="18" s="1"/>
  <c r="E95" i="18"/>
  <c r="H95" i="18" s="1"/>
  <c r="E97" i="18"/>
  <c r="F97" i="18" s="1"/>
  <c r="E102" i="18"/>
  <c r="H102" i="18" s="1"/>
  <c r="E101" i="18"/>
  <c r="H101" i="18" s="1"/>
  <c r="E69" i="18"/>
  <c r="H69" i="18" s="1"/>
  <c r="E29" i="18"/>
  <c r="H29" i="18" s="1"/>
  <c r="E107" i="18"/>
  <c r="H107" i="18" s="1"/>
  <c r="E92" i="18"/>
  <c r="H92" i="18" s="1"/>
  <c r="E104" i="18"/>
  <c r="F104" i="18" s="1"/>
  <c r="E105" i="18"/>
  <c r="H105" i="18" s="1"/>
  <c r="E96" i="18"/>
  <c r="H96" i="18" s="1"/>
  <c r="E64" i="18"/>
  <c r="E100" i="18"/>
  <c r="H100" i="18" s="1"/>
  <c r="E34" i="18"/>
  <c r="F34" i="18" s="1"/>
  <c r="E130" i="18"/>
  <c r="H130" i="18" s="1"/>
  <c r="E137" i="18"/>
  <c r="H137" i="18" s="1"/>
  <c r="E70" i="18"/>
  <c r="H70" i="18" s="1"/>
  <c r="E106" i="18"/>
  <c r="F106" i="18" s="1"/>
  <c r="E133" i="18"/>
  <c r="H133" i="18" s="1"/>
  <c r="E68" i="18"/>
  <c r="H68" i="18" s="1"/>
  <c r="E134" i="18"/>
  <c r="E60" i="18"/>
  <c r="H60" i="18" s="1"/>
  <c r="E129" i="18"/>
  <c r="E71" i="18"/>
  <c r="H71" i="18" s="1"/>
  <c r="E67" i="18"/>
  <c r="H67" i="18" s="1"/>
  <c r="E132" i="18"/>
  <c r="H132" i="18" s="1"/>
  <c r="E65" i="18"/>
  <c r="H65" i="18" s="1"/>
  <c r="E66" i="18"/>
  <c r="H66" i="18" s="1"/>
  <c r="E128" i="18"/>
  <c r="H128" i="18" s="1"/>
  <c r="E127" i="18"/>
  <c r="H127" i="18" s="1"/>
  <c r="E21" i="18"/>
  <c r="H21" i="18" s="1"/>
  <c r="E59" i="18"/>
  <c r="H59" i="18" s="1"/>
  <c r="E136" i="18"/>
  <c r="H136" i="18" s="1"/>
  <c r="E55" i="18"/>
  <c r="H55" i="18" s="1"/>
  <c r="E62" i="18"/>
  <c r="H62" i="18" s="1"/>
  <c r="E24" i="18"/>
  <c r="H24" i="18" s="1"/>
  <c r="E56" i="18"/>
  <c r="H56" i="18" s="1"/>
  <c r="E61" i="18"/>
  <c r="F61" i="18" s="1"/>
  <c r="E19" i="18"/>
  <c r="H19" i="18" s="1"/>
  <c r="E57" i="18"/>
  <c r="H57" i="18" s="1"/>
  <c r="E30" i="18"/>
  <c r="H30" i="18" s="1"/>
  <c r="E141" i="18"/>
  <c r="H141" i="18" s="1"/>
  <c r="E32" i="18"/>
  <c r="H32" i="18" s="1"/>
  <c r="E31" i="18"/>
  <c r="H31" i="18" s="1"/>
  <c r="E35" i="18"/>
  <c r="E22" i="18"/>
  <c r="H22" i="18" s="1"/>
  <c r="E25" i="18"/>
  <c r="E23" i="18"/>
  <c r="H23" i="18" s="1"/>
  <c r="E26" i="18"/>
  <c r="H26" i="18" s="1"/>
  <c r="E139" i="18"/>
  <c r="H139" i="18" s="1"/>
  <c r="E33" i="18"/>
  <c r="H33" i="18" s="1"/>
  <c r="E20" i="18"/>
  <c r="H20" i="18" s="1"/>
  <c r="E140" i="18"/>
  <c r="H140" i="18" s="1"/>
  <c r="E143" i="18"/>
  <c r="F143" i="18" s="1"/>
  <c r="E142" i="18"/>
  <c r="H142" i="18" s="1"/>
  <c r="F98" i="18" l="1"/>
  <c r="H106" i="18"/>
  <c r="F107" i="18"/>
  <c r="F70" i="18"/>
  <c r="H97" i="18"/>
  <c r="H34" i="18"/>
  <c r="F96" i="18"/>
  <c r="H104" i="18"/>
  <c r="F105" i="18"/>
  <c r="F133" i="18"/>
  <c r="F62" i="18"/>
  <c r="H61" i="18"/>
  <c r="F71" i="18"/>
  <c r="F26" i="18"/>
  <c r="H143" i="18"/>
  <c r="F25" i="18"/>
  <c r="H25" i="18"/>
  <c r="F142" i="18"/>
  <c r="H64" i="18"/>
  <c r="M13" i="5"/>
  <c r="V2" i="4"/>
  <c r="V13" i="4" s="1"/>
  <c r="F69" i="18"/>
  <c r="Y6" i="4"/>
  <c r="H129" i="18"/>
  <c r="F35" i="18"/>
  <c r="H35" i="18"/>
  <c r="F134" i="18"/>
  <c r="H134" i="18"/>
  <c r="M16" i="5"/>
  <c r="V5" i="4"/>
  <c r="V16" i="4" s="1"/>
  <c r="Y3" i="4"/>
  <c r="C68" i="9"/>
  <c r="D68" i="9" s="1"/>
  <c r="A366" i="6"/>
  <c r="J49" i="9"/>
  <c r="K49" i="9" s="1"/>
  <c r="C11" i="9"/>
  <c r="D11" i="9" s="1"/>
  <c r="A174" i="14"/>
  <c r="C86" i="9"/>
  <c r="D86" i="9" s="1"/>
  <c r="Q80" i="9"/>
  <c r="R80" i="9" s="1"/>
  <c r="A303" i="6"/>
  <c r="A270" i="6"/>
  <c r="Q11" i="9"/>
  <c r="R11" i="9" s="1"/>
  <c r="J86" i="9"/>
  <c r="K86" i="9" s="1"/>
  <c r="T29" i="15"/>
  <c r="U29" i="15" s="1"/>
  <c r="A47" i="6"/>
  <c r="J106" i="9"/>
  <c r="K106" i="9" s="1"/>
  <c r="J11" i="9"/>
  <c r="K11" i="9" s="1"/>
  <c r="A142" i="6"/>
  <c r="A302" i="6"/>
  <c r="P4" i="5"/>
  <c r="J24" i="9"/>
  <c r="K24" i="9" s="1"/>
  <c r="T11" i="15"/>
  <c r="U11" i="15" s="1"/>
  <c r="A46" i="6"/>
  <c r="C30" i="9"/>
  <c r="D30" i="9" s="1"/>
  <c r="Q30" i="9"/>
  <c r="R30" i="9" s="1"/>
  <c r="A238" i="6"/>
  <c r="A398" i="6"/>
  <c r="T30" i="15"/>
  <c r="U30" i="15" s="1"/>
  <c r="A174" i="6"/>
  <c r="A15" i="14"/>
  <c r="A175" i="14"/>
  <c r="J87" i="9"/>
  <c r="K87" i="9" s="1"/>
  <c r="Q10" i="9"/>
  <c r="R10" i="9" s="1"/>
  <c r="A271" i="6"/>
  <c r="D30" i="15"/>
  <c r="E30" i="15" s="1"/>
  <c r="A367" i="6"/>
  <c r="A79" i="6"/>
  <c r="A206" i="6"/>
  <c r="Q99" i="9"/>
  <c r="R99" i="9" s="1"/>
  <c r="A46" i="14"/>
  <c r="A462" i="6"/>
  <c r="C29" i="9"/>
  <c r="D29" i="9" s="1"/>
  <c r="A111" i="6"/>
  <c r="A494" i="6"/>
  <c r="L11" i="15"/>
  <c r="M11" i="15" s="1"/>
  <c r="J30" i="9"/>
  <c r="K30" i="9" s="1"/>
  <c r="A142" i="14"/>
  <c r="A239" i="6"/>
  <c r="D10" i="15"/>
  <c r="E10" i="15" s="1"/>
  <c r="A143" i="14"/>
  <c r="A431" i="6"/>
  <c r="Q105" i="9"/>
  <c r="R105" i="9" s="1"/>
  <c r="A430" i="6"/>
  <c r="L30" i="15"/>
  <c r="M30" i="15" s="1"/>
  <c r="A463" i="6"/>
  <c r="A175" i="6"/>
  <c r="A15" i="6"/>
  <c r="Q68" i="9"/>
  <c r="R68" i="9" s="1"/>
  <c r="B19" i="5"/>
  <c r="C49" i="9"/>
  <c r="D49" i="9" s="1"/>
  <c r="A197" i="6"/>
  <c r="A14" i="6"/>
  <c r="A495" i="6"/>
  <c r="C10" i="9"/>
  <c r="D10" i="9" s="1"/>
  <c r="J48" i="9"/>
  <c r="K48" i="9" s="1"/>
  <c r="A110" i="14"/>
  <c r="L10" i="15"/>
  <c r="M10" i="15" s="1"/>
  <c r="D11" i="15"/>
  <c r="E11" i="15" s="1"/>
  <c r="C67" i="9"/>
  <c r="D67" i="9" s="1"/>
  <c r="C105" i="9"/>
  <c r="D105" i="9" s="1"/>
  <c r="A334" i="6"/>
  <c r="A78" i="14"/>
  <c r="L29" i="15"/>
  <c r="M29" i="15" s="1"/>
  <c r="B20" i="5"/>
  <c r="J68" i="9"/>
  <c r="K68" i="9" s="1"/>
  <c r="Q67" i="9"/>
  <c r="R67" i="9" s="1"/>
  <c r="Q13" i="5"/>
  <c r="Q14" i="5" s="1"/>
  <c r="Q15" i="5" s="1"/>
  <c r="Q16" i="5" s="1"/>
  <c r="Q17" i="5" s="1"/>
  <c r="Q18" i="5" s="1"/>
  <c r="Q19" i="5" s="1"/>
  <c r="Q20" i="5" s="1"/>
  <c r="S20" i="5" s="1"/>
  <c r="A143" i="6"/>
  <c r="A78" i="6"/>
  <c r="Q29" i="9"/>
  <c r="R29" i="9" s="1"/>
  <c r="Q48" i="9"/>
  <c r="R48" i="9" s="1"/>
  <c r="A79" i="14"/>
  <c r="J10" i="9"/>
  <c r="K10" i="9" s="1"/>
  <c r="A111" i="14"/>
  <c r="T10" i="15"/>
  <c r="U10" i="15" s="1"/>
  <c r="Q64" i="9"/>
  <c r="R64" i="9" s="1"/>
  <c r="A335" i="6"/>
  <c r="D8" i="15"/>
  <c r="E8" i="15" s="1"/>
  <c r="A47" i="14"/>
  <c r="W2" i="5"/>
  <c r="J105" i="9"/>
  <c r="K105" i="9" s="1"/>
  <c r="A14" i="14"/>
  <c r="A399" i="6"/>
  <c r="Q87" i="9"/>
  <c r="R87" i="9" s="1"/>
  <c r="T9" i="15"/>
  <c r="U9" i="15" s="1"/>
  <c r="J29" i="9"/>
  <c r="K29" i="9" s="1"/>
  <c r="C87" i="9"/>
  <c r="D87" i="9" s="1"/>
  <c r="Q8" i="9"/>
  <c r="R8" i="9" s="1"/>
  <c r="J67" i="9"/>
  <c r="K67" i="9" s="1"/>
  <c r="A170" i="6"/>
  <c r="A207" i="6"/>
  <c r="A110" i="6"/>
  <c r="A9" i="6"/>
  <c r="C48" i="9"/>
  <c r="D48" i="9" s="1"/>
  <c r="D29" i="15"/>
  <c r="E29" i="15" s="1"/>
  <c r="C106" i="9"/>
  <c r="D106" i="9" s="1"/>
  <c r="Q49" i="9"/>
  <c r="R49" i="9" s="1"/>
  <c r="A397" i="6"/>
  <c r="Q106" i="9"/>
  <c r="R106" i="9" s="1"/>
  <c r="Q86" i="9"/>
  <c r="R86" i="9" s="1"/>
  <c r="B18" i="5"/>
  <c r="A389" i="6"/>
  <c r="A421" i="6"/>
  <c r="A325" i="6"/>
  <c r="A485" i="6"/>
  <c r="A133" i="14"/>
  <c r="A69" i="6"/>
  <c r="A357" i="6"/>
  <c r="A101" i="14"/>
  <c r="A453" i="6"/>
  <c r="A69" i="14"/>
  <c r="A37" i="14"/>
  <c r="A5" i="14"/>
  <c r="A133" i="6"/>
  <c r="A165" i="6"/>
  <c r="A165" i="14"/>
  <c r="A37" i="6"/>
  <c r="A261" i="6"/>
  <c r="A101" i="6"/>
  <c r="A229" i="6"/>
  <c r="A293" i="6"/>
  <c r="A5" i="6"/>
  <c r="C20" i="5" l="1"/>
  <c r="D20" i="5"/>
  <c r="C18" i="5"/>
  <c r="D18" i="5"/>
  <c r="C19" i="5"/>
  <c r="D19" i="5"/>
  <c r="C85" i="9"/>
  <c r="D85" i="9" s="1"/>
  <c r="A299" i="6"/>
  <c r="A307" i="6" s="1"/>
  <c r="E307" i="6" s="1"/>
  <c r="F307" i="6" s="1"/>
  <c r="A172" i="14"/>
  <c r="A180" i="14" s="1"/>
  <c r="J65" i="9"/>
  <c r="K65" i="9" s="1"/>
  <c r="C99" i="9"/>
  <c r="D99" i="9" s="1"/>
  <c r="L23" i="15"/>
  <c r="M23" i="15" s="1"/>
  <c r="A74" i="6"/>
  <c r="A82" i="6" s="1"/>
  <c r="E82" i="6" s="1"/>
  <c r="F82" i="6" s="1"/>
  <c r="A393" i="6"/>
  <c r="A401" i="6" s="1"/>
  <c r="E401" i="6" s="1"/>
  <c r="F401" i="6" s="1"/>
  <c r="C7" i="9"/>
  <c r="D7" i="9" s="1"/>
  <c r="Q84" i="9"/>
  <c r="R84" i="9" s="1"/>
  <c r="A45" i="14"/>
  <c r="BT45" i="14" s="1"/>
  <c r="D26" i="15"/>
  <c r="E26" i="15" s="1"/>
  <c r="A76" i="6"/>
  <c r="A84" i="6" s="1"/>
  <c r="E84" i="6" s="1"/>
  <c r="F84" i="6" s="1"/>
  <c r="A362" i="6"/>
  <c r="E362" i="6" s="1"/>
  <c r="F362" i="6" s="1"/>
  <c r="C65" i="9"/>
  <c r="D65" i="9" s="1"/>
  <c r="C23" i="9"/>
  <c r="D23" i="9" s="1"/>
  <c r="A9" i="14"/>
  <c r="BT9" i="14" s="1"/>
  <c r="A45" i="6"/>
  <c r="E45" i="6" s="1"/>
  <c r="F45" i="6" s="1"/>
  <c r="J99" i="9"/>
  <c r="K99" i="9" s="1"/>
  <c r="A73" i="6"/>
  <c r="E73" i="6" s="1"/>
  <c r="F73" i="6" s="1"/>
  <c r="A493" i="6"/>
  <c r="E493" i="6" s="1"/>
  <c r="F493" i="6" s="1"/>
  <c r="A265" i="6"/>
  <c r="A273" i="6" s="1"/>
  <c r="E273" i="6" s="1"/>
  <c r="F273" i="6" s="1"/>
  <c r="A300" i="6"/>
  <c r="E300" i="6" s="1"/>
  <c r="F300" i="6" s="1"/>
  <c r="A138" i="6"/>
  <c r="A146" i="6" s="1"/>
  <c r="E146" i="6" s="1"/>
  <c r="F146" i="6" s="1"/>
  <c r="C66" i="9"/>
  <c r="D66" i="9" s="1"/>
  <c r="L5" i="15"/>
  <c r="M5" i="15" s="1"/>
  <c r="Q23" i="9"/>
  <c r="R23" i="9" s="1"/>
  <c r="A42" i="6"/>
  <c r="A50" i="6" s="1"/>
  <c r="E50" i="6" s="1"/>
  <c r="F50" i="6" s="1"/>
  <c r="A266" i="6"/>
  <c r="A274" i="6" s="1"/>
  <c r="E274" i="6" s="1"/>
  <c r="F274" i="6" s="1"/>
  <c r="A75" i="6"/>
  <c r="E75" i="6" s="1"/>
  <c r="F75" i="6" s="1"/>
  <c r="Q27" i="9"/>
  <c r="R27" i="9" s="1"/>
  <c r="A395" i="6"/>
  <c r="A403" i="6" s="1"/>
  <c r="E403" i="6" s="1"/>
  <c r="F403" i="6" s="1"/>
  <c r="Q62" i="9"/>
  <c r="R62" i="9" s="1"/>
  <c r="A234" i="6"/>
  <c r="A242" i="6" s="1"/>
  <c r="E242" i="6" s="1"/>
  <c r="F242" i="6" s="1"/>
  <c r="A235" i="6"/>
  <c r="A243" i="6" s="1"/>
  <c r="E243" i="6" s="1"/>
  <c r="F243" i="6" s="1"/>
  <c r="A426" i="6"/>
  <c r="E426" i="6" s="1"/>
  <c r="F426" i="6" s="1"/>
  <c r="T23" i="15"/>
  <c r="U23" i="15" s="1"/>
  <c r="Q5" i="9"/>
  <c r="R5" i="9" s="1"/>
  <c r="C64" i="9"/>
  <c r="D64" i="9" s="1"/>
  <c r="A44" i="14"/>
  <c r="E44" i="14" s="1"/>
  <c r="F44" i="14" s="1"/>
  <c r="A171" i="6"/>
  <c r="E171" i="6" s="1"/>
  <c r="F171" i="6" s="1"/>
  <c r="A296" i="6"/>
  <c r="E296" i="6" s="1"/>
  <c r="F296" i="6" s="1"/>
  <c r="A267" i="6"/>
  <c r="E267" i="6" s="1"/>
  <c r="F267" i="6" s="1"/>
  <c r="Q81" i="9"/>
  <c r="R81" i="9" s="1"/>
  <c r="Q24" i="9"/>
  <c r="R24" i="9" s="1"/>
  <c r="A331" i="6"/>
  <c r="A339" i="6" s="1"/>
  <c r="E339" i="6" s="1"/>
  <c r="F339" i="6" s="1"/>
  <c r="C27" i="9"/>
  <c r="D27" i="9" s="1"/>
  <c r="A139" i="14"/>
  <c r="BT139" i="14" s="1"/>
  <c r="A459" i="6"/>
  <c r="E459" i="6" s="1"/>
  <c r="F459" i="6" s="1"/>
  <c r="A200" i="6"/>
  <c r="E200" i="6" s="1"/>
  <c r="F200" i="6" s="1"/>
  <c r="Q26" i="9"/>
  <c r="R26" i="9" s="1"/>
  <c r="L8" i="15"/>
  <c r="M8" i="15" s="1"/>
  <c r="Q61" i="9"/>
  <c r="R61" i="9" s="1"/>
  <c r="C100" i="9"/>
  <c r="D100" i="9" s="1"/>
  <c r="J84" i="9"/>
  <c r="K84" i="9" s="1"/>
  <c r="D23" i="15"/>
  <c r="E23" i="15" s="1"/>
  <c r="A172" i="6"/>
  <c r="A180" i="6" s="1"/>
  <c r="E180" i="6" s="1"/>
  <c r="F180" i="6" s="1"/>
  <c r="A72" i="6"/>
  <c r="E72" i="6" s="1"/>
  <c r="F72" i="6" s="1"/>
  <c r="A329" i="6"/>
  <c r="A337" i="6" s="1"/>
  <c r="E337" i="6" s="1"/>
  <c r="F337" i="6" s="1"/>
  <c r="A394" i="6"/>
  <c r="A402" i="6" s="1"/>
  <c r="E402" i="6" s="1"/>
  <c r="F402" i="6" s="1"/>
  <c r="Q44" i="9"/>
  <c r="R44" i="9" s="1"/>
  <c r="A365" i="6"/>
  <c r="E365" i="6" s="1"/>
  <c r="F365" i="6" s="1"/>
  <c r="D27" i="15"/>
  <c r="E27" i="15" s="1"/>
  <c r="A140" i="6"/>
  <c r="E140" i="6" s="1"/>
  <c r="F140" i="6" s="1"/>
  <c r="A108" i="6"/>
  <c r="E108" i="6" s="1"/>
  <c r="F108" i="6" s="1"/>
  <c r="D24" i="15"/>
  <c r="E24" i="15" s="1"/>
  <c r="A109" i="6"/>
  <c r="E109" i="6" s="1"/>
  <c r="F109" i="6" s="1"/>
  <c r="A12" i="6"/>
  <c r="E12" i="6" s="1"/>
  <c r="F12" i="6" s="1"/>
  <c r="A301" i="6"/>
  <c r="A309" i="6" s="1"/>
  <c r="E309" i="6" s="1"/>
  <c r="F309" i="6" s="1"/>
  <c r="A489" i="6"/>
  <c r="A497" i="6" s="1"/>
  <c r="E497" i="6" s="1"/>
  <c r="F497" i="6" s="1"/>
  <c r="A428" i="6"/>
  <c r="A436" i="6" s="1"/>
  <c r="E436" i="6" s="1"/>
  <c r="F436" i="6" s="1"/>
  <c r="A74" i="14"/>
  <c r="BT74" i="14" s="1"/>
  <c r="C101" i="9"/>
  <c r="D101" i="9" s="1"/>
  <c r="Q43" i="9"/>
  <c r="R43" i="9" s="1"/>
  <c r="A43" i="6"/>
  <c r="A51" i="6" s="1"/>
  <c r="E51" i="6" s="1"/>
  <c r="F51" i="6" s="1"/>
  <c r="C8" i="9"/>
  <c r="D8" i="9" s="1"/>
  <c r="A264" i="6"/>
  <c r="E264" i="6" s="1"/>
  <c r="F264" i="6" s="1"/>
  <c r="T28" i="15"/>
  <c r="U28" i="15" s="1"/>
  <c r="T26" i="15"/>
  <c r="U26" i="15" s="1"/>
  <c r="C83" i="9"/>
  <c r="D83" i="9" s="1"/>
  <c r="A396" i="6"/>
  <c r="A404" i="6" s="1"/>
  <c r="E404" i="6" s="1"/>
  <c r="F404" i="6" s="1"/>
  <c r="A40" i="6"/>
  <c r="E40" i="6" s="1"/>
  <c r="F40" i="6" s="1"/>
  <c r="A77" i="14"/>
  <c r="BT77" i="14" s="1"/>
  <c r="A202" i="6"/>
  <c r="A210" i="6" s="1"/>
  <c r="E210" i="6" s="1"/>
  <c r="F210" i="6" s="1"/>
  <c r="C82" i="9"/>
  <c r="D82" i="9" s="1"/>
  <c r="A233" i="6"/>
  <c r="A241" i="6" s="1"/>
  <c r="E241" i="6" s="1"/>
  <c r="F241" i="6" s="1"/>
  <c r="A77" i="6"/>
  <c r="A85" i="6" s="1"/>
  <c r="E85" i="6" s="1"/>
  <c r="F85" i="6" s="1"/>
  <c r="J83" i="9"/>
  <c r="K83" i="9" s="1"/>
  <c r="A141" i="14"/>
  <c r="BT141" i="14" s="1"/>
  <c r="Q85" i="9"/>
  <c r="R85" i="9" s="1"/>
  <c r="C104" i="9"/>
  <c r="D104" i="9" s="1"/>
  <c r="A13" i="14"/>
  <c r="A21" i="14" s="1"/>
  <c r="C24" i="9"/>
  <c r="D24" i="9" s="1"/>
  <c r="C103" i="9"/>
  <c r="D103" i="9" s="1"/>
  <c r="Q65" i="9"/>
  <c r="R65" i="9" s="1"/>
  <c r="D28" i="15"/>
  <c r="E28" i="15" s="1"/>
  <c r="C80" i="9"/>
  <c r="D80" i="9" s="1"/>
  <c r="J42" i="9"/>
  <c r="K42" i="9" s="1"/>
  <c r="A8" i="6"/>
  <c r="E8" i="6" s="1"/>
  <c r="F8" i="6" s="1"/>
  <c r="Q28" i="9"/>
  <c r="R28" i="9" s="1"/>
  <c r="A424" i="6"/>
  <c r="A432" i="6" s="1"/>
  <c r="E432" i="6" s="1"/>
  <c r="F432" i="6" s="1"/>
  <c r="C61" i="9"/>
  <c r="D61" i="9" s="1"/>
  <c r="A269" i="6"/>
  <c r="E269" i="6" s="1"/>
  <c r="F269" i="6" s="1"/>
  <c r="A8" i="14"/>
  <c r="BT8" i="14" s="1"/>
  <c r="J45" i="9"/>
  <c r="K45" i="9" s="1"/>
  <c r="J5" i="9"/>
  <c r="K5" i="9" s="1"/>
  <c r="C44" i="9"/>
  <c r="D44" i="9" s="1"/>
  <c r="J85" i="9"/>
  <c r="K85" i="9" s="1"/>
  <c r="L6" i="15"/>
  <c r="M6" i="15" s="1"/>
  <c r="A105" i="14"/>
  <c r="BT105" i="14" s="1"/>
  <c r="T4" i="15"/>
  <c r="U4" i="15" s="1"/>
  <c r="C4" i="9"/>
  <c r="D4" i="9" s="1"/>
  <c r="A361" i="6"/>
  <c r="A369" i="6" s="1"/>
  <c r="E369" i="6" s="1"/>
  <c r="F369" i="6" s="1"/>
  <c r="J80" i="9"/>
  <c r="K80" i="9" s="1"/>
  <c r="A109" i="14"/>
  <c r="BT109" i="14" s="1"/>
  <c r="J7" i="9"/>
  <c r="K7" i="9" s="1"/>
  <c r="J8" i="9"/>
  <c r="K8" i="9" s="1"/>
  <c r="T25" i="15"/>
  <c r="U25" i="15" s="1"/>
  <c r="L27" i="15"/>
  <c r="M27" i="15" s="1"/>
  <c r="A203" i="6"/>
  <c r="A211" i="6" s="1"/>
  <c r="E211" i="6" s="1"/>
  <c r="F211" i="6" s="1"/>
  <c r="L25" i="15"/>
  <c r="M25" i="15" s="1"/>
  <c r="A460" i="6"/>
  <c r="A468" i="6" s="1"/>
  <c r="E468" i="6" s="1"/>
  <c r="F468" i="6" s="1"/>
  <c r="L9" i="15"/>
  <c r="M9" i="15" s="1"/>
  <c r="Q83" i="9"/>
  <c r="R83" i="9" s="1"/>
  <c r="A168" i="14"/>
  <c r="BT168" i="14" s="1"/>
  <c r="C45" i="9"/>
  <c r="D45" i="9" s="1"/>
  <c r="F31" i="18"/>
  <c r="F23" i="18"/>
  <c r="F21" i="18"/>
  <c r="F29" i="18"/>
  <c r="F28" i="18"/>
  <c r="F91" i="18"/>
  <c r="F20" i="18"/>
  <c r="F103" i="18"/>
  <c r="F101" i="18"/>
  <c r="F137" i="18"/>
  <c r="F59" i="18"/>
  <c r="F140" i="18"/>
  <c r="F141" i="18"/>
  <c r="F66" i="18"/>
  <c r="F67" i="18"/>
  <c r="F92" i="18"/>
  <c r="F127" i="18"/>
  <c r="F32" i="18"/>
  <c r="F33" i="18"/>
  <c r="F65" i="18"/>
  <c r="F100" i="18"/>
  <c r="F95" i="18"/>
  <c r="F58" i="18"/>
  <c r="F19" i="18"/>
  <c r="F22" i="18"/>
  <c r="F132" i="18"/>
  <c r="F94" i="18"/>
  <c r="F136" i="18"/>
  <c r="F129" i="18"/>
  <c r="F64" i="18"/>
  <c r="F56" i="18"/>
  <c r="F139" i="18"/>
  <c r="F57" i="18"/>
  <c r="F24" i="18"/>
  <c r="F130" i="18"/>
  <c r="F60" i="18"/>
  <c r="F68" i="18"/>
  <c r="F138" i="18"/>
  <c r="F131" i="18"/>
  <c r="F102" i="18"/>
  <c r="F93" i="18"/>
  <c r="F128" i="18"/>
  <c r="F55" i="18"/>
  <c r="F30" i="18"/>
  <c r="Q114" i="9"/>
  <c r="R114" i="9" s="1"/>
  <c r="A170" i="14"/>
  <c r="BT111" i="14"/>
  <c r="E111" i="14"/>
  <c r="F111" i="14" s="1"/>
  <c r="A119" i="14"/>
  <c r="C62" i="9"/>
  <c r="D62" i="9" s="1"/>
  <c r="Q47" i="9"/>
  <c r="R47" i="9" s="1"/>
  <c r="C6" i="9"/>
  <c r="D6" i="9" s="1"/>
  <c r="J9" i="9"/>
  <c r="K9" i="9" s="1"/>
  <c r="U9" i="4"/>
  <c r="U20" i="4"/>
  <c r="O20" i="5"/>
  <c r="N20" i="5"/>
  <c r="Q45" i="9"/>
  <c r="R45" i="9" s="1"/>
  <c r="C113" i="9"/>
  <c r="D113" i="9" s="1"/>
  <c r="A461" i="6"/>
  <c r="E110" i="14"/>
  <c r="F110" i="14" s="1"/>
  <c r="A118" i="14"/>
  <c r="BT110" i="14"/>
  <c r="C26" i="9"/>
  <c r="D26" i="9" s="1"/>
  <c r="C57" i="9"/>
  <c r="D57" i="9" s="1"/>
  <c r="J100" i="9"/>
  <c r="K100" i="9" s="1"/>
  <c r="A75" i="14"/>
  <c r="L38" i="15"/>
  <c r="M38" i="15" s="1"/>
  <c r="A236" i="6"/>
  <c r="A439" i="6"/>
  <c r="E439" i="6" s="1"/>
  <c r="F439" i="6" s="1"/>
  <c r="E431" i="6"/>
  <c r="F431" i="6" s="1"/>
  <c r="A205" i="6"/>
  <c r="D5" i="15"/>
  <c r="E5" i="15" s="1"/>
  <c r="A502" i="6"/>
  <c r="E502" i="6" s="1"/>
  <c r="F502" i="6" s="1"/>
  <c r="E494" i="6"/>
  <c r="F494" i="6" s="1"/>
  <c r="Q66" i="9"/>
  <c r="R66" i="9" s="1"/>
  <c r="C37" i="9"/>
  <c r="D37" i="9" s="1"/>
  <c r="BT46" i="14"/>
  <c r="E46" i="14"/>
  <c r="F46" i="14" s="1"/>
  <c r="A54" i="14"/>
  <c r="C102" i="9"/>
  <c r="D102" i="9" s="1"/>
  <c r="L7" i="15"/>
  <c r="M7" i="15" s="1"/>
  <c r="D25" i="15"/>
  <c r="E25" i="15" s="1"/>
  <c r="E398" i="6"/>
  <c r="F398" i="6" s="1"/>
  <c r="A406" i="6"/>
  <c r="E406" i="6" s="1"/>
  <c r="F406" i="6" s="1"/>
  <c r="C38" i="9"/>
  <c r="D38" i="9" s="1"/>
  <c r="A392" i="6"/>
  <c r="T5" i="15"/>
  <c r="U5" i="15" s="1"/>
  <c r="C46" i="9"/>
  <c r="D46" i="9" s="1"/>
  <c r="A10" i="6"/>
  <c r="Q7" i="9"/>
  <c r="R7" i="9" s="1"/>
  <c r="A136" i="14"/>
  <c r="Q19" i="9"/>
  <c r="R19" i="9" s="1"/>
  <c r="A204" i="6"/>
  <c r="A457" i="6"/>
  <c r="A40" i="14"/>
  <c r="A105" i="6"/>
  <c r="A456" i="6"/>
  <c r="A232" i="6"/>
  <c r="V4" i="4"/>
  <c r="V15" i="4" s="1"/>
  <c r="M15" i="5"/>
  <c r="E207" i="6"/>
  <c r="F207" i="6" s="1"/>
  <c r="A215" i="6"/>
  <c r="E215" i="6" s="1"/>
  <c r="F215" i="6" s="1"/>
  <c r="J75" i="9"/>
  <c r="K75" i="9" s="1"/>
  <c r="E399" i="6"/>
  <c r="F399" i="6" s="1"/>
  <c r="A407" i="6"/>
  <c r="E407" i="6" s="1"/>
  <c r="F407" i="6" s="1"/>
  <c r="A343" i="6"/>
  <c r="E343" i="6" s="1"/>
  <c r="F343" i="6" s="1"/>
  <c r="E335" i="6"/>
  <c r="F335" i="6" s="1"/>
  <c r="Q56" i="9"/>
  <c r="R56" i="9" s="1"/>
  <c r="A150" i="14"/>
  <c r="E142" i="14"/>
  <c r="F142" i="14" s="1"/>
  <c r="BT142" i="14"/>
  <c r="A72" i="14"/>
  <c r="A173" i="6"/>
  <c r="A214" i="6"/>
  <c r="E214" i="6" s="1"/>
  <c r="F214" i="6" s="1"/>
  <c r="E206" i="6"/>
  <c r="F206" i="6" s="1"/>
  <c r="D38" i="15"/>
  <c r="E38" i="15" s="1"/>
  <c r="Q46" i="9"/>
  <c r="R46" i="9" s="1"/>
  <c r="J61" i="9"/>
  <c r="K61" i="9" s="1"/>
  <c r="J103" i="9"/>
  <c r="K103" i="9" s="1"/>
  <c r="A138" i="14"/>
  <c r="A13" i="6"/>
  <c r="C42" i="9"/>
  <c r="D42" i="9" s="1"/>
  <c r="J19" i="9"/>
  <c r="K19" i="9" s="1"/>
  <c r="A104" i="6"/>
  <c r="J94" i="9"/>
  <c r="K94" i="9" s="1"/>
  <c r="A108" i="14"/>
  <c r="A182" i="14"/>
  <c r="E174" i="14"/>
  <c r="F174" i="14" s="1"/>
  <c r="BT174" i="14"/>
  <c r="A169" i="6"/>
  <c r="L26" i="15"/>
  <c r="M26" i="15" s="1"/>
  <c r="M14" i="5"/>
  <c r="V3" i="4"/>
  <c r="V14" i="4" s="1"/>
  <c r="C56" i="9"/>
  <c r="D56" i="9" s="1"/>
  <c r="J37" i="9"/>
  <c r="K37" i="9" s="1"/>
  <c r="E47" i="14"/>
  <c r="F47" i="14" s="1"/>
  <c r="BT47" i="14"/>
  <c r="A55" i="14"/>
  <c r="J18" i="9"/>
  <c r="K18" i="9" s="1"/>
  <c r="Q75" i="9"/>
  <c r="R75" i="9" s="1"/>
  <c r="A44" i="6"/>
  <c r="A76" i="14"/>
  <c r="A23" i="6"/>
  <c r="E23" i="6" s="1"/>
  <c r="F23" i="6" s="1"/>
  <c r="E15" i="6"/>
  <c r="F15" i="6" s="1"/>
  <c r="A333" i="6"/>
  <c r="J82" i="9"/>
  <c r="K82" i="9" s="1"/>
  <c r="A438" i="6"/>
  <c r="E438" i="6" s="1"/>
  <c r="F438" i="6" s="1"/>
  <c r="E430" i="6"/>
  <c r="F430" i="6" s="1"/>
  <c r="BT143" i="14"/>
  <c r="E143" i="14"/>
  <c r="F143" i="14" s="1"/>
  <c r="A151" i="14"/>
  <c r="A73" i="14"/>
  <c r="A106" i="6"/>
  <c r="J25" i="9"/>
  <c r="K25" i="9" s="1"/>
  <c r="C25" i="9"/>
  <c r="D25" i="9" s="1"/>
  <c r="A173" i="14"/>
  <c r="J102" i="9"/>
  <c r="K102" i="9" s="1"/>
  <c r="Q107" i="9"/>
  <c r="R107" i="9" s="1"/>
  <c r="E79" i="6"/>
  <c r="F79" i="6" s="1"/>
  <c r="A87" i="6"/>
  <c r="E87" i="6" s="1"/>
  <c r="F87" i="6" s="1"/>
  <c r="E175" i="14"/>
  <c r="F175" i="14" s="1"/>
  <c r="BT175" i="14"/>
  <c r="A183" i="14"/>
  <c r="A268" i="6"/>
  <c r="J101" i="9"/>
  <c r="K101" i="9" s="1"/>
  <c r="A427" i="6"/>
  <c r="D4" i="15"/>
  <c r="E4" i="15" s="1"/>
  <c r="A332" i="6"/>
  <c r="A360" i="6"/>
  <c r="A12" i="14"/>
  <c r="A492" i="6"/>
  <c r="J63" i="9"/>
  <c r="K63" i="9" s="1"/>
  <c r="A10" i="14"/>
  <c r="A201" i="6"/>
  <c r="A425" i="6"/>
  <c r="A168" i="6"/>
  <c r="C9" i="9"/>
  <c r="D9" i="9" s="1"/>
  <c r="J57" i="9"/>
  <c r="K57" i="9" s="1"/>
  <c r="C76" i="9"/>
  <c r="D76" i="9" s="1"/>
  <c r="Y14" i="4"/>
  <c r="M17" i="5"/>
  <c r="V6" i="4"/>
  <c r="V17" i="4" s="1"/>
  <c r="Y4" i="4"/>
  <c r="N18" i="5"/>
  <c r="U7" i="4"/>
  <c r="O18" i="5"/>
  <c r="U18" i="4"/>
  <c r="A405" i="6"/>
  <c r="E405" i="6" s="1"/>
  <c r="F405" i="6" s="1"/>
  <c r="E397" i="6"/>
  <c r="F397" i="6" s="1"/>
  <c r="E9" i="6"/>
  <c r="F9" i="6" s="1"/>
  <c r="A17" i="6"/>
  <c r="E17" i="6" s="1"/>
  <c r="F17" i="6" s="1"/>
  <c r="A178" i="6"/>
  <c r="E178" i="6" s="1"/>
  <c r="F178" i="6" s="1"/>
  <c r="E170" i="6"/>
  <c r="F170" i="6" s="1"/>
  <c r="Q16" i="9"/>
  <c r="R16" i="9" s="1"/>
  <c r="T17" i="15"/>
  <c r="U17" i="15" s="1"/>
  <c r="A22" i="14"/>
  <c r="E14" i="14"/>
  <c r="F14" i="14" s="1"/>
  <c r="BT14" i="14"/>
  <c r="D16" i="15"/>
  <c r="E16" i="15" s="1"/>
  <c r="L37" i="15"/>
  <c r="M37" i="15" s="1"/>
  <c r="D19" i="15"/>
  <c r="E19" i="15" s="1"/>
  <c r="J56" i="9"/>
  <c r="K56" i="9" s="1"/>
  <c r="A471" i="6"/>
  <c r="E471" i="6" s="1"/>
  <c r="F471" i="6" s="1"/>
  <c r="E463" i="6"/>
  <c r="F463" i="6" s="1"/>
  <c r="D18" i="15"/>
  <c r="E18" i="15" s="1"/>
  <c r="L19" i="15"/>
  <c r="M19" i="15" s="1"/>
  <c r="E271" i="6"/>
  <c r="F271" i="6" s="1"/>
  <c r="A279" i="6"/>
  <c r="E279" i="6" s="1"/>
  <c r="F279" i="6" s="1"/>
  <c r="A182" i="6"/>
  <c r="E182" i="6" s="1"/>
  <c r="F182" i="6" s="1"/>
  <c r="E174" i="6"/>
  <c r="F174" i="6" s="1"/>
  <c r="Q101" i="9"/>
  <c r="R101" i="9" s="1"/>
  <c r="A141" i="6"/>
  <c r="A310" i="6"/>
  <c r="E310" i="6" s="1"/>
  <c r="F310" i="6" s="1"/>
  <c r="E302" i="6"/>
  <c r="F302" i="6" s="1"/>
  <c r="A43" i="14"/>
  <c r="A55" i="6"/>
  <c r="E55" i="6" s="1"/>
  <c r="F55" i="6" s="1"/>
  <c r="E47" i="6"/>
  <c r="F47" i="6" s="1"/>
  <c r="C63" i="9"/>
  <c r="D63" i="9" s="1"/>
  <c r="A136" i="6"/>
  <c r="A298" i="6"/>
  <c r="J46" i="9"/>
  <c r="K46" i="9" s="1"/>
  <c r="A374" i="6"/>
  <c r="E374" i="6" s="1"/>
  <c r="F374" i="6" s="1"/>
  <c r="E366" i="6"/>
  <c r="F366" i="6" s="1"/>
  <c r="C47" i="9"/>
  <c r="D47" i="9" s="1"/>
  <c r="Y5" i="4"/>
  <c r="Q57" i="9"/>
  <c r="R57" i="9" s="1"/>
  <c r="A118" i="6"/>
  <c r="E118" i="6" s="1"/>
  <c r="F118" i="6" s="1"/>
  <c r="E110" i="6"/>
  <c r="F110" i="6" s="1"/>
  <c r="C95" i="9"/>
  <c r="D95" i="9" s="1"/>
  <c r="Q72" i="9"/>
  <c r="R72" i="9" s="1"/>
  <c r="E79" i="14"/>
  <c r="F79" i="14" s="1"/>
  <c r="A87" i="14"/>
  <c r="BT79" i="14"/>
  <c r="C81" i="9"/>
  <c r="D81" i="9" s="1"/>
  <c r="C28" i="9"/>
  <c r="D28" i="9" s="1"/>
  <c r="A328" i="6"/>
  <c r="Q103" i="9"/>
  <c r="R103" i="9" s="1"/>
  <c r="J27" i="9"/>
  <c r="K27" i="9" s="1"/>
  <c r="L4" i="15"/>
  <c r="M4" i="15" s="1"/>
  <c r="L24" i="15"/>
  <c r="M24" i="15" s="1"/>
  <c r="C18" i="9"/>
  <c r="D18" i="9" s="1"/>
  <c r="Q9" i="9"/>
  <c r="R9" i="9" s="1"/>
  <c r="N19" i="5"/>
  <c r="U8" i="4"/>
  <c r="O19" i="5"/>
  <c r="U19" i="4"/>
  <c r="C84" i="9"/>
  <c r="D84" i="9" s="1"/>
  <c r="A364" i="6"/>
  <c r="A11" i="14"/>
  <c r="A491" i="6"/>
  <c r="J47" i="9"/>
  <c r="K47" i="9" s="1"/>
  <c r="C5" i="9"/>
  <c r="D5" i="9" s="1"/>
  <c r="A104" i="14"/>
  <c r="Q102" i="9"/>
  <c r="R102" i="9" s="1"/>
  <c r="J4" i="9"/>
  <c r="K4" i="9" s="1"/>
  <c r="A488" i="6"/>
  <c r="T8" i="15"/>
  <c r="U8" i="15" s="1"/>
  <c r="Q18" i="9"/>
  <c r="R18" i="9" s="1"/>
  <c r="A107" i="14"/>
  <c r="T38" i="15"/>
  <c r="U38" i="15" s="1"/>
  <c r="J62" i="9"/>
  <c r="K62" i="9" s="1"/>
  <c r="A54" i="6"/>
  <c r="E54" i="6" s="1"/>
  <c r="F54" i="6" s="1"/>
  <c r="E46" i="6"/>
  <c r="F46" i="6" s="1"/>
  <c r="T19" i="15"/>
  <c r="U19" i="15" s="1"/>
  <c r="C43" i="9"/>
  <c r="D43" i="9" s="1"/>
  <c r="T7" i="15"/>
  <c r="U7" i="15" s="1"/>
  <c r="A137" i="6"/>
  <c r="Q25" i="9"/>
  <c r="R25" i="9" s="1"/>
  <c r="E270" i="6"/>
  <c r="F270" i="6" s="1"/>
  <c r="A278" i="6"/>
  <c r="E278" i="6" s="1"/>
  <c r="F278" i="6" s="1"/>
  <c r="Q88" i="9"/>
  <c r="R88" i="9" s="1"/>
  <c r="C94" i="9"/>
  <c r="D94" i="9" s="1"/>
  <c r="J66" i="9"/>
  <c r="K66" i="9" s="1"/>
  <c r="J44" i="9"/>
  <c r="K44" i="9" s="1"/>
  <c r="D9" i="15"/>
  <c r="E9" i="15" s="1"/>
  <c r="A139" i="6"/>
  <c r="Q94" i="9"/>
  <c r="R94" i="9" s="1"/>
  <c r="Q37" i="9"/>
  <c r="R37" i="9" s="1"/>
  <c r="E143" i="6"/>
  <c r="F143" i="6" s="1"/>
  <c r="A151" i="6"/>
  <c r="E151" i="6" s="1"/>
  <c r="F151" i="6" s="1"/>
  <c r="J76" i="9"/>
  <c r="K76" i="9" s="1"/>
  <c r="E78" i="14"/>
  <c r="F78" i="14" s="1"/>
  <c r="BT78" i="14"/>
  <c r="A86" i="14"/>
  <c r="C75" i="9"/>
  <c r="D75" i="9" s="1"/>
  <c r="A503" i="6"/>
  <c r="E503" i="6" s="1"/>
  <c r="F503" i="6" s="1"/>
  <c r="E495" i="6"/>
  <c r="F495" i="6" s="1"/>
  <c r="E14" i="6"/>
  <c r="F14" i="6" s="1"/>
  <c r="A22" i="6"/>
  <c r="E22" i="6" s="1"/>
  <c r="F22" i="6" s="1"/>
  <c r="Q76" i="9"/>
  <c r="R76" i="9" s="1"/>
  <c r="E111" i="6"/>
  <c r="F111" i="6" s="1"/>
  <c r="A119" i="6"/>
  <c r="E119" i="6" s="1"/>
  <c r="F119" i="6" s="1"/>
  <c r="J95" i="9"/>
  <c r="K95" i="9" s="1"/>
  <c r="E238" i="6"/>
  <c r="F238" i="6" s="1"/>
  <c r="A246" i="6"/>
  <c r="E246" i="6" s="1"/>
  <c r="F246" i="6" s="1"/>
  <c r="A330" i="6"/>
  <c r="T27" i="15"/>
  <c r="U27" i="15" s="1"/>
  <c r="A311" i="6"/>
  <c r="E311" i="6" s="1"/>
  <c r="F311" i="6" s="1"/>
  <c r="E303" i="6"/>
  <c r="F303" i="6" s="1"/>
  <c r="J81" i="9"/>
  <c r="K81" i="9" s="1"/>
  <c r="Q4" i="9"/>
  <c r="R4" i="9" s="1"/>
  <c r="A106" i="14"/>
  <c r="C19" i="9"/>
  <c r="D19" i="9" s="1"/>
  <c r="A237" i="6"/>
  <c r="J64" i="9"/>
  <c r="K64" i="9" s="1"/>
  <c r="Y13" i="4"/>
  <c r="C114" i="9"/>
  <c r="D114" i="9" s="1"/>
  <c r="Q95" i="9"/>
  <c r="R95" i="9" s="1"/>
  <c r="L18" i="15"/>
  <c r="M18" i="15" s="1"/>
  <c r="E175" i="6"/>
  <c r="F175" i="6" s="1"/>
  <c r="A183" i="6"/>
  <c r="E183" i="6" s="1"/>
  <c r="F183" i="6" s="1"/>
  <c r="J38" i="9"/>
  <c r="K38" i="9" s="1"/>
  <c r="A470" i="6"/>
  <c r="E470" i="6" s="1"/>
  <c r="F470" i="6" s="1"/>
  <c r="E462" i="6"/>
  <c r="F462" i="6" s="1"/>
  <c r="Q38" i="9"/>
  <c r="R38" i="9" s="1"/>
  <c r="J32" i="9"/>
  <c r="K32" i="9" s="1"/>
  <c r="Q6" i="9"/>
  <c r="R6" i="9" s="1"/>
  <c r="A140" i="14"/>
  <c r="J114" i="9"/>
  <c r="K114" i="9" s="1"/>
  <c r="T37" i="15"/>
  <c r="U37" i="15" s="1"/>
  <c r="A41" i="6"/>
  <c r="J43" i="9"/>
  <c r="K43" i="9" s="1"/>
  <c r="Q63" i="9"/>
  <c r="R63" i="9" s="1"/>
  <c r="T6" i="15"/>
  <c r="U6" i="15" s="1"/>
  <c r="J6" i="9"/>
  <c r="K6" i="9" s="1"/>
  <c r="Q104" i="9"/>
  <c r="R104" i="9" s="1"/>
  <c r="Y17" i="4"/>
  <c r="D37" i="15"/>
  <c r="E37" i="15" s="1"/>
  <c r="J113" i="9"/>
  <c r="K113" i="9" s="1"/>
  <c r="T18" i="15"/>
  <c r="U18" i="15" s="1"/>
  <c r="E78" i="6"/>
  <c r="F78" i="6" s="1"/>
  <c r="A86" i="6"/>
  <c r="E86" i="6" s="1"/>
  <c r="F86" i="6" s="1"/>
  <c r="E334" i="6"/>
  <c r="F334" i="6" s="1"/>
  <c r="A342" i="6"/>
  <c r="E342" i="6" s="1"/>
  <c r="F342" i="6" s="1"/>
  <c r="A169" i="14"/>
  <c r="A137" i="14"/>
  <c r="Q113" i="9"/>
  <c r="R113" i="9" s="1"/>
  <c r="A247" i="6"/>
  <c r="E247" i="6" s="1"/>
  <c r="F247" i="6" s="1"/>
  <c r="E239" i="6"/>
  <c r="F239" i="6" s="1"/>
  <c r="Q100" i="9"/>
  <c r="R100" i="9" s="1"/>
  <c r="D6" i="15"/>
  <c r="E6" i="15" s="1"/>
  <c r="A363" i="6"/>
  <c r="A41" i="14"/>
  <c r="D7" i="15"/>
  <c r="E7" i="15" s="1"/>
  <c r="A11" i="6"/>
  <c r="E367" i="6"/>
  <c r="F367" i="6" s="1"/>
  <c r="A375" i="6"/>
  <c r="E375" i="6" s="1"/>
  <c r="F375" i="6" s="1"/>
  <c r="J28" i="9"/>
  <c r="K28" i="9" s="1"/>
  <c r="E15" i="14"/>
  <c r="F15" i="14" s="1"/>
  <c r="BT15" i="14"/>
  <c r="A23" i="14"/>
  <c r="Q42" i="9"/>
  <c r="R42" i="9" s="1"/>
  <c r="L28" i="15"/>
  <c r="M28" i="15" s="1"/>
  <c r="A171" i="14"/>
  <c r="J104" i="9"/>
  <c r="K104" i="9" s="1"/>
  <c r="T24" i="15"/>
  <c r="U24" i="15" s="1"/>
  <c r="E142" i="6"/>
  <c r="F142" i="6" s="1"/>
  <c r="A150" i="6"/>
  <c r="E150" i="6" s="1"/>
  <c r="F150" i="6" s="1"/>
  <c r="J26" i="9"/>
  <c r="K26" i="9" s="1"/>
  <c r="A42" i="14"/>
  <c r="A429" i="6"/>
  <c r="A458" i="6"/>
  <c r="J23" i="9"/>
  <c r="K23" i="9" s="1"/>
  <c r="A297" i="6"/>
  <c r="Q82" i="9"/>
  <c r="R82" i="9" s="1"/>
  <c r="A490" i="6"/>
  <c r="A107" i="6"/>
  <c r="S39" i="16"/>
  <c r="S8" i="16"/>
  <c r="L62" i="17"/>
  <c r="S31" i="16"/>
  <c r="S108" i="16"/>
  <c r="S218" i="16"/>
  <c r="L53" i="17"/>
  <c r="S38" i="16"/>
  <c r="R9" i="16"/>
  <c r="S195" i="16"/>
  <c r="L20" i="17"/>
  <c r="S9" i="16"/>
  <c r="L63" i="17"/>
  <c r="R20" i="16"/>
  <c r="L52" i="17"/>
  <c r="S228" i="16"/>
  <c r="S17" i="16"/>
  <c r="R19" i="16"/>
  <c r="S227" i="16"/>
  <c r="S184" i="16"/>
  <c r="S30" i="16"/>
  <c r="S29" i="16"/>
  <c r="S107" i="16"/>
  <c r="R218" i="16"/>
  <c r="S16" i="16"/>
  <c r="S194" i="16"/>
  <c r="S239" i="16"/>
  <c r="L31" i="17"/>
  <c r="R229" i="16"/>
  <c r="S207" i="16"/>
  <c r="R18" i="16"/>
  <c r="R54" i="16"/>
  <c r="R131" i="16"/>
  <c r="S127" i="16"/>
  <c r="R8" i="16"/>
  <c r="S206" i="16"/>
  <c r="R240" i="16"/>
  <c r="R52" i="16"/>
  <c r="R235" i="16"/>
  <c r="R191" i="16"/>
  <c r="S48" i="16"/>
  <c r="R95" i="16"/>
  <c r="L18" i="17"/>
  <c r="S26" i="16"/>
  <c r="R97" i="16"/>
  <c r="R30" i="16"/>
  <c r="S83" i="16"/>
  <c r="S125" i="16"/>
  <c r="L15" i="17"/>
  <c r="R103" i="16"/>
  <c r="S96" i="16"/>
  <c r="R70" i="16"/>
  <c r="L8" i="17"/>
  <c r="S82" i="16"/>
  <c r="R4" i="16"/>
  <c r="S126" i="16"/>
  <c r="R217" i="16"/>
  <c r="S53" i="16"/>
  <c r="R5" i="16"/>
  <c r="R38" i="16"/>
  <c r="R236" i="16"/>
  <c r="R65" i="16"/>
  <c r="R15" i="16"/>
  <c r="R40" i="16"/>
  <c r="R115" i="16"/>
  <c r="R215" i="16"/>
  <c r="R105" i="16"/>
  <c r="L61" i="17"/>
  <c r="S94" i="16"/>
  <c r="R225" i="16"/>
  <c r="S213" i="16"/>
  <c r="R208" i="16"/>
  <c r="S217" i="16"/>
  <c r="L4" i="17"/>
  <c r="R31" i="16"/>
  <c r="R127" i="16"/>
  <c r="L6" i="17"/>
  <c r="S52" i="16"/>
  <c r="S235" i="16"/>
  <c r="S6" i="16"/>
  <c r="R74" i="16"/>
  <c r="S95" i="16"/>
  <c r="L30" i="17"/>
  <c r="S70" i="16"/>
  <c r="R195" i="16"/>
  <c r="S4" i="16"/>
  <c r="R205" i="16"/>
  <c r="S191" i="16"/>
  <c r="R82" i="16"/>
  <c r="S115" i="16"/>
  <c r="R92" i="16"/>
  <c r="R94" i="16"/>
  <c r="R63" i="16"/>
  <c r="S74" i="16"/>
  <c r="R75" i="16"/>
  <c r="R17" i="16"/>
  <c r="R59" i="16"/>
  <c r="L38" i="17"/>
  <c r="R238" i="16"/>
  <c r="R81" i="16"/>
  <c r="R48" i="16"/>
  <c r="R120" i="16"/>
  <c r="S75" i="16"/>
  <c r="S118" i="16"/>
  <c r="R114" i="16"/>
  <c r="R96" i="16"/>
  <c r="R125" i="16"/>
  <c r="L29" i="17"/>
  <c r="R204" i="16"/>
  <c r="S71" i="16"/>
  <c r="R37" i="16"/>
  <c r="S216" i="16"/>
  <c r="R182" i="16"/>
  <c r="R39" i="16"/>
  <c r="R119" i="16"/>
  <c r="R62" i="16"/>
  <c r="R64" i="16"/>
  <c r="L49" i="17"/>
  <c r="L40" i="17"/>
  <c r="R51" i="16"/>
  <c r="L48" i="17"/>
  <c r="L51" i="17"/>
  <c r="R196" i="16"/>
  <c r="R106" i="16"/>
  <c r="S225" i="16"/>
  <c r="S226" i="16"/>
  <c r="S193" i="16"/>
  <c r="S60" i="16"/>
  <c r="S27" i="16"/>
  <c r="R108" i="16"/>
  <c r="L17" i="17"/>
  <c r="S86" i="16"/>
  <c r="R216" i="16"/>
  <c r="L60" i="17"/>
  <c r="L5" i="17"/>
  <c r="S97" i="16"/>
  <c r="S64" i="16"/>
  <c r="L50" i="17"/>
  <c r="R98" i="16"/>
  <c r="S180" i="16"/>
  <c r="S192" i="16"/>
  <c r="S81" i="16"/>
  <c r="S182" i="16"/>
  <c r="S62" i="16"/>
  <c r="R214" i="16"/>
  <c r="R192" i="16"/>
  <c r="R16" i="16"/>
  <c r="S114" i="16"/>
  <c r="R194" i="16"/>
  <c r="R50" i="16"/>
  <c r="R228" i="16"/>
  <c r="S183" i="16"/>
  <c r="S202" i="16"/>
  <c r="S119" i="16"/>
  <c r="R227" i="16"/>
  <c r="S204" i="16"/>
  <c r="R93" i="16"/>
  <c r="S63" i="16"/>
  <c r="S49" i="16"/>
  <c r="S128" i="16"/>
  <c r="R53" i="16"/>
  <c r="R6" i="16"/>
  <c r="S93" i="16"/>
  <c r="R61" i="16"/>
  <c r="R107" i="16"/>
  <c r="R129" i="16"/>
  <c r="S59" i="16"/>
  <c r="R71" i="16"/>
  <c r="S129" i="16"/>
  <c r="R197" i="16"/>
  <c r="S104" i="16"/>
  <c r="L59" i="17"/>
  <c r="S51" i="16"/>
  <c r="S106" i="16"/>
  <c r="S92" i="16"/>
  <c r="R73" i="16"/>
  <c r="R116" i="16"/>
  <c r="S205" i="16"/>
  <c r="S224" i="16"/>
  <c r="R118" i="16"/>
  <c r="S15" i="16"/>
  <c r="R85" i="16"/>
  <c r="L41" i="17"/>
  <c r="S61" i="16"/>
  <c r="L16" i="17"/>
  <c r="R202" i="16"/>
  <c r="R207" i="16"/>
  <c r="L39" i="17"/>
  <c r="R60" i="16"/>
  <c r="R49" i="16"/>
  <c r="S214" i="16"/>
  <c r="R126" i="16"/>
  <c r="R32" i="16"/>
  <c r="R237" i="16"/>
  <c r="R193" i="16"/>
  <c r="R7" i="16"/>
  <c r="R239" i="16"/>
  <c r="L26" i="17"/>
  <c r="S28" i="16"/>
  <c r="S236" i="16"/>
  <c r="L28" i="17"/>
  <c r="S203" i="16"/>
  <c r="S238" i="16"/>
  <c r="L37" i="17"/>
  <c r="S50" i="16"/>
  <c r="S181" i="16"/>
  <c r="R27" i="16"/>
  <c r="R213" i="16"/>
  <c r="R130" i="16"/>
  <c r="R29" i="16"/>
  <c r="R117" i="16"/>
  <c r="S116" i="16"/>
  <c r="R180" i="16"/>
  <c r="R183" i="16"/>
  <c r="R72" i="16"/>
  <c r="R203" i="16"/>
  <c r="R83" i="16"/>
  <c r="R86" i="16"/>
  <c r="S84" i="16"/>
  <c r="S73" i="16"/>
  <c r="S105" i="16"/>
  <c r="R87" i="16"/>
  <c r="S237" i="16"/>
  <c r="R104" i="16"/>
  <c r="R185" i="16"/>
  <c r="L19" i="17"/>
  <c r="R128" i="16"/>
  <c r="R76" i="16"/>
  <c r="S5" i="16"/>
  <c r="R206" i="16"/>
  <c r="S117" i="16"/>
  <c r="S7" i="16"/>
  <c r="R224" i="16"/>
  <c r="R184" i="16"/>
  <c r="R181" i="16"/>
  <c r="R226" i="16"/>
  <c r="L7" i="17"/>
  <c r="R26" i="16"/>
  <c r="S215" i="16"/>
  <c r="L9" i="17"/>
  <c r="S85" i="16"/>
  <c r="S103" i="16"/>
  <c r="R84" i="16"/>
  <c r="S72" i="16"/>
  <c r="L27" i="17"/>
  <c r="S98" i="16"/>
  <c r="S37" i="16"/>
  <c r="R28" i="16"/>
  <c r="A16" i="6" l="1"/>
  <c r="E16" i="6" s="1"/>
  <c r="F16" i="6" s="1"/>
  <c r="A53" i="6"/>
  <c r="E53" i="6" s="1"/>
  <c r="F53" i="6" s="1"/>
  <c r="E329" i="6"/>
  <c r="F329" i="6" s="1"/>
  <c r="A85" i="14"/>
  <c r="E85" i="14" s="1"/>
  <c r="F85" i="14" s="1"/>
  <c r="A208" i="6"/>
  <c r="E208" i="6" s="1"/>
  <c r="F208" i="6" s="1"/>
  <c r="E9" i="14"/>
  <c r="F9" i="14" s="1"/>
  <c r="A272" i="6"/>
  <c r="E272" i="6" s="1"/>
  <c r="F272" i="6" s="1"/>
  <c r="C111" i="9"/>
  <c r="D111" i="9" s="1"/>
  <c r="Q69" i="9"/>
  <c r="R69" i="9" s="1"/>
  <c r="E77" i="6"/>
  <c r="F77" i="6" s="1"/>
  <c r="G38" i="18"/>
  <c r="E203" i="6"/>
  <c r="F203" i="6" s="1"/>
  <c r="E265" i="6"/>
  <c r="F265" i="6" s="1"/>
  <c r="E8" i="14"/>
  <c r="F8" i="14" s="1"/>
  <c r="A373" i="6"/>
  <c r="E373" i="6" s="1"/>
  <c r="F373" i="6" s="1"/>
  <c r="T31" i="15"/>
  <c r="U31" i="15" s="1"/>
  <c r="E76" i="6"/>
  <c r="F76" i="6" s="1"/>
  <c r="A501" i="6"/>
  <c r="E501" i="6" s="1"/>
  <c r="F501" i="6" s="1"/>
  <c r="T34" i="15"/>
  <c r="U34" i="15" s="1"/>
  <c r="E331" i="6"/>
  <c r="F331" i="6" s="1"/>
  <c r="E395" i="6"/>
  <c r="F395" i="6" s="1"/>
  <c r="C31" i="9"/>
  <c r="D31" i="9" s="1"/>
  <c r="E393" i="6"/>
  <c r="F393" i="6" s="1"/>
  <c r="E138" i="6"/>
  <c r="F138" i="6" s="1"/>
  <c r="D31" i="15"/>
  <c r="E31" i="15" s="1"/>
  <c r="T33" i="15"/>
  <c r="U33" i="15" s="1"/>
  <c r="C12" i="9"/>
  <c r="D12" i="9" s="1"/>
  <c r="E489" i="6"/>
  <c r="F489" i="6" s="1"/>
  <c r="E460" i="6"/>
  <c r="F460" i="6" s="1"/>
  <c r="A147" i="14"/>
  <c r="E147" i="14" s="1"/>
  <c r="F147" i="14" s="1"/>
  <c r="J88" i="9"/>
  <c r="K88" i="9" s="1"/>
  <c r="A52" i="14"/>
  <c r="BT52" i="14" s="1"/>
  <c r="A48" i="6"/>
  <c r="E48" i="6" s="1"/>
  <c r="F48" i="6" s="1"/>
  <c r="E139" i="14"/>
  <c r="F139" i="14" s="1"/>
  <c r="A81" i="6"/>
  <c r="E81" i="6" s="1"/>
  <c r="F81" i="6" s="1"/>
  <c r="E396" i="6"/>
  <c r="F396" i="6" s="1"/>
  <c r="E77" i="14"/>
  <c r="F77" i="14" s="1"/>
  <c r="C93" i="9"/>
  <c r="D93" i="9" s="1"/>
  <c r="A467" i="6"/>
  <c r="E467" i="6" s="1"/>
  <c r="F467" i="6" s="1"/>
  <c r="A117" i="14"/>
  <c r="E117" i="14" s="1"/>
  <c r="F117" i="14" s="1"/>
  <c r="C74" i="9"/>
  <c r="D74" i="9" s="1"/>
  <c r="A17" i="14"/>
  <c r="E17" i="14" s="1"/>
  <c r="F17" i="14" s="1"/>
  <c r="E109" i="14"/>
  <c r="F109" i="14" s="1"/>
  <c r="E172" i="6"/>
  <c r="F172" i="6" s="1"/>
  <c r="E43" i="6"/>
  <c r="F43" i="6" s="1"/>
  <c r="A117" i="6"/>
  <c r="E117" i="6" s="1"/>
  <c r="F117" i="6" s="1"/>
  <c r="C112" i="9"/>
  <c r="D112" i="9" s="1"/>
  <c r="Q70" i="9"/>
  <c r="R70" i="9" s="1"/>
  <c r="C52" i="9"/>
  <c r="D52" i="9" s="1"/>
  <c r="C15" i="9"/>
  <c r="D15" i="9" s="1"/>
  <c r="A179" i="6"/>
  <c r="E179" i="6" s="1"/>
  <c r="F179" i="6" s="1"/>
  <c r="D34" i="15"/>
  <c r="E34" i="15" s="1"/>
  <c r="E42" i="6"/>
  <c r="F42" i="6" s="1"/>
  <c r="L16" i="15"/>
  <c r="M16" i="15" s="1"/>
  <c r="A20" i="6"/>
  <c r="E20" i="6" s="1"/>
  <c r="F20" i="6" s="1"/>
  <c r="J73" i="9"/>
  <c r="K73" i="9" s="1"/>
  <c r="A434" i="6"/>
  <c r="E434" i="6" s="1"/>
  <c r="F434" i="6" s="1"/>
  <c r="E233" i="6"/>
  <c r="F233" i="6" s="1"/>
  <c r="A304" i="6"/>
  <c r="E304" i="6" s="1"/>
  <c r="F304" i="6" s="1"/>
  <c r="C53" i="9"/>
  <c r="D53" i="9" s="1"/>
  <c r="E13" i="14"/>
  <c r="F13" i="14" s="1"/>
  <c r="A80" i="6"/>
  <c r="E80" i="6" s="1"/>
  <c r="F80" i="6" s="1"/>
  <c r="C69" i="9"/>
  <c r="D69" i="9" s="1"/>
  <c r="E202" i="6"/>
  <c r="F202" i="6" s="1"/>
  <c r="Q89" i="9"/>
  <c r="R89" i="9" s="1"/>
  <c r="T36" i="15"/>
  <c r="U36" i="15" s="1"/>
  <c r="E299" i="6"/>
  <c r="F299" i="6" s="1"/>
  <c r="E45" i="14"/>
  <c r="F45" i="14" s="1"/>
  <c r="E172" i="14"/>
  <c r="F172" i="14" s="1"/>
  <c r="C90" i="9"/>
  <c r="D90" i="9" s="1"/>
  <c r="A275" i="6"/>
  <c r="E275" i="6" s="1"/>
  <c r="F275" i="6" s="1"/>
  <c r="D30" i="17"/>
  <c r="D41" i="17"/>
  <c r="D51" i="17"/>
  <c r="D20" i="17"/>
  <c r="G60" i="18"/>
  <c r="D62" i="17"/>
  <c r="G182" i="16"/>
  <c r="D19" i="17"/>
  <c r="D31" i="17"/>
  <c r="N158" i="16"/>
  <c r="C73" i="9"/>
  <c r="D73" i="9" s="1"/>
  <c r="E74" i="6"/>
  <c r="F74" i="6" s="1"/>
  <c r="A82" i="14"/>
  <c r="BT82" i="14" s="1"/>
  <c r="E361" i="6"/>
  <c r="F361" i="6" s="1"/>
  <c r="A83" i="6"/>
  <c r="E83" i="6" s="1"/>
  <c r="F83" i="6" s="1"/>
  <c r="J53" i="9"/>
  <c r="K53" i="9" s="1"/>
  <c r="Q35" i="9"/>
  <c r="R35" i="9" s="1"/>
  <c r="J92" i="9"/>
  <c r="K92" i="9" s="1"/>
  <c r="E74" i="14"/>
  <c r="F74" i="14" s="1"/>
  <c r="C35" i="9"/>
  <c r="D35" i="9" s="1"/>
  <c r="A116" i="6"/>
  <c r="E116" i="6" s="1"/>
  <c r="F116" i="6" s="1"/>
  <c r="A370" i="6"/>
  <c r="E370" i="6" s="1"/>
  <c r="F370" i="6" s="1"/>
  <c r="C108" i="9"/>
  <c r="D108" i="9" s="1"/>
  <c r="E141" i="14"/>
  <c r="F141" i="14" s="1"/>
  <c r="C88" i="9"/>
  <c r="D88" i="9" s="1"/>
  <c r="A148" i="6"/>
  <c r="E148" i="6" s="1"/>
  <c r="F148" i="6" s="1"/>
  <c r="A149" i="14"/>
  <c r="BT149" i="14" s="1"/>
  <c r="C72" i="9"/>
  <c r="D72" i="9" s="1"/>
  <c r="A16" i="14"/>
  <c r="E16" i="14" s="1"/>
  <c r="F16" i="14" s="1"/>
  <c r="A308" i="6"/>
  <c r="E308" i="6" s="1"/>
  <c r="F308" i="6" s="1"/>
  <c r="C91" i="9"/>
  <c r="D91" i="9" s="1"/>
  <c r="Q13" i="9"/>
  <c r="R13" i="9" s="1"/>
  <c r="L31" i="15"/>
  <c r="M31" i="15" s="1"/>
  <c r="E234" i="6"/>
  <c r="F234" i="6" s="1"/>
  <c r="J15" i="9"/>
  <c r="K15" i="9" s="1"/>
  <c r="L13" i="15"/>
  <c r="M13" i="15" s="1"/>
  <c r="J13" i="9"/>
  <c r="K13" i="9" s="1"/>
  <c r="J93" i="9"/>
  <c r="K93" i="9" s="1"/>
  <c r="J50" i="9"/>
  <c r="K50" i="9" s="1"/>
  <c r="C16" i="9"/>
  <c r="D16" i="9" s="1"/>
  <c r="Q36" i="9"/>
  <c r="R36" i="9" s="1"/>
  <c r="Q92" i="9"/>
  <c r="R92" i="9" s="1"/>
  <c r="Q93" i="9"/>
  <c r="R93" i="9" s="1"/>
  <c r="BT44" i="14"/>
  <c r="E428" i="6"/>
  <c r="F428" i="6" s="1"/>
  <c r="Q73" i="9"/>
  <c r="R73" i="9" s="1"/>
  <c r="BT13" i="14"/>
  <c r="D11" i="17"/>
  <c r="D5" i="17"/>
  <c r="D6" i="17"/>
  <c r="D7" i="17"/>
  <c r="D9" i="17"/>
  <c r="D10" i="17"/>
  <c r="E394" i="6"/>
  <c r="F394" i="6" s="1"/>
  <c r="T12" i="15"/>
  <c r="U12" i="15" s="1"/>
  <c r="E266" i="6"/>
  <c r="F266" i="6" s="1"/>
  <c r="Q51" i="9"/>
  <c r="R51" i="9" s="1"/>
  <c r="L35" i="15"/>
  <c r="M35" i="15" s="1"/>
  <c r="Q91" i="9"/>
  <c r="R91" i="9" s="1"/>
  <c r="D48" i="17"/>
  <c r="C107" i="9"/>
  <c r="D107" i="9" s="1"/>
  <c r="D35" i="15"/>
  <c r="E35" i="15" s="1"/>
  <c r="Q32" i="9"/>
  <c r="R32" i="9" s="1"/>
  <c r="J16" i="9"/>
  <c r="K16" i="9" s="1"/>
  <c r="G229" i="16"/>
  <c r="A53" i="14"/>
  <c r="BT53" i="14" s="1"/>
  <c r="G196" i="16"/>
  <c r="E424" i="6"/>
  <c r="F424" i="6" s="1"/>
  <c r="J107" i="9"/>
  <c r="K107" i="9" s="1"/>
  <c r="Q34" i="9"/>
  <c r="R34" i="9" s="1"/>
  <c r="A176" i="14"/>
  <c r="E176" i="14" s="1"/>
  <c r="F176" i="14" s="1"/>
  <c r="G95" i="16"/>
  <c r="Q31" i="9"/>
  <c r="R31" i="9" s="1"/>
  <c r="G5" i="16"/>
  <c r="E301" i="6"/>
  <c r="F301" i="6" s="1"/>
  <c r="E168" i="14"/>
  <c r="F168" i="14" s="1"/>
  <c r="BT172" i="14"/>
  <c r="C32" i="9"/>
  <c r="D32" i="9" s="1"/>
  <c r="E235" i="6"/>
  <c r="F235" i="6" s="1"/>
  <c r="Q52" i="9"/>
  <c r="R52" i="9" s="1"/>
  <c r="G174" i="16"/>
  <c r="G149" i="16"/>
  <c r="G52" i="16"/>
  <c r="G28" i="16"/>
  <c r="G94" i="18"/>
  <c r="G46" i="18"/>
  <c r="G75" i="16"/>
  <c r="G18" i="16"/>
  <c r="G217" i="16"/>
  <c r="G111" i="18"/>
  <c r="G108" i="16"/>
  <c r="G227" i="16"/>
  <c r="G58" i="18"/>
  <c r="G116" i="18"/>
  <c r="G73" i="16"/>
  <c r="G130" i="16"/>
  <c r="G248" i="16"/>
  <c r="G51" i="16"/>
  <c r="G238" i="16"/>
  <c r="G131" i="18"/>
  <c r="G64" i="16"/>
  <c r="G119" i="16"/>
  <c r="G184" i="16"/>
  <c r="G83" i="16"/>
  <c r="G127" i="16"/>
  <c r="G204" i="16"/>
  <c r="G23" i="18"/>
  <c r="G37" i="16"/>
  <c r="G16" i="16"/>
  <c r="G269" i="16"/>
  <c r="G214" i="16"/>
  <c r="D36" i="15"/>
  <c r="E36" i="15" s="1"/>
  <c r="J91" i="9"/>
  <c r="K91" i="9" s="1"/>
  <c r="C109" i="9"/>
  <c r="D109" i="9" s="1"/>
  <c r="D32" i="15"/>
  <c r="E32" i="15" s="1"/>
  <c r="G247" i="16"/>
  <c r="G80" i="18"/>
  <c r="L33" i="15"/>
  <c r="M33" i="15" s="1"/>
  <c r="N147" i="16"/>
  <c r="G173" i="16"/>
  <c r="G235" i="16"/>
  <c r="F4" i="14"/>
  <c r="L14" i="15"/>
  <c r="M14" i="15" s="1"/>
  <c r="A113" i="14"/>
  <c r="E113" i="14" s="1"/>
  <c r="F113" i="14" s="1"/>
  <c r="E105" i="14"/>
  <c r="F105" i="14" s="1"/>
  <c r="A277" i="6"/>
  <c r="E277" i="6" s="1"/>
  <c r="F277" i="6" s="1"/>
  <c r="L17" i="15"/>
  <c r="M17" i="15" s="1"/>
  <c r="A305" i="6"/>
  <c r="E305" i="6" s="1"/>
  <c r="F305" i="6" s="1"/>
  <c r="E297" i="6"/>
  <c r="F297" i="6" s="1"/>
  <c r="AG142" i="6"/>
  <c r="E363" i="6"/>
  <c r="F363" i="6" s="1"/>
  <c r="A371" i="6"/>
  <c r="E371" i="6" s="1"/>
  <c r="F371" i="6" s="1"/>
  <c r="AG78" i="6"/>
  <c r="AG403" i="6"/>
  <c r="AG468" i="6"/>
  <c r="AG369" i="6"/>
  <c r="AG146" i="6"/>
  <c r="J89" i="9"/>
  <c r="K89" i="9" s="1"/>
  <c r="AG246" i="6"/>
  <c r="AG143" i="6"/>
  <c r="AG46" i="6"/>
  <c r="C13" i="9"/>
  <c r="D13" i="9" s="1"/>
  <c r="A19" i="14"/>
  <c r="E11" i="14"/>
  <c r="F11" i="14" s="1"/>
  <c r="BT11" i="14"/>
  <c r="V8" i="4"/>
  <c r="V19" i="4" s="1"/>
  <c r="Y8" i="4"/>
  <c r="L677" i="44" s="1"/>
  <c r="BT43" i="14"/>
  <c r="E43" i="14"/>
  <c r="F43" i="14" s="1"/>
  <c r="A51" i="14"/>
  <c r="AG471" i="6"/>
  <c r="C17" i="9"/>
  <c r="D17" i="9" s="1"/>
  <c r="A368" i="6"/>
  <c r="E368" i="6" s="1"/>
  <c r="F368" i="6" s="1"/>
  <c r="E360" i="6"/>
  <c r="F360" i="6" s="1"/>
  <c r="J110" i="9"/>
  <c r="K110" i="9" s="1"/>
  <c r="A52" i="6"/>
  <c r="E52" i="6" s="1"/>
  <c r="F52" i="6" s="1"/>
  <c r="E44" i="6"/>
  <c r="F44" i="6" s="1"/>
  <c r="J69" i="9"/>
  <c r="K69" i="9" s="1"/>
  <c r="E150" i="14"/>
  <c r="F150" i="14" s="1"/>
  <c r="BT150" i="14"/>
  <c r="AG12" i="6"/>
  <c r="T13" i="15"/>
  <c r="U13" i="15" s="1"/>
  <c r="L15" i="15"/>
  <c r="M15" i="15" s="1"/>
  <c r="AG439" i="6"/>
  <c r="C70" i="9"/>
  <c r="D70" i="9" s="1"/>
  <c r="J31" i="9"/>
  <c r="K31" i="9" s="1"/>
  <c r="T32" i="15"/>
  <c r="U32" i="15" s="1"/>
  <c r="D14" i="15"/>
  <c r="E14" i="15" s="1"/>
  <c r="A145" i="14"/>
  <c r="E137" i="14"/>
  <c r="F137" i="14" s="1"/>
  <c r="BT137" i="14"/>
  <c r="AG436" i="6"/>
  <c r="Q112" i="9"/>
  <c r="R112" i="9" s="1"/>
  <c r="AG241" i="6"/>
  <c r="AG337" i="6"/>
  <c r="J72" i="9"/>
  <c r="K72" i="9" s="1"/>
  <c r="AG303" i="6"/>
  <c r="AG238" i="6"/>
  <c r="AG22" i="6"/>
  <c r="AG362" i="6"/>
  <c r="S94" i="9"/>
  <c r="E137" i="6"/>
  <c r="F137" i="6" s="1"/>
  <c r="A145" i="6"/>
  <c r="E145" i="6" s="1"/>
  <c r="F145" i="6" s="1"/>
  <c r="AG54" i="6"/>
  <c r="E364" i="6"/>
  <c r="F364" i="6" s="1"/>
  <c r="A372" i="6"/>
  <c r="E372" i="6" s="1"/>
  <c r="F372" i="6" s="1"/>
  <c r="L32" i="15"/>
  <c r="M32" i="15" s="1"/>
  <c r="C55" i="9"/>
  <c r="D55" i="9" s="1"/>
  <c r="AG302" i="6"/>
  <c r="AG51" i="6"/>
  <c r="AG170" i="6"/>
  <c r="A176" i="6"/>
  <c r="E176" i="6" s="1"/>
  <c r="F176" i="6" s="1"/>
  <c r="E168" i="6"/>
  <c r="F168" i="6" s="1"/>
  <c r="A340" i="6"/>
  <c r="E340" i="6" s="1"/>
  <c r="F340" i="6" s="1"/>
  <c r="E332" i="6"/>
  <c r="F332" i="6" s="1"/>
  <c r="E173" i="14"/>
  <c r="F173" i="14" s="1"/>
  <c r="A181" i="14"/>
  <c r="BT173" i="14"/>
  <c r="AG430" i="6"/>
  <c r="AG243" i="6"/>
  <c r="A116" i="14"/>
  <c r="E108" i="14"/>
  <c r="F108" i="14" s="1"/>
  <c r="BT108" i="14"/>
  <c r="A146" i="14"/>
  <c r="BT138" i="14"/>
  <c r="E138" i="14"/>
  <c r="F138" i="14" s="1"/>
  <c r="Q54" i="9"/>
  <c r="R54" i="9" s="1"/>
  <c r="AG402" i="6"/>
  <c r="E232" i="6"/>
  <c r="F232" i="6" s="1"/>
  <c r="A240" i="6"/>
  <c r="E240" i="6" s="1"/>
  <c r="F240" i="6" s="1"/>
  <c r="A400" i="6"/>
  <c r="E400" i="6" s="1"/>
  <c r="F400" i="6" s="1"/>
  <c r="E392" i="6"/>
  <c r="F392" i="6" s="1"/>
  <c r="Q74" i="9"/>
  <c r="R74" i="9" s="1"/>
  <c r="A244" i="6"/>
  <c r="E244" i="6" s="1"/>
  <c r="F244" i="6" s="1"/>
  <c r="E236" i="6"/>
  <c r="F236" i="6" s="1"/>
  <c r="E119" i="14"/>
  <c r="F119" i="14" s="1"/>
  <c r="BT119" i="14"/>
  <c r="E458" i="6"/>
  <c r="F458" i="6" s="1"/>
  <c r="A466" i="6"/>
  <c r="E466" i="6" s="1"/>
  <c r="F466" i="6" s="1"/>
  <c r="J112" i="9"/>
  <c r="K112" i="9" s="1"/>
  <c r="J36" i="9"/>
  <c r="K36" i="9" s="1"/>
  <c r="Q108" i="9"/>
  <c r="R108" i="9" s="1"/>
  <c r="E169" i="14"/>
  <c r="F169" i="14" s="1"/>
  <c r="A177" i="14"/>
  <c r="BT169" i="14"/>
  <c r="AG50" i="6"/>
  <c r="J14" i="9"/>
  <c r="K14" i="9" s="1"/>
  <c r="AG269" i="6"/>
  <c r="AG109" i="6"/>
  <c r="AG300" i="6"/>
  <c r="A245" i="6"/>
  <c r="E245" i="6" s="1"/>
  <c r="F245" i="6" s="1"/>
  <c r="E237" i="6"/>
  <c r="F237" i="6" s="1"/>
  <c r="AG311" i="6"/>
  <c r="AG119" i="6"/>
  <c r="BT21" i="14"/>
  <c r="E21" i="14"/>
  <c r="F21" i="14" s="1"/>
  <c r="AG14" i="6"/>
  <c r="J70" i="9"/>
  <c r="K70" i="9" s="1"/>
  <c r="C92" i="9"/>
  <c r="D92" i="9" s="1"/>
  <c r="L12" i="15"/>
  <c r="M12" i="15" s="1"/>
  <c r="A336" i="6"/>
  <c r="E336" i="6" s="1"/>
  <c r="F336" i="6" s="1"/>
  <c r="E328" i="6"/>
  <c r="F328" i="6" s="1"/>
  <c r="E180" i="14"/>
  <c r="F180" i="14" s="1"/>
  <c r="BT180" i="14"/>
  <c r="AG366" i="6"/>
  <c r="E298" i="6"/>
  <c r="F298" i="6" s="1"/>
  <c r="A306" i="6"/>
  <c r="E306" i="6" s="1"/>
  <c r="F306" i="6" s="1"/>
  <c r="AG310" i="6"/>
  <c r="AG72" i="6"/>
  <c r="AG8" i="6"/>
  <c r="BT22" i="14"/>
  <c r="E22" i="14"/>
  <c r="F22" i="14" s="1"/>
  <c r="AG178" i="6"/>
  <c r="E425" i="6"/>
  <c r="F425" i="6" s="1"/>
  <c r="A433" i="6"/>
  <c r="E433" i="6" s="1"/>
  <c r="F433" i="6" s="1"/>
  <c r="C33" i="9"/>
  <c r="D33" i="9" s="1"/>
  <c r="AG438" i="6"/>
  <c r="A112" i="6"/>
  <c r="E112" i="6" s="1"/>
  <c r="F112" i="6" s="1"/>
  <c r="E104" i="6"/>
  <c r="F104" i="6" s="1"/>
  <c r="J111" i="9"/>
  <c r="K111" i="9" s="1"/>
  <c r="F388" i="6"/>
  <c r="E456" i="6"/>
  <c r="F456" i="6" s="1"/>
  <c r="A464" i="6"/>
  <c r="E464" i="6" s="1"/>
  <c r="F464" i="6" s="1"/>
  <c r="C110" i="9"/>
  <c r="D110" i="9" s="1"/>
  <c r="AG494" i="6"/>
  <c r="C34" i="9"/>
  <c r="D34" i="9" s="1"/>
  <c r="Q53" i="9"/>
  <c r="R53" i="9" s="1"/>
  <c r="S114" i="9"/>
  <c r="A179" i="14"/>
  <c r="BT171" i="14"/>
  <c r="E171" i="14"/>
  <c r="F171" i="14" s="1"/>
  <c r="AG375" i="6"/>
  <c r="AG200" i="6"/>
  <c r="AG365" i="6"/>
  <c r="AG45" i="6"/>
  <c r="T14" i="15"/>
  <c r="U14" i="15" s="1"/>
  <c r="J51" i="9"/>
  <c r="K51" i="9" s="1"/>
  <c r="A148" i="14"/>
  <c r="BT140" i="14"/>
  <c r="E140" i="14"/>
  <c r="F140" i="14" s="1"/>
  <c r="AG462" i="6"/>
  <c r="AG180" i="6"/>
  <c r="AG273" i="6"/>
  <c r="S95" i="9"/>
  <c r="T35" i="15"/>
  <c r="U35" i="15" s="1"/>
  <c r="AG111" i="6"/>
  <c r="AG495" i="6"/>
  <c r="E86" i="14"/>
  <c r="F86" i="14" s="1"/>
  <c r="BT86" i="14"/>
  <c r="AG84" i="6"/>
  <c r="E139" i="6"/>
  <c r="F139" i="6" s="1"/>
  <c r="A147" i="6"/>
  <c r="E147" i="6" s="1"/>
  <c r="F147" i="6" s="1"/>
  <c r="S88" i="9"/>
  <c r="T15" i="15"/>
  <c r="U15" i="15" s="1"/>
  <c r="T16" i="15"/>
  <c r="U16" i="15" s="1"/>
  <c r="M19" i="5"/>
  <c r="J35" i="9"/>
  <c r="K35" i="9" s="1"/>
  <c r="C36" i="9"/>
  <c r="D36" i="9" s="1"/>
  <c r="AG374" i="6"/>
  <c r="A149" i="6"/>
  <c r="E149" i="6" s="1"/>
  <c r="F149" i="6" s="1"/>
  <c r="E141" i="6"/>
  <c r="F141" i="6" s="1"/>
  <c r="AG279" i="6"/>
  <c r="AG17" i="6"/>
  <c r="A209" i="6"/>
  <c r="E209" i="6" s="1"/>
  <c r="F209" i="6" s="1"/>
  <c r="E201" i="6"/>
  <c r="F201" i="6" s="1"/>
  <c r="D12" i="15"/>
  <c r="E12" i="15" s="1"/>
  <c r="AG87" i="6"/>
  <c r="J33" i="9"/>
  <c r="K33" i="9" s="1"/>
  <c r="J90" i="9"/>
  <c r="K90" i="9" s="1"/>
  <c r="L34" i="15"/>
  <c r="M34" i="15" s="1"/>
  <c r="AG274" i="6"/>
  <c r="AG407" i="6"/>
  <c r="AG215" i="6"/>
  <c r="A113" i="6"/>
  <c r="E113" i="6" s="1"/>
  <c r="F113" i="6" s="1"/>
  <c r="E105" i="6"/>
  <c r="F105" i="6" s="1"/>
  <c r="BT136" i="14"/>
  <c r="E136" i="14"/>
  <c r="F136" i="14" s="1"/>
  <c r="A144" i="14"/>
  <c r="E54" i="14"/>
  <c r="F54" i="14" s="1"/>
  <c r="BT54" i="14"/>
  <c r="AG502" i="6"/>
  <c r="AG296" i="6"/>
  <c r="E429" i="6"/>
  <c r="F429" i="6" s="1"/>
  <c r="A437" i="6"/>
  <c r="E437" i="6" s="1"/>
  <c r="F437" i="6" s="1"/>
  <c r="L36" i="15"/>
  <c r="M36" i="15" s="1"/>
  <c r="AG367" i="6"/>
  <c r="AG239" i="6"/>
  <c r="AG342" i="6"/>
  <c r="Q71" i="9"/>
  <c r="R71" i="9" s="1"/>
  <c r="A49" i="6"/>
  <c r="E49" i="6" s="1"/>
  <c r="F49" i="6" s="1"/>
  <c r="E41" i="6"/>
  <c r="F41" i="6" s="1"/>
  <c r="Q14" i="9"/>
  <c r="R14" i="9" s="1"/>
  <c r="AG470" i="6"/>
  <c r="AG432" i="6"/>
  <c r="AG264" i="6"/>
  <c r="A338" i="6"/>
  <c r="E338" i="6" s="1"/>
  <c r="F338" i="6" s="1"/>
  <c r="E330" i="6"/>
  <c r="F330" i="6" s="1"/>
  <c r="AG211" i="6"/>
  <c r="AG503" i="6"/>
  <c r="AG401" i="6"/>
  <c r="D17" i="15"/>
  <c r="E17" i="15" s="1"/>
  <c r="C51" i="9"/>
  <c r="D51" i="9" s="1"/>
  <c r="E488" i="6"/>
  <c r="F488" i="6" s="1"/>
  <c r="A496" i="6"/>
  <c r="E496" i="6" s="1"/>
  <c r="F496" i="6" s="1"/>
  <c r="Q111" i="9"/>
  <c r="R111" i="9" s="1"/>
  <c r="C89" i="9"/>
  <c r="D89" i="9" s="1"/>
  <c r="AG110" i="6"/>
  <c r="J54" i="9"/>
  <c r="K54" i="9" s="1"/>
  <c r="A144" i="6"/>
  <c r="E144" i="6" s="1"/>
  <c r="F144" i="6" s="1"/>
  <c r="E136" i="6"/>
  <c r="F136" i="6" s="1"/>
  <c r="Q109" i="9"/>
  <c r="R109" i="9" s="1"/>
  <c r="AG271" i="6"/>
  <c r="AG9" i="6"/>
  <c r="Y15" i="4"/>
  <c r="N28" i="16" s="1"/>
  <c r="G126" i="16"/>
  <c r="G74" i="18"/>
  <c r="G27" i="16"/>
  <c r="G59" i="16"/>
  <c r="G71" i="16"/>
  <c r="D15" i="17"/>
  <c r="G246" i="16"/>
  <c r="D61" i="17"/>
  <c r="G118" i="16"/>
  <c r="G203" i="16"/>
  <c r="G49" i="16"/>
  <c r="N159" i="16"/>
  <c r="D53" i="17"/>
  <c r="G2" i="18"/>
  <c r="G82" i="16"/>
  <c r="G147" i="16"/>
  <c r="D38" i="17"/>
  <c r="G15" i="16"/>
  <c r="G218" i="16"/>
  <c r="G114" i="18"/>
  <c r="G130" i="18"/>
  <c r="G19" i="18"/>
  <c r="G55" i="18"/>
  <c r="G91" i="18"/>
  <c r="E10" i="14"/>
  <c r="F10" i="14" s="1"/>
  <c r="A18" i="14"/>
  <c r="BT10" i="14"/>
  <c r="A435" i="6"/>
  <c r="E435" i="6" s="1"/>
  <c r="F435" i="6" s="1"/>
  <c r="E427" i="6"/>
  <c r="F427" i="6" s="1"/>
  <c r="AG79" i="6"/>
  <c r="E106" i="6"/>
  <c r="F106" i="6" s="1"/>
  <c r="A114" i="6"/>
  <c r="E114" i="6" s="1"/>
  <c r="F114" i="6" s="1"/>
  <c r="E333" i="6"/>
  <c r="F333" i="6" s="1"/>
  <c r="A341" i="6"/>
  <c r="E341" i="6" s="1"/>
  <c r="F341" i="6" s="1"/>
  <c r="BT55" i="14"/>
  <c r="E55" i="14"/>
  <c r="F55" i="14" s="1"/>
  <c r="E169" i="6"/>
  <c r="F169" i="6" s="1"/>
  <c r="A177" i="6"/>
  <c r="E177" i="6" s="1"/>
  <c r="F177" i="6" s="1"/>
  <c r="AG497" i="6"/>
  <c r="AG73" i="6"/>
  <c r="AG459" i="6"/>
  <c r="AG267" i="6"/>
  <c r="AG399" i="6"/>
  <c r="AG207" i="6"/>
  <c r="A48" i="14"/>
  <c r="BT40" i="14"/>
  <c r="E40" i="14"/>
  <c r="F40" i="14" s="1"/>
  <c r="Q15" i="9"/>
  <c r="R15" i="9" s="1"/>
  <c r="D13" i="15"/>
  <c r="E13" i="15" s="1"/>
  <c r="BT118" i="14"/>
  <c r="E118" i="14"/>
  <c r="F118" i="14" s="1"/>
  <c r="M20" i="5"/>
  <c r="V9" i="4"/>
  <c r="V20" i="4" s="1"/>
  <c r="Y9" i="4"/>
  <c r="Y20" i="4" s="1"/>
  <c r="A178" i="14"/>
  <c r="E170" i="14"/>
  <c r="F170" i="14" s="1"/>
  <c r="BT170" i="14"/>
  <c r="A115" i="6"/>
  <c r="E115" i="6" s="1"/>
  <c r="F115" i="6" s="1"/>
  <c r="E107" i="6"/>
  <c r="F107" i="6" s="1"/>
  <c r="E42" i="14"/>
  <c r="F42" i="14" s="1"/>
  <c r="A50" i="14"/>
  <c r="BT42" i="14"/>
  <c r="A19" i="6"/>
  <c r="E19" i="6" s="1"/>
  <c r="F19" i="6" s="1"/>
  <c r="E11" i="6"/>
  <c r="F11" i="6" s="1"/>
  <c r="AG247" i="6"/>
  <c r="AG334" i="6"/>
  <c r="AG183" i="6"/>
  <c r="AG75" i="6"/>
  <c r="AG404" i="6"/>
  <c r="AG309" i="6"/>
  <c r="J52" i="9"/>
  <c r="K52" i="9" s="1"/>
  <c r="AG278" i="6"/>
  <c r="J12" i="9"/>
  <c r="K12" i="9" s="1"/>
  <c r="Q17" i="9"/>
  <c r="R17" i="9" s="1"/>
  <c r="AG118" i="6"/>
  <c r="L648" i="44"/>
  <c r="C71" i="9"/>
  <c r="D71" i="9" s="1"/>
  <c r="AG397" i="6"/>
  <c r="N263" i="16"/>
  <c r="N132" i="16"/>
  <c r="N282" i="16"/>
  <c r="N248" i="16"/>
  <c r="N260" i="16"/>
  <c r="N185" i="16"/>
  <c r="G87" i="16"/>
  <c r="N109" i="16"/>
  <c r="N286" i="16"/>
  <c r="D43" i="17"/>
  <c r="G208" i="16"/>
  <c r="G275" i="16"/>
  <c r="N285" i="16"/>
  <c r="D54" i="17"/>
  <c r="N247" i="16"/>
  <c r="N10" i="16"/>
  <c r="G120" i="16"/>
  <c r="N55" i="16"/>
  <c r="G131" i="16"/>
  <c r="G17" i="18"/>
  <c r="G153" i="16"/>
  <c r="G47" i="18"/>
  <c r="N41" i="16"/>
  <c r="N246" i="16"/>
  <c r="N37" i="16"/>
  <c r="G115" i="18"/>
  <c r="G11" i="18"/>
  <c r="N152" i="16"/>
  <c r="G260" i="16"/>
  <c r="D65" i="17"/>
  <c r="G262" i="16"/>
  <c r="N273" i="16"/>
  <c r="N280" i="16"/>
  <c r="D22" i="17"/>
  <c r="N148" i="16"/>
  <c r="G198" i="16"/>
  <c r="G86" i="16"/>
  <c r="G55" i="16"/>
  <c r="N272" i="16"/>
  <c r="G99" i="16"/>
  <c r="G186" i="16"/>
  <c r="G143" i="16"/>
  <c r="D66" i="17"/>
  <c r="N251" i="16"/>
  <c r="N171" i="16"/>
  <c r="G273" i="16"/>
  <c r="D64" i="17"/>
  <c r="N264" i="16"/>
  <c r="N143" i="16"/>
  <c r="D44" i="17"/>
  <c r="G16" i="18"/>
  <c r="G44" i="18"/>
  <c r="N250" i="16"/>
  <c r="G66" i="16"/>
  <c r="N281" i="16"/>
  <c r="N165" i="16"/>
  <c r="N19" i="16"/>
  <c r="N242" i="16"/>
  <c r="N283" i="16"/>
  <c r="N187" i="16"/>
  <c r="N150" i="16"/>
  <c r="G86" i="18"/>
  <c r="N196" i="16"/>
  <c r="N142" i="16"/>
  <c r="G82" i="18"/>
  <c r="G88" i="16"/>
  <c r="D21" i="17"/>
  <c r="G123" i="18"/>
  <c r="N230" i="16"/>
  <c r="N271" i="16"/>
  <c r="G285" i="16"/>
  <c r="G249" i="16"/>
  <c r="G48" i="18"/>
  <c r="N176" i="16"/>
  <c r="N161" i="16"/>
  <c r="G87" i="18"/>
  <c r="G77" i="16"/>
  <c r="G88" i="18"/>
  <c r="N275" i="16"/>
  <c r="G197" i="16"/>
  <c r="N44" i="16"/>
  <c r="N249" i="16"/>
  <c r="N153" i="16"/>
  <c r="G84" i="18"/>
  <c r="N121" i="16"/>
  <c r="N131" i="16"/>
  <c r="G121" i="16"/>
  <c r="D55" i="17"/>
  <c r="N106" i="16"/>
  <c r="N136" i="16"/>
  <c r="N130" i="16"/>
  <c r="N253" i="16"/>
  <c r="D33" i="17"/>
  <c r="N261" i="16"/>
  <c r="N42" i="16"/>
  <c r="G242" i="16"/>
  <c r="G125" i="18"/>
  <c r="N208" i="16"/>
  <c r="G252" i="16"/>
  <c r="N32" i="16"/>
  <c r="G150" i="16"/>
  <c r="N259" i="16"/>
  <c r="N87" i="16"/>
  <c r="N107" i="16"/>
  <c r="G98" i="16"/>
  <c r="N154" i="16"/>
  <c r="N18" i="16"/>
  <c r="G209" i="16"/>
  <c r="N137" i="16"/>
  <c r="N9" i="16"/>
  <c r="N40" i="16"/>
  <c r="D32" i="17"/>
  <c r="N231" i="16"/>
  <c r="N174" i="16"/>
  <c r="N88" i="16"/>
  <c r="N262" i="16"/>
  <c r="G110" i="16"/>
  <c r="N279" i="16"/>
  <c r="N30" i="16"/>
  <c r="G284" i="16"/>
  <c r="N98" i="16"/>
  <c r="N75" i="16"/>
  <c r="G109" i="16"/>
  <c r="N184" i="16"/>
  <c r="G263" i="16"/>
  <c r="N269" i="16"/>
  <c r="G241" i="16"/>
  <c r="N64" i="16"/>
  <c r="N175" i="16"/>
  <c r="N110" i="16"/>
  <c r="G220" i="16"/>
  <c r="N54" i="16"/>
  <c r="G89" i="18"/>
  <c r="G124" i="18"/>
  <c r="N252" i="16"/>
  <c r="G160" i="16"/>
  <c r="N198" i="16"/>
  <c r="G251" i="16"/>
  <c r="G15" i="18"/>
  <c r="G154" i="16"/>
  <c r="G121" i="18"/>
  <c r="N86" i="16"/>
  <c r="G283" i="16"/>
  <c r="G52" i="18"/>
  <c r="G274" i="16"/>
  <c r="G132" i="16"/>
  <c r="G286" i="16"/>
  <c r="N140" i="16"/>
  <c r="N33" i="16"/>
  <c r="G261" i="16"/>
  <c r="G76" i="16"/>
  <c r="N99" i="16"/>
  <c r="G176" i="16"/>
  <c r="G65" i="16"/>
  <c r="D42" i="17"/>
  <c r="N119" i="16"/>
  <c r="G175" i="16"/>
  <c r="N257" i="16"/>
  <c r="Y7" i="4"/>
  <c r="S85" i="9" s="1"/>
  <c r="N197" i="16"/>
  <c r="G83" i="18"/>
  <c r="N170" i="16"/>
  <c r="N77" i="16"/>
  <c r="N151" i="16"/>
  <c r="G253" i="16"/>
  <c r="G187" i="16"/>
  <c r="N120" i="16"/>
  <c r="N11" i="16"/>
  <c r="G54" i="16"/>
  <c r="G164" i="16"/>
  <c r="N163" i="16"/>
  <c r="G41" i="16"/>
  <c r="N220" i="16"/>
  <c r="N274" i="16"/>
  <c r="N209" i="16"/>
  <c r="N17" i="16"/>
  <c r="G250" i="16"/>
  <c r="N270" i="16"/>
  <c r="G264" i="16"/>
  <c r="G10" i="16"/>
  <c r="N173" i="16"/>
  <c r="G231" i="16"/>
  <c r="N66" i="16"/>
  <c r="G4" i="18"/>
  <c r="N258" i="16"/>
  <c r="N172" i="16"/>
  <c r="N229" i="16"/>
  <c r="G43" i="16"/>
  <c r="N22" i="16"/>
  <c r="N31" i="16"/>
  <c r="N162" i="16"/>
  <c r="G219" i="16"/>
  <c r="N108" i="16"/>
  <c r="G120" i="18"/>
  <c r="N149" i="16"/>
  <c r="N141" i="16"/>
  <c r="N38" i="16"/>
  <c r="G53" i="18"/>
  <c r="N129" i="16"/>
  <c r="N21" i="16"/>
  <c r="V7" i="4"/>
  <c r="F132" i="6" s="1"/>
  <c r="N76" i="16"/>
  <c r="G207" i="16"/>
  <c r="G122" i="18"/>
  <c r="G43" i="18"/>
  <c r="N43" i="16"/>
  <c r="N169" i="16"/>
  <c r="N219" i="16"/>
  <c r="G21" i="16"/>
  <c r="N164" i="16"/>
  <c r="G165" i="16"/>
  <c r="N65" i="16"/>
  <c r="N20" i="16"/>
  <c r="N241" i="16"/>
  <c r="G282" i="16"/>
  <c r="G230" i="16"/>
  <c r="N284" i="16"/>
  <c r="N186" i="16"/>
  <c r="N217" i="16"/>
  <c r="G32" i="16"/>
  <c r="N207" i="16"/>
  <c r="G85" i="18"/>
  <c r="N82" i="16"/>
  <c r="G85" i="16"/>
  <c r="G19" i="16"/>
  <c r="G170" i="16"/>
  <c r="G103" i="16"/>
  <c r="G213" i="16"/>
  <c r="G226" i="16"/>
  <c r="G271" i="16"/>
  <c r="G143" i="18"/>
  <c r="G98" i="18"/>
  <c r="G34" i="18"/>
  <c r="G142" i="18"/>
  <c r="G97" i="18"/>
  <c r="G62" i="18"/>
  <c r="G71" i="18"/>
  <c r="G21" i="18"/>
  <c r="G140" i="18"/>
  <c r="G96" i="18"/>
  <c r="G70" i="18"/>
  <c r="G134" i="18"/>
  <c r="G24" i="18"/>
  <c r="G35" i="18"/>
  <c r="G26" i="18"/>
  <c r="G141" i="18"/>
  <c r="G69" i="18"/>
  <c r="G32" i="18"/>
  <c r="G106" i="18"/>
  <c r="G133" i="18"/>
  <c r="G105" i="18"/>
  <c r="G104" i="18"/>
  <c r="G107" i="18"/>
  <c r="G103" i="18"/>
  <c r="G61" i="18"/>
  <c r="J71" i="9"/>
  <c r="K71" i="9" s="1"/>
  <c r="J109" i="9"/>
  <c r="K109" i="9" s="1"/>
  <c r="S99" i="9"/>
  <c r="A81" i="14"/>
  <c r="BT73" i="14"/>
  <c r="E73" i="14"/>
  <c r="F73" i="14" s="1"/>
  <c r="AG15" i="6"/>
  <c r="AG85" i="6"/>
  <c r="AG206" i="6"/>
  <c r="E72" i="14"/>
  <c r="F72" i="14" s="1"/>
  <c r="A80" i="14"/>
  <c r="BT72" i="14"/>
  <c r="AG339" i="6"/>
  <c r="A465" i="6"/>
  <c r="E465" i="6" s="1"/>
  <c r="F465" i="6" s="1"/>
  <c r="E457" i="6"/>
  <c r="F457" i="6" s="1"/>
  <c r="A18" i="6"/>
  <c r="E18" i="6" s="1"/>
  <c r="F18" i="6" s="1"/>
  <c r="E10" i="6"/>
  <c r="F10" i="6" s="1"/>
  <c r="AG406" i="6"/>
  <c r="A83" i="14"/>
  <c r="E75" i="14"/>
  <c r="F75" i="14" s="1"/>
  <c r="BT75" i="14"/>
  <c r="J17" i="9"/>
  <c r="K17" i="9" s="1"/>
  <c r="AG171" i="6"/>
  <c r="F68" i="14"/>
  <c r="E490" i="6"/>
  <c r="F490" i="6" s="1"/>
  <c r="A498" i="6"/>
  <c r="E498" i="6" s="1"/>
  <c r="F498" i="6" s="1"/>
  <c r="J34" i="9"/>
  <c r="K34" i="9" s="1"/>
  <c r="Q50" i="9"/>
  <c r="R50" i="9" s="1"/>
  <c r="D15" i="15"/>
  <c r="E15" i="15" s="1"/>
  <c r="AG210" i="6"/>
  <c r="AG242" i="6"/>
  <c r="AG175" i="6"/>
  <c r="E106" i="14"/>
  <c r="F106" i="14" s="1"/>
  <c r="BT106" i="14"/>
  <c r="A114" i="14"/>
  <c r="J74" i="9"/>
  <c r="K74" i="9" s="1"/>
  <c r="AG270" i="6"/>
  <c r="A115" i="14"/>
  <c r="BT107" i="14"/>
  <c r="E107" i="14"/>
  <c r="F107" i="14" s="1"/>
  <c r="Q110" i="9"/>
  <c r="R110" i="9" s="1"/>
  <c r="S102" i="9"/>
  <c r="J55" i="9"/>
  <c r="K55" i="9" s="1"/>
  <c r="BT87" i="14"/>
  <c r="E87" i="14"/>
  <c r="F87" i="14" s="1"/>
  <c r="Y16" i="4"/>
  <c r="N139" i="16" s="1"/>
  <c r="G171" i="16"/>
  <c r="G181" i="16"/>
  <c r="D27" i="17"/>
  <c r="G115" i="16"/>
  <c r="G30" i="16"/>
  <c r="G192" i="16"/>
  <c r="G81" i="16"/>
  <c r="G7" i="16"/>
  <c r="G202" i="16"/>
  <c r="N160" i="16"/>
  <c r="G268" i="16"/>
  <c r="G61" i="16"/>
  <c r="D18" i="17"/>
  <c r="G40" i="16"/>
  <c r="AG47" i="6"/>
  <c r="AG174" i="6"/>
  <c r="AG40" i="6"/>
  <c r="AG140" i="6"/>
  <c r="AG405" i="6"/>
  <c r="A500" i="6"/>
  <c r="E500" i="6" s="1"/>
  <c r="F500" i="6" s="1"/>
  <c r="E492" i="6"/>
  <c r="F492" i="6" s="1"/>
  <c r="E268" i="6"/>
  <c r="F268" i="6" s="1"/>
  <c r="A276" i="6"/>
  <c r="E276" i="6" s="1"/>
  <c r="F276" i="6" s="1"/>
  <c r="S107" i="9"/>
  <c r="E151" i="14"/>
  <c r="F151" i="14" s="1"/>
  <c r="BT151" i="14"/>
  <c r="AG23" i="6"/>
  <c r="C50" i="9"/>
  <c r="D50" i="9" s="1"/>
  <c r="AG214" i="6"/>
  <c r="AG493" i="6"/>
  <c r="AG307" i="6"/>
  <c r="AG335" i="6"/>
  <c r="E204" i="6"/>
  <c r="F204" i="6" s="1"/>
  <c r="A212" i="6"/>
  <c r="E212" i="6" s="1"/>
  <c r="F212" i="6" s="1"/>
  <c r="C54" i="9"/>
  <c r="D54" i="9" s="1"/>
  <c r="AG398" i="6"/>
  <c r="E205" i="6"/>
  <c r="F205" i="6" s="1"/>
  <c r="A213" i="6"/>
  <c r="E213" i="6" s="1"/>
  <c r="F213" i="6" s="1"/>
  <c r="J108" i="9"/>
  <c r="K108" i="9" s="1"/>
  <c r="E461" i="6"/>
  <c r="F461" i="6" s="1"/>
  <c r="A469" i="6"/>
  <c r="E469" i="6" s="1"/>
  <c r="F469" i="6" s="1"/>
  <c r="C14" i="9"/>
  <c r="D14" i="9" s="1"/>
  <c r="Q90" i="9"/>
  <c r="R90" i="9" s="1"/>
  <c r="S82" i="9"/>
  <c r="AG150" i="6"/>
  <c r="BT23" i="14"/>
  <c r="E23" i="14"/>
  <c r="F23" i="14" s="1"/>
  <c r="BT41" i="14"/>
  <c r="E41" i="14"/>
  <c r="F41" i="14" s="1"/>
  <c r="A49" i="14"/>
  <c r="S113" i="9"/>
  <c r="AG426" i="6"/>
  <c r="G426" i="6"/>
  <c r="AG86" i="6"/>
  <c r="Q12" i="9"/>
  <c r="R12" i="9" s="1"/>
  <c r="AG108" i="6"/>
  <c r="AG151" i="6"/>
  <c r="AG82" i="6"/>
  <c r="Q33" i="9"/>
  <c r="R33" i="9" s="1"/>
  <c r="S25" i="9"/>
  <c r="A112" i="14"/>
  <c r="E104" i="14"/>
  <c r="F104" i="14" s="1"/>
  <c r="BT104" i="14"/>
  <c r="A499" i="6"/>
  <c r="E499" i="6" s="1"/>
  <c r="F499" i="6" s="1"/>
  <c r="E491" i="6"/>
  <c r="F491" i="6" s="1"/>
  <c r="AG55" i="6"/>
  <c r="AG182" i="6"/>
  <c r="AG463" i="6"/>
  <c r="M18" i="5"/>
  <c r="A20" i="14"/>
  <c r="BT12" i="14"/>
  <c r="E12" i="14"/>
  <c r="F12" i="14" s="1"/>
  <c r="BT183" i="14"/>
  <c r="E183" i="14"/>
  <c r="F183" i="14" s="1"/>
  <c r="A84" i="14"/>
  <c r="BT76" i="14"/>
  <c r="E76" i="14"/>
  <c r="F76" i="14" s="1"/>
  <c r="E182" i="14"/>
  <c r="F182" i="14" s="1"/>
  <c r="BT182" i="14"/>
  <c r="E13" i="6"/>
  <c r="F13" i="6" s="1"/>
  <c r="A21" i="6"/>
  <c r="E21" i="6" s="1"/>
  <c r="F21" i="6" s="1"/>
  <c r="A181" i="6"/>
  <c r="E181" i="6" s="1"/>
  <c r="F181" i="6" s="1"/>
  <c r="E173" i="6"/>
  <c r="F173" i="6" s="1"/>
  <c r="AG343" i="6"/>
  <c r="D33" i="15"/>
  <c r="E33" i="15" s="1"/>
  <c r="AG431" i="6"/>
  <c r="Q55" i="9"/>
  <c r="R55" i="9" s="1"/>
  <c r="G25" i="18" l="1"/>
  <c r="N15" i="16"/>
  <c r="G39" i="16"/>
  <c r="G128" i="18"/>
  <c r="N53" i="16"/>
  <c r="G96" i="16"/>
  <c r="G14" i="18"/>
  <c r="G60" i="16"/>
  <c r="G129" i="18"/>
  <c r="G236" i="16"/>
  <c r="N235" i="16"/>
  <c r="G105" i="16"/>
  <c r="G77" i="18"/>
  <c r="L101" i="9"/>
  <c r="L63" i="9"/>
  <c r="E42" i="9"/>
  <c r="E6" i="9"/>
  <c r="E46" i="9"/>
  <c r="G108" i="6"/>
  <c r="L100" i="9"/>
  <c r="AG16" i="6"/>
  <c r="L689" i="44"/>
  <c r="L644" i="44"/>
  <c r="L668" i="44"/>
  <c r="L682" i="44"/>
  <c r="E38" i="9"/>
  <c r="L632" i="44"/>
  <c r="L656" i="44"/>
  <c r="G137" i="18"/>
  <c r="AG53" i="6"/>
  <c r="N215" i="16"/>
  <c r="N205" i="16"/>
  <c r="G113" i="18"/>
  <c r="N238" i="16"/>
  <c r="N27" i="16"/>
  <c r="G152" i="16"/>
  <c r="N194" i="16"/>
  <c r="N48" i="16"/>
  <c r="F25" i="15"/>
  <c r="G224" i="16"/>
  <c r="G29" i="16"/>
  <c r="G171" i="6"/>
  <c r="F7" i="15"/>
  <c r="G183" i="16"/>
  <c r="N4" i="16"/>
  <c r="G206" i="16"/>
  <c r="L645" i="44"/>
  <c r="G215" i="16"/>
  <c r="G81" i="18"/>
  <c r="G74" i="16"/>
  <c r="G102" i="18"/>
  <c r="N216" i="16"/>
  <c r="G97" i="16"/>
  <c r="G65" i="18"/>
  <c r="G162" i="16"/>
  <c r="G139" i="16"/>
  <c r="G53" i="16"/>
  <c r="G28" i="18"/>
  <c r="G42" i="18"/>
  <c r="D28" i="17"/>
  <c r="G5" i="18"/>
  <c r="G6" i="16"/>
  <c r="L691" i="44"/>
  <c r="L679" i="44"/>
  <c r="L657" i="44"/>
  <c r="D37" i="17"/>
  <c r="G17" i="16"/>
  <c r="N204" i="16"/>
  <c r="G228" i="16"/>
  <c r="G127" i="18"/>
  <c r="G57" i="18"/>
  <c r="G70" i="16"/>
  <c r="G216" i="16"/>
  <c r="G75" i="18"/>
  <c r="L690" i="44"/>
  <c r="G51" i="18"/>
  <c r="L629" i="44"/>
  <c r="G63" i="16"/>
  <c r="D8" i="17"/>
  <c r="G84" i="16"/>
  <c r="G50" i="16"/>
  <c r="G41" i="18"/>
  <c r="G38" i="16"/>
  <c r="D17" i="17"/>
  <c r="G40" i="6"/>
  <c r="G92" i="18"/>
  <c r="G4" i="16"/>
  <c r="L653" i="44"/>
  <c r="G180" i="16"/>
  <c r="L665" i="44"/>
  <c r="G40" i="18"/>
  <c r="G94" i="16"/>
  <c r="N72" i="16"/>
  <c r="G237" i="16"/>
  <c r="N83" i="16"/>
  <c r="G193" i="16"/>
  <c r="G114" i="16"/>
  <c r="G128" i="16"/>
  <c r="G107" i="16"/>
  <c r="G59" i="18"/>
  <c r="L641" i="44"/>
  <c r="G26" i="16"/>
  <c r="G110" i="18"/>
  <c r="D26" i="17"/>
  <c r="L678" i="44"/>
  <c r="D59" i="17"/>
  <c r="D50" i="17"/>
  <c r="L694" i="44"/>
  <c r="E61" i="9"/>
  <c r="V23" i="15"/>
  <c r="G33" i="16"/>
  <c r="F27" i="15"/>
  <c r="G11" i="16"/>
  <c r="G44" i="16"/>
  <c r="G22" i="16"/>
  <c r="G20" i="16"/>
  <c r="G42" i="16"/>
  <c r="G9" i="16"/>
  <c r="G31" i="16"/>
  <c r="G9" i="14"/>
  <c r="L26" i="9"/>
  <c r="F484" i="6"/>
  <c r="F36" i="14"/>
  <c r="L696" i="44"/>
  <c r="L631" i="44"/>
  <c r="F36" i="6"/>
  <c r="F4" i="6"/>
  <c r="F292" i="6"/>
  <c r="L655" i="44"/>
  <c r="L684" i="44"/>
  <c r="F324" i="6"/>
  <c r="F420" i="6"/>
  <c r="L633" i="44"/>
  <c r="L669" i="44"/>
  <c r="F100" i="6"/>
  <c r="AG329" i="6"/>
  <c r="AG208" i="6"/>
  <c r="AG272" i="6"/>
  <c r="BT85" i="14"/>
  <c r="G331" i="6"/>
  <c r="G141" i="16"/>
  <c r="N71" i="16"/>
  <c r="N50" i="16"/>
  <c r="G148" i="16"/>
  <c r="G172" i="16"/>
  <c r="N93" i="16"/>
  <c r="AG172" i="6"/>
  <c r="AG395" i="6"/>
  <c r="AG77" i="6"/>
  <c r="S89" i="9"/>
  <c r="AG331" i="6"/>
  <c r="AG203" i="6"/>
  <c r="AG265" i="6"/>
  <c r="AG434" i="6"/>
  <c r="L57" i="9"/>
  <c r="E95" i="9"/>
  <c r="S38" i="9"/>
  <c r="F452" i="6"/>
  <c r="S19" i="9"/>
  <c r="L692" i="44"/>
  <c r="S57" i="9"/>
  <c r="E19" i="9"/>
  <c r="L636" i="44"/>
  <c r="L695" i="44"/>
  <c r="E105" i="9"/>
  <c r="S76" i="9"/>
  <c r="L659" i="44"/>
  <c r="L667" i="44"/>
  <c r="L635" i="44"/>
  <c r="E114" i="9"/>
  <c r="L680" i="44"/>
  <c r="L660" i="44"/>
  <c r="L643" i="44"/>
  <c r="L683" i="44"/>
  <c r="L671" i="44"/>
  <c r="L647" i="44"/>
  <c r="L672" i="44"/>
  <c r="L19" i="9"/>
  <c r="F228" i="6"/>
  <c r="AG373" i="6"/>
  <c r="AG460" i="6"/>
  <c r="AG501" i="6"/>
  <c r="E52" i="14"/>
  <c r="F52" i="14" s="1"/>
  <c r="AG138" i="6"/>
  <c r="AG76" i="6"/>
  <c r="BT117" i="14"/>
  <c r="AG48" i="6"/>
  <c r="G138" i="6"/>
  <c r="AG467" i="6"/>
  <c r="AG233" i="6"/>
  <c r="AG393" i="6"/>
  <c r="AG117" i="6"/>
  <c r="AG42" i="6"/>
  <c r="G139" i="14"/>
  <c r="G168" i="14"/>
  <c r="D60" i="17"/>
  <c r="S4" i="9"/>
  <c r="S42" i="9"/>
  <c r="E149" i="14"/>
  <c r="F149" i="14" s="1"/>
  <c r="AG80" i="6"/>
  <c r="D49" i="17"/>
  <c r="N192" i="16"/>
  <c r="AG81" i="6"/>
  <c r="BT17" i="14"/>
  <c r="G125" i="16"/>
  <c r="AG20" i="6"/>
  <c r="AG277" i="6"/>
  <c r="AG179" i="6"/>
  <c r="AG489" i="6"/>
  <c r="AG396" i="6"/>
  <c r="G3" i="18"/>
  <c r="G489" i="6"/>
  <c r="G361" i="6"/>
  <c r="AG361" i="6"/>
  <c r="G280" i="16"/>
  <c r="AG370" i="6"/>
  <c r="D29" i="17"/>
  <c r="AG308" i="6"/>
  <c r="G20" i="18"/>
  <c r="G106" i="16"/>
  <c r="L670" i="44"/>
  <c r="F132" i="14"/>
  <c r="G64" i="18"/>
  <c r="AG43" i="6"/>
  <c r="F356" i="6"/>
  <c r="L646" i="44"/>
  <c r="F260" i="6"/>
  <c r="G140" i="16"/>
  <c r="G74" i="6"/>
  <c r="E52" i="9"/>
  <c r="AG74" i="6"/>
  <c r="BT147" i="14"/>
  <c r="L634" i="44"/>
  <c r="F100" i="14"/>
  <c r="G22" i="18"/>
  <c r="G7" i="18"/>
  <c r="G272" i="16"/>
  <c r="G279" i="16"/>
  <c r="G257" i="16"/>
  <c r="G137" i="16"/>
  <c r="N126" i="16"/>
  <c r="G142" i="16"/>
  <c r="N237" i="16"/>
  <c r="G56" i="18"/>
  <c r="G117" i="16"/>
  <c r="G270" i="16"/>
  <c r="G93" i="16"/>
  <c r="G191" i="16"/>
  <c r="G39" i="18"/>
  <c r="G259" i="16"/>
  <c r="G151" i="16"/>
  <c r="G158" i="16"/>
  <c r="G185" i="16"/>
  <c r="G6" i="18"/>
  <c r="G239" i="16"/>
  <c r="D4" i="17"/>
  <c r="G225" i="16"/>
  <c r="D39" i="17"/>
  <c r="AG148" i="6"/>
  <c r="AG299" i="6"/>
  <c r="AG116" i="6"/>
  <c r="E82" i="14"/>
  <c r="F82" i="14" s="1"/>
  <c r="BT16" i="14"/>
  <c r="G299" i="6"/>
  <c r="G234" i="6"/>
  <c r="AG234" i="6"/>
  <c r="AG304" i="6"/>
  <c r="AG202" i="6"/>
  <c r="S47" i="9"/>
  <c r="S92" i="9"/>
  <c r="E32" i="9"/>
  <c r="AG275" i="6"/>
  <c r="S91" i="9"/>
  <c r="BT176" i="14"/>
  <c r="F32" i="15"/>
  <c r="G141" i="14"/>
  <c r="L49" i="9"/>
  <c r="BT113" i="14"/>
  <c r="G398" i="6"/>
  <c r="L86" i="9"/>
  <c r="G47" i="14"/>
  <c r="AG83" i="6"/>
  <c r="E49" i="9"/>
  <c r="G142" i="14"/>
  <c r="G143" i="14"/>
  <c r="E10" i="9"/>
  <c r="G431" i="6"/>
  <c r="G343" i="6"/>
  <c r="E108" i="9"/>
  <c r="AG424" i="6"/>
  <c r="AG394" i="6"/>
  <c r="AG428" i="6"/>
  <c r="AG235" i="6"/>
  <c r="AG301" i="6"/>
  <c r="S93" i="9"/>
  <c r="E53" i="14"/>
  <c r="F53" i="14" s="1"/>
  <c r="AG266" i="6"/>
  <c r="G270" i="6"/>
  <c r="G206" i="6"/>
  <c r="G15" i="6"/>
  <c r="L666" i="44"/>
  <c r="G55" i="6"/>
  <c r="G335" i="6"/>
  <c r="G493" i="6"/>
  <c r="L47" i="9"/>
  <c r="G77" i="6"/>
  <c r="L66" i="9"/>
  <c r="G77" i="14"/>
  <c r="G463" i="6"/>
  <c r="G79" i="14"/>
  <c r="S49" i="9"/>
  <c r="G175" i="6"/>
  <c r="G23" i="6"/>
  <c r="G174" i="6"/>
  <c r="E87" i="9"/>
  <c r="G396" i="6"/>
  <c r="F10" i="15"/>
  <c r="G45" i="14"/>
  <c r="E29" i="9"/>
  <c r="G140" i="6"/>
  <c r="L9" i="9"/>
  <c r="G174" i="14"/>
  <c r="G47" i="6"/>
  <c r="G110" i="14"/>
  <c r="F68" i="6"/>
  <c r="F164" i="14"/>
  <c r="L45" i="9"/>
  <c r="E65" i="9"/>
  <c r="E8" i="9"/>
  <c r="L84" i="9"/>
  <c r="L85" i="9"/>
  <c r="L8" i="9"/>
  <c r="S27" i="9"/>
  <c r="S65" i="9"/>
  <c r="N5" i="15"/>
  <c r="E80" i="9"/>
  <c r="S43" i="9"/>
  <c r="E23" i="9"/>
  <c r="F26" i="15"/>
  <c r="E83" i="9"/>
  <c r="E44" i="9"/>
  <c r="F23" i="15"/>
  <c r="S28" i="9"/>
  <c r="E66" i="9"/>
  <c r="S23" i="9"/>
  <c r="S62" i="9"/>
  <c r="S5" i="9"/>
  <c r="V28" i="15"/>
  <c r="L24" i="9"/>
  <c r="S81" i="9"/>
  <c r="E85" i="9"/>
  <c r="V26" i="15"/>
  <c r="S80" i="9"/>
  <c r="S84" i="9"/>
  <c r="S44" i="9"/>
  <c r="L7" i="9"/>
  <c r="G75" i="6"/>
  <c r="S103" i="9"/>
  <c r="G273" i="6"/>
  <c r="G424" i="6"/>
  <c r="G45" i="6"/>
  <c r="G111" i="14"/>
  <c r="G494" i="6"/>
  <c r="L103" i="9"/>
  <c r="G72" i="6"/>
  <c r="G14" i="14"/>
  <c r="G15" i="14"/>
  <c r="G105" i="14"/>
  <c r="L81" i="9"/>
  <c r="G233" i="6"/>
  <c r="F24" i="15"/>
  <c r="S24" i="9"/>
  <c r="L4" i="9"/>
  <c r="G46" i="14"/>
  <c r="G271" i="6"/>
  <c r="F9" i="15"/>
  <c r="G264" i="6"/>
  <c r="G74" i="14"/>
  <c r="G87" i="6"/>
  <c r="G279" i="6"/>
  <c r="G495" i="6"/>
  <c r="G203" i="6"/>
  <c r="L43" i="9"/>
  <c r="S46" i="9"/>
  <c r="G430" i="6"/>
  <c r="G303" i="6"/>
  <c r="G460" i="6"/>
  <c r="G439" i="6"/>
  <c r="G329" i="6"/>
  <c r="F28" i="15"/>
  <c r="E64" i="9"/>
  <c r="E103" i="9"/>
  <c r="G183" i="6"/>
  <c r="G202" i="6"/>
  <c r="G399" i="6"/>
  <c r="N29" i="15"/>
  <c r="G110" i="6"/>
  <c r="G503" i="6"/>
  <c r="S63" i="9"/>
  <c r="N28" i="15"/>
  <c r="G462" i="6"/>
  <c r="S67" i="9"/>
  <c r="E84" i="9"/>
  <c r="G76" i="6"/>
  <c r="S66" i="9"/>
  <c r="L67" i="9"/>
  <c r="E47" i="9"/>
  <c r="G109" i="14"/>
  <c r="V5" i="15"/>
  <c r="G394" i="6"/>
  <c r="L102" i="9"/>
  <c r="S8" i="9"/>
  <c r="S61" i="9"/>
  <c r="G73" i="6"/>
  <c r="G265" i="6"/>
  <c r="G239" i="6"/>
  <c r="L11" i="9"/>
  <c r="E28" i="9"/>
  <c r="V8" i="15"/>
  <c r="G365" i="6"/>
  <c r="L48" i="9"/>
  <c r="L6" i="9"/>
  <c r="L28" i="9"/>
  <c r="S48" i="9"/>
  <c r="S104" i="9"/>
  <c r="G42" i="6"/>
  <c r="V24" i="15"/>
  <c r="G235" i="6"/>
  <c r="G146" i="6"/>
  <c r="E24" i="9"/>
  <c r="V9" i="15"/>
  <c r="L42" i="9"/>
  <c r="F11" i="15"/>
  <c r="L46" i="9"/>
  <c r="L82" i="9"/>
  <c r="S83" i="9"/>
  <c r="G111" i="6"/>
  <c r="V27" i="15"/>
  <c r="V6" i="15"/>
  <c r="E102" i="9"/>
  <c r="G109" i="6"/>
  <c r="G269" i="6"/>
  <c r="S11" i="9"/>
  <c r="G43" i="6"/>
  <c r="G13" i="14"/>
  <c r="G428" i="6"/>
  <c r="F8" i="15"/>
  <c r="E104" i="9"/>
  <c r="V25" i="15"/>
  <c r="E100" i="9"/>
  <c r="G397" i="6"/>
  <c r="E63" i="9"/>
  <c r="S9" i="9"/>
  <c r="G393" i="6"/>
  <c r="S6" i="9"/>
  <c r="N26" i="15"/>
  <c r="E26" i="9"/>
  <c r="E4" i="9"/>
  <c r="G8" i="6"/>
  <c r="G366" i="6"/>
  <c r="N24" i="15"/>
  <c r="L64" i="9"/>
  <c r="G44" i="14"/>
  <c r="E99" i="9"/>
  <c r="E7" i="9"/>
  <c r="L65" i="9"/>
  <c r="G267" i="6"/>
  <c r="G79" i="6"/>
  <c r="S101" i="9"/>
  <c r="E81" i="9"/>
  <c r="E43" i="9"/>
  <c r="G301" i="6"/>
  <c r="G367" i="6"/>
  <c r="G407" i="6"/>
  <c r="G81" i="6"/>
  <c r="E48" i="9"/>
  <c r="L27" i="9"/>
  <c r="V7" i="15"/>
  <c r="E30" i="9"/>
  <c r="F30" i="15"/>
  <c r="L62" i="9"/>
  <c r="G14" i="6"/>
  <c r="L104" i="9"/>
  <c r="G175" i="14"/>
  <c r="G362" i="6"/>
  <c r="G238" i="6"/>
  <c r="F6" i="15"/>
  <c r="L23" i="9"/>
  <c r="G471" i="6"/>
  <c r="G143" i="6"/>
  <c r="L83" i="9"/>
  <c r="N23" i="15"/>
  <c r="G78" i="14"/>
  <c r="G334" i="6"/>
  <c r="F5" i="15"/>
  <c r="G207" i="6"/>
  <c r="L10" i="9"/>
  <c r="N11" i="15"/>
  <c r="L29" i="9"/>
  <c r="L25" i="9"/>
  <c r="G172" i="14"/>
  <c r="N30" i="15"/>
  <c r="E68" i="9"/>
  <c r="G300" i="6"/>
  <c r="G172" i="6"/>
  <c r="S100" i="9"/>
  <c r="S106" i="9"/>
  <c r="G302" i="6"/>
  <c r="G337" i="6"/>
  <c r="E62" i="9"/>
  <c r="N7" i="15"/>
  <c r="G12" i="6"/>
  <c r="E9" i="9"/>
  <c r="N9" i="15"/>
  <c r="N25" i="15"/>
  <c r="N8" i="15"/>
  <c r="N6" i="15"/>
  <c r="E27" i="9"/>
  <c r="AG181" i="6"/>
  <c r="G104" i="14"/>
  <c r="AG205" i="6"/>
  <c r="G205" i="6"/>
  <c r="AG212" i="6"/>
  <c r="S110" i="9"/>
  <c r="BT114" i="14"/>
  <c r="E114" i="14"/>
  <c r="F114" i="14" s="1"/>
  <c r="AG498" i="6"/>
  <c r="AG10" i="6"/>
  <c r="G10" i="6"/>
  <c r="E80" i="14"/>
  <c r="F80" i="14" s="1"/>
  <c r="BT80" i="14"/>
  <c r="BT81" i="14"/>
  <c r="E81" i="14"/>
  <c r="F81" i="14" s="1"/>
  <c r="G66" i="18"/>
  <c r="N116" i="16"/>
  <c r="G9" i="18"/>
  <c r="N51" i="16"/>
  <c r="N203" i="16"/>
  <c r="AG11" i="6"/>
  <c r="G11" i="6"/>
  <c r="BT50" i="14"/>
  <c r="E50" i="14"/>
  <c r="F50" i="14" s="1"/>
  <c r="G170" i="14"/>
  <c r="BT48" i="14"/>
  <c r="E48" i="14"/>
  <c r="F48" i="14" s="1"/>
  <c r="AG341" i="6"/>
  <c r="AG435" i="6"/>
  <c r="AG144" i="6"/>
  <c r="AG496" i="6"/>
  <c r="G136" i="14"/>
  <c r="F4" i="15"/>
  <c r="G140" i="14"/>
  <c r="E5" i="9"/>
  <c r="C169" i="12"/>
  <c r="AG297" i="6"/>
  <c r="G297" i="6"/>
  <c r="C103" i="12"/>
  <c r="BT112" i="14"/>
  <c r="E112" i="14"/>
  <c r="F112" i="14" s="1"/>
  <c r="C136" i="12"/>
  <c r="AG204" i="6"/>
  <c r="G204" i="6"/>
  <c r="AG490" i="6"/>
  <c r="G490" i="6"/>
  <c r="AG18" i="6"/>
  <c r="G72" i="14"/>
  <c r="G95" i="18"/>
  <c r="G8" i="16"/>
  <c r="G240" i="16"/>
  <c r="N29" i="16"/>
  <c r="N81" i="16"/>
  <c r="G62" i="16"/>
  <c r="N193" i="16"/>
  <c r="AG19" i="6"/>
  <c r="G42" i="14"/>
  <c r="BT178" i="14"/>
  <c r="E178" i="14"/>
  <c r="F178" i="14" s="1"/>
  <c r="AG177" i="6"/>
  <c r="G177" i="6"/>
  <c r="AG333" i="6"/>
  <c r="G333" i="6"/>
  <c r="AG488" i="6"/>
  <c r="G488" i="6"/>
  <c r="L642" i="44"/>
  <c r="G200" i="6"/>
  <c r="E25" i="9"/>
  <c r="AG306" i="6"/>
  <c r="AG328" i="6"/>
  <c r="G328" i="6"/>
  <c r="S108" i="9"/>
  <c r="AG466" i="6"/>
  <c r="AG332" i="6"/>
  <c r="G332" i="6"/>
  <c r="E51" i="14"/>
  <c r="F51" i="14" s="1"/>
  <c r="BT51" i="14"/>
  <c r="L630" i="44"/>
  <c r="AG305" i="6"/>
  <c r="AG469" i="6"/>
  <c r="AG276" i="6"/>
  <c r="G107" i="14"/>
  <c r="G106" i="14"/>
  <c r="AG457" i="6"/>
  <c r="G457" i="6"/>
  <c r="G92" i="16"/>
  <c r="D40" i="17"/>
  <c r="N39" i="16"/>
  <c r="D16" i="17"/>
  <c r="N225" i="16"/>
  <c r="AG107" i="6"/>
  <c r="G107" i="6"/>
  <c r="AG169" i="6"/>
  <c r="G169" i="6"/>
  <c r="AG114" i="6"/>
  <c r="G114" i="6"/>
  <c r="BT18" i="14"/>
  <c r="E18" i="14"/>
  <c r="F18" i="14" s="1"/>
  <c r="C224" i="12"/>
  <c r="C202" i="12"/>
  <c r="C235" i="12"/>
  <c r="C213" i="12"/>
  <c r="C191" i="12"/>
  <c r="E89" i="9"/>
  <c r="AG105" i="6"/>
  <c r="G105" i="6"/>
  <c r="AG201" i="6"/>
  <c r="G201" i="6"/>
  <c r="AG141" i="6"/>
  <c r="G141" i="6"/>
  <c r="C70" i="12"/>
  <c r="E148" i="14"/>
  <c r="F148" i="14" s="1"/>
  <c r="BT148" i="14"/>
  <c r="AG464" i="6"/>
  <c r="AG298" i="6"/>
  <c r="G298" i="6"/>
  <c r="AG336" i="6"/>
  <c r="AG237" i="6"/>
  <c r="G237" i="6"/>
  <c r="AG458" i="6"/>
  <c r="G458" i="6"/>
  <c r="AG236" i="6"/>
  <c r="G236" i="6"/>
  <c r="V4" i="15"/>
  <c r="AG340" i="6"/>
  <c r="C92" i="12"/>
  <c r="G43" i="14"/>
  <c r="L658" i="44"/>
  <c r="Y19" i="4"/>
  <c r="N202" i="16" s="1"/>
  <c r="S10" i="9"/>
  <c r="E86" i="9"/>
  <c r="S86" i="9"/>
  <c r="S68" i="9"/>
  <c r="S105" i="9"/>
  <c r="V11" i="15"/>
  <c r="N10" i="15"/>
  <c r="V29" i="15"/>
  <c r="L68" i="9"/>
  <c r="V30" i="15"/>
  <c r="E11" i="9"/>
  <c r="E106" i="9"/>
  <c r="L105" i="9"/>
  <c r="V10" i="15"/>
  <c r="S29" i="9"/>
  <c r="S30" i="9"/>
  <c r="F29" i="15"/>
  <c r="E67" i="9"/>
  <c r="S87" i="9"/>
  <c r="L87" i="9"/>
  <c r="L30" i="9"/>
  <c r="L106" i="9"/>
  <c r="G46" i="6"/>
  <c r="G12" i="14"/>
  <c r="AG461" i="6"/>
  <c r="G461" i="6"/>
  <c r="AG268" i="6"/>
  <c r="G268" i="6"/>
  <c r="AG465" i="6"/>
  <c r="G139" i="18"/>
  <c r="G138" i="16"/>
  <c r="C26" i="12"/>
  <c r="AG115" i="6"/>
  <c r="G459" i="6"/>
  <c r="AG106" i="6"/>
  <c r="G106" i="6"/>
  <c r="G10" i="14"/>
  <c r="AG113" i="6"/>
  <c r="L33" i="9"/>
  <c r="AG209" i="6"/>
  <c r="AG149" i="6"/>
  <c r="AG147" i="6"/>
  <c r="C158" i="12"/>
  <c r="G171" i="14"/>
  <c r="S45" i="9"/>
  <c r="AG456" i="6"/>
  <c r="G456" i="6"/>
  <c r="AG104" i="6"/>
  <c r="G104" i="6"/>
  <c r="AG245" i="6"/>
  <c r="AG244" i="6"/>
  <c r="G108" i="14"/>
  <c r="AG168" i="6"/>
  <c r="G168" i="6"/>
  <c r="N32" i="15"/>
  <c r="C125" i="12"/>
  <c r="L61" i="9"/>
  <c r="AG360" i="6"/>
  <c r="G360" i="6"/>
  <c r="G78" i="6"/>
  <c r="AG371" i="6"/>
  <c r="AG21" i="6"/>
  <c r="G76" i="14"/>
  <c r="G113" i="14"/>
  <c r="E49" i="14"/>
  <c r="F49" i="14" s="1"/>
  <c r="BT49" i="14"/>
  <c r="AG492" i="6"/>
  <c r="G492" i="6"/>
  <c r="BT115" i="14"/>
  <c r="E115" i="14"/>
  <c r="F115" i="14" s="1"/>
  <c r="L681" i="44"/>
  <c r="G138" i="18"/>
  <c r="D52" i="17"/>
  <c r="D63" i="17"/>
  <c r="N104" i="16"/>
  <c r="C81" i="12"/>
  <c r="S7" i="9"/>
  <c r="S111" i="9"/>
  <c r="C147" i="12"/>
  <c r="AG330" i="6"/>
  <c r="G330" i="6"/>
  <c r="AG437" i="6"/>
  <c r="AG139" i="6"/>
  <c r="G139" i="6"/>
  <c r="AG112" i="6"/>
  <c r="N4" i="15"/>
  <c r="AG392" i="6"/>
  <c r="G392" i="6"/>
  <c r="BT116" i="14"/>
  <c r="E116" i="14"/>
  <c r="F116" i="14" s="1"/>
  <c r="AG176" i="6"/>
  <c r="AG372" i="6"/>
  <c r="AG368" i="6"/>
  <c r="AG363" i="6"/>
  <c r="G363" i="6"/>
  <c r="AG13" i="6"/>
  <c r="G13" i="6"/>
  <c r="E20" i="14"/>
  <c r="F20" i="14" s="1"/>
  <c r="BT20" i="14"/>
  <c r="AG491" i="6"/>
  <c r="G491" i="6"/>
  <c r="G41" i="14"/>
  <c r="S90" i="9"/>
  <c r="AG500" i="6"/>
  <c r="C59" i="12"/>
  <c r="G72" i="16"/>
  <c r="Y18" i="4"/>
  <c r="N62" i="16" s="1"/>
  <c r="L99" i="9"/>
  <c r="L693" i="44"/>
  <c r="N27" i="15"/>
  <c r="L5" i="9"/>
  <c r="E82" i="9"/>
  <c r="E101" i="9"/>
  <c r="S64" i="9"/>
  <c r="E45" i="9"/>
  <c r="N218" i="16"/>
  <c r="G159" i="16"/>
  <c r="G48" i="16"/>
  <c r="G9" i="6"/>
  <c r="S109" i="9"/>
  <c r="AG338" i="6"/>
  <c r="AG41" i="6"/>
  <c r="G41" i="6"/>
  <c r="AG429" i="6"/>
  <c r="G429" i="6"/>
  <c r="L80" i="9"/>
  <c r="L51" i="9"/>
  <c r="E179" i="14"/>
  <c r="F179" i="14" s="1"/>
  <c r="BT179" i="14"/>
  <c r="AG433" i="6"/>
  <c r="G119" i="14"/>
  <c r="AG400" i="6"/>
  <c r="G138" i="14"/>
  <c r="E181" i="14"/>
  <c r="F181" i="14" s="1"/>
  <c r="BT181" i="14"/>
  <c r="AG364" i="6"/>
  <c r="G364" i="6"/>
  <c r="G11" i="14"/>
  <c r="BT84" i="14"/>
  <c r="E84" i="14"/>
  <c r="F84" i="14" s="1"/>
  <c r="AG499" i="6"/>
  <c r="C48" i="12"/>
  <c r="G75" i="14"/>
  <c r="G73" i="14"/>
  <c r="G30" i="18"/>
  <c r="G118" i="18"/>
  <c r="G194" i="16"/>
  <c r="G129" i="16"/>
  <c r="G169" i="16"/>
  <c r="G10" i="18"/>
  <c r="N239" i="16"/>
  <c r="N268" i="16"/>
  <c r="L44" i="9"/>
  <c r="G40" i="14"/>
  <c r="G8" i="14"/>
  <c r="AG49" i="6"/>
  <c r="G296" i="6"/>
  <c r="AG425" i="6"/>
  <c r="G425" i="6"/>
  <c r="C15" i="12"/>
  <c r="E177" i="14"/>
  <c r="F177" i="14" s="1"/>
  <c r="BT177" i="14"/>
  <c r="AG240" i="6"/>
  <c r="S26" i="9"/>
  <c r="G173" i="14"/>
  <c r="AG145" i="6"/>
  <c r="S112" i="9"/>
  <c r="G137" i="14"/>
  <c r="L654" i="44"/>
  <c r="AG44" i="6"/>
  <c r="G44" i="6"/>
  <c r="E19" i="14"/>
  <c r="F19" i="14" s="1"/>
  <c r="BT19" i="14"/>
  <c r="G246" i="6"/>
  <c r="G142" i="6"/>
  <c r="AG173" i="6"/>
  <c r="G173" i="6"/>
  <c r="G23" i="14"/>
  <c r="AG213" i="6"/>
  <c r="E83" i="14"/>
  <c r="F83" i="14" s="1"/>
  <c r="BT83" i="14"/>
  <c r="N63" i="16"/>
  <c r="V18" i="4"/>
  <c r="F164" i="6"/>
  <c r="F196" i="6"/>
  <c r="N7" i="16"/>
  <c r="G116" i="16"/>
  <c r="G45" i="18"/>
  <c r="N125" i="16"/>
  <c r="G119" i="18"/>
  <c r="AG427" i="6"/>
  <c r="G427" i="6"/>
  <c r="AG136" i="6"/>
  <c r="G136" i="6"/>
  <c r="E144" i="14"/>
  <c r="F144" i="14" s="1"/>
  <c r="BT144" i="14"/>
  <c r="G266" i="6"/>
  <c r="C114" i="12"/>
  <c r="G169" i="14"/>
  <c r="AG232" i="6"/>
  <c r="G232" i="6"/>
  <c r="E146" i="14"/>
  <c r="F146" i="14" s="1"/>
  <c r="BT146" i="14"/>
  <c r="G170" i="6"/>
  <c r="AG137" i="6"/>
  <c r="G137" i="6"/>
  <c r="G395" i="6"/>
  <c r="E145" i="14"/>
  <c r="F145" i="14" s="1"/>
  <c r="BT145" i="14"/>
  <c r="AG52" i="6"/>
  <c r="E17" i="9"/>
  <c r="C37" i="12"/>
  <c r="L31" i="9" l="1"/>
  <c r="G144" i="6"/>
  <c r="E50" i="9"/>
  <c r="G112" i="6"/>
  <c r="L111" i="9"/>
  <c r="L73" i="9"/>
  <c r="N16" i="15"/>
  <c r="F16" i="15"/>
  <c r="S33" i="9"/>
  <c r="V16" i="15"/>
  <c r="G22" i="6"/>
  <c r="L92" i="9"/>
  <c r="E18" i="9"/>
  <c r="V35" i="15"/>
  <c r="S14" i="9"/>
  <c r="G244" i="6"/>
  <c r="G212" i="6"/>
  <c r="G434" i="6"/>
  <c r="G466" i="6"/>
  <c r="G372" i="6"/>
  <c r="S71" i="9"/>
  <c r="G180" i="14"/>
  <c r="G54" i="6"/>
  <c r="G402" i="6"/>
  <c r="S52" i="9"/>
  <c r="G498" i="6"/>
  <c r="G308" i="6"/>
  <c r="E73" i="9"/>
  <c r="L12" i="9"/>
  <c r="G145" i="6"/>
  <c r="N31" i="15"/>
  <c r="F31" i="15"/>
  <c r="E51" i="9"/>
  <c r="E12" i="9"/>
  <c r="G113" i="6"/>
  <c r="L32" i="9"/>
  <c r="N95" i="16"/>
  <c r="N117" i="16"/>
  <c r="F15" i="15"/>
  <c r="G8" i="18"/>
  <c r="N73" i="16"/>
  <c r="G29" i="18"/>
  <c r="G401" i="6"/>
  <c r="S13" i="9"/>
  <c r="F33" i="15"/>
  <c r="N15" i="15"/>
  <c r="G433" i="6"/>
  <c r="L91" i="9"/>
  <c r="E72" i="9"/>
  <c r="G307" i="6"/>
  <c r="S70" i="9"/>
  <c r="G497" i="6"/>
  <c r="S32" i="9"/>
  <c r="E88" i="9"/>
  <c r="G465" i="6"/>
  <c r="L110" i="9"/>
  <c r="V33" i="15"/>
  <c r="N226" i="16"/>
  <c r="G136" i="18"/>
  <c r="N103" i="16"/>
  <c r="G67" i="18"/>
  <c r="G205" i="16"/>
  <c r="G49" i="18"/>
  <c r="G112" i="18"/>
  <c r="N84" i="16"/>
  <c r="N59" i="16"/>
  <c r="N5" i="16"/>
  <c r="N191" i="16"/>
  <c r="N114" i="16"/>
  <c r="E107" i="9"/>
  <c r="G48" i="6"/>
  <c r="E31" i="9"/>
  <c r="G86" i="14"/>
  <c r="G50" i="18"/>
  <c r="G68" i="18"/>
  <c r="G80" i="6"/>
  <c r="L50" i="9"/>
  <c r="N183" i="16"/>
  <c r="G147" i="14"/>
  <c r="N70" i="16"/>
  <c r="L72" i="9"/>
  <c r="N34" i="15"/>
  <c r="S51" i="9"/>
  <c r="G272" i="6"/>
  <c r="G211" i="6"/>
  <c r="N94" i="16"/>
  <c r="G371" i="6"/>
  <c r="G16" i="6"/>
  <c r="V15" i="15"/>
  <c r="G243" i="6"/>
  <c r="N33" i="15"/>
  <c r="G176" i="6"/>
  <c r="G336" i="6"/>
  <c r="F34" i="15"/>
  <c r="V34" i="15"/>
  <c r="V18" i="15"/>
  <c r="G501" i="6"/>
  <c r="G405" i="6"/>
  <c r="S17" i="9"/>
  <c r="S36" i="9"/>
  <c r="G118" i="14"/>
  <c r="G310" i="6"/>
  <c r="E75" i="9"/>
  <c r="N18" i="15"/>
  <c r="S74" i="9"/>
  <c r="F18" i="15"/>
  <c r="G22" i="14"/>
  <c r="L94" i="9"/>
  <c r="G437" i="6"/>
  <c r="L75" i="9"/>
  <c r="G182" i="14"/>
  <c r="G374" i="6"/>
  <c r="V37" i="15"/>
  <c r="G54" i="14"/>
  <c r="S55" i="9"/>
  <c r="L113" i="9"/>
  <c r="G214" i="6"/>
  <c r="G469" i="6"/>
  <c r="G87" i="14"/>
  <c r="G150" i="14"/>
  <c r="V32" i="15"/>
  <c r="G275" i="6"/>
  <c r="F37" i="15"/>
  <c r="G53" i="6"/>
  <c r="N37" i="15"/>
  <c r="E54" i="9"/>
  <c r="L55" i="9"/>
  <c r="L35" i="9"/>
  <c r="G500" i="6"/>
  <c r="E70" i="9"/>
  <c r="L108" i="9"/>
  <c r="F13" i="15"/>
  <c r="L14" i="9"/>
  <c r="G305" i="6"/>
  <c r="G17" i="14"/>
  <c r="L70" i="9"/>
  <c r="G148" i="6"/>
  <c r="E36" i="9"/>
  <c r="G50" i="6"/>
  <c r="G468" i="6"/>
  <c r="G85" i="6"/>
  <c r="S16" i="9"/>
  <c r="G341" i="6"/>
  <c r="G181" i="6"/>
  <c r="E93" i="9"/>
  <c r="L89" i="9"/>
  <c r="N13" i="15"/>
  <c r="S54" i="9"/>
  <c r="G209" i="6"/>
  <c r="G436" i="6"/>
  <c r="G116" i="6"/>
  <c r="S35" i="9"/>
  <c r="E112" i="9"/>
  <c r="G369" i="6"/>
  <c r="E14" i="9"/>
  <c r="G277" i="6"/>
  <c r="G241" i="6"/>
  <c r="G18" i="6"/>
  <c r="V13" i="15"/>
  <c r="G404" i="6"/>
  <c r="S73" i="9"/>
  <c r="G151" i="14"/>
  <c r="G179" i="6"/>
  <c r="E71" i="9"/>
  <c r="L16" i="9"/>
  <c r="G52" i="6"/>
  <c r="E110" i="9"/>
  <c r="L109" i="9"/>
  <c r="F14" i="15"/>
  <c r="L71" i="9"/>
  <c r="E34" i="9"/>
  <c r="G55" i="14"/>
  <c r="L17" i="9"/>
  <c r="G20" i="6"/>
  <c r="L90" i="9"/>
  <c r="G432" i="6"/>
  <c r="E113" i="9"/>
  <c r="L95" i="9"/>
  <c r="L76" i="9"/>
  <c r="L38" i="9"/>
  <c r="V38" i="15"/>
  <c r="E37" i="9"/>
  <c r="V19" i="15"/>
  <c r="F19" i="15"/>
  <c r="L56" i="9"/>
  <c r="N19" i="15"/>
  <c r="E76" i="9"/>
  <c r="E57" i="9"/>
  <c r="L114" i="9"/>
  <c r="E94" i="9"/>
  <c r="G183" i="14"/>
  <c r="G502" i="6"/>
  <c r="G370" i="6"/>
  <c r="G21" i="6"/>
  <c r="G306" i="6"/>
  <c r="V14" i="15"/>
  <c r="L53" i="9"/>
  <c r="G339" i="6"/>
  <c r="G438" i="6"/>
  <c r="G278" i="6"/>
  <c r="G119" i="6"/>
  <c r="G470" i="6"/>
  <c r="G210" i="6"/>
  <c r="G83" i="6"/>
  <c r="G247" i="6"/>
  <c r="G151" i="6"/>
  <c r="G150" i="6"/>
  <c r="N14" i="15"/>
  <c r="E16" i="9"/>
  <c r="G311" i="6"/>
  <c r="G375" i="6"/>
  <c r="G182" i="6"/>
  <c r="S75" i="9"/>
  <c r="F38" i="15"/>
  <c r="S18" i="9"/>
  <c r="L37" i="9"/>
  <c r="N38" i="15"/>
  <c r="S56" i="9"/>
  <c r="S37" i="9"/>
  <c r="E56" i="9"/>
  <c r="G118" i="6"/>
  <c r="G342" i="6"/>
  <c r="G215" i="6"/>
  <c r="G406" i="6"/>
  <c r="G86" i="6"/>
  <c r="G242" i="6"/>
  <c r="E91" i="9"/>
  <c r="G52" i="14"/>
  <c r="G82" i="14"/>
  <c r="L93" i="9"/>
  <c r="G213" i="6"/>
  <c r="F17" i="15"/>
  <c r="G85" i="14"/>
  <c r="S12" i="9"/>
  <c r="E55" i="9"/>
  <c r="G19" i="6"/>
  <c r="L36" i="9"/>
  <c r="N36" i="15"/>
  <c r="G117" i="14"/>
  <c r="G340" i="6"/>
  <c r="G21" i="14"/>
  <c r="G276" i="6"/>
  <c r="G149" i="14"/>
  <c r="G400" i="6"/>
  <c r="G149" i="6"/>
  <c r="L54" i="9"/>
  <c r="L112" i="9"/>
  <c r="G309" i="6"/>
  <c r="S69" i="9"/>
  <c r="E111" i="9"/>
  <c r="L15" i="9"/>
  <c r="S31" i="9"/>
  <c r="E15" i="9"/>
  <c r="S50" i="9"/>
  <c r="G84" i="6"/>
  <c r="V17" i="15"/>
  <c r="E92" i="9"/>
  <c r="G180" i="6"/>
  <c r="N17" i="15"/>
  <c r="G51" i="6"/>
  <c r="F36" i="15"/>
  <c r="V36" i="15"/>
  <c r="E74" i="9"/>
  <c r="L74" i="9"/>
  <c r="G496" i="6"/>
  <c r="G117" i="6"/>
  <c r="G245" i="6"/>
  <c r="G464" i="6"/>
  <c r="G373" i="6"/>
  <c r="E35" i="9"/>
  <c r="G176" i="14"/>
  <c r="N115" i="16"/>
  <c r="N227" i="16"/>
  <c r="N92" i="16"/>
  <c r="G163" i="16"/>
  <c r="G258" i="16"/>
  <c r="G136" i="16"/>
  <c r="G195" i="16"/>
  <c r="N127" i="16"/>
  <c r="G104" i="16"/>
  <c r="N236" i="16"/>
  <c r="G281" i="16"/>
  <c r="N180" i="16"/>
  <c r="L52" i="9"/>
  <c r="G53" i="14"/>
  <c r="L34" i="9"/>
  <c r="G240" i="6"/>
  <c r="G49" i="6"/>
  <c r="G368" i="6"/>
  <c r="N12" i="15"/>
  <c r="G499" i="6"/>
  <c r="S15" i="9"/>
  <c r="H13" i="5"/>
  <c r="H20" i="5"/>
  <c r="H18" i="5"/>
  <c r="G32" i="48"/>
  <c r="J5" i="50"/>
  <c r="D14" i="50"/>
  <c r="C44" i="50"/>
  <c r="B27" i="48"/>
  <c r="I77" i="40"/>
  <c r="N16" i="50"/>
  <c r="F37" i="48"/>
  <c r="F7" i="49"/>
  <c r="D7" i="48"/>
  <c r="J10" i="40"/>
  <c r="N65" i="40"/>
  <c r="D15" i="49"/>
  <c r="M28" i="49"/>
  <c r="F71" i="49"/>
  <c r="J14" i="48"/>
  <c r="G27" i="49"/>
  <c r="G3" i="48"/>
  <c r="G4" i="50"/>
  <c r="C42" i="49"/>
  <c r="N48" i="50"/>
  <c r="D16" i="50"/>
  <c r="J60" i="48"/>
  <c r="K81" i="48"/>
  <c r="D21" i="49"/>
  <c r="M81" i="40"/>
  <c r="I31" i="48"/>
  <c r="M29" i="50"/>
  <c r="F32" i="49"/>
  <c r="G35" i="49"/>
  <c r="J19" i="49"/>
  <c r="G49" i="48"/>
  <c r="B87" i="48"/>
  <c r="D25" i="50"/>
  <c r="B27" i="40"/>
  <c r="C15" i="40"/>
  <c r="I87" i="40"/>
  <c r="J3" i="40"/>
  <c r="G47" i="49"/>
  <c r="D47" i="50"/>
  <c r="D28" i="49"/>
  <c r="B25" i="40"/>
  <c r="K41" i="48"/>
  <c r="C4" i="40"/>
  <c r="N50" i="48"/>
  <c r="I31" i="49"/>
  <c r="I11" i="48"/>
  <c r="K15" i="50"/>
  <c r="C30" i="48"/>
  <c r="D4" i="40"/>
  <c r="C3" i="48"/>
  <c r="M22" i="50"/>
  <c r="F81" i="48"/>
  <c r="B11" i="49"/>
  <c r="M29" i="49"/>
  <c r="I2" i="48"/>
  <c r="M15" i="49"/>
  <c r="I19" i="49"/>
  <c r="K16" i="49"/>
  <c r="C53" i="49"/>
  <c r="B43" i="50"/>
  <c r="J31" i="48"/>
  <c r="N31" i="50"/>
  <c r="K87" i="40"/>
  <c r="B8" i="49"/>
  <c r="D86" i="48"/>
  <c r="K83" i="48"/>
  <c r="I11" i="49"/>
  <c r="F4" i="48"/>
  <c r="I44" i="48"/>
  <c r="G40" i="50"/>
  <c r="N59" i="40"/>
  <c r="I30" i="49"/>
  <c r="F21" i="49"/>
  <c r="J33" i="40"/>
  <c r="N49" i="50"/>
  <c r="G18" i="49"/>
  <c r="C37" i="40"/>
  <c r="N27" i="50"/>
  <c r="I18" i="49"/>
  <c r="N26" i="50"/>
  <c r="C31" i="48"/>
  <c r="J38" i="49"/>
  <c r="N88" i="48"/>
  <c r="G24" i="48"/>
  <c r="D4" i="48"/>
  <c r="N32" i="50"/>
  <c r="C54" i="49"/>
  <c r="D83" i="40"/>
  <c r="I31" i="40"/>
  <c r="K26" i="48"/>
  <c r="C9" i="40"/>
  <c r="D51" i="50"/>
  <c r="D58" i="48"/>
  <c r="B46" i="48"/>
  <c r="C85" i="40"/>
  <c r="C42" i="40"/>
  <c r="J30" i="49"/>
  <c r="E3" i="49"/>
  <c r="B50" i="40"/>
  <c r="I84" i="48"/>
  <c r="D22" i="48"/>
  <c r="J80" i="40"/>
  <c r="F19" i="50"/>
  <c r="C8" i="48"/>
  <c r="B44" i="48"/>
  <c r="D70" i="49"/>
  <c r="K25" i="50"/>
  <c r="K39" i="40"/>
  <c r="G55" i="49"/>
  <c r="D3" i="40"/>
  <c r="K9" i="50"/>
  <c r="B18" i="40"/>
  <c r="D32" i="48"/>
  <c r="N43" i="50"/>
  <c r="J32" i="50"/>
  <c r="G19" i="48"/>
  <c r="J54" i="48"/>
  <c r="C81" i="40"/>
  <c r="D30" i="40"/>
  <c r="D86" i="40"/>
  <c r="G80" i="40"/>
  <c r="M26" i="50"/>
  <c r="J80" i="48"/>
  <c r="G43" i="48"/>
  <c r="F8" i="48"/>
  <c r="J11" i="50"/>
  <c r="I83" i="48"/>
  <c r="N41" i="49"/>
  <c r="G39" i="48"/>
  <c r="G84" i="48"/>
  <c r="I64" i="48"/>
  <c r="N62" i="48"/>
  <c r="C6" i="48"/>
  <c r="I53" i="48"/>
  <c r="B20" i="48"/>
  <c r="I15" i="50"/>
  <c r="C17" i="40"/>
  <c r="B24" i="50"/>
  <c r="F40" i="48"/>
  <c r="J29" i="50"/>
  <c r="I28" i="49"/>
  <c r="C30" i="50"/>
  <c r="I6" i="40"/>
  <c r="K53" i="50"/>
  <c r="B19" i="49"/>
  <c r="C31" i="50"/>
  <c r="B72" i="49"/>
  <c r="N33" i="50"/>
  <c r="E3" i="48"/>
  <c r="M69" i="49"/>
  <c r="M18" i="50"/>
  <c r="I47" i="49"/>
  <c r="I79" i="48"/>
  <c r="G16" i="50"/>
  <c r="D27" i="50"/>
  <c r="B84" i="40"/>
  <c r="B26" i="50"/>
  <c r="I47" i="48"/>
  <c r="J19" i="40"/>
  <c r="N48" i="49"/>
  <c r="J43" i="50"/>
  <c r="B2" i="40"/>
  <c r="C16" i="40"/>
  <c r="B42" i="49"/>
  <c r="K52" i="48"/>
  <c r="N146" i="48"/>
  <c r="B53" i="48"/>
  <c r="I76" i="40"/>
  <c r="F27" i="50"/>
  <c r="G38" i="40"/>
  <c r="G85" i="40"/>
  <c r="D49" i="50"/>
  <c r="C10" i="50"/>
  <c r="I4" i="40"/>
  <c r="B68" i="40"/>
  <c r="I21" i="50"/>
  <c r="D82" i="40"/>
  <c r="N14" i="48"/>
  <c r="I47" i="50"/>
  <c r="N37" i="50"/>
  <c r="J20" i="48"/>
  <c r="D38" i="49"/>
  <c r="D11" i="40"/>
  <c r="D87" i="40"/>
  <c r="F2" i="49"/>
  <c r="G62" i="40"/>
  <c r="K39" i="49"/>
  <c r="M4" i="48"/>
  <c r="I16" i="40"/>
  <c r="I42" i="49"/>
  <c r="G59" i="48"/>
  <c r="G82" i="48"/>
  <c r="K18" i="48"/>
  <c r="C38" i="50"/>
  <c r="I22" i="48"/>
  <c r="K51" i="48"/>
  <c r="L36" i="40"/>
  <c r="C11" i="49"/>
  <c r="M28" i="40"/>
  <c r="C3" i="49"/>
  <c r="N40" i="50"/>
  <c r="B30" i="40"/>
  <c r="C29" i="49"/>
  <c r="D16" i="48"/>
  <c r="F43" i="48"/>
  <c r="C50" i="48"/>
  <c r="J82" i="40"/>
  <c r="J55" i="50"/>
  <c r="C39" i="49"/>
  <c r="B50" i="48"/>
  <c r="B18" i="50"/>
  <c r="C22" i="49"/>
  <c r="K88" i="48"/>
  <c r="B29" i="49"/>
  <c r="N82" i="48"/>
  <c r="N5" i="40"/>
  <c r="B15" i="49"/>
  <c r="G30" i="49"/>
  <c r="M14" i="50"/>
  <c r="L80" i="40"/>
  <c r="B22" i="50"/>
  <c r="G51" i="49"/>
  <c r="N11" i="48"/>
  <c r="K10" i="48"/>
  <c r="M73" i="49"/>
  <c r="F86" i="48"/>
  <c r="C21" i="50"/>
  <c r="I19" i="40"/>
  <c r="B6" i="40"/>
  <c r="M41" i="40"/>
  <c r="J48" i="48"/>
  <c r="N31" i="48"/>
  <c r="M146" i="48"/>
  <c r="J44" i="49"/>
  <c r="K33" i="40"/>
  <c r="C10" i="48"/>
  <c r="M2" i="48"/>
  <c r="C49" i="49"/>
  <c r="G33" i="50"/>
  <c r="B54" i="40"/>
  <c r="B16" i="49"/>
  <c r="N55" i="48"/>
  <c r="I24" i="40"/>
  <c r="C9" i="48"/>
  <c r="D36" i="48"/>
  <c r="J85" i="40"/>
  <c r="D5" i="50"/>
  <c r="D82" i="48"/>
  <c r="C49" i="48"/>
  <c r="D85" i="40"/>
  <c r="B40" i="49"/>
  <c r="D55" i="49"/>
  <c r="I38" i="48"/>
  <c r="B81" i="40"/>
  <c r="I6" i="48"/>
  <c r="N20" i="40"/>
  <c r="M44" i="48"/>
  <c r="J5" i="49"/>
  <c r="K48" i="40"/>
  <c r="F46" i="40"/>
  <c r="N9" i="50"/>
  <c r="N39" i="48"/>
  <c r="K49" i="49"/>
  <c r="N63" i="40"/>
  <c r="G10" i="50"/>
  <c r="J75" i="49"/>
  <c r="K83" i="40"/>
  <c r="N31" i="49"/>
  <c r="N18" i="40"/>
  <c r="K5" i="40"/>
  <c r="G5" i="50"/>
  <c r="N18" i="50"/>
  <c r="F27" i="49"/>
  <c r="E36" i="50"/>
  <c r="F31" i="49"/>
  <c r="F39" i="48"/>
  <c r="F11" i="48"/>
  <c r="I65" i="48"/>
  <c r="M31" i="49"/>
  <c r="J64" i="48"/>
  <c r="D32" i="40"/>
  <c r="B31" i="40"/>
  <c r="M7" i="50"/>
  <c r="B77" i="40"/>
  <c r="F5" i="40"/>
  <c r="G22" i="49"/>
  <c r="D50" i="49"/>
  <c r="M3" i="49"/>
  <c r="K38" i="49"/>
  <c r="J30" i="50"/>
  <c r="G32" i="50"/>
  <c r="F3" i="40"/>
  <c r="F37" i="40"/>
  <c r="D49" i="48"/>
  <c r="B8" i="50"/>
  <c r="B4" i="50"/>
  <c r="F2" i="40"/>
  <c r="C29" i="50"/>
  <c r="M16" i="49"/>
  <c r="C18" i="49"/>
  <c r="C37" i="50"/>
  <c r="M85" i="40"/>
  <c r="G49" i="40"/>
  <c r="K37" i="50"/>
  <c r="D64" i="40"/>
  <c r="G27" i="50"/>
  <c r="J15" i="40"/>
  <c r="N63" i="48"/>
  <c r="C9" i="50"/>
  <c r="F40" i="40"/>
  <c r="M38" i="48"/>
  <c r="B4" i="40"/>
  <c r="F3" i="50"/>
  <c r="C55" i="40"/>
  <c r="D29" i="48"/>
  <c r="B25" i="48"/>
  <c r="C64" i="40"/>
  <c r="K7" i="49"/>
  <c r="C82" i="48"/>
  <c r="B70" i="49"/>
  <c r="B59" i="48"/>
  <c r="N72" i="49"/>
  <c r="B5" i="40"/>
  <c r="D10" i="50"/>
  <c r="I22" i="49"/>
  <c r="C43" i="40"/>
  <c r="N51" i="49"/>
  <c r="F9" i="40"/>
  <c r="D27" i="49"/>
  <c r="J33" i="49"/>
  <c r="J88" i="48"/>
  <c r="I6" i="50"/>
  <c r="J44" i="50"/>
  <c r="B54" i="50"/>
  <c r="K86" i="40"/>
  <c r="C69" i="40"/>
  <c r="M42" i="40"/>
  <c r="N8" i="50"/>
  <c r="G61" i="40"/>
  <c r="M32" i="40"/>
  <c r="J70" i="49"/>
  <c r="C87" i="40"/>
  <c r="I26" i="40"/>
  <c r="J17" i="40"/>
  <c r="B83" i="48"/>
  <c r="I81" i="40"/>
  <c r="F26" i="49"/>
  <c r="K20" i="50"/>
  <c r="M19" i="40"/>
  <c r="K76" i="49"/>
  <c r="B47" i="49"/>
  <c r="B8" i="48"/>
  <c r="M39" i="40"/>
  <c r="D62" i="40"/>
  <c r="K30" i="49"/>
  <c r="F81" i="40"/>
  <c r="K87" i="48"/>
  <c r="I7" i="40"/>
  <c r="G24" i="50"/>
  <c r="B30" i="50"/>
  <c r="F25" i="40"/>
  <c r="J38" i="50"/>
  <c r="G15" i="40"/>
  <c r="F15" i="50"/>
  <c r="I10" i="50"/>
  <c r="M71" i="49"/>
  <c r="I54" i="40"/>
  <c r="N25" i="40"/>
  <c r="J20" i="40"/>
  <c r="K9" i="49"/>
  <c r="D55" i="48"/>
  <c r="I29" i="40"/>
  <c r="F18" i="48"/>
  <c r="B46" i="50"/>
  <c r="I11" i="40"/>
  <c r="I36" i="48"/>
  <c r="C54" i="48"/>
  <c r="I25" i="49"/>
  <c r="G46" i="48"/>
  <c r="K44" i="40"/>
  <c r="C14" i="49"/>
  <c r="I17" i="50"/>
  <c r="J47" i="50"/>
  <c r="B63" i="48"/>
  <c r="G5" i="49"/>
  <c r="G26" i="48"/>
  <c r="D40" i="49"/>
  <c r="N14" i="40"/>
  <c r="I73" i="40"/>
  <c r="B26" i="49"/>
  <c r="C20" i="40"/>
  <c r="D53" i="48"/>
  <c r="D20" i="50"/>
  <c r="K19" i="50"/>
  <c r="F17" i="40"/>
  <c r="J8" i="48"/>
  <c r="D26" i="50"/>
  <c r="F13" i="40"/>
  <c r="B48" i="49"/>
  <c r="G20" i="48"/>
  <c r="G24" i="40"/>
  <c r="I3" i="48"/>
  <c r="G75" i="49"/>
  <c r="B80" i="40"/>
  <c r="D48" i="40"/>
  <c r="M37" i="40"/>
  <c r="D32" i="50"/>
  <c r="C18" i="50"/>
  <c r="B146" i="48"/>
  <c r="N74" i="49"/>
  <c r="K9" i="40"/>
  <c r="K22" i="48"/>
  <c r="B72" i="40"/>
  <c r="N8" i="49"/>
  <c r="B27" i="50"/>
  <c r="J38" i="48"/>
  <c r="K11" i="48"/>
  <c r="D43" i="50"/>
  <c r="B46" i="49"/>
  <c r="C22" i="48"/>
  <c r="N38" i="40"/>
  <c r="C21" i="48"/>
  <c r="B60" i="40"/>
  <c r="N61" i="40"/>
  <c r="N7" i="48"/>
  <c r="I62" i="40"/>
  <c r="J146" i="48"/>
  <c r="B39" i="49"/>
  <c r="G16" i="40"/>
  <c r="D14" i="40"/>
  <c r="N17" i="50"/>
  <c r="F36" i="49"/>
  <c r="C53" i="48"/>
  <c r="D15" i="50"/>
  <c r="I29" i="49"/>
  <c r="N29" i="40"/>
  <c r="G36" i="50"/>
  <c r="C11" i="40"/>
  <c r="D15" i="40"/>
  <c r="G26" i="40"/>
  <c r="I39" i="49"/>
  <c r="B40" i="50"/>
  <c r="M18" i="48"/>
  <c r="D42" i="49"/>
  <c r="K66" i="48"/>
  <c r="G8" i="49"/>
  <c r="K31" i="49"/>
  <c r="N4" i="48"/>
  <c r="B9" i="50"/>
  <c r="I43" i="48"/>
  <c r="K54" i="40"/>
  <c r="J49" i="40"/>
  <c r="B11" i="50"/>
  <c r="N3" i="40"/>
  <c r="F77" i="49"/>
  <c r="D85" i="48"/>
  <c r="G43" i="40"/>
  <c r="C44" i="49"/>
  <c r="I10" i="49"/>
  <c r="K3" i="48"/>
  <c r="C6" i="49"/>
  <c r="B49" i="40"/>
  <c r="J9" i="40"/>
  <c r="M8" i="40"/>
  <c r="I49" i="49"/>
  <c r="C64" i="48"/>
  <c r="G40" i="48"/>
  <c r="M47" i="50"/>
  <c r="G59" i="40"/>
  <c r="I82" i="48"/>
  <c r="B21" i="50"/>
  <c r="C14" i="50"/>
  <c r="D48" i="50"/>
  <c r="C19" i="50"/>
  <c r="I9" i="40"/>
  <c r="J49" i="49"/>
  <c r="E69" i="49"/>
  <c r="B17" i="40"/>
  <c r="B21" i="40"/>
  <c r="N81" i="48"/>
  <c r="C11" i="48"/>
  <c r="K48" i="50"/>
  <c r="K5" i="50"/>
  <c r="G54" i="49"/>
  <c r="J50" i="49"/>
  <c r="C40" i="49"/>
  <c r="F75" i="49"/>
  <c r="M18" i="40"/>
  <c r="J41" i="40"/>
  <c r="N36" i="40"/>
  <c r="B33" i="50"/>
  <c r="B9" i="49"/>
  <c r="M29" i="48"/>
  <c r="M20" i="50"/>
  <c r="I18" i="40"/>
  <c r="B31" i="48"/>
  <c r="M13" i="48"/>
  <c r="N42" i="40"/>
  <c r="J26" i="40"/>
  <c r="D38" i="48"/>
  <c r="D41" i="50"/>
  <c r="C33" i="50"/>
  <c r="F20" i="50"/>
  <c r="J31" i="50"/>
  <c r="F28" i="49"/>
  <c r="I20" i="49"/>
  <c r="C4" i="48"/>
  <c r="C22" i="50"/>
  <c r="K9" i="48"/>
  <c r="I26" i="49"/>
  <c r="I84" i="40"/>
  <c r="D50" i="50"/>
  <c r="J8" i="49"/>
  <c r="M19" i="48"/>
  <c r="K16" i="48"/>
  <c r="C80" i="48"/>
  <c r="D21" i="48"/>
  <c r="G60" i="48"/>
  <c r="N69" i="49"/>
  <c r="K88" i="40"/>
  <c r="G52" i="40"/>
  <c r="K69" i="40"/>
  <c r="I37" i="48"/>
  <c r="K6" i="50"/>
  <c r="N47" i="49"/>
  <c r="C86" i="48"/>
  <c r="K40" i="48"/>
  <c r="G25" i="40"/>
  <c r="D69" i="40"/>
  <c r="F69" i="49"/>
  <c r="N5" i="49"/>
  <c r="D39" i="50"/>
  <c r="N39" i="40"/>
  <c r="F26" i="50"/>
  <c r="N15" i="40"/>
  <c r="D31" i="40"/>
  <c r="F39" i="40"/>
  <c r="C18" i="48"/>
  <c r="M5" i="48"/>
  <c r="J7" i="40"/>
  <c r="F80" i="40"/>
  <c r="N21" i="48"/>
  <c r="N7" i="40"/>
  <c r="C39" i="50"/>
  <c r="B49" i="48"/>
  <c r="B58" i="48"/>
  <c r="I50" i="48"/>
  <c r="I68" i="40"/>
  <c r="L14" i="48"/>
  <c r="B36" i="50"/>
  <c r="D14" i="48"/>
  <c r="I39" i="48"/>
  <c r="M26" i="48"/>
  <c r="F21" i="50"/>
  <c r="B48" i="48"/>
  <c r="F11" i="40"/>
  <c r="F74" i="49"/>
  <c r="F9" i="48"/>
  <c r="F41" i="48"/>
  <c r="G6" i="40"/>
  <c r="J3" i="50"/>
  <c r="B17" i="49"/>
  <c r="N10" i="50"/>
  <c r="I30" i="48"/>
  <c r="B5" i="49"/>
  <c r="C48" i="48"/>
  <c r="N32" i="49"/>
  <c r="J61" i="40"/>
  <c r="J30" i="40"/>
  <c r="G22" i="50"/>
  <c r="C6" i="50"/>
  <c r="F41" i="40"/>
  <c r="E47" i="49"/>
  <c r="D40" i="48"/>
  <c r="B18" i="49"/>
  <c r="K11" i="50"/>
  <c r="C52" i="49"/>
  <c r="B8" i="40"/>
  <c r="K64" i="40"/>
  <c r="J10" i="49"/>
  <c r="K21" i="49"/>
  <c r="G28" i="49"/>
  <c r="M5" i="50"/>
  <c r="G33" i="49"/>
  <c r="M11" i="50"/>
  <c r="B48" i="40"/>
  <c r="C58" i="48"/>
  <c r="M21" i="40"/>
  <c r="N44" i="40"/>
  <c r="B41" i="50"/>
  <c r="G36" i="48"/>
  <c r="F47" i="49"/>
  <c r="I10" i="40"/>
  <c r="N54" i="40"/>
  <c r="G6" i="49"/>
  <c r="D18" i="48"/>
  <c r="J53" i="49"/>
  <c r="I79" i="40"/>
  <c r="J7" i="49"/>
  <c r="I61" i="48"/>
  <c r="M88" i="48"/>
  <c r="N14" i="49"/>
  <c r="K50" i="50"/>
  <c r="K10" i="40"/>
  <c r="M33" i="49"/>
  <c r="I53" i="49"/>
  <c r="M36" i="49"/>
  <c r="N84" i="48"/>
  <c r="B31" i="49"/>
  <c r="B2" i="49"/>
  <c r="E25" i="49"/>
  <c r="K69" i="49"/>
  <c r="D10" i="48"/>
  <c r="D61" i="48"/>
  <c r="J81" i="40"/>
  <c r="J49" i="48"/>
  <c r="C17" i="48"/>
  <c r="G44" i="40"/>
  <c r="I8" i="49"/>
  <c r="N9" i="40"/>
  <c r="G41" i="40"/>
  <c r="K31" i="40"/>
  <c r="F30" i="48"/>
  <c r="K7" i="40"/>
  <c r="K50" i="48"/>
  <c r="I18" i="50"/>
  <c r="I3" i="50"/>
  <c r="G26" i="49"/>
  <c r="G58" i="40"/>
  <c r="G54" i="48"/>
  <c r="D65" i="40"/>
  <c r="C48" i="49"/>
  <c r="N37" i="48"/>
  <c r="D54" i="48"/>
  <c r="J33" i="50"/>
  <c r="B84" i="48"/>
  <c r="F47" i="50"/>
  <c r="F22" i="48"/>
  <c r="G21" i="49"/>
  <c r="C33" i="48"/>
  <c r="J27" i="40"/>
  <c r="C48" i="50"/>
  <c r="D51" i="48"/>
  <c r="J36" i="49"/>
  <c r="N18" i="48"/>
  <c r="B13" i="50"/>
  <c r="C27" i="49"/>
  <c r="M81" i="48"/>
  <c r="C88" i="48"/>
  <c r="K44" i="48"/>
  <c r="C60" i="40"/>
  <c r="D19" i="48"/>
  <c r="N30" i="48"/>
  <c r="N25" i="48"/>
  <c r="C47" i="50"/>
  <c r="I42" i="48"/>
  <c r="I37" i="49"/>
  <c r="J4" i="48"/>
  <c r="J36" i="50"/>
  <c r="M15" i="40"/>
  <c r="C65" i="40"/>
  <c r="G62" i="48"/>
  <c r="N41" i="48"/>
  <c r="D31" i="48"/>
  <c r="D21" i="50"/>
  <c r="I52" i="50"/>
  <c r="F16" i="49"/>
  <c r="B79" i="40"/>
  <c r="J48" i="50"/>
  <c r="K39" i="50"/>
  <c r="B41" i="49"/>
  <c r="J82" i="48"/>
  <c r="M11" i="40"/>
  <c r="G63" i="48"/>
  <c r="F44" i="48"/>
  <c r="I21" i="49"/>
  <c r="F16" i="48"/>
  <c r="J9" i="50"/>
  <c r="D88" i="40"/>
  <c r="D54" i="40"/>
  <c r="B39" i="40"/>
  <c r="K20" i="48"/>
  <c r="J20" i="49"/>
  <c r="D3" i="49"/>
  <c r="M4" i="50"/>
  <c r="N3" i="49"/>
  <c r="K20" i="40"/>
  <c r="I73" i="49"/>
  <c r="I26" i="48"/>
  <c r="K14" i="50"/>
  <c r="N38" i="50"/>
  <c r="M31" i="50"/>
  <c r="G35" i="40"/>
  <c r="G88" i="40"/>
  <c r="J84" i="48"/>
  <c r="G17" i="48"/>
  <c r="N60" i="48"/>
  <c r="K10" i="50"/>
  <c r="I18" i="48"/>
  <c r="D37" i="50"/>
  <c r="K53" i="48"/>
  <c r="C55" i="49"/>
  <c r="M36" i="40"/>
  <c r="I27" i="49"/>
  <c r="F13" i="48"/>
  <c r="N31" i="40"/>
  <c r="G146" i="48"/>
  <c r="M10" i="49"/>
  <c r="G26" i="50"/>
  <c r="K6" i="49"/>
  <c r="N86" i="48"/>
  <c r="K31" i="48"/>
  <c r="G41" i="48"/>
  <c r="C21" i="49"/>
  <c r="C19" i="49"/>
  <c r="M33" i="40"/>
  <c r="N22" i="50"/>
  <c r="K32" i="40"/>
  <c r="D37" i="48"/>
  <c r="N19" i="48"/>
  <c r="F4" i="50"/>
  <c r="C44" i="48"/>
  <c r="J21" i="49"/>
  <c r="N60" i="40"/>
  <c r="E14" i="40"/>
  <c r="I80" i="48"/>
  <c r="G2" i="40"/>
  <c r="B85" i="40"/>
  <c r="G87" i="48"/>
  <c r="C28" i="48"/>
  <c r="B26" i="48"/>
  <c r="B40" i="40"/>
  <c r="C14" i="40"/>
  <c r="M25" i="48"/>
  <c r="B62" i="48"/>
  <c r="I66" i="48"/>
  <c r="J39" i="40"/>
  <c r="C29" i="48"/>
  <c r="D84" i="40"/>
  <c r="K18" i="49"/>
  <c r="B7" i="50"/>
  <c r="D52" i="49"/>
  <c r="I27" i="48"/>
  <c r="M24" i="40"/>
  <c r="J87" i="48"/>
  <c r="J27" i="49"/>
  <c r="G28" i="40"/>
  <c r="L58" i="40"/>
  <c r="M82" i="40"/>
  <c r="N83" i="48"/>
  <c r="B86" i="40"/>
  <c r="D7" i="49"/>
  <c r="D60" i="48"/>
  <c r="C32" i="50"/>
  <c r="J52" i="40"/>
  <c r="J47" i="40"/>
  <c r="M36" i="48"/>
  <c r="K22" i="40"/>
  <c r="B2" i="48"/>
  <c r="I30" i="50"/>
  <c r="C11" i="50"/>
  <c r="B80" i="48"/>
  <c r="I68" i="49"/>
  <c r="C38" i="48"/>
  <c r="K62" i="40"/>
  <c r="J44" i="40"/>
  <c r="J6" i="48"/>
  <c r="I51" i="48"/>
  <c r="I9" i="50"/>
  <c r="C41" i="49"/>
  <c r="B44" i="50"/>
  <c r="D9" i="40"/>
  <c r="M72" i="49"/>
  <c r="G39" i="50"/>
  <c r="B36" i="48"/>
  <c r="K63" i="48"/>
  <c r="C31" i="40"/>
  <c r="N87" i="40"/>
  <c r="B32" i="50"/>
  <c r="G57" i="48"/>
  <c r="N49" i="49"/>
  <c r="I64" i="40"/>
  <c r="J25" i="40"/>
  <c r="C87" i="48"/>
  <c r="G38" i="50"/>
  <c r="G13" i="49"/>
  <c r="J83" i="40"/>
  <c r="I55" i="49"/>
  <c r="K8" i="50"/>
  <c r="C59" i="40"/>
  <c r="M4" i="49"/>
  <c r="B10" i="40"/>
  <c r="C20" i="48"/>
  <c r="N19" i="40"/>
  <c r="G8" i="48"/>
  <c r="M16" i="48"/>
  <c r="D3" i="50"/>
  <c r="J37" i="48"/>
  <c r="F15" i="40"/>
  <c r="B82" i="48"/>
  <c r="K28" i="49"/>
  <c r="G33" i="40"/>
  <c r="G4" i="48"/>
  <c r="M7" i="40"/>
  <c r="G47" i="48"/>
  <c r="C7" i="49"/>
  <c r="N6" i="50"/>
  <c r="J8" i="50"/>
  <c r="D11" i="50"/>
  <c r="G50" i="50"/>
  <c r="K36" i="40"/>
  <c r="M24" i="50"/>
  <c r="C53" i="40"/>
  <c r="K21" i="50"/>
  <c r="K26" i="50"/>
  <c r="G61" i="48"/>
  <c r="N75" i="49"/>
  <c r="I41" i="48"/>
  <c r="B51" i="49"/>
  <c r="J48" i="40"/>
  <c r="I54" i="49"/>
  <c r="B17" i="48"/>
  <c r="M10" i="40"/>
  <c r="G31" i="50"/>
  <c r="N15" i="50"/>
  <c r="J42" i="49"/>
  <c r="I43" i="40"/>
  <c r="I39" i="40"/>
  <c r="B47" i="40"/>
  <c r="G81" i="48"/>
  <c r="F10" i="50"/>
  <c r="F33" i="48"/>
  <c r="F82" i="40"/>
  <c r="M31" i="40"/>
  <c r="G52" i="49"/>
  <c r="B51" i="40"/>
  <c r="N36" i="50"/>
  <c r="D17" i="49"/>
  <c r="J17" i="48"/>
  <c r="G44" i="48"/>
  <c r="F31" i="40"/>
  <c r="G48" i="48"/>
  <c r="F11" i="50"/>
  <c r="K84" i="48"/>
  <c r="I16" i="49"/>
  <c r="B3" i="48"/>
  <c r="J18" i="40"/>
  <c r="F80" i="48"/>
  <c r="K21" i="48"/>
  <c r="J26" i="48"/>
  <c r="N28" i="50"/>
  <c r="N4" i="50"/>
  <c r="K14" i="48"/>
  <c r="N73" i="49"/>
  <c r="K44" i="50"/>
  <c r="D8" i="49"/>
  <c r="B19" i="48"/>
  <c r="I32" i="50"/>
  <c r="I47" i="40"/>
  <c r="B86" i="48"/>
  <c r="C52" i="50"/>
  <c r="I38" i="40"/>
  <c r="J11" i="48"/>
  <c r="B6" i="48"/>
  <c r="N48" i="40"/>
  <c r="G4" i="49"/>
  <c r="C69" i="49"/>
  <c r="J18" i="48"/>
  <c r="F69" i="40"/>
  <c r="F84" i="48"/>
  <c r="G11" i="49"/>
  <c r="B71" i="40"/>
  <c r="C5" i="40"/>
  <c r="B19" i="40"/>
  <c r="D84" i="48"/>
  <c r="B37" i="50"/>
  <c r="N66" i="48"/>
  <c r="G80" i="48"/>
  <c r="J63" i="48"/>
  <c r="G32" i="40"/>
  <c r="N33" i="40"/>
  <c r="I86" i="40"/>
  <c r="G27" i="48"/>
  <c r="I39" i="50"/>
  <c r="K26" i="40"/>
  <c r="B11" i="48"/>
  <c r="I35" i="48"/>
  <c r="D31" i="50"/>
  <c r="G25" i="50"/>
  <c r="N47" i="50"/>
  <c r="B10" i="50"/>
  <c r="B20" i="40"/>
  <c r="J32" i="40"/>
  <c r="J31" i="49"/>
  <c r="K37" i="40"/>
  <c r="D41" i="40"/>
  <c r="F4" i="40"/>
  <c r="C10" i="49"/>
  <c r="B28" i="48"/>
  <c r="C50" i="50"/>
  <c r="F18" i="49"/>
  <c r="C39" i="48"/>
  <c r="D58" i="40"/>
  <c r="D8" i="48"/>
  <c r="E25" i="48"/>
  <c r="K38" i="40"/>
  <c r="J18" i="49"/>
  <c r="M7" i="49"/>
  <c r="M6" i="50"/>
  <c r="G29" i="48"/>
  <c r="G18" i="50"/>
  <c r="B7" i="40"/>
  <c r="N28" i="40"/>
  <c r="C31" i="49"/>
  <c r="K55" i="49"/>
  <c r="D75" i="49"/>
  <c r="J41" i="49"/>
  <c r="F14" i="49"/>
  <c r="D40" i="50"/>
  <c r="F47" i="40"/>
  <c r="F30" i="40"/>
  <c r="K25" i="40"/>
  <c r="J60" i="40"/>
  <c r="B55" i="48"/>
  <c r="N30" i="50"/>
  <c r="K37" i="49"/>
  <c r="C63" i="48"/>
  <c r="J22" i="48"/>
  <c r="D72" i="49"/>
  <c r="J39" i="48"/>
  <c r="D87" i="48"/>
  <c r="M68" i="49"/>
  <c r="C27" i="40"/>
  <c r="J65" i="40"/>
  <c r="N20" i="50"/>
  <c r="B55" i="49"/>
  <c r="K17" i="40"/>
  <c r="N11" i="50"/>
  <c r="J37" i="50"/>
  <c r="M13" i="49"/>
  <c r="N19" i="50"/>
  <c r="C53" i="50"/>
  <c r="F84" i="40"/>
  <c r="C29" i="40"/>
  <c r="F146" i="48"/>
  <c r="J26" i="50"/>
  <c r="N85" i="40"/>
  <c r="D52" i="50"/>
  <c r="J43" i="48"/>
  <c r="C51" i="50"/>
  <c r="B15" i="48"/>
  <c r="B54" i="49"/>
  <c r="I72" i="49"/>
  <c r="G43" i="49"/>
  <c r="J50" i="48"/>
  <c r="D17" i="40"/>
  <c r="N43" i="49"/>
  <c r="C15" i="49"/>
  <c r="F6" i="50"/>
  <c r="N15" i="48"/>
  <c r="I5" i="49"/>
  <c r="M24" i="48"/>
  <c r="I46" i="49"/>
  <c r="M14" i="49"/>
  <c r="M87" i="40"/>
  <c r="K47" i="49"/>
  <c r="I21" i="40"/>
  <c r="N10" i="49"/>
  <c r="G37" i="40"/>
  <c r="M43" i="48"/>
  <c r="M3" i="40"/>
  <c r="N5" i="48"/>
  <c r="N66" i="40"/>
  <c r="I146" i="48"/>
  <c r="G18" i="48"/>
  <c r="G22" i="40"/>
  <c r="G51" i="40"/>
  <c r="N49" i="48"/>
  <c r="K72" i="49"/>
  <c r="F82" i="48"/>
  <c r="M44" i="40"/>
  <c r="J4" i="49"/>
  <c r="B50" i="49"/>
  <c r="F17" i="49"/>
  <c r="F21" i="40"/>
  <c r="J38" i="40"/>
  <c r="M28" i="48"/>
  <c r="K65" i="48"/>
  <c r="K82" i="48"/>
  <c r="G38" i="48"/>
  <c r="J19" i="50"/>
  <c r="D41" i="48"/>
  <c r="I87" i="48"/>
  <c r="B83" i="40"/>
  <c r="F88" i="48"/>
  <c r="J9" i="49"/>
  <c r="L80" i="48"/>
  <c r="K43" i="40"/>
  <c r="C15" i="50"/>
  <c r="M43" i="40"/>
  <c r="I40" i="48"/>
  <c r="C38" i="49"/>
  <c r="J22" i="49"/>
  <c r="N58" i="48"/>
  <c r="K28" i="50"/>
  <c r="K17" i="50"/>
  <c r="G13" i="48"/>
  <c r="N29" i="50"/>
  <c r="I25" i="40"/>
  <c r="K52" i="50"/>
  <c r="N6" i="49"/>
  <c r="J21" i="40"/>
  <c r="N18" i="49"/>
  <c r="D69" i="49"/>
  <c r="G47" i="50"/>
  <c r="J30" i="48"/>
  <c r="C14" i="48"/>
  <c r="K60" i="48"/>
  <c r="C66" i="48"/>
  <c r="B3" i="49"/>
  <c r="M6" i="48"/>
  <c r="J15" i="49"/>
  <c r="F5" i="48"/>
  <c r="B40" i="48"/>
  <c r="F17" i="50"/>
  <c r="J39" i="49"/>
  <c r="K8" i="49"/>
  <c r="M33" i="50"/>
  <c r="I70" i="49"/>
  <c r="J25" i="50"/>
  <c r="N9" i="48"/>
  <c r="M88" i="40"/>
  <c r="D31" i="49"/>
  <c r="F46" i="48"/>
  <c r="B11" i="40"/>
  <c r="I42" i="40"/>
  <c r="C47" i="40"/>
  <c r="D50" i="40"/>
  <c r="I44" i="49"/>
  <c r="F25" i="50"/>
  <c r="J21" i="48"/>
  <c r="M32" i="49"/>
  <c r="D50" i="48"/>
  <c r="K8" i="40"/>
  <c r="B42" i="40"/>
  <c r="I8" i="40"/>
  <c r="L47" i="40"/>
  <c r="M76" i="49"/>
  <c r="K43" i="48"/>
  <c r="I58" i="40"/>
  <c r="K54" i="50"/>
  <c r="I28" i="40"/>
  <c r="G35" i="48"/>
  <c r="G15" i="50"/>
  <c r="B2" i="50"/>
  <c r="I51" i="49"/>
  <c r="K30" i="50"/>
  <c r="I61" i="40"/>
  <c r="K14" i="49"/>
  <c r="J51" i="48"/>
  <c r="D20" i="49"/>
  <c r="B7" i="48"/>
  <c r="C25" i="48"/>
  <c r="I69" i="40"/>
  <c r="M30" i="48"/>
  <c r="K32" i="49"/>
  <c r="G87" i="40"/>
  <c r="J5" i="40"/>
  <c r="C25" i="40"/>
  <c r="J40" i="48"/>
  <c r="F25" i="48"/>
  <c r="J86" i="48"/>
  <c r="B35" i="48"/>
  <c r="K55" i="40"/>
  <c r="N86" i="40"/>
  <c r="F19" i="49"/>
  <c r="N37" i="49"/>
  <c r="B33" i="48"/>
  <c r="D29" i="49"/>
  <c r="D36" i="50"/>
  <c r="G82" i="40"/>
  <c r="C17" i="50"/>
  <c r="I4" i="48"/>
  <c r="G53" i="48"/>
  <c r="N47" i="40"/>
  <c r="B32" i="49"/>
  <c r="D43" i="40"/>
  <c r="N22" i="40"/>
  <c r="B19" i="50"/>
  <c r="G46" i="49"/>
  <c r="C32" i="49"/>
  <c r="I3" i="40"/>
  <c r="I88" i="48"/>
  <c r="N26" i="48"/>
  <c r="K85" i="48"/>
  <c r="M79" i="48"/>
  <c r="J42" i="40"/>
  <c r="B47" i="48"/>
  <c r="C40" i="48"/>
  <c r="F72" i="49"/>
  <c r="M79" i="40"/>
  <c r="B33" i="40"/>
  <c r="M5" i="49"/>
  <c r="K58" i="40"/>
  <c r="C49" i="40"/>
  <c r="B33" i="49"/>
  <c r="F85" i="40"/>
  <c r="J10" i="50"/>
  <c r="J28" i="40"/>
  <c r="K75" i="49"/>
  <c r="B37" i="40"/>
  <c r="F8" i="49"/>
  <c r="C32" i="40"/>
  <c r="M19" i="49"/>
  <c r="F10" i="40"/>
  <c r="J22" i="50"/>
  <c r="M21" i="50"/>
  <c r="M8" i="48"/>
  <c r="F15" i="48"/>
  <c r="G72" i="49"/>
  <c r="J16" i="48"/>
  <c r="D9" i="48"/>
  <c r="G68" i="49"/>
  <c r="D80" i="48"/>
  <c r="F32" i="50"/>
  <c r="K25" i="49"/>
  <c r="G20" i="40"/>
  <c r="B30" i="49"/>
  <c r="G50" i="40"/>
  <c r="J33" i="48"/>
  <c r="N38" i="48"/>
  <c r="I6" i="49"/>
  <c r="I24" i="50"/>
  <c r="F43" i="40"/>
  <c r="B62" i="40"/>
  <c r="F3" i="49"/>
  <c r="G29" i="50"/>
  <c r="K15" i="40"/>
  <c r="N28" i="48"/>
  <c r="B77" i="49"/>
  <c r="C6" i="40"/>
  <c r="M2" i="49"/>
  <c r="G17" i="40"/>
  <c r="I2" i="50"/>
  <c r="K32" i="50"/>
  <c r="L88" i="40"/>
  <c r="I80" i="40"/>
  <c r="I86" i="48"/>
  <c r="F46" i="50"/>
  <c r="B61" i="48"/>
  <c r="E6" i="40"/>
  <c r="G4" i="40"/>
  <c r="C33" i="40"/>
  <c r="J31" i="40"/>
  <c r="G24" i="49"/>
  <c r="C58" i="40"/>
  <c r="G42" i="50"/>
  <c r="N33" i="49"/>
  <c r="D33" i="50"/>
  <c r="E39" i="48"/>
  <c r="C4" i="50"/>
  <c r="K6" i="40"/>
  <c r="N8" i="40"/>
  <c r="D3" i="48"/>
  <c r="F11" i="49"/>
  <c r="B55" i="50"/>
  <c r="B47" i="50"/>
  <c r="L10" i="49"/>
  <c r="C20" i="49"/>
  <c r="N51" i="50"/>
  <c r="K60" i="40"/>
  <c r="F42" i="40"/>
  <c r="E10" i="48"/>
  <c r="K28" i="48"/>
  <c r="N21" i="50"/>
  <c r="K41" i="40"/>
  <c r="D52" i="40"/>
  <c r="G43" i="50"/>
  <c r="E10" i="49"/>
  <c r="I54" i="50"/>
  <c r="B16" i="48"/>
  <c r="I13" i="49"/>
  <c r="J43" i="49"/>
  <c r="E31" i="48"/>
  <c r="G48" i="50"/>
  <c r="D26" i="48"/>
  <c r="D10" i="49"/>
  <c r="N42" i="49"/>
  <c r="E31" i="40"/>
  <c r="F22" i="40"/>
  <c r="C55" i="50"/>
  <c r="B36" i="40"/>
  <c r="K42" i="48"/>
  <c r="L61" i="40"/>
  <c r="G84" i="40"/>
  <c r="D27" i="48"/>
  <c r="B39" i="50"/>
  <c r="L41" i="48"/>
  <c r="E27" i="48"/>
  <c r="L17" i="49"/>
  <c r="N50" i="49"/>
  <c r="J14" i="50"/>
  <c r="J3" i="48"/>
  <c r="N22" i="48"/>
  <c r="J29" i="40"/>
  <c r="J49" i="50"/>
  <c r="M83" i="40"/>
  <c r="K53" i="49"/>
  <c r="L52" i="50"/>
  <c r="E33" i="49"/>
  <c r="C37" i="49"/>
  <c r="M27" i="50"/>
  <c r="K54" i="49"/>
  <c r="I65" i="40"/>
  <c r="I36" i="50"/>
  <c r="I58" i="48"/>
  <c r="L76" i="50"/>
  <c r="D39" i="49"/>
  <c r="M82" i="48"/>
  <c r="L65" i="48"/>
  <c r="I17" i="40"/>
  <c r="D49" i="40"/>
  <c r="B28" i="49"/>
  <c r="D6" i="48"/>
  <c r="N54" i="50"/>
  <c r="L43" i="40"/>
  <c r="N17" i="48"/>
  <c r="B30" i="48"/>
  <c r="N6" i="40"/>
  <c r="L15" i="40"/>
  <c r="E76" i="50"/>
  <c r="L21" i="40"/>
  <c r="B49" i="50"/>
  <c r="J52" i="48"/>
  <c r="F26" i="48"/>
  <c r="L32" i="48"/>
  <c r="E53" i="50"/>
  <c r="L75" i="49"/>
  <c r="I10" i="48"/>
  <c r="M9" i="48"/>
  <c r="G5" i="48"/>
  <c r="J29" i="48"/>
  <c r="K52" i="49"/>
  <c r="D42" i="40"/>
  <c r="G11" i="50"/>
  <c r="E36" i="40"/>
  <c r="F6" i="48"/>
  <c r="C18" i="40"/>
  <c r="J22" i="40"/>
  <c r="F79" i="48"/>
  <c r="F28" i="50"/>
  <c r="G37" i="50"/>
  <c r="E80" i="40"/>
  <c r="D61" i="40"/>
  <c r="N41" i="40"/>
  <c r="G44" i="50"/>
  <c r="F46" i="49"/>
  <c r="D81" i="48"/>
  <c r="J8" i="40"/>
  <c r="G21" i="50"/>
  <c r="M26" i="40"/>
  <c r="C27" i="50"/>
  <c r="D47" i="48"/>
  <c r="B22" i="49"/>
  <c r="I4" i="49"/>
  <c r="C71" i="49"/>
  <c r="N44" i="50"/>
  <c r="I8" i="50"/>
  <c r="D33" i="40"/>
  <c r="M10" i="48"/>
  <c r="F57" i="40"/>
  <c r="L73" i="49"/>
  <c r="I49" i="50"/>
  <c r="N53" i="48"/>
  <c r="K70" i="49"/>
  <c r="C83" i="40"/>
  <c r="N17" i="49"/>
  <c r="D21" i="40"/>
  <c r="F57" i="48"/>
  <c r="I50" i="50"/>
  <c r="N85" i="48"/>
  <c r="D53" i="49"/>
  <c r="D54" i="50"/>
  <c r="K5" i="48"/>
  <c r="N65" i="48"/>
  <c r="L14" i="40"/>
  <c r="D26" i="49"/>
  <c r="K52" i="40"/>
  <c r="J58" i="48"/>
  <c r="J62" i="48"/>
  <c r="J37" i="40"/>
  <c r="N16" i="40"/>
  <c r="K49" i="48"/>
  <c r="L8" i="40"/>
  <c r="M3" i="48"/>
  <c r="M32" i="48"/>
  <c r="C28" i="40"/>
  <c r="N44" i="48"/>
  <c r="L49" i="49"/>
  <c r="K3" i="50"/>
  <c r="J58" i="40"/>
  <c r="F42" i="48"/>
  <c r="G20" i="49"/>
  <c r="C33" i="49"/>
  <c r="C83" i="48"/>
  <c r="M69" i="40"/>
  <c r="F33" i="40"/>
  <c r="K80" i="40"/>
  <c r="I5" i="50"/>
  <c r="D25" i="49"/>
  <c r="I85" i="40"/>
  <c r="E36" i="48"/>
  <c r="J42" i="50"/>
  <c r="B79" i="48"/>
  <c r="E5" i="40"/>
  <c r="I48" i="50"/>
  <c r="J64" i="40"/>
  <c r="G53" i="50"/>
  <c r="N53" i="49"/>
  <c r="L54" i="49"/>
  <c r="I53" i="50"/>
  <c r="K61" i="40"/>
  <c r="B52" i="49"/>
  <c r="L53" i="49"/>
  <c r="L41" i="49"/>
  <c r="K63" i="40"/>
  <c r="G76" i="49"/>
  <c r="C41" i="50"/>
  <c r="E50" i="50"/>
  <c r="B73" i="49"/>
  <c r="C77" i="49"/>
  <c r="F29" i="49"/>
  <c r="B66" i="40"/>
  <c r="D53" i="50"/>
  <c r="E71" i="50"/>
  <c r="J69" i="40"/>
  <c r="L16" i="48"/>
  <c r="L81" i="40"/>
  <c r="E84" i="40"/>
  <c r="B24" i="49"/>
  <c r="G29" i="49"/>
  <c r="I72" i="40"/>
  <c r="G71" i="49"/>
  <c r="B5" i="48"/>
  <c r="D146" i="48"/>
  <c r="K29" i="50"/>
  <c r="E37" i="49"/>
  <c r="L11" i="49"/>
  <c r="I24" i="49"/>
  <c r="N40" i="49"/>
  <c r="J11" i="49"/>
  <c r="B14" i="49"/>
  <c r="I32" i="40"/>
  <c r="K26" i="49"/>
  <c r="J73" i="49"/>
  <c r="L19" i="49"/>
  <c r="L43" i="49"/>
  <c r="E28" i="40"/>
  <c r="J29" i="49"/>
  <c r="G25" i="48"/>
  <c r="C3" i="50"/>
  <c r="M11" i="48"/>
  <c r="L19" i="40"/>
  <c r="E8" i="50"/>
  <c r="E86" i="40"/>
  <c r="B38" i="40"/>
  <c r="B66" i="48"/>
  <c r="J4" i="50"/>
  <c r="G51" i="50"/>
  <c r="K5" i="49"/>
  <c r="I2" i="40"/>
  <c r="C36" i="48"/>
  <c r="N40" i="48"/>
  <c r="M2" i="50"/>
  <c r="D6" i="49"/>
  <c r="G9" i="50"/>
  <c r="N87" i="48"/>
  <c r="C50" i="40"/>
  <c r="G60" i="40"/>
  <c r="J83" i="48"/>
  <c r="M39" i="48"/>
  <c r="L25" i="40"/>
  <c r="D9" i="50"/>
  <c r="J3" i="49"/>
  <c r="I28" i="50"/>
  <c r="D6" i="40"/>
  <c r="I60" i="48"/>
  <c r="B37" i="48"/>
  <c r="B41" i="48"/>
  <c r="B3" i="50"/>
  <c r="D30" i="49"/>
  <c r="B22" i="40"/>
  <c r="D30" i="50"/>
  <c r="M14" i="48"/>
  <c r="F14" i="40"/>
  <c r="J48" i="49"/>
  <c r="G41" i="50"/>
  <c r="K65" i="40"/>
  <c r="L22" i="50"/>
  <c r="D28" i="48"/>
  <c r="D11" i="49"/>
  <c r="B75" i="40"/>
  <c r="I5" i="48"/>
  <c r="I40" i="50"/>
  <c r="F7" i="40"/>
  <c r="N52" i="50"/>
  <c r="D36" i="49"/>
  <c r="I14" i="49"/>
  <c r="C36" i="50"/>
  <c r="L70" i="49"/>
  <c r="F9" i="50"/>
  <c r="K4" i="40"/>
  <c r="D29" i="50"/>
  <c r="C47" i="48"/>
  <c r="F18" i="50"/>
  <c r="K19" i="48"/>
  <c r="N9" i="49"/>
  <c r="I62" i="48"/>
  <c r="B55" i="40"/>
  <c r="K53" i="40"/>
  <c r="M87" i="48"/>
  <c r="C21" i="40"/>
  <c r="C75" i="49"/>
  <c r="B3" i="40"/>
  <c r="N30" i="49"/>
  <c r="J55" i="48"/>
  <c r="K11" i="49"/>
  <c r="K14" i="40"/>
  <c r="D66" i="40"/>
  <c r="J41" i="50"/>
  <c r="K37" i="48"/>
  <c r="G19" i="40"/>
  <c r="D43" i="49"/>
  <c r="D32" i="49"/>
  <c r="F29" i="50"/>
  <c r="B51" i="48"/>
  <c r="C50" i="49"/>
  <c r="G3" i="50"/>
  <c r="K42" i="49"/>
  <c r="C88" i="40"/>
  <c r="K47" i="48"/>
  <c r="N8" i="48"/>
  <c r="D63" i="40"/>
  <c r="J11" i="40"/>
  <c r="I48" i="40"/>
  <c r="E58" i="48"/>
  <c r="E63" i="40"/>
  <c r="I33" i="49"/>
  <c r="I32" i="49"/>
  <c r="E52" i="50"/>
  <c r="I33" i="50"/>
  <c r="E49" i="50"/>
  <c r="E54" i="48"/>
  <c r="G50" i="48"/>
  <c r="G49" i="50"/>
  <c r="L10" i="48"/>
  <c r="G50" i="49"/>
  <c r="E25" i="50"/>
  <c r="N54" i="49"/>
  <c r="M27" i="40"/>
  <c r="K28" i="40"/>
  <c r="E51" i="48"/>
  <c r="K49" i="40"/>
  <c r="L44" i="50"/>
  <c r="L47" i="48"/>
  <c r="K39" i="48"/>
  <c r="N14" i="50"/>
  <c r="E51" i="49"/>
  <c r="D64" i="48"/>
  <c r="M40" i="40"/>
  <c r="N88" i="40"/>
  <c r="K33" i="50"/>
  <c r="D22" i="40"/>
  <c r="F33" i="49"/>
  <c r="B6" i="49"/>
  <c r="N77" i="49"/>
  <c r="E71" i="49"/>
  <c r="J69" i="49"/>
  <c r="N64" i="48"/>
  <c r="D60" i="40"/>
  <c r="E58" i="40"/>
  <c r="G53" i="40"/>
  <c r="L27" i="40"/>
  <c r="K33" i="49"/>
  <c r="E44" i="50"/>
  <c r="B65" i="40"/>
  <c r="E53" i="49"/>
  <c r="E33" i="50"/>
  <c r="E33" i="48"/>
  <c r="M77" i="49"/>
  <c r="G68" i="40"/>
  <c r="B59" i="40"/>
  <c r="C17" i="49"/>
  <c r="K32" i="48"/>
  <c r="K8" i="48"/>
  <c r="G21" i="48"/>
  <c r="D11" i="48"/>
  <c r="D51" i="49"/>
  <c r="N50" i="40"/>
  <c r="C49" i="50"/>
  <c r="G81" i="40"/>
  <c r="I54" i="48"/>
  <c r="G86" i="48"/>
  <c r="I40" i="49"/>
  <c r="I43" i="49"/>
  <c r="K29" i="40"/>
  <c r="J10" i="48"/>
  <c r="G39" i="40"/>
  <c r="D65" i="48"/>
  <c r="M86" i="48"/>
  <c r="J20" i="50"/>
  <c r="K146" i="48"/>
  <c r="F15" i="49"/>
  <c r="G7" i="48"/>
  <c r="D5" i="49"/>
  <c r="G64" i="40"/>
  <c r="L36" i="50"/>
  <c r="I17" i="48"/>
  <c r="F16" i="40"/>
  <c r="C59" i="48"/>
  <c r="B24" i="40"/>
  <c r="M22" i="48"/>
  <c r="N80" i="40"/>
  <c r="K43" i="49"/>
  <c r="E54" i="49"/>
  <c r="C62" i="48"/>
  <c r="B76" i="49"/>
  <c r="N52" i="49"/>
  <c r="N47" i="48"/>
  <c r="L15" i="50"/>
  <c r="K7" i="50"/>
  <c r="D83" i="48"/>
  <c r="B25" i="50"/>
  <c r="L22" i="40"/>
  <c r="I7" i="49"/>
  <c r="N7" i="50"/>
  <c r="G19" i="50"/>
  <c r="F10" i="48"/>
  <c r="E65" i="48"/>
  <c r="I82" i="40"/>
  <c r="D33" i="49"/>
  <c r="J51" i="40"/>
  <c r="M19" i="50"/>
  <c r="B28" i="50"/>
  <c r="C72" i="49"/>
  <c r="B51" i="50"/>
  <c r="M17" i="49"/>
  <c r="B37" i="49"/>
  <c r="M58" i="48"/>
  <c r="I38" i="50"/>
  <c r="M41" i="48"/>
  <c r="M20" i="40"/>
  <c r="K22" i="49"/>
  <c r="G9" i="49"/>
  <c r="I27" i="40"/>
  <c r="I44" i="50"/>
  <c r="E47" i="48"/>
  <c r="L18" i="48"/>
  <c r="I9" i="48"/>
  <c r="G53" i="49"/>
  <c r="N84" i="40"/>
  <c r="F38" i="48"/>
  <c r="L32" i="49"/>
  <c r="N61" i="48"/>
  <c r="B53" i="40"/>
  <c r="K3" i="40"/>
  <c r="I35" i="49"/>
  <c r="C51" i="49"/>
  <c r="F35" i="50"/>
  <c r="I53" i="40"/>
  <c r="E70" i="49"/>
  <c r="N42" i="48"/>
  <c r="I25" i="48"/>
  <c r="E10" i="50"/>
  <c r="N37" i="40"/>
  <c r="E26" i="40"/>
  <c r="I70" i="40"/>
  <c r="E16" i="40"/>
  <c r="G13" i="40"/>
  <c r="E27" i="50"/>
  <c r="M9" i="49"/>
  <c r="N42" i="50"/>
  <c r="G54" i="40"/>
  <c r="I63" i="40"/>
  <c r="L88" i="48"/>
  <c r="L50" i="50"/>
  <c r="G30" i="48"/>
  <c r="B4" i="49"/>
  <c r="L53" i="48"/>
  <c r="B73" i="40"/>
  <c r="M84" i="48"/>
  <c r="L44" i="48"/>
  <c r="D38" i="50"/>
  <c r="M25" i="50"/>
  <c r="D62" i="48"/>
  <c r="N16" i="48"/>
  <c r="N27" i="49"/>
  <c r="E49" i="40"/>
  <c r="F5" i="50"/>
  <c r="C30" i="40"/>
  <c r="E28" i="49"/>
  <c r="E14" i="48"/>
  <c r="D44" i="48"/>
  <c r="B52" i="50"/>
  <c r="M80" i="40"/>
  <c r="G20" i="50"/>
  <c r="L20" i="50"/>
  <c r="J32" i="49"/>
  <c r="E32" i="48"/>
  <c r="F20" i="40"/>
  <c r="L65" i="40"/>
  <c r="L22" i="49"/>
  <c r="L55" i="50"/>
  <c r="B16" i="40"/>
  <c r="F88" i="40"/>
  <c r="C39" i="40"/>
  <c r="M85" i="48"/>
  <c r="J81" i="48"/>
  <c r="D17" i="50"/>
  <c r="G66" i="48"/>
  <c r="K19" i="40"/>
  <c r="N21" i="40"/>
  <c r="F19" i="48"/>
  <c r="F35" i="49"/>
  <c r="C19" i="48"/>
  <c r="F10" i="49"/>
  <c r="G17" i="49"/>
  <c r="K29" i="48"/>
  <c r="F27" i="40"/>
  <c r="I60" i="40"/>
  <c r="B46" i="40"/>
  <c r="C86" i="40"/>
  <c r="F38" i="40"/>
  <c r="B29" i="50"/>
  <c r="C26" i="50"/>
  <c r="J76" i="49"/>
  <c r="F14" i="50"/>
  <c r="K42" i="50"/>
  <c r="N52" i="48"/>
  <c r="D42" i="48"/>
  <c r="G74" i="49"/>
  <c r="G19" i="49"/>
  <c r="B13" i="40"/>
  <c r="G42" i="48"/>
  <c r="M36" i="50"/>
  <c r="M70" i="49"/>
  <c r="B14" i="40"/>
  <c r="I20" i="50"/>
  <c r="I36" i="49"/>
  <c r="F18" i="40"/>
  <c r="K7" i="48"/>
  <c r="F30" i="49"/>
  <c r="I71" i="49"/>
  <c r="C51" i="48"/>
  <c r="C20" i="50"/>
  <c r="J47" i="49"/>
  <c r="D38" i="40"/>
  <c r="G52" i="48"/>
  <c r="G44" i="49"/>
  <c r="G41" i="49"/>
  <c r="M31" i="48"/>
  <c r="F30" i="50"/>
  <c r="I52" i="49"/>
  <c r="D9" i="49"/>
  <c r="K29" i="49"/>
  <c r="K6" i="48"/>
  <c r="I49" i="40"/>
  <c r="F20" i="48"/>
  <c r="M7" i="48"/>
  <c r="I13" i="50"/>
  <c r="I13" i="48"/>
  <c r="M22" i="40"/>
  <c r="H4" i="19"/>
  <c r="M28" i="50"/>
  <c r="D18" i="50"/>
  <c r="K17" i="49"/>
  <c r="G55" i="40"/>
  <c r="I14" i="48"/>
  <c r="N20" i="49"/>
  <c r="I37" i="50"/>
  <c r="N80" i="48"/>
  <c r="G55" i="48"/>
  <c r="G88" i="48"/>
  <c r="B49" i="49"/>
  <c r="C73" i="49"/>
  <c r="C10" i="40"/>
  <c r="G36" i="40"/>
  <c r="F16" i="50"/>
  <c r="F6" i="40"/>
  <c r="F31" i="48"/>
  <c r="D19" i="50"/>
  <c r="C26" i="48"/>
  <c r="M18" i="49"/>
  <c r="D39" i="48"/>
  <c r="J55" i="40"/>
  <c r="B44" i="49"/>
  <c r="D49" i="49"/>
  <c r="G7" i="40"/>
  <c r="G8" i="50"/>
  <c r="I16" i="48"/>
  <c r="G3" i="49"/>
  <c r="M4" i="40"/>
  <c r="J66" i="48"/>
  <c r="D74" i="49"/>
  <c r="B20" i="50"/>
  <c r="C26" i="40"/>
  <c r="G66" i="40"/>
  <c r="I32" i="48"/>
  <c r="I69" i="49"/>
  <c r="B43" i="49"/>
  <c r="C30" i="49"/>
  <c r="E31" i="49"/>
  <c r="B71" i="49"/>
  <c r="J17" i="49"/>
  <c r="B4" i="48"/>
  <c r="D10" i="40"/>
  <c r="L16" i="49"/>
  <c r="E69" i="40"/>
  <c r="C66" i="40"/>
  <c r="M6" i="49"/>
  <c r="B57" i="48"/>
  <c r="F8" i="40"/>
  <c r="D4" i="50"/>
  <c r="B18" i="48"/>
  <c r="E55" i="40"/>
  <c r="N7" i="49"/>
  <c r="K20" i="49"/>
  <c r="F47" i="48"/>
  <c r="I5" i="40"/>
  <c r="B64" i="48"/>
  <c r="N51" i="40"/>
  <c r="J5" i="48"/>
  <c r="M16" i="50"/>
  <c r="I38" i="49"/>
  <c r="G64" i="48"/>
  <c r="N10" i="48"/>
  <c r="K66" i="40"/>
  <c r="C40" i="40"/>
  <c r="J4" i="40"/>
  <c r="E37" i="50"/>
  <c r="F22" i="49"/>
  <c r="G42" i="49"/>
  <c r="L31" i="50"/>
  <c r="K86" i="48"/>
  <c r="E11" i="40"/>
  <c r="M21" i="48"/>
  <c r="C54" i="50"/>
  <c r="K48" i="49"/>
  <c r="B63" i="40"/>
  <c r="E17" i="48"/>
  <c r="E22" i="49"/>
  <c r="J53" i="50"/>
  <c r="I48" i="49"/>
  <c r="E9" i="49"/>
  <c r="I16" i="50"/>
  <c r="J62" i="40"/>
  <c r="N43" i="48"/>
  <c r="N26" i="49"/>
  <c r="E9" i="40"/>
  <c r="F58" i="48"/>
  <c r="I52" i="40"/>
  <c r="L10" i="40"/>
  <c r="D43" i="48"/>
  <c r="L47" i="49"/>
  <c r="E15" i="49"/>
  <c r="D53" i="40"/>
  <c r="B76" i="40"/>
  <c r="N32" i="40"/>
  <c r="N44" i="49"/>
  <c r="N36" i="48"/>
  <c r="G2" i="48"/>
  <c r="K62" i="48"/>
  <c r="M75" i="49"/>
  <c r="I29" i="50"/>
  <c r="C32" i="48"/>
  <c r="C85" i="48"/>
  <c r="G8" i="40"/>
  <c r="F19" i="40"/>
  <c r="E25" i="40"/>
  <c r="M84" i="40"/>
  <c r="N3" i="50"/>
  <c r="G27" i="40"/>
  <c r="I14" i="40"/>
  <c r="N15" i="49"/>
  <c r="B65" i="48"/>
  <c r="E47" i="40"/>
  <c r="I7" i="48"/>
  <c r="D26" i="40"/>
  <c r="J21" i="50"/>
  <c r="B10" i="48"/>
  <c r="D5" i="40"/>
  <c r="M15" i="48"/>
  <c r="K31" i="50"/>
  <c r="D27" i="40"/>
  <c r="B42" i="48"/>
  <c r="J6" i="40"/>
  <c r="K59" i="48"/>
  <c r="L42" i="50"/>
  <c r="J41" i="48"/>
  <c r="L14" i="49"/>
  <c r="E42" i="49"/>
  <c r="G40" i="40"/>
  <c r="C84" i="48"/>
  <c r="M17" i="50"/>
  <c r="J44" i="48"/>
  <c r="N43" i="40"/>
  <c r="J71" i="49"/>
  <c r="K30" i="48"/>
  <c r="I22" i="50"/>
  <c r="D18" i="49"/>
  <c r="D20" i="48"/>
  <c r="L33" i="50"/>
  <c r="K33" i="48"/>
  <c r="K55" i="48"/>
  <c r="E17" i="49"/>
  <c r="C60" i="48"/>
  <c r="C82" i="40"/>
  <c r="L16" i="50"/>
  <c r="J28" i="48"/>
  <c r="M47" i="49"/>
  <c r="D54" i="49"/>
  <c r="G14" i="50"/>
  <c r="K84" i="40"/>
  <c r="D5" i="48"/>
  <c r="L69" i="49"/>
  <c r="F85" i="48"/>
  <c r="J65" i="48"/>
  <c r="N25" i="49"/>
  <c r="D29" i="40"/>
  <c r="I66" i="40"/>
  <c r="I30" i="40"/>
  <c r="I42" i="50"/>
  <c r="J40" i="49"/>
  <c r="K4" i="50"/>
  <c r="B43" i="48"/>
  <c r="K50" i="49"/>
  <c r="L49" i="50"/>
  <c r="B50" i="50"/>
  <c r="J77" i="49"/>
  <c r="E11" i="50"/>
  <c r="C27" i="48"/>
  <c r="I51" i="40"/>
  <c r="B48" i="50"/>
  <c r="I50" i="49"/>
  <c r="J16" i="40"/>
  <c r="K36" i="50"/>
  <c r="I55" i="50"/>
  <c r="C8" i="40"/>
  <c r="G30" i="50"/>
  <c r="M37" i="48"/>
  <c r="E44" i="48"/>
  <c r="C65" i="48"/>
  <c r="B53" i="50"/>
  <c r="L84" i="40"/>
  <c r="N53" i="40"/>
  <c r="F17" i="48"/>
  <c r="N55" i="40"/>
  <c r="G11" i="40"/>
  <c r="G79" i="40"/>
  <c r="L9" i="48"/>
  <c r="G31" i="48"/>
  <c r="E85" i="40"/>
  <c r="N19" i="49"/>
  <c r="M5" i="40"/>
  <c r="L77" i="50"/>
  <c r="I41" i="49"/>
  <c r="G73" i="49"/>
  <c r="F21" i="48"/>
  <c r="M10" i="50"/>
  <c r="I57" i="40"/>
  <c r="L33" i="40"/>
  <c r="F9" i="49"/>
  <c r="I48" i="48"/>
  <c r="K27" i="50"/>
  <c r="E66" i="48"/>
  <c r="G29" i="40"/>
  <c r="E83" i="48"/>
  <c r="G28" i="50"/>
  <c r="B36" i="49"/>
  <c r="D42" i="50"/>
  <c r="L9" i="40"/>
  <c r="D41" i="49"/>
  <c r="I15" i="49"/>
  <c r="B32" i="40"/>
  <c r="E19" i="40"/>
  <c r="E83" i="40"/>
  <c r="C61" i="40"/>
  <c r="E19" i="49"/>
  <c r="L39" i="50"/>
  <c r="L40" i="50"/>
  <c r="E86" i="48"/>
  <c r="L37" i="50"/>
  <c r="E40" i="49"/>
  <c r="L30" i="49"/>
  <c r="E15" i="48"/>
  <c r="L32" i="40"/>
  <c r="E42" i="50"/>
  <c r="L5" i="49"/>
  <c r="L51" i="40"/>
  <c r="E60" i="40"/>
  <c r="E53" i="40"/>
  <c r="E88" i="40"/>
  <c r="E39" i="40"/>
  <c r="L42" i="49"/>
  <c r="F28" i="48"/>
  <c r="L76" i="49"/>
  <c r="L3" i="40"/>
  <c r="N27" i="40"/>
  <c r="J25" i="48"/>
  <c r="L130" i="49"/>
  <c r="L87" i="48"/>
  <c r="B14" i="50"/>
  <c r="N11" i="40"/>
  <c r="N11" i="49"/>
  <c r="L43" i="50"/>
  <c r="K42" i="40"/>
  <c r="K27" i="48"/>
  <c r="E16" i="48"/>
  <c r="L29" i="49"/>
  <c r="F14" i="48"/>
  <c r="D73" i="49"/>
  <c r="M47" i="48"/>
  <c r="C54" i="40"/>
  <c r="D6" i="50"/>
  <c r="L14" i="50"/>
  <c r="J42" i="48"/>
  <c r="E60" i="48"/>
  <c r="I76" i="49"/>
  <c r="F26" i="40"/>
  <c r="L64" i="40"/>
  <c r="G36" i="49"/>
  <c r="I49" i="48"/>
  <c r="M25" i="40"/>
  <c r="G15" i="49"/>
  <c r="J6" i="50"/>
  <c r="B13" i="49"/>
  <c r="N32" i="48"/>
  <c r="N22" i="49"/>
  <c r="F22" i="50"/>
  <c r="G10" i="40"/>
  <c r="G77" i="49"/>
  <c r="I27" i="50"/>
  <c r="G25" i="49"/>
  <c r="G18" i="40"/>
  <c r="B54" i="48"/>
  <c r="D39" i="40"/>
  <c r="N52" i="40"/>
  <c r="C16" i="48"/>
  <c r="J86" i="40"/>
  <c r="E44" i="49"/>
  <c r="I35" i="40"/>
  <c r="N49" i="40"/>
  <c r="B29" i="40"/>
  <c r="L82" i="40"/>
  <c r="G38" i="49"/>
  <c r="K51" i="50"/>
  <c r="D22" i="49"/>
  <c r="B13" i="48"/>
  <c r="M30" i="50"/>
  <c r="E43" i="50"/>
  <c r="D59" i="48"/>
  <c r="N58" i="40"/>
  <c r="L66" i="40"/>
  <c r="F4" i="49"/>
  <c r="J74" i="49"/>
  <c r="D47" i="49"/>
  <c r="C36" i="40"/>
  <c r="L19" i="50"/>
  <c r="J43" i="40"/>
  <c r="D28" i="40"/>
  <c r="I51" i="50"/>
  <c r="F7" i="50"/>
  <c r="D80" i="40"/>
  <c r="I74" i="49"/>
  <c r="I50" i="40"/>
  <c r="F58" i="40"/>
  <c r="E43" i="40"/>
  <c r="E65" i="40"/>
  <c r="I74" i="40"/>
  <c r="G86" i="40"/>
  <c r="I57" i="48"/>
  <c r="E64" i="40"/>
  <c r="N62" i="40"/>
  <c r="K41" i="49"/>
  <c r="L36" i="49"/>
  <c r="G3" i="40"/>
  <c r="M8" i="49"/>
  <c r="E51" i="40"/>
  <c r="J36" i="40"/>
  <c r="C15" i="48"/>
  <c r="F24" i="50"/>
  <c r="E22" i="50"/>
  <c r="K44" i="49"/>
  <c r="E32" i="40"/>
  <c r="M32" i="50"/>
  <c r="J7" i="50"/>
  <c r="F20" i="49"/>
  <c r="L54" i="50"/>
  <c r="J47" i="48"/>
  <c r="C7" i="40"/>
  <c r="E18" i="49"/>
  <c r="E26" i="48"/>
  <c r="L49" i="48"/>
  <c r="E52" i="48"/>
  <c r="L5" i="50"/>
  <c r="E37" i="40"/>
  <c r="J50" i="40"/>
  <c r="N82" i="40"/>
  <c r="G7" i="50"/>
  <c r="J7" i="48"/>
  <c r="I41" i="40"/>
  <c r="G9" i="48"/>
  <c r="F36" i="40"/>
  <c r="L21" i="48"/>
  <c r="D55" i="50"/>
  <c r="M38" i="40"/>
  <c r="B31" i="50"/>
  <c r="K54" i="48"/>
  <c r="N69" i="40"/>
  <c r="D55" i="40"/>
  <c r="E84" i="48"/>
  <c r="E7" i="40"/>
  <c r="N4" i="49"/>
  <c r="I25" i="50"/>
  <c r="B28" i="40"/>
  <c r="C9" i="49"/>
  <c r="G17" i="50"/>
  <c r="E81" i="40"/>
  <c r="N50" i="50"/>
  <c r="D44" i="49"/>
  <c r="I28" i="48"/>
  <c r="I59" i="48"/>
  <c r="L3" i="48"/>
  <c r="E20" i="50"/>
  <c r="L38" i="40"/>
  <c r="J27" i="48"/>
  <c r="G65" i="48"/>
  <c r="M83" i="48"/>
  <c r="E14" i="49"/>
  <c r="B85" i="48"/>
  <c r="J50" i="50"/>
  <c r="K4" i="48"/>
  <c r="J17" i="50"/>
  <c r="G33" i="48"/>
  <c r="I36" i="40"/>
  <c r="J28" i="50"/>
  <c r="M86" i="40"/>
  <c r="G42" i="40"/>
  <c r="F3" i="48"/>
  <c r="E38" i="50"/>
  <c r="K36" i="48"/>
  <c r="F6" i="49"/>
  <c r="C22" i="40"/>
  <c r="I4" i="50"/>
  <c r="M20" i="48"/>
  <c r="B14" i="48"/>
  <c r="D66" i="48"/>
  <c r="G15" i="48"/>
  <c r="N39" i="50"/>
  <c r="L59" i="40"/>
  <c r="B57" i="40"/>
  <c r="F13" i="50"/>
  <c r="L18" i="50"/>
  <c r="L146" i="48"/>
  <c r="B24" i="48"/>
  <c r="C7" i="48"/>
  <c r="G52" i="50"/>
  <c r="B35" i="49"/>
  <c r="I83" i="40"/>
  <c r="C52" i="40"/>
  <c r="N40" i="40"/>
  <c r="K58" i="48"/>
  <c r="G37" i="49"/>
  <c r="E36" i="49"/>
  <c r="K48" i="48"/>
  <c r="M8" i="50"/>
  <c r="C8" i="49"/>
  <c r="E27" i="49"/>
  <c r="E21" i="49"/>
  <c r="J40" i="40"/>
  <c r="N55" i="49"/>
  <c r="E52" i="49"/>
  <c r="C5" i="50"/>
  <c r="L50" i="49"/>
  <c r="J15" i="50"/>
  <c r="L11" i="50"/>
  <c r="D25" i="40"/>
  <c r="K36" i="49"/>
  <c r="G79" i="48"/>
  <c r="G83" i="40"/>
  <c r="M13" i="50"/>
  <c r="D81" i="40"/>
  <c r="C47" i="49"/>
  <c r="M40" i="48"/>
  <c r="N28" i="49"/>
  <c r="G65" i="40"/>
  <c r="C43" i="50"/>
  <c r="L47" i="50"/>
  <c r="L74" i="49"/>
  <c r="E32" i="49"/>
  <c r="I2" i="49"/>
  <c r="D40" i="40"/>
  <c r="L85" i="40"/>
  <c r="E40" i="48"/>
  <c r="L28" i="48"/>
  <c r="L4" i="40"/>
  <c r="E8" i="40"/>
  <c r="L82" i="48"/>
  <c r="E50" i="49"/>
  <c r="L70" i="50"/>
  <c r="E20" i="49"/>
  <c r="E40" i="40"/>
  <c r="L22" i="48"/>
  <c r="G6" i="50"/>
  <c r="F25" i="49"/>
  <c r="M11" i="49"/>
  <c r="J18" i="50"/>
  <c r="L128" i="49"/>
  <c r="E18" i="50"/>
  <c r="E7" i="48"/>
  <c r="M16" i="40"/>
  <c r="B35" i="50"/>
  <c r="E14" i="50"/>
  <c r="G31" i="49"/>
  <c r="B6" i="50"/>
  <c r="F8" i="50"/>
  <c r="B39" i="48"/>
  <c r="I46" i="48"/>
  <c r="B60" i="48"/>
  <c r="D52" i="48"/>
  <c r="E5" i="48"/>
  <c r="L51" i="49"/>
  <c r="M22" i="49"/>
  <c r="D37" i="49"/>
  <c r="C61" i="48"/>
  <c r="E9" i="48"/>
  <c r="L31" i="40"/>
  <c r="E48" i="49"/>
  <c r="D16" i="40"/>
  <c r="K80" i="48"/>
  <c r="M27" i="49"/>
  <c r="I77" i="49"/>
  <c r="L36" i="48"/>
  <c r="I33" i="40"/>
  <c r="N17" i="40"/>
  <c r="K51" i="40"/>
  <c r="D7" i="40"/>
  <c r="K19" i="49"/>
  <c r="C3" i="40"/>
  <c r="L50" i="40"/>
  <c r="C146" i="48"/>
  <c r="K77" i="49"/>
  <c r="G31" i="40"/>
  <c r="K25" i="48"/>
  <c r="K27" i="40"/>
  <c r="K82" i="40"/>
  <c r="F36" i="50"/>
  <c r="C28" i="49"/>
  <c r="D37" i="40"/>
  <c r="C74" i="49"/>
  <c r="N16" i="49"/>
  <c r="L83" i="48"/>
  <c r="B9" i="40"/>
  <c r="C37" i="48"/>
  <c r="L55" i="40"/>
  <c r="G13" i="50"/>
  <c r="N71" i="49"/>
  <c r="D44" i="40"/>
  <c r="F73" i="49"/>
  <c r="L25" i="48"/>
  <c r="K71" i="49"/>
  <c r="B74" i="40"/>
  <c r="D22" i="50"/>
  <c r="D14" i="49"/>
  <c r="L60" i="48"/>
  <c r="F87" i="40"/>
  <c r="C16" i="50"/>
  <c r="I20" i="40"/>
  <c r="D47" i="40"/>
  <c r="B44" i="40"/>
  <c r="K30" i="40"/>
  <c r="C55" i="48"/>
  <c r="B64" i="40"/>
  <c r="J15" i="48"/>
  <c r="D59" i="40"/>
  <c r="K74" i="49"/>
  <c r="K47" i="40"/>
  <c r="M20" i="49"/>
  <c r="F32" i="40"/>
  <c r="E80" i="48"/>
  <c r="B5" i="50"/>
  <c r="J54" i="50"/>
  <c r="G55" i="50"/>
  <c r="E50" i="48"/>
  <c r="J52" i="50"/>
  <c r="B16" i="50"/>
  <c r="L8" i="49"/>
  <c r="I19" i="48"/>
  <c r="G48" i="49"/>
  <c r="E8" i="48"/>
  <c r="E6" i="49"/>
  <c r="K61" i="48"/>
  <c r="I24" i="48"/>
  <c r="M14" i="40"/>
  <c r="E3" i="40"/>
  <c r="D19" i="40"/>
  <c r="E82" i="48"/>
  <c r="C25" i="50"/>
  <c r="C63" i="40"/>
  <c r="C42" i="50"/>
  <c r="C40" i="50"/>
  <c r="I11" i="50"/>
  <c r="I15" i="48"/>
  <c r="L51" i="50"/>
  <c r="L64" i="48"/>
  <c r="C43" i="49"/>
  <c r="E27" i="40"/>
  <c r="M17" i="48"/>
  <c r="E7" i="50"/>
  <c r="E8" i="49"/>
  <c r="L27" i="48"/>
  <c r="L28" i="50"/>
  <c r="E42" i="48"/>
  <c r="E77" i="49"/>
  <c r="E18" i="40"/>
  <c r="E19" i="50"/>
  <c r="E29" i="49"/>
  <c r="L39" i="40"/>
  <c r="M13" i="40"/>
  <c r="I21" i="48"/>
  <c r="E43" i="48"/>
  <c r="E75" i="50"/>
  <c r="E63" i="48"/>
  <c r="E50" i="40"/>
  <c r="C48" i="40"/>
  <c r="K81" i="40"/>
  <c r="I37" i="40"/>
  <c r="B41" i="40"/>
  <c r="M21" i="49"/>
  <c r="G46" i="50"/>
  <c r="I8" i="48"/>
  <c r="L69" i="40"/>
  <c r="F83" i="48"/>
  <c r="E38" i="40"/>
  <c r="C7" i="50"/>
  <c r="G48" i="40"/>
  <c r="E55" i="49"/>
  <c r="L26" i="50"/>
  <c r="E16" i="49"/>
  <c r="I13" i="40"/>
  <c r="M74" i="49"/>
  <c r="B35" i="40"/>
  <c r="J6" i="49"/>
  <c r="G2" i="50"/>
  <c r="I145" i="48"/>
  <c r="F87" i="48"/>
  <c r="L58" i="48"/>
  <c r="L11" i="40"/>
  <c r="I7" i="50"/>
  <c r="J72" i="49"/>
  <c r="L44" i="40"/>
  <c r="G28" i="48"/>
  <c r="J39" i="50"/>
  <c r="L125" i="49"/>
  <c r="F29" i="48"/>
  <c r="E29" i="40"/>
  <c r="M30" i="40"/>
  <c r="F5" i="49"/>
  <c r="B52" i="40"/>
  <c r="J51" i="49"/>
  <c r="N4" i="40"/>
  <c r="J32" i="48"/>
  <c r="D16" i="49"/>
  <c r="B70" i="40"/>
  <c r="D19" i="49"/>
  <c r="D18" i="40"/>
  <c r="N48" i="48"/>
  <c r="L10" i="50"/>
  <c r="C16" i="49"/>
  <c r="J66" i="40"/>
  <c r="L15" i="48"/>
  <c r="M80" i="48"/>
  <c r="N70" i="49"/>
  <c r="I88" i="40"/>
  <c r="N3" i="48"/>
  <c r="D33" i="48"/>
  <c r="J26" i="49"/>
  <c r="N21" i="49"/>
  <c r="K50" i="40"/>
  <c r="K40" i="40"/>
  <c r="F76" i="49"/>
  <c r="J14" i="40"/>
  <c r="M30" i="49"/>
  <c r="J88" i="40"/>
  <c r="D76" i="49"/>
  <c r="N10" i="40"/>
  <c r="D8" i="50"/>
  <c r="J9" i="48"/>
  <c r="C38" i="40"/>
  <c r="L20" i="48"/>
  <c r="G39" i="49"/>
  <c r="C51" i="40"/>
  <c r="E62" i="48"/>
  <c r="N38" i="49"/>
  <c r="J54" i="40"/>
  <c r="L62" i="48"/>
  <c r="F59" i="50"/>
  <c r="E17" i="40"/>
  <c r="E73" i="49"/>
  <c r="B15" i="40"/>
  <c r="K18" i="50"/>
  <c r="I71" i="40"/>
  <c r="E48" i="40"/>
  <c r="K49" i="50"/>
  <c r="G21" i="40"/>
  <c r="L63" i="48"/>
  <c r="E76" i="49"/>
  <c r="G7" i="49"/>
  <c r="D15" i="48"/>
  <c r="I33" i="48"/>
  <c r="J16" i="49"/>
  <c r="I22" i="40"/>
  <c r="C70" i="49"/>
  <c r="L86" i="48"/>
  <c r="L43" i="48"/>
  <c r="E15" i="40"/>
  <c r="E6" i="48"/>
  <c r="I52" i="48"/>
  <c r="C4" i="49"/>
  <c r="C44" i="40"/>
  <c r="C42" i="48"/>
  <c r="C5" i="48"/>
  <c r="I19" i="50"/>
  <c r="C80" i="40"/>
  <c r="E43" i="49"/>
  <c r="E39" i="50"/>
  <c r="E30" i="40"/>
  <c r="L5" i="40"/>
  <c r="G37" i="48"/>
  <c r="K40" i="50"/>
  <c r="K15" i="48"/>
  <c r="E21" i="48"/>
  <c r="E64" i="48"/>
  <c r="B88" i="48"/>
  <c r="I75" i="49"/>
  <c r="L9" i="49"/>
  <c r="E22" i="48"/>
  <c r="E11" i="48"/>
  <c r="L31" i="49"/>
  <c r="L83" i="40"/>
  <c r="N6" i="48"/>
  <c r="E31" i="50"/>
  <c r="G54" i="50"/>
  <c r="N55" i="50"/>
  <c r="N53" i="50"/>
  <c r="K40" i="49"/>
  <c r="K16" i="50"/>
  <c r="B74" i="49"/>
  <c r="K10" i="49"/>
  <c r="F7" i="48"/>
  <c r="D51" i="40"/>
  <c r="F44" i="40"/>
  <c r="E146" i="48"/>
  <c r="I46" i="40"/>
  <c r="B22" i="48"/>
  <c r="G14" i="49"/>
  <c r="B27" i="49"/>
  <c r="C84" i="40"/>
  <c r="M9" i="50"/>
  <c r="N76" i="49"/>
  <c r="E87" i="48"/>
  <c r="B145" i="48"/>
  <c r="F27" i="48"/>
  <c r="C41" i="48"/>
  <c r="E54" i="50"/>
  <c r="B32" i="48"/>
  <c r="G49" i="49"/>
  <c r="I31" i="50"/>
  <c r="B38" i="50"/>
  <c r="M6" i="40"/>
  <c r="L75" i="50"/>
  <c r="M25" i="49"/>
  <c r="G14" i="48"/>
  <c r="J52" i="49"/>
  <c r="F70" i="49"/>
  <c r="L72" i="49"/>
  <c r="N59" i="48"/>
  <c r="K27" i="49"/>
  <c r="I55" i="48"/>
  <c r="M24" i="49"/>
  <c r="B38" i="48"/>
  <c r="B29" i="48"/>
  <c r="K15" i="49"/>
  <c r="D48" i="48"/>
  <c r="I41" i="50"/>
  <c r="E51" i="50"/>
  <c r="E30" i="50"/>
  <c r="L11" i="48"/>
  <c r="K55" i="50"/>
  <c r="F28" i="40"/>
  <c r="B52" i="48"/>
  <c r="G11" i="48"/>
  <c r="L20" i="49"/>
  <c r="E41" i="49"/>
  <c r="E85" i="48"/>
  <c r="F13" i="49"/>
  <c r="J59" i="48"/>
  <c r="L55" i="48"/>
  <c r="B69" i="40"/>
  <c r="L63" i="40"/>
  <c r="L17" i="40"/>
  <c r="D71" i="49"/>
  <c r="F24" i="49"/>
  <c r="E41" i="48"/>
  <c r="M17" i="40"/>
  <c r="L7" i="49"/>
  <c r="L60" i="40"/>
  <c r="G5" i="40"/>
  <c r="C62" i="40"/>
  <c r="E38" i="48"/>
  <c r="N54" i="48"/>
  <c r="B75" i="49"/>
  <c r="E4" i="40"/>
  <c r="L40" i="49"/>
  <c r="L29" i="50"/>
  <c r="E26" i="50"/>
  <c r="E59" i="40"/>
  <c r="E5" i="50"/>
  <c r="E9" i="50"/>
  <c r="E16" i="50"/>
  <c r="E28" i="50"/>
  <c r="C43" i="48"/>
  <c r="B26" i="40"/>
  <c r="E74" i="49"/>
  <c r="I29" i="48"/>
  <c r="G10" i="48"/>
  <c r="G47" i="40"/>
  <c r="J27" i="50"/>
  <c r="C52" i="48"/>
  <c r="G40" i="49"/>
  <c r="B61" i="40"/>
  <c r="J55" i="49"/>
  <c r="I75" i="40"/>
  <c r="K73" i="49"/>
  <c r="F83" i="40"/>
  <c r="G6" i="48"/>
  <c r="I44" i="40"/>
  <c r="L18" i="40"/>
  <c r="G14" i="40"/>
  <c r="M26" i="49"/>
  <c r="E73" i="50"/>
  <c r="L21" i="50"/>
  <c r="I17" i="49"/>
  <c r="F24" i="40"/>
  <c r="L86" i="40"/>
  <c r="M47" i="40"/>
  <c r="K11" i="40"/>
  <c r="G16" i="48"/>
  <c r="E42" i="40"/>
  <c r="K64" i="48"/>
  <c r="E17" i="50"/>
  <c r="L126" i="49"/>
  <c r="L84" i="48"/>
  <c r="E4" i="48"/>
  <c r="K17" i="48"/>
  <c r="B68" i="49"/>
  <c r="B21" i="48"/>
  <c r="G16" i="49"/>
  <c r="M2" i="40"/>
  <c r="B69" i="49"/>
  <c r="F33" i="50"/>
  <c r="C28" i="50"/>
  <c r="J54" i="49"/>
  <c r="F35" i="40"/>
  <c r="J40" i="50"/>
  <c r="N30" i="40"/>
  <c r="I59" i="40"/>
  <c r="J53" i="40"/>
  <c r="J63" i="40"/>
  <c r="D44" i="50"/>
  <c r="L3" i="49"/>
  <c r="K51" i="49"/>
  <c r="N36" i="49"/>
  <c r="L42" i="40"/>
  <c r="K38" i="50"/>
  <c r="B9" i="48"/>
  <c r="L44" i="49"/>
  <c r="I81" i="48"/>
  <c r="B58" i="40"/>
  <c r="D30" i="48"/>
  <c r="F36" i="48"/>
  <c r="K59" i="40"/>
  <c r="J84" i="40"/>
  <c r="M9" i="40"/>
  <c r="D28" i="50"/>
  <c r="I26" i="50"/>
  <c r="L66" i="48"/>
  <c r="B88" i="40"/>
  <c r="N29" i="48"/>
  <c r="F29" i="40"/>
  <c r="D88" i="48"/>
  <c r="L132" i="49"/>
  <c r="C8" i="50"/>
  <c r="B25" i="49"/>
  <c r="N51" i="48"/>
  <c r="J16" i="50"/>
  <c r="I85" i="48"/>
  <c r="C19" i="40"/>
  <c r="M3" i="50"/>
  <c r="C41" i="40"/>
  <c r="K4" i="49"/>
  <c r="I9" i="49"/>
  <c r="D77" i="49"/>
  <c r="L42" i="48"/>
  <c r="B43" i="40"/>
  <c r="N81" i="40"/>
  <c r="L25" i="50"/>
  <c r="K85" i="40"/>
  <c r="L52" i="49"/>
  <c r="E53" i="48"/>
  <c r="J85" i="48"/>
  <c r="E11" i="49"/>
  <c r="N27" i="48"/>
  <c r="J37" i="49"/>
  <c r="E22" i="40"/>
  <c r="D4" i="49"/>
  <c r="E4" i="49"/>
  <c r="L19" i="48"/>
  <c r="K38" i="48"/>
  <c r="M15" i="50"/>
  <c r="E54" i="40"/>
  <c r="B20" i="49"/>
  <c r="L48" i="49"/>
  <c r="F86" i="40"/>
  <c r="E55" i="48"/>
  <c r="E20" i="40"/>
  <c r="J53" i="48"/>
  <c r="L48" i="50"/>
  <c r="G10" i="49"/>
  <c r="E82" i="40"/>
  <c r="L38" i="50"/>
  <c r="E21" i="50"/>
  <c r="E41" i="50"/>
  <c r="E72" i="49"/>
  <c r="L39" i="49"/>
  <c r="E75" i="49"/>
  <c r="E28" i="48"/>
  <c r="E48" i="48"/>
  <c r="E3" i="50"/>
  <c r="J61" i="48"/>
  <c r="I40" i="40"/>
  <c r="G32" i="49"/>
  <c r="B21" i="49"/>
  <c r="K21" i="40"/>
  <c r="M42" i="48"/>
  <c r="B17" i="50"/>
  <c r="G69" i="49"/>
  <c r="I20" i="48"/>
  <c r="C81" i="48"/>
  <c r="E26" i="49"/>
  <c r="D17" i="48"/>
  <c r="G51" i="48"/>
  <c r="K43" i="50"/>
  <c r="J59" i="40"/>
  <c r="K3" i="49"/>
  <c r="K18" i="40"/>
  <c r="C26" i="49"/>
  <c r="J25" i="49"/>
  <c r="K22" i="50"/>
  <c r="F68" i="49"/>
  <c r="G83" i="48"/>
  <c r="G9" i="40"/>
  <c r="K41" i="50"/>
  <c r="N25" i="50"/>
  <c r="G69" i="40"/>
  <c r="L87" i="40"/>
  <c r="L62" i="40"/>
  <c r="G57" i="40"/>
  <c r="E10" i="40"/>
  <c r="L85" i="48"/>
  <c r="J87" i="40"/>
  <c r="E62" i="40"/>
  <c r="I43" i="50"/>
  <c r="L21" i="49"/>
  <c r="N26" i="40"/>
  <c r="E19" i="48"/>
  <c r="L40" i="40"/>
  <c r="E74" i="50"/>
  <c r="E61" i="48"/>
  <c r="N83" i="40"/>
  <c r="D48" i="49"/>
  <c r="B10" i="49"/>
  <c r="B53" i="49"/>
  <c r="L25" i="49"/>
  <c r="F35" i="48"/>
  <c r="N29" i="49"/>
  <c r="F24" i="48"/>
  <c r="I3" i="49"/>
  <c r="L31" i="48"/>
  <c r="E55" i="50"/>
  <c r="L3" i="50"/>
  <c r="I14" i="50"/>
  <c r="N5" i="50"/>
  <c r="J19" i="48"/>
  <c r="I35" i="50"/>
  <c r="M27" i="48"/>
  <c r="L18" i="49"/>
  <c r="B82" i="40"/>
  <c r="L129" i="49"/>
  <c r="L32" i="50"/>
  <c r="L61" i="48"/>
  <c r="N33" i="48"/>
  <c r="N39" i="49"/>
  <c r="E48" i="50"/>
  <c r="E6" i="50"/>
  <c r="E88" i="48"/>
  <c r="M58" i="40"/>
  <c r="E52" i="40"/>
  <c r="E81" i="48"/>
  <c r="D36" i="40"/>
  <c r="E33" i="40"/>
  <c r="B81" i="48"/>
  <c r="L20" i="40"/>
  <c r="M33" i="48"/>
  <c r="L48" i="40"/>
  <c r="N20" i="48"/>
  <c r="F32" i="48"/>
  <c r="F2" i="50"/>
  <c r="E32" i="50"/>
  <c r="E77" i="50"/>
  <c r="L53" i="50"/>
  <c r="C36" i="49"/>
  <c r="M29" i="40"/>
  <c r="B15" i="50"/>
  <c r="E29" i="48"/>
  <c r="D8" i="40"/>
  <c r="K16" i="40"/>
  <c r="F31" i="50"/>
  <c r="L6" i="48"/>
  <c r="F2" i="48"/>
  <c r="G35" i="50"/>
  <c r="E30" i="49"/>
  <c r="C5" i="49"/>
  <c r="G2" i="49"/>
  <c r="D63" i="48"/>
  <c r="B7" i="49"/>
  <c r="E7" i="49"/>
  <c r="J28" i="49"/>
  <c r="G58" i="48"/>
  <c r="L28" i="40"/>
  <c r="J14" i="49"/>
  <c r="E87" i="40"/>
  <c r="E49" i="48"/>
  <c r="E29" i="50"/>
  <c r="E21" i="40"/>
  <c r="L54" i="40"/>
  <c r="E4" i="50"/>
  <c r="G22" i="48"/>
  <c r="D20" i="40"/>
  <c r="L33" i="49"/>
  <c r="E39" i="49"/>
  <c r="J36" i="48"/>
  <c r="L54" i="48"/>
  <c r="N64" i="40"/>
  <c r="I15" i="40"/>
  <c r="F79" i="40"/>
  <c r="B42" i="50"/>
  <c r="K47" i="50"/>
  <c r="L15" i="49"/>
  <c r="G30" i="40"/>
  <c r="L59" i="48"/>
  <c r="E38" i="49"/>
  <c r="G85" i="48"/>
  <c r="E59" i="48"/>
  <c r="I63" i="48"/>
  <c r="L55" i="49"/>
  <c r="G63" i="40"/>
  <c r="L131" i="49"/>
  <c r="L77" i="49"/>
  <c r="L52" i="40"/>
  <c r="I46" i="50"/>
  <c r="L26" i="40"/>
  <c r="E47" i="50"/>
  <c r="B87" i="40"/>
  <c r="E72" i="50"/>
  <c r="D7" i="50"/>
  <c r="J51" i="50"/>
  <c r="I55" i="40"/>
  <c r="G46" i="40"/>
  <c r="N41" i="50"/>
  <c r="B38" i="49"/>
  <c r="E66" i="40"/>
  <c r="E37" i="48"/>
  <c r="E30" i="48"/>
  <c r="G70" i="49"/>
  <c r="L17" i="48"/>
  <c r="C76" i="49"/>
  <c r="D25" i="48"/>
  <c r="L127" i="49"/>
  <c r="C25" i="49"/>
  <c r="L16" i="40"/>
  <c r="L33" i="48"/>
  <c r="L73" i="50"/>
  <c r="E44" i="40"/>
  <c r="E70" i="50"/>
  <c r="L5" i="48"/>
  <c r="E61" i="40"/>
  <c r="L4" i="49"/>
  <c r="L7" i="48"/>
  <c r="L26" i="48"/>
  <c r="L26" i="49"/>
  <c r="L6" i="40"/>
  <c r="L4" i="48"/>
  <c r="L4" i="50"/>
  <c r="E40" i="50"/>
  <c r="E41" i="40"/>
  <c r="E20" i="48"/>
  <c r="L71" i="50"/>
  <c r="E49" i="49"/>
  <c r="L6" i="50"/>
  <c r="L29" i="48"/>
  <c r="L49" i="40"/>
  <c r="L29" i="40"/>
  <c r="E15" i="50"/>
  <c r="E5" i="49"/>
  <c r="L7" i="50"/>
  <c r="L37" i="40"/>
  <c r="L51" i="48"/>
  <c r="L37" i="48"/>
  <c r="L40" i="48"/>
  <c r="L50" i="48"/>
  <c r="I4" i="19" l="1"/>
  <c r="N181" i="16"/>
  <c r="L18" i="9"/>
  <c r="G93" i="18"/>
  <c r="G76" i="18"/>
  <c r="G161" i="16"/>
  <c r="G31" i="18"/>
  <c r="N6" i="16"/>
  <c r="N224" i="16"/>
  <c r="N213" i="16"/>
  <c r="G12" i="18"/>
  <c r="N60" i="16"/>
  <c r="N52" i="16"/>
  <c r="G78" i="18"/>
  <c r="G101" i="18"/>
  <c r="N96" i="16"/>
  <c r="G146" i="14"/>
  <c r="G177" i="14"/>
  <c r="G179" i="14"/>
  <c r="G84" i="14"/>
  <c r="G338" i="6"/>
  <c r="G49" i="14"/>
  <c r="G18" i="14"/>
  <c r="E13" i="9"/>
  <c r="G112" i="14"/>
  <c r="G114" i="14"/>
  <c r="G144" i="14"/>
  <c r="G20" i="14"/>
  <c r="G116" i="14"/>
  <c r="G147" i="6"/>
  <c r="H15" i="5"/>
  <c r="F12" i="15"/>
  <c r="G435" i="6"/>
  <c r="G145" i="14"/>
  <c r="G19" i="14"/>
  <c r="S53" i="9"/>
  <c r="H16" i="5"/>
  <c r="G80" i="14"/>
  <c r="G403" i="6"/>
  <c r="G178" i="6"/>
  <c r="N240" i="16"/>
  <c r="G82" i="6"/>
  <c r="L107" i="9"/>
  <c r="E53" i="9"/>
  <c r="E109" i="9"/>
  <c r="G304" i="6"/>
  <c r="N16" i="16"/>
  <c r="N61" i="16"/>
  <c r="N85" i="16"/>
  <c r="G33" i="18"/>
  <c r="N195" i="16"/>
  <c r="G13" i="18"/>
  <c r="G100" i="18"/>
  <c r="G467" i="6"/>
  <c r="N105" i="16"/>
  <c r="N74" i="16"/>
  <c r="G79" i="18"/>
  <c r="N182" i="16"/>
  <c r="N118" i="16"/>
  <c r="N26" i="16"/>
  <c r="E90" i="9"/>
  <c r="N214" i="16"/>
  <c r="N8" i="16"/>
  <c r="N206" i="16"/>
  <c r="N128" i="16"/>
  <c r="G117" i="18"/>
  <c r="N35" i="15"/>
  <c r="S34" i="9"/>
  <c r="G17" i="6"/>
  <c r="N138" i="16"/>
  <c r="N49" i="16"/>
  <c r="N97" i="16"/>
  <c r="V12" i="15"/>
  <c r="N228" i="16"/>
  <c r="V31" i="15"/>
  <c r="G208" i="6"/>
  <c r="L88" i="9"/>
  <c r="G132" i="18"/>
  <c r="E69" i="9"/>
  <c r="S72" i="9"/>
  <c r="G274" i="6"/>
  <c r="L13" i="9"/>
  <c r="F35" i="15"/>
  <c r="H14" i="5"/>
  <c r="E33" i="9"/>
  <c r="G51" i="14"/>
  <c r="G178" i="14"/>
  <c r="G48" i="14"/>
  <c r="G83" i="14"/>
  <c r="G181" i="14"/>
  <c r="G115" i="6"/>
  <c r="G148" i="14"/>
  <c r="H17" i="5"/>
  <c r="G50" i="14"/>
  <c r="H19" i="5"/>
  <c r="G81" i="14"/>
  <c r="A124" i="40"/>
  <c r="A102" i="48"/>
  <c r="A113" i="40"/>
  <c r="A102" i="50"/>
  <c r="A91" i="40"/>
  <c r="A157" i="40"/>
  <c r="A102" i="40"/>
  <c r="A124" i="48"/>
  <c r="A135" i="48"/>
  <c r="A91" i="48"/>
  <c r="A102" i="49"/>
  <c r="A91" i="50"/>
  <c r="A157" i="48"/>
  <c r="A135" i="40"/>
  <c r="A113" i="50"/>
  <c r="A80" i="49"/>
  <c r="A113" i="49"/>
  <c r="A80" i="50"/>
  <c r="A91" i="49"/>
  <c r="A113" i="48"/>
  <c r="L69" i="9"/>
  <c r="G115" i="14"/>
  <c r="G16" i="14"/>
  <c r="G59" i="50"/>
  <c r="L38" i="48"/>
  <c r="C113" i="40"/>
  <c r="J102" i="48"/>
  <c r="L157" i="40"/>
  <c r="N102" i="50"/>
  <c r="D102" i="49"/>
  <c r="I101" i="48"/>
  <c r="I91" i="40"/>
  <c r="C102" i="48"/>
  <c r="B101" i="49"/>
  <c r="L38" i="49"/>
  <c r="B113" i="49"/>
  <c r="D102" i="48"/>
  <c r="L72" i="50"/>
  <c r="F135" i="40"/>
  <c r="K91" i="40"/>
  <c r="I156" i="40"/>
  <c r="L41" i="40"/>
  <c r="N91" i="50"/>
  <c r="L74" i="50"/>
  <c r="N113" i="50"/>
  <c r="I113" i="40"/>
  <c r="B112" i="40"/>
  <c r="D135" i="48"/>
  <c r="K135" i="48"/>
  <c r="J102" i="50"/>
  <c r="G102" i="50"/>
  <c r="I80" i="49"/>
  <c r="L41" i="50"/>
  <c r="B101" i="50"/>
  <c r="N91" i="40"/>
  <c r="B135" i="40"/>
  <c r="B90" i="49"/>
  <c r="F102" i="48"/>
  <c r="I90" i="40"/>
  <c r="N135" i="48"/>
  <c r="M102" i="49"/>
  <c r="F91" i="40"/>
  <c r="L8" i="50"/>
  <c r="L30" i="40"/>
  <c r="M113" i="40"/>
  <c r="L9" i="50"/>
  <c r="L39" i="48"/>
  <c r="L8" i="48"/>
  <c r="B90" i="40"/>
  <c r="B134" i="48"/>
  <c r="F135" i="48"/>
  <c r="C91" i="40"/>
  <c r="M157" i="40"/>
  <c r="B135" i="48"/>
  <c r="M91" i="40"/>
  <c r="K113" i="49"/>
  <c r="G91" i="40"/>
  <c r="I101" i="50"/>
  <c r="I134" i="40"/>
  <c r="M102" i="48"/>
  <c r="B91" i="50"/>
  <c r="D113" i="40"/>
  <c r="L7" i="40"/>
  <c r="B157" i="48"/>
  <c r="G113" i="49"/>
  <c r="M102" i="50"/>
  <c r="K102" i="50"/>
  <c r="N102" i="49"/>
  <c r="L52" i="48"/>
  <c r="E113" i="49"/>
  <c r="I102" i="50"/>
  <c r="G91" i="49"/>
  <c r="L27" i="50"/>
  <c r="C102" i="50"/>
  <c r="I157" i="48"/>
  <c r="E135" i="40"/>
  <c r="E18" i="48"/>
  <c r="G113" i="40"/>
  <c r="D113" i="49"/>
  <c r="B91" i="49"/>
  <c r="L113" i="40"/>
  <c r="B102" i="50"/>
  <c r="C80" i="50"/>
  <c r="L81" i="48"/>
  <c r="I135" i="48"/>
  <c r="L91" i="50"/>
  <c r="G102" i="48"/>
  <c r="F102" i="49"/>
  <c r="L113" i="49"/>
  <c r="D91" i="49"/>
  <c r="L48" i="48"/>
  <c r="F102" i="50"/>
  <c r="E113" i="40"/>
  <c r="I112" i="49"/>
  <c r="B113" i="40"/>
  <c r="D91" i="40"/>
  <c r="E102" i="49"/>
  <c r="B156" i="40"/>
  <c r="B91" i="40"/>
  <c r="L17" i="50"/>
  <c r="C102" i="49"/>
  <c r="L102" i="50"/>
  <c r="K135" i="40"/>
  <c r="L91" i="40"/>
  <c r="G102" i="49"/>
  <c r="K113" i="40"/>
  <c r="L71" i="49"/>
  <c r="M91" i="48"/>
  <c r="B102" i="49"/>
  <c r="B134" i="40"/>
  <c r="N113" i="49"/>
  <c r="I102" i="49"/>
  <c r="I134" i="48"/>
  <c r="I112" i="50"/>
  <c r="B157" i="40"/>
  <c r="L6" i="49"/>
  <c r="J91" i="48"/>
  <c r="L37" i="49"/>
  <c r="J113" i="40"/>
  <c r="L30" i="48"/>
  <c r="N113" i="40"/>
  <c r="M135" i="48"/>
  <c r="J113" i="49"/>
  <c r="F113" i="49"/>
  <c r="G91" i="48"/>
  <c r="J91" i="40"/>
  <c r="C91" i="48"/>
  <c r="K91" i="48"/>
  <c r="L27" i="49"/>
  <c r="C135" i="48"/>
  <c r="D102" i="50"/>
  <c r="E91" i="50"/>
  <c r="F113" i="40"/>
  <c r="I112" i="40"/>
  <c r="E91" i="40"/>
  <c r="L53" i="40"/>
  <c r="B112" i="49"/>
  <c r="L91" i="48"/>
  <c r="J102" i="49"/>
  <c r="L135" i="48"/>
  <c r="L28" i="49"/>
  <c r="M80" i="50"/>
  <c r="J91" i="50"/>
  <c r="B91" i="48"/>
  <c r="E102" i="50"/>
  <c r="L30" i="50"/>
  <c r="E102" i="48"/>
  <c r="C157" i="40"/>
  <c r="G102" i="40"/>
  <c r="L113" i="48"/>
  <c r="I90" i="50"/>
  <c r="B102" i="48"/>
  <c r="L80" i="50"/>
  <c r="I90" i="49"/>
  <c r="M124" i="48"/>
  <c r="L102" i="49"/>
  <c r="G135" i="40"/>
  <c r="E135" i="48"/>
  <c r="L124" i="40"/>
  <c r="E157" i="48"/>
  <c r="F13" i="5" l="1"/>
  <c r="F17" i="5"/>
  <c r="F18" i="5"/>
  <c r="F20" i="5"/>
  <c r="F14" i="5"/>
  <c r="F15" i="5"/>
  <c r="F16" i="5"/>
  <c r="F19" i="5"/>
  <c r="D124" i="40"/>
  <c r="B113" i="48"/>
  <c r="G124" i="40"/>
  <c r="G157" i="40"/>
  <c r="D91" i="50"/>
  <c r="K91" i="49"/>
  <c r="B156" i="48"/>
  <c r="B102" i="40"/>
  <c r="I113" i="49"/>
  <c r="I102" i="48"/>
  <c r="I113" i="50"/>
  <c r="C124" i="48"/>
  <c r="F80" i="49"/>
  <c r="B124" i="40"/>
  <c r="I135" i="40"/>
  <c r="I123" i="40"/>
  <c r="C124" i="40"/>
  <c r="D113" i="48"/>
  <c r="N91" i="49"/>
  <c r="K91" i="50"/>
  <c r="N80" i="50"/>
  <c r="F91" i="49"/>
  <c r="F113" i="48"/>
  <c r="M91" i="49"/>
  <c r="F102" i="40"/>
  <c r="M80" i="49"/>
  <c r="E124" i="48"/>
  <c r="N91" i="48"/>
  <c r="G80" i="50"/>
  <c r="K113" i="50"/>
  <c r="F91" i="48"/>
  <c r="B90" i="50"/>
  <c r="F124" i="48"/>
  <c r="D102" i="40"/>
  <c r="I90" i="48"/>
  <c r="D113" i="50"/>
  <c r="G91" i="50"/>
  <c r="L102" i="48"/>
  <c r="J102" i="40"/>
  <c r="C113" i="50"/>
  <c r="E102" i="40"/>
  <c r="D91" i="48"/>
  <c r="D80" i="50"/>
  <c r="I102" i="40"/>
  <c r="I79" i="50"/>
  <c r="I157" i="40"/>
  <c r="B101" i="48"/>
  <c r="E91" i="49"/>
  <c r="M91" i="50"/>
  <c r="E124" i="40"/>
  <c r="J135" i="40"/>
  <c r="L135" i="40"/>
  <c r="M157" i="48"/>
  <c r="G124" i="48"/>
  <c r="C80" i="49"/>
  <c r="I91" i="48"/>
  <c r="G113" i="50"/>
  <c r="J80" i="49"/>
  <c r="B79" i="49"/>
  <c r="I101" i="49"/>
  <c r="N113" i="48"/>
  <c r="F91" i="50"/>
  <c r="L91" i="49"/>
  <c r="M113" i="50"/>
  <c r="C113" i="49"/>
  <c r="N124" i="48"/>
  <c r="I101" i="40"/>
  <c r="L102" i="40"/>
  <c r="J113" i="48"/>
  <c r="K157" i="48"/>
  <c r="K102" i="40"/>
  <c r="I79" i="49"/>
  <c r="B80" i="49"/>
  <c r="F113" i="50"/>
  <c r="B80" i="50"/>
  <c r="B112" i="50"/>
  <c r="F157" i="48"/>
  <c r="I91" i="49"/>
  <c r="B79" i="50"/>
  <c r="I113" i="48"/>
  <c r="I124" i="48"/>
  <c r="D80" i="49"/>
  <c r="J113" i="50"/>
  <c r="E91" i="48"/>
  <c r="I123" i="48"/>
  <c r="L124" i="48"/>
  <c r="L113" i="50"/>
  <c r="F80" i="50"/>
  <c r="J157" i="48"/>
  <c r="B101" i="40"/>
  <c r="E80" i="50"/>
  <c r="K80" i="49"/>
  <c r="B124" i="48"/>
  <c r="K102" i="48"/>
  <c r="K80" i="50"/>
  <c r="K124" i="48"/>
  <c r="N80" i="49"/>
  <c r="I80" i="50"/>
  <c r="J80" i="50"/>
  <c r="B123" i="48"/>
  <c r="C102" i="40"/>
  <c r="M113" i="48"/>
  <c r="B90" i="48"/>
  <c r="M113" i="49"/>
  <c r="C113" i="48"/>
  <c r="E157" i="40"/>
  <c r="N157" i="40"/>
  <c r="G80" i="49"/>
  <c r="D124" i="48"/>
  <c r="L80" i="49"/>
  <c r="J135" i="48"/>
  <c r="E113" i="50"/>
  <c r="J124" i="48"/>
  <c r="F157" i="40"/>
  <c r="B112" i="48"/>
  <c r="E80" i="49"/>
  <c r="B113" i="50"/>
  <c r="M102" i="40"/>
  <c r="D135" i="40"/>
  <c r="I124" i="40"/>
  <c r="C157" i="48"/>
  <c r="F124" i="40"/>
  <c r="C91" i="49"/>
  <c r="G157" i="48"/>
  <c r="K113" i="48"/>
  <c r="L157" i="48"/>
  <c r="M124" i="40"/>
  <c r="I156" i="48"/>
  <c r="M135" i="40"/>
  <c r="G113" i="48"/>
  <c r="B123" i="40"/>
  <c r="D157" i="40"/>
  <c r="N135" i="40"/>
  <c r="D157" i="48"/>
  <c r="C91" i="50"/>
  <c r="N124" i="40"/>
  <c r="J91" i="49"/>
  <c r="J157" i="40"/>
  <c r="K157" i="40"/>
  <c r="G135" i="48"/>
  <c r="J124" i="40"/>
  <c r="K102" i="49"/>
  <c r="C135" i="40"/>
  <c r="I112" i="48"/>
  <c r="E113" i="48"/>
  <c r="K124" i="40"/>
  <c r="N157" i="48"/>
  <c r="I91" i="50"/>
  <c r="N102" i="48"/>
  <c r="N102" i="40"/>
  <c r="A294" i="44" l="1"/>
  <c r="A306" i="44" l="1"/>
  <c r="A318" i="44" l="1"/>
  <c r="A330" i="44" l="1"/>
  <c r="A342" i="44" l="1"/>
  <c r="A354" i="44" l="1"/>
  <c r="C9" i="5" l="1"/>
  <c r="A2" i="52" s="1"/>
  <c r="Z88" i="48"/>
  <c r="E213" i="48"/>
  <c r="E218" i="49"/>
  <c r="V28" i="48"/>
  <c r="W28" i="48"/>
  <c r="E215" i="49"/>
  <c r="Z31" i="50"/>
  <c r="W5" i="48"/>
  <c r="V5" i="48"/>
  <c r="E234" i="40"/>
  <c r="E268" i="48"/>
  <c r="E311" i="48"/>
  <c r="Z81" i="48"/>
  <c r="Z38" i="40"/>
  <c r="W31" i="48"/>
  <c r="V31" i="48"/>
  <c r="Z37" i="49"/>
  <c r="E194" i="48"/>
  <c r="E205" i="49"/>
  <c r="E197" i="40"/>
  <c r="E198" i="40"/>
  <c r="E260" i="49"/>
  <c r="W80" i="40"/>
  <c r="D209" i="40"/>
  <c r="Z69" i="48"/>
  <c r="W26" i="48"/>
  <c r="V26" i="48"/>
  <c r="D214" i="40"/>
  <c r="E258" i="49"/>
  <c r="Z30" i="49"/>
  <c r="D219" i="40"/>
  <c r="Z88" i="40"/>
  <c r="Z15" i="48"/>
  <c r="E192" i="40"/>
  <c r="D217" i="50"/>
  <c r="Z37" i="48"/>
  <c r="W44" i="40"/>
  <c r="V44" i="40"/>
  <c r="Z157" i="48"/>
  <c r="D217" i="49"/>
  <c r="E289" i="50"/>
  <c r="E247" i="48"/>
  <c r="D261" i="49"/>
  <c r="V6" i="50"/>
  <c r="W6" i="50"/>
  <c r="E245" i="49"/>
  <c r="Z20" i="50"/>
  <c r="D278" i="49"/>
  <c r="E237" i="48"/>
  <c r="D238" i="40"/>
  <c r="W77" i="50"/>
  <c r="E262" i="49"/>
  <c r="E231" i="49"/>
  <c r="W19" i="48"/>
  <c r="V19" i="48"/>
  <c r="Z43" i="49"/>
  <c r="W63" i="40"/>
  <c r="V63" i="40"/>
  <c r="E238" i="49"/>
  <c r="E322" i="40"/>
  <c r="V8" i="40"/>
  <c r="W8" i="40"/>
  <c r="Z38" i="48"/>
  <c r="D240" i="48"/>
  <c r="W75" i="49"/>
  <c r="D216" i="48"/>
  <c r="W49" i="50"/>
  <c r="V49" i="50"/>
  <c r="D272" i="40"/>
  <c r="V7" i="40"/>
  <c r="W7" i="40"/>
  <c r="Z64" i="40"/>
  <c r="Z41" i="48"/>
  <c r="D215" i="40"/>
  <c r="E274" i="40"/>
  <c r="W39" i="49"/>
  <c r="V39" i="49"/>
  <c r="E195" i="49"/>
  <c r="E192" i="50"/>
  <c r="E250" i="40"/>
  <c r="W33" i="40"/>
  <c r="V33" i="40"/>
  <c r="V20" i="48"/>
  <c r="W20" i="48"/>
  <c r="W74" i="50"/>
  <c r="Z57" i="48"/>
  <c r="W50" i="49"/>
  <c r="V50" i="49"/>
  <c r="E270" i="48"/>
  <c r="D256" i="49"/>
  <c r="E220" i="40"/>
  <c r="D270" i="40"/>
  <c r="D231" i="50"/>
  <c r="Z15" i="40"/>
  <c r="W91" i="48"/>
  <c r="V37" i="50"/>
  <c r="W37" i="50"/>
  <c r="W76" i="49"/>
  <c r="V5" i="50"/>
  <c r="W5" i="50"/>
  <c r="Z27" i="48"/>
  <c r="Z85" i="48"/>
  <c r="D198" i="48"/>
  <c r="V14" i="49"/>
  <c r="W14" i="49"/>
  <c r="E216" i="49"/>
  <c r="D237" i="40"/>
  <c r="Z36" i="48"/>
  <c r="D202" i="50"/>
  <c r="D240" i="49"/>
  <c r="Z9" i="50"/>
  <c r="Z38" i="49"/>
  <c r="Z46" i="48"/>
  <c r="D251" i="40"/>
  <c r="Z60" i="48"/>
  <c r="D203" i="49"/>
  <c r="V25" i="49"/>
  <c r="W25" i="49"/>
  <c r="E251" i="40"/>
  <c r="Z36" i="49"/>
  <c r="V16" i="50"/>
  <c r="W16" i="50"/>
  <c r="E289" i="49"/>
  <c r="W52" i="48"/>
  <c r="V52" i="48"/>
  <c r="V21" i="40"/>
  <c r="W21" i="40"/>
  <c r="V19" i="49"/>
  <c r="W19" i="49"/>
  <c r="V49" i="40"/>
  <c r="W49" i="40"/>
  <c r="Z41" i="50"/>
  <c r="E261" i="49"/>
  <c r="Z32" i="40"/>
  <c r="Z91" i="49"/>
  <c r="V36" i="48"/>
  <c r="W36" i="48"/>
  <c r="W74" i="49"/>
  <c r="W16" i="40"/>
  <c r="V16" i="40"/>
  <c r="D191" i="50"/>
  <c r="E196" i="48"/>
  <c r="E231" i="50"/>
  <c r="D197" i="49"/>
  <c r="D252" i="48"/>
  <c r="W157" i="40"/>
  <c r="D259" i="50"/>
  <c r="W113" i="50"/>
  <c r="D223" i="48"/>
  <c r="W102" i="50"/>
  <c r="Z53" i="49"/>
  <c r="D208" i="50"/>
  <c r="Z59" i="48"/>
  <c r="Z27" i="40"/>
  <c r="D267" i="40"/>
  <c r="E201" i="48"/>
  <c r="V53" i="48"/>
  <c r="W53" i="48"/>
  <c r="W44" i="48"/>
  <c r="V44" i="48"/>
  <c r="D209" i="49"/>
  <c r="Z42" i="49"/>
  <c r="Z35" i="49"/>
  <c r="H2" i="19"/>
  <c r="E300" i="49"/>
  <c r="D192" i="49"/>
  <c r="D212" i="48"/>
  <c r="D225" i="50"/>
  <c r="E207" i="49"/>
  <c r="D278" i="40"/>
  <c r="D217" i="40"/>
  <c r="Z65" i="40"/>
  <c r="E202" i="40"/>
  <c r="W124" i="49"/>
  <c r="E217" i="50"/>
  <c r="Z48" i="50"/>
  <c r="W124" i="40"/>
  <c r="W26" i="49"/>
  <c r="V26" i="49"/>
  <c r="W6" i="40"/>
  <c r="V6" i="40"/>
  <c r="Z26" i="40"/>
  <c r="D245" i="49"/>
  <c r="W76" i="50"/>
  <c r="D289" i="48"/>
  <c r="D192" i="50"/>
  <c r="W81" i="40"/>
  <c r="V29" i="49"/>
  <c r="W29" i="49"/>
  <c r="E241" i="50"/>
  <c r="W52" i="50"/>
  <c r="V52" i="50"/>
  <c r="W29" i="40"/>
  <c r="V29" i="40"/>
  <c r="E250" i="48"/>
  <c r="E197" i="49"/>
  <c r="E203" i="48"/>
  <c r="E216" i="40"/>
  <c r="E259" i="50"/>
  <c r="D213" i="49"/>
  <c r="D267" i="48"/>
  <c r="D344" i="48"/>
  <c r="V69" i="40"/>
  <c r="W69" i="40"/>
  <c r="D300" i="40"/>
  <c r="Z14" i="50"/>
  <c r="W9" i="48"/>
  <c r="V9" i="48"/>
  <c r="W113" i="48"/>
  <c r="Z11" i="50"/>
  <c r="E203" i="49"/>
  <c r="E269" i="40"/>
  <c r="Z76" i="50"/>
  <c r="Z91" i="50"/>
  <c r="D227" i="48"/>
  <c r="Z11" i="48"/>
  <c r="W25" i="48"/>
  <c r="V25" i="48"/>
  <c r="E245" i="48"/>
  <c r="Z84" i="40"/>
  <c r="Z53" i="48"/>
  <c r="D201" i="49"/>
  <c r="E245" i="50"/>
  <c r="E212" i="40"/>
  <c r="E196" i="49"/>
  <c r="D257" i="49"/>
  <c r="W69" i="50"/>
  <c r="D223" i="50"/>
  <c r="Z102" i="50"/>
  <c r="D247" i="48"/>
  <c r="D203" i="40"/>
  <c r="E219" i="50"/>
  <c r="D241" i="48"/>
  <c r="Z51" i="48"/>
  <c r="Z62" i="40"/>
  <c r="E289" i="48"/>
  <c r="Z146" i="48"/>
  <c r="E246" i="40"/>
  <c r="Z29" i="50"/>
  <c r="E267" i="49"/>
  <c r="W102" i="40"/>
  <c r="V32" i="49"/>
  <c r="W32" i="49"/>
  <c r="E226" i="48"/>
  <c r="E270" i="40"/>
  <c r="W44" i="49"/>
  <c r="V44" i="49"/>
  <c r="D264" i="50"/>
  <c r="Z24" i="49"/>
  <c r="E256" i="50"/>
  <c r="V55" i="48"/>
  <c r="W55" i="48"/>
  <c r="D300" i="50"/>
  <c r="Z73" i="49"/>
  <c r="E269" i="48"/>
  <c r="V42" i="49"/>
  <c r="W42" i="49"/>
  <c r="E227" i="40"/>
  <c r="W21" i="48"/>
  <c r="V21" i="48"/>
  <c r="E225" i="40"/>
  <c r="W50" i="40"/>
  <c r="V50" i="40"/>
  <c r="E272" i="48"/>
  <c r="Z6" i="49"/>
  <c r="Z5" i="40"/>
  <c r="E218" i="50"/>
  <c r="V18" i="48"/>
  <c r="W18" i="48"/>
  <c r="D195" i="40"/>
  <c r="V16" i="48"/>
  <c r="W16" i="48"/>
  <c r="E205" i="40"/>
  <c r="D236" i="48"/>
  <c r="V20" i="40"/>
  <c r="W20" i="40"/>
  <c r="W59" i="48"/>
  <c r="V59" i="48"/>
  <c r="E252" i="48"/>
  <c r="Z91" i="40"/>
  <c r="V15" i="40"/>
  <c r="W15" i="40"/>
  <c r="E263" i="50"/>
  <c r="E258" i="50"/>
  <c r="D237" i="49"/>
  <c r="W125" i="49"/>
  <c r="Z71" i="49"/>
  <c r="E224" i="48"/>
  <c r="Z9" i="48"/>
  <c r="V28" i="49"/>
  <c r="W28" i="49"/>
  <c r="E195" i="40"/>
  <c r="D215" i="48"/>
  <c r="D240" i="40"/>
  <c r="Z58" i="49"/>
  <c r="W7" i="50"/>
  <c r="V7" i="50"/>
  <c r="D333" i="40"/>
  <c r="Z83" i="40"/>
  <c r="Z10" i="40"/>
  <c r="V51" i="48"/>
  <c r="W51" i="48"/>
  <c r="E263" i="49"/>
  <c r="D216" i="50"/>
  <c r="Z33" i="48"/>
  <c r="D260" i="50"/>
  <c r="E311" i="40"/>
  <c r="W36" i="50"/>
  <c r="V36" i="50"/>
  <c r="D289" i="49"/>
  <c r="D245" i="48"/>
  <c r="E228" i="48"/>
  <c r="E223" i="40"/>
  <c r="E202" i="50"/>
  <c r="D191" i="49"/>
  <c r="Z32" i="50"/>
  <c r="E201" i="49"/>
  <c r="E226" i="40"/>
  <c r="E213" i="50"/>
  <c r="Z39" i="40"/>
  <c r="Z80" i="49"/>
  <c r="D300" i="49"/>
  <c r="D253" i="48"/>
  <c r="D201" i="50"/>
  <c r="E264" i="50"/>
  <c r="W59" i="40"/>
  <c r="V59" i="40"/>
  <c r="D195" i="49"/>
  <c r="Z21" i="50"/>
  <c r="V19" i="50"/>
  <c r="W19" i="50"/>
  <c r="E198" i="48"/>
  <c r="E208" i="48"/>
  <c r="V32" i="48"/>
  <c r="W32" i="48"/>
  <c r="Z47" i="50"/>
  <c r="Z47" i="48"/>
  <c r="Z146" i="40"/>
  <c r="E214" i="49"/>
  <c r="E238" i="40"/>
  <c r="D256" i="48"/>
  <c r="Z21" i="40"/>
  <c r="W38" i="48"/>
  <c r="V38" i="48"/>
  <c r="W80" i="49"/>
  <c r="D213" i="48"/>
  <c r="E195" i="48"/>
  <c r="D257" i="50"/>
  <c r="D209" i="48"/>
  <c r="W52" i="40"/>
  <c r="V52" i="40"/>
  <c r="E239" i="40"/>
  <c r="Z69" i="50"/>
  <c r="W84" i="48"/>
  <c r="W17" i="49"/>
  <c r="V17" i="49"/>
  <c r="Z26" i="49"/>
  <c r="W54" i="48"/>
  <c r="V54" i="48"/>
  <c r="W127" i="49"/>
  <c r="D249" i="48"/>
  <c r="W86" i="48"/>
  <c r="Z14" i="49"/>
  <c r="Z25" i="49"/>
  <c r="D271" i="48"/>
  <c r="D263" i="50"/>
  <c r="D220" i="48"/>
  <c r="E300" i="40"/>
  <c r="D238" i="50"/>
  <c r="V61" i="48"/>
  <c r="W61" i="48"/>
  <c r="E213" i="40"/>
  <c r="W20" i="49"/>
  <c r="V20" i="49"/>
  <c r="D231" i="40"/>
  <c r="Z102" i="48"/>
  <c r="V62" i="48"/>
  <c r="W62" i="48"/>
  <c r="Z18" i="48"/>
  <c r="Z28" i="40"/>
  <c r="Z87" i="48"/>
  <c r="D218" i="40"/>
  <c r="Z8" i="50"/>
  <c r="V48" i="48"/>
  <c r="W48" i="48"/>
  <c r="Z77" i="49"/>
  <c r="V47" i="50"/>
  <c r="W47" i="50"/>
  <c r="W87" i="40"/>
  <c r="W58" i="40"/>
  <c r="V58" i="40"/>
  <c r="Z7" i="48"/>
  <c r="W28" i="40"/>
  <c r="V28" i="40"/>
  <c r="E202" i="49"/>
  <c r="E212" i="48"/>
  <c r="D231" i="49"/>
  <c r="D262" i="49"/>
  <c r="W58" i="48"/>
  <c r="V58" i="48"/>
  <c r="E261" i="50"/>
  <c r="E248" i="40"/>
  <c r="W62" i="40"/>
  <c r="V62" i="40"/>
  <c r="Z19" i="49"/>
  <c r="Z42" i="50"/>
  <c r="W18" i="49"/>
  <c r="V18" i="49"/>
  <c r="E204" i="48"/>
  <c r="E198" i="49"/>
  <c r="W113" i="40"/>
  <c r="W28" i="50"/>
  <c r="V28" i="50"/>
  <c r="D269" i="48"/>
  <c r="D191" i="48"/>
  <c r="D239" i="50"/>
  <c r="D220" i="49"/>
  <c r="W47" i="40"/>
  <c r="V47" i="40"/>
  <c r="W61" i="40"/>
  <c r="V61" i="40"/>
  <c r="D242" i="50"/>
  <c r="D238" i="49"/>
  <c r="D242" i="49"/>
  <c r="Z76" i="49"/>
  <c r="E220" i="49"/>
  <c r="D237" i="50"/>
  <c r="D250" i="48"/>
  <c r="Z40" i="48"/>
  <c r="W40" i="49"/>
  <c r="V40" i="49"/>
  <c r="Z82" i="48"/>
  <c r="Z10" i="50"/>
  <c r="Z68" i="49"/>
  <c r="V64" i="40"/>
  <c r="W64" i="40"/>
  <c r="V42" i="50"/>
  <c r="W42" i="50"/>
  <c r="Z25" i="50"/>
  <c r="Z10" i="48"/>
  <c r="E236" i="50"/>
  <c r="D246" i="48"/>
  <c r="D194" i="50"/>
  <c r="V20" i="50"/>
  <c r="W20" i="50"/>
  <c r="W44" i="50"/>
  <c r="V44" i="50"/>
  <c r="V26" i="50"/>
  <c r="W26" i="50"/>
  <c r="E322" i="48"/>
  <c r="W80" i="50"/>
  <c r="W42" i="48"/>
  <c r="V42" i="48"/>
  <c r="Z55" i="48"/>
  <c r="E240" i="50"/>
  <c r="Z8" i="40"/>
  <c r="D229" i="48"/>
  <c r="D235" i="48"/>
  <c r="D256" i="50"/>
  <c r="E271" i="40"/>
  <c r="D205" i="49"/>
  <c r="Z62" i="48"/>
  <c r="V5" i="40"/>
  <c r="W5" i="40"/>
  <c r="W126" i="49"/>
  <c r="E228" i="40"/>
  <c r="E278" i="40"/>
  <c r="Z13" i="48"/>
  <c r="W82" i="40"/>
  <c r="W37" i="48"/>
  <c r="V37" i="48"/>
  <c r="D249" i="40"/>
  <c r="E236" i="49"/>
  <c r="E260" i="50"/>
  <c r="E226" i="49"/>
  <c r="W36" i="40"/>
  <c r="V36" i="40"/>
  <c r="E239" i="49"/>
  <c r="W85" i="40"/>
  <c r="W157" i="48"/>
  <c r="E201" i="50"/>
  <c r="E193" i="49"/>
  <c r="Z55" i="49"/>
  <c r="Z50" i="40"/>
  <c r="Z28" i="50"/>
  <c r="E206" i="40"/>
  <c r="V49" i="48"/>
  <c r="W49" i="48"/>
  <c r="V51" i="50"/>
  <c r="W51" i="50"/>
  <c r="D215" i="49"/>
  <c r="E234" i="50"/>
  <c r="W58" i="49"/>
  <c r="V58" i="49"/>
  <c r="D248" i="40"/>
  <c r="D289" i="40"/>
  <c r="Z35" i="50"/>
  <c r="W31" i="50"/>
  <c r="V31" i="50"/>
  <c r="D197" i="48"/>
  <c r="Z36" i="40"/>
  <c r="D196" i="49"/>
  <c r="D196" i="50"/>
  <c r="D207" i="40"/>
  <c r="W7" i="48"/>
  <c r="V7" i="48"/>
  <c r="Z73" i="50"/>
  <c r="D193" i="48"/>
  <c r="D278" i="48"/>
  <c r="Z57" i="40"/>
  <c r="E223" i="50"/>
  <c r="V27" i="40"/>
  <c r="W27" i="40"/>
  <c r="Z11" i="49"/>
  <c r="D333" i="48"/>
  <c r="Z31" i="48"/>
  <c r="E217" i="49"/>
  <c r="V14" i="50"/>
  <c r="W14" i="50"/>
  <c r="E273" i="48"/>
  <c r="D242" i="48"/>
  <c r="E248" i="48"/>
  <c r="W53" i="49"/>
  <c r="V53" i="49"/>
  <c r="Z75" i="49"/>
  <c r="Z74" i="49"/>
  <c r="Z7" i="49"/>
  <c r="D226" i="40"/>
  <c r="Z25" i="48"/>
  <c r="D193" i="40"/>
  <c r="E275" i="40"/>
  <c r="Z113" i="50"/>
  <c r="D229" i="40"/>
  <c r="D275" i="40"/>
  <c r="D202" i="49"/>
  <c r="D214" i="50"/>
  <c r="D195" i="48"/>
  <c r="Z54" i="40"/>
  <c r="W10" i="50"/>
  <c r="V10" i="50"/>
  <c r="Z26" i="50"/>
  <c r="Z13" i="49"/>
  <c r="E206" i="49"/>
  <c r="W22" i="49"/>
  <c r="V22" i="49"/>
  <c r="D214" i="49"/>
  <c r="Z58" i="50"/>
  <c r="D256" i="40"/>
  <c r="Z16" i="50"/>
  <c r="Z7" i="50"/>
  <c r="Z29" i="40"/>
  <c r="E333" i="40"/>
  <c r="E208" i="49"/>
  <c r="E223" i="48"/>
  <c r="Z17" i="40"/>
  <c r="D202" i="48"/>
  <c r="E204" i="49"/>
  <c r="E207" i="48"/>
  <c r="Z30" i="48"/>
  <c r="Z9" i="40"/>
  <c r="E237" i="49"/>
  <c r="D212" i="50"/>
  <c r="V41" i="50"/>
  <c r="W41" i="50"/>
  <c r="Z51" i="50"/>
  <c r="Z27" i="50"/>
  <c r="D270" i="48"/>
  <c r="Z124" i="48"/>
  <c r="Z102" i="49"/>
  <c r="E194" i="40"/>
  <c r="D229" i="50"/>
  <c r="W87" i="48"/>
  <c r="E234" i="49"/>
  <c r="D228" i="49"/>
  <c r="Z46" i="49"/>
  <c r="E246" i="48"/>
  <c r="E230" i="49"/>
  <c r="W124" i="48"/>
  <c r="D241" i="49"/>
  <c r="V18" i="50"/>
  <c r="W18" i="50"/>
  <c r="W32" i="50"/>
  <c r="V32" i="50"/>
  <c r="Z47" i="40"/>
  <c r="V47" i="48"/>
  <c r="W47" i="48"/>
  <c r="W17" i="48"/>
  <c r="V17" i="48"/>
  <c r="D261" i="50"/>
  <c r="E213" i="49"/>
  <c r="E300" i="48"/>
  <c r="Z13" i="50"/>
  <c r="V26" i="40"/>
  <c r="W26" i="40"/>
  <c r="W70" i="50"/>
  <c r="V31" i="40"/>
  <c r="W31" i="40"/>
  <c r="Z58" i="40"/>
  <c r="Z6" i="50"/>
  <c r="D262" i="50"/>
  <c r="W69" i="48"/>
  <c r="V69" i="48"/>
  <c r="E191" i="50"/>
  <c r="E273" i="40"/>
  <c r="W27" i="50"/>
  <c r="V27" i="50"/>
  <c r="D230" i="40"/>
  <c r="Z13" i="40"/>
  <c r="W135" i="48"/>
  <c r="V11" i="40"/>
  <c r="W11" i="40"/>
  <c r="E237" i="40"/>
  <c r="E193" i="40"/>
  <c r="D235" i="50"/>
  <c r="Z50" i="50"/>
  <c r="E344" i="48"/>
  <c r="D247" i="40"/>
  <c r="Z4" i="49"/>
  <c r="E333" i="48"/>
  <c r="Z86" i="48"/>
  <c r="V4" i="48"/>
  <c r="W4" i="48"/>
  <c r="Z48" i="40"/>
  <c r="E262" i="50"/>
  <c r="Z80" i="50"/>
  <c r="D268" i="48"/>
  <c r="D267" i="50"/>
  <c r="D196" i="48"/>
  <c r="V21" i="49"/>
  <c r="W21" i="49"/>
  <c r="E209" i="48"/>
  <c r="V30" i="48"/>
  <c r="W30" i="48"/>
  <c r="D219" i="49"/>
  <c r="Z86" i="40"/>
  <c r="W27" i="49"/>
  <c r="V27" i="49"/>
  <c r="E249" i="40"/>
  <c r="Z15" i="49"/>
  <c r="Z25" i="40"/>
  <c r="E215" i="48"/>
  <c r="V25" i="40"/>
  <c r="W25" i="40"/>
  <c r="W30" i="40"/>
  <c r="V30" i="40"/>
  <c r="D192" i="40"/>
  <c r="E216" i="50"/>
  <c r="W17" i="40"/>
  <c r="V17" i="40"/>
  <c r="D203" i="48"/>
  <c r="Z65" i="48"/>
  <c r="Z10" i="49"/>
  <c r="E268" i="40"/>
  <c r="Z68" i="50"/>
  <c r="W27" i="48"/>
  <c r="V27" i="48"/>
  <c r="V30" i="50"/>
  <c r="W30" i="50"/>
  <c r="W47" i="49"/>
  <c r="V47" i="49"/>
  <c r="E228" i="49"/>
  <c r="D197" i="50"/>
  <c r="E193" i="50"/>
  <c r="V38" i="40"/>
  <c r="W38" i="40"/>
  <c r="E289" i="40"/>
  <c r="D235" i="40"/>
  <c r="W41" i="48"/>
  <c r="V41" i="48"/>
  <c r="E227" i="49"/>
  <c r="D195" i="50"/>
  <c r="W11" i="48"/>
  <c r="V11" i="48"/>
  <c r="Z113" i="49"/>
  <c r="D194" i="48"/>
  <c r="E231" i="48"/>
  <c r="D192" i="48"/>
  <c r="Z70" i="49"/>
  <c r="Z33" i="40"/>
  <c r="E241" i="49"/>
  <c r="W40" i="48"/>
  <c r="V40" i="48"/>
  <c r="W37" i="49"/>
  <c r="V37" i="49"/>
  <c r="W4" i="40"/>
  <c r="V4" i="40"/>
  <c r="W71" i="49"/>
  <c r="D245" i="50"/>
  <c r="Z32" i="48"/>
  <c r="Z46" i="40"/>
  <c r="D215" i="50"/>
  <c r="Z20" i="48"/>
  <c r="D245" i="40"/>
  <c r="D218" i="49"/>
  <c r="W9" i="49"/>
  <c r="V9" i="49"/>
  <c r="W81" i="48"/>
  <c r="Z60" i="40"/>
  <c r="D207" i="50"/>
  <c r="Z135" i="40"/>
  <c r="W5" i="49"/>
  <c r="V5" i="49"/>
  <c r="Z52" i="40"/>
  <c r="V22" i="40"/>
  <c r="W22" i="40"/>
  <c r="E241" i="40"/>
  <c r="E267" i="48"/>
  <c r="D225" i="49"/>
  <c r="W75" i="50"/>
  <c r="D226" i="48"/>
  <c r="E236" i="40"/>
  <c r="Z4" i="50"/>
  <c r="W73" i="49"/>
  <c r="Z63" i="48"/>
  <c r="D204" i="49"/>
  <c r="Z51" i="40"/>
  <c r="Z21" i="49"/>
  <c r="E203" i="50"/>
  <c r="D205" i="40"/>
  <c r="W65" i="48"/>
  <c r="V65" i="48"/>
  <c r="D191" i="40"/>
  <c r="D259" i="49"/>
  <c r="V39" i="40"/>
  <c r="W39" i="40"/>
  <c r="E209" i="49"/>
  <c r="E253" i="40"/>
  <c r="D258" i="50"/>
  <c r="W82" i="48"/>
  <c r="Z20" i="40"/>
  <c r="W53" i="50"/>
  <c r="V53" i="50"/>
  <c r="W85" i="48"/>
  <c r="V8" i="49"/>
  <c r="W8" i="49"/>
  <c r="Z55" i="50"/>
  <c r="V39" i="50"/>
  <c r="W39" i="50"/>
  <c r="E194" i="50"/>
  <c r="E278" i="49"/>
  <c r="E218" i="40"/>
  <c r="Z8" i="49"/>
  <c r="D289" i="50"/>
  <c r="Z83" i="48"/>
  <c r="W33" i="48"/>
  <c r="V33" i="48"/>
  <c r="E240" i="48"/>
  <c r="W83" i="40"/>
  <c r="D227" i="50"/>
  <c r="W69" i="49"/>
  <c r="Z69" i="49"/>
  <c r="E257" i="50"/>
  <c r="Z41" i="49"/>
  <c r="Z5" i="49"/>
  <c r="E192" i="48"/>
  <c r="W48" i="50"/>
  <c r="V48" i="50"/>
  <c r="W64" i="48"/>
  <c r="V64" i="48"/>
  <c r="W19" i="40"/>
  <c r="V19" i="40"/>
  <c r="D234" i="40"/>
  <c r="V50" i="48"/>
  <c r="W50" i="48"/>
  <c r="W43" i="48"/>
  <c r="V43" i="48"/>
  <c r="W15" i="50"/>
  <c r="V15" i="50"/>
  <c r="E275" i="48"/>
  <c r="W10" i="48"/>
  <c r="V10" i="48"/>
  <c r="V10" i="49"/>
  <c r="W10" i="49"/>
  <c r="E204" i="40"/>
  <c r="Z87" i="40"/>
  <c r="D212" i="40"/>
  <c r="D236" i="40"/>
  <c r="Z14" i="48"/>
  <c r="D267" i="49"/>
  <c r="D212" i="49"/>
  <c r="E215" i="50"/>
  <c r="Z7" i="40"/>
  <c r="E240" i="40"/>
  <c r="E212" i="50"/>
  <c r="Z4" i="48"/>
  <c r="Z74" i="50"/>
  <c r="W4" i="49"/>
  <c r="V4" i="49"/>
  <c r="Z37" i="50"/>
  <c r="V8" i="48"/>
  <c r="W8" i="48"/>
  <c r="E229" i="50"/>
  <c r="D322" i="48"/>
  <c r="W6" i="48"/>
  <c r="V6" i="48"/>
  <c r="E344" i="40"/>
  <c r="E247" i="40"/>
  <c r="W88" i="40"/>
  <c r="E208" i="40"/>
  <c r="E198" i="50"/>
  <c r="D237" i="48"/>
  <c r="E191" i="49"/>
  <c r="E239" i="50"/>
  <c r="D224" i="49"/>
  <c r="D300" i="48"/>
  <c r="E224" i="50"/>
  <c r="W54" i="40"/>
  <c r="V54" i="40"/>
  <c r="V43" i="40"/>
  <c r="W43" i="40"/>
  <c r="Z64" i="48"/>
  <c r="E272" i="40"/>
  <c r="W129" i="49"/>
  <c r="E214" i="40"/>
  <c r="D260" i="49"/>
  <c r="Z70" i="50"/>
  <c r="D219" i="50"/>
  <c r="D251" i="48"/>
  <c r="E271" i="48"/>
  <c r="E193" i="48"/>
  <c r="W91" i="40"/>
  <c r="Z48" i="48"/>
  <c r="V37" i="40"/>
  <c r="W37" i="40"/>
  <c r="D228" i="40"/>
  <c r="Z43" i="48"/>
  <c r="W9" i="40"/>
  <c r="V9" i="40"/>
  <c r="Z40" i="40"/>
  <c r="D264" i="49"/>
  <c r="E257" i="49"/>
  <c r="Z28" i="49"/>
  <c r="E278" i="50"/>
  <c r="Z32" i="49"/>
  <c r="D204" i="50"/>
  <c r="D201" i="48"/>
  <c r="E225" i="50"/>
  <c r="Z39" i="48"/>
  <c r="W17" i="50"/>
  <c r="V17" i="50"/>
  <c r="Z17" i="48"/>
  <c r="D230" i="48"/>
  <c r="E256" i="49"/>
  <c r="Z54" i="48"/>
  <c r="D206" i="49"/>
  <c r="E191" i="48"/>
  <c r="V58" i="50"/>
  <c r="W58" i="50"/>
  <c r="E226" i="50"/>
  <c r="E242" i="48"/>
  <c r="E237" i="50"/>
  <c r="Z30" i="50"/>
  <c r="D208" i="49"/>
  <c r="Z50" i="48"/>
  <c r="D223" i="49"/>
  <c r="Z16" i="49"/>
  <c r="Z37" i="40"/>
  <c r="Z43" i="40"/>
  <c r="E278" i="48"/>
  <c r="D253" i="40"/>
  <c r="E224" i="40"/>
  <c r="D198" i="49"/>
  <c r="E197" i="50"/>
  <c r="Z8" i="48"/>
  <c r="Z6" i="40"/>
  <c r="D206" i="40"/>
  <c r="D231" i="48"/>
  <c r="W72" i="49"/>
  <c r="D344" i="40"/>
  <c r="Z58" i="48"/>
  <c r="W70" i="49"/>
  <c r="D227" i="49"/>
  <c r="W86" i="40"/>
  <c r="D228" i="48"/>
  <c r="D235" i="49"/>
  <c r="D234" i="50"/>
  <c r="D219" i="48"/>
  <c r="Z5" i="48"/>
  <c r="D273" i="40"/>
  <c r="E209" i="50"/>
  <c r="Z33" i="49"/>
  <c r="E229" i="40"/>
  <c r="E191" i="40"/>
  <c r="Z44" i="40"/>
  <c r="Z135" i="48"/>
  <c r="V33" i="49"/>
  <c r="W33" i="49"/>
  <c r="D230" i="50"/>
  <c r="Z41" i="40"/>
  <c r="E251" i="48"/>
  <c r="D234" i="49"/>
  <c r="Z9" i="49"/>
  <c r="E229" i="49"/>
  <c r="Z44" i="48"/>
  <c r="D273" i="48"/>
  <c r="E227" i="48"/>
  <c r="W71" i="50"/>
  <c r="W21" i="50"/>
  <c r="V21" i="50"/>
  <c r="D201" i="40"/>
  <c r="D241" i="40"/>
  <c r="E223" i="49"/>
  <c r="E231" i="40"/>
  <c r="W84" i="40"/>
  <c r="W102" i="48"/>
  <c r="Z59" i="40"/>
  <c r="V54" i="49"/>
  <c r="W54" i="49"/>
  <c r="Z16" i="40"/>
  <c r="W102" i="49"/>
  <c r="W49" i="49"/>
  <c r="V49" i="49"/>
  <c r="E242" i="49"/>
  <c r="E236" i="48"/>
  <c r="D206" i="50"/>
  <c r="W40" i="50"/>
  <c r="V40" i="50"/>
  <c r="D216" i="49"/>
  <c r="D242" i="40"/>
  <c r="Z40" i="49"/>
  <c r="Z39" i="49"/>
  <c r="Z42" i="48"/>
  <c r="E196" i="40"/>
  <c r="E217" i="40"/>
  <c r="Z42" i="40"/>
  <c r="D236" i="49"/>
  <c r="E228" i="50"/>
  <c r="Z31" i="40"/>
  <c r="V10" i="40"/>
  <c r="W10" i="40"/>
  <c r="Z24" i="48"/>
  <c r="E197" i="48"/>
  <c r="D204" i="48"/>
  <c r="W43" i="49"/>
  <c r="V43" i="49"/>
  <c r="E203" i="40"/>
  <c r="E207" i="40"/>
  <c r="V66" i="48"/>
  <c r="W66" i="48"/>
  <c r="D218" i="50"/>
  <c r="Z82" i="40"/>
  <c r="E216" i="48"/>
  <c r="Z15" i="50"/>
  <c r="W22" i="50"/>
  <c r="V22" i="50"/>
  <c r="D225" i="40"/>
  <c r="Z27" i="49"/>
  <c r="D223" i="40"/>
  <c r="Z66" i="48"/>
  <c r="W83" i="48"/>
  <c r="Z124" i="40"/>
  <c r="W25" i="50"/>
  <c r="V25" i="50"/>
  <c r="D205" i="50"/>
  <c r="Z18" i="50"/>
  <c r="Z61" i="48"/>
  <c r="E242" i="40"/>
  <c r="V60" i="40"/>
  <c r="W60" i="40"/>
  <c r="W38" i="50"/>
  <c r="V38" i="50"/>
  <c r="Z72" i="49"/>
  <c r="Z46" i="50"/>
  <c r="Z31" i="49"/>
  <c r="V52" i="49"/>
  <c r="W52" i="49"/>
  <c r="D240" i="50"/>
  <c r="Z55" i="40"/>
  <c r="W51" i="40"/>
  <c r="V51" i="40"/>
  <c r="Z43" i="50"/>
  <c r="V7" i="49"/>
  <c r="W7" i="49"/>
  <c r="Z28" i="48"/>
  <c r="E219" i="48"/>
  <c r="Z80" i="40"/>
  <c r="W15" i="49"/>
  <c r="V15" i="49"/>
  <c r="E220" i="50"/>
  <c r="T132" i="49"/>
  <c r="V132" i="49"/>
  <c r="W132" i="49"/>
  <c r="E245" i="40"/>
  <c r="E238" i="48"/>
  <c r="W55" i="40"/>
  <c r="V55" i="40"/>
  <c r="D311" i="48"/>
  <c r="D217" i="48"/>
  <c r="E242" i="50"/>
  <c r="Z81" i="40"/>
  <c r="Z17" i="50"/>
  <c r="D236" i="50"/>
  <c r="Z84" i="48"/>
  <c r="V8" i="50"/>
  <c r="W8" i="50"/>
  <c r="W91" i="50"/>
  <c r="D220" i="50"/>
  <c r="V66" i="40"/>
  <c r="W66" i="40"/>
  <c r="W32" i="40"/>
  <c r="V32" i="40"/>
  <c r="V41" i="49"/>
  <c r="W41" i="49"/>
  <c r="Z19" i="40"/>
  <c r="W130" i="49"/>
  <c r="T130" i="49"/>
  <c r="V130" i="49"/>
  <c r="Z49" i="50"/>
  <c r="Z52" i="49"/>
  <c r="Z69" i="40"/>
  <c r="D198" i="50"/>
  <c r="E214" i="48"/>
  <c r="W14" i="40"/>
  <c r="V14" i="40"/>
  <c r="Z24" i="50"/>
  <c r="E227" i="50"/>
  <c r="D198" i="40"/>
  <c r="V29" i="48"/>
  <c r="W29" i="48"/>
  <c r="Z30" i="40"/>
  <c r="E267" i="50"/>
  <c r="Z22" i="49"/>
  <c r="D208" i="48"/>
  <c r="D239" i="40"/>
  <c r="D278" i="50"/>
  <c r="D216" i="40"/>
  <c r="V48" i="40"/>
  <c r="W48" i="40"/>
  <c r="Z18" i="40"/>
  <c r="E235" i="40"/>
  <c r="D239" i="49"/>
  <c r="E235" i="48"/>
  <c r="E230" i="48"/>
  <c r="Z36" i="50"/>
  <c r="E206" i="48"/>
  <c r="E249" i="48"/>
  <c r="D208" i="40"/>
  <c r="D193" i="49"/>
  <c r="D194" i="49"/>
  <c r="D275" i="48"/>
  <c r="E195" i="50"/>
  <c r="E205" i="50"/>
  <c r="D263" i="49"/>
  <c r="Z54" i="49"/>
  <c r="E212" i="49"/>
  <c r="Z49" i="40"/>
  <c r="V16" i="49"/>
  <c r="W16" i="49"/>
  <c r="E256" i="40"/>
  <c r="Z6" i="48"/>
  <c r="E219" i="40"/>
  <c r="W43" i="50"/>
  <c r="V43" i="50"/>
  <c r="E224" i="49"/>
  <c r="D228" i="50"/>
  <c r="W6" i="49"/>
  <c r="V6" i="49"/>
  <c r="D241" i="50"/>
  <c r="V11" i="50"/>
  <c r="W11" i="50"/>
  <c r="Z38" i="50"/>
  <c r="D238" i="48"/>
  <c r="Z22" i="40"/>
  <c r="Z113" i="48"/>
  <c r="E202" i="48"/>
  <c r="D220" i="40"/>
  <c r="D246" i="40"/>
  <c r="V29" i="50"/>
  <c r="W29" i="50"/>
  <c r="Z53" i="50"/>
  <c r="E218" i="48"/>
  <c r="W77" i="49"/>
  <c r="Z5" i="50"/>
  <c r="Z102" i="40"/>
  <c r="Z66" i="40"/>
  <c r="Z85" i="40"/>
  <c r="D206" i="48"/>
  <c r="D239" i="48"/>
  <c r="W18" i="40"/>
  <c r="V18" i="40"/>
  <c r="E230" i="50"/>
  <c r="D248" i="48"/>
  <c r="D196" i="40"/>
  <c r="D224" i="40"/>
  <c r="D229" i="49"/>
  <c r="E225" i="49"/>
  <c r="E238" i="50"/>
  <c r="E235" i="49"/>
  <c r="D202" i="40"/>
  <c r="Z11" i="40"/>
  <c r="W30" i="49"/>
  <c r="V30" i="49"/>
  <c r="V55" i="50"/>
  <c r="W55" i="50"/>
  <c r="E234" i="48"/>
  <c r="Z22" i="50"/>
  <c r="Z113" i="40"/>
  <c r="V38" i="49"/>
  <c r="W38" i="49"/>
  <c r="Z77" i="50"/>
  <c r="E215" i="40"/>
  <c r="V11" i="49"/>
  <c r="W11" i="49"/>
  <c r="E252" i="40"/>
  <c r="Z63" i="40"/>
  <c r="E194" i="49"/>
  <c r="D224" i="48"/>
  <c r="V65" i="40"/>
  <c r="W65" i="40"/>
  <c r="Z29" i="48"/>
  <c r="V51" i="49"/>
  <c r="W51" i="49"/>
  <c r="W14" i="48"/>
  <c r="V14" i="48"/>
  <c r="D193" i="50"/>
  <c r="E230" i="40"/>
  <c r="D311" i="40"/>
  <c r="D268" i="40"/>
  <c r="D252" i="40"/>
  <c r="Z50" i="49"/>
  <c r="E300" i="50"/>
  <c r="D207" i="48"/>
  <c r="W128" i="49"/>
  <c r="Z19" i="48"/>
  <c r="W31" i="49"/>
  <c r="V31" i="49"/>
  <c r="W91" i="49"/>
  <c r="Z80" i="48"/>
  <c r="E240" i="49"/>
  <c r="E239" i="48"/>
  <c r="Z52" i="50"/>
  <c r="E253" i="48"/>
  <c r="V131" i="49"/>
  <c r="T131" i="49"/>
  <c r="W131" i="49"/>
  <c r="D274" i="40"/>
  <c r="W146" i="48"/>
  <c r="Z75" i="50"/>
  <c r="W135" i="40"/>
  <c r="V40" i="40"/>
  <c r="W40" i="40"/>
  <c r="W146" i="40"/>
  <c r="E209" i="40"/>
  <c r="E267" i="40"/>
  <c r="W9" i="50"/>
  <c r="V9" i="50"/>
  <c r="W33" i="50"/>
  <c r="V33" i="50"/>
  <c r="E201" i="40"/>
  <c r="D209" i="50"/>
  <c r="E225" i="48"/>
  <c r="Z54" i="50"/>
  <c r="Z72" i="50"/>
  <c r="D230" i="49"/>
  <c r="V42" i="40"/>
  <c r="W42" i="40"/>
  <c r="V36" i="49"/>
  <c r="W36" i="49"/>
  <c r="W73" i="50"/>
  <c r="D194" i="40"/>
  <c r="Z4" i="40"/>
  <c r="D322" i="40"/>
  <c r="Z29" i="49"/>
  <c r="E259" i="49"/>
  <c r="Z49" i="49"/>
  <c r="Z79" i="40"/>
  <c r="E217" i="48"/>
  <c r="E241" i="48"/>
  <c r="Z47" i="49"/>
  <c r="Z91" i="48"/>
  <c r="V50" i="50"/>
  <c r="W50" i="50"/>
  <c r="Z157" i="40"/>
  <c r="Z35" i="40"/>
  <c r="D225" i="48"/>
  <c r="Z40" i="50"/>
  <c r="D207" i="49"/>
  <c r="Z22" i="48"/>
  <c r="W72" i="50"/>
  <c r="W80" i="48"/>
  <c r="E264" i="49"/>
  <c r="W113" i="49"/>
  <c r="Z33" i="50"/>
  <c r="E220" i="48"/>
  <c r="D234" i="48"/>
  <c r="V55" i="49"/>
  <c r="W55" i="49"/>
  <c r="Z61" i="40"/>
  <c r="D214" i="48"/>
  <c r="Z35" i="48"/>
  <c r="E196" i="50"/>
  <c r="Z49" i="48"/>
  <c r="Z44" i="50"/>
  <c r="D224" i="50"/>
  <c r="D271" i="40"/>
  <c r="W60" i="48"/>
  <c r="V60" i="48"/>
  <c r="E235" i="50"/>
  <c r="E274" i="48"/>
  <c r="V15" i="48"/>
  <c r="W15" i="48"/>
  <c r="D213" i="40"/>
  <c r="D226" i="49"/>
  <c r="E205" i="48"/>
  <c r="W48" i="49"/>
  <c r="V48" i="49"/>
  <c r="Z21" i="48"/>
  <c r="Z53" i="40"/>
  <c r="V53" i="40"/>
  <c r="W53" i="40"/>
  <c r="Z19" i="50"/>
  <c r="V54" i="50"/>
  <c r="W54" i="50"/>
  <c r="E192" i="49"/>
  <c r="Z20" i="49"/>
  <c r="W88" i="48"/>
  <c r="Z14" i="40"/>
  <c r="E208" i="50"/>
  <c r="Z44" i="49"/>
  <c r="D227" i="40"/>
  <c r="D197" i="40"/>
  <c r="W39" i="48"/>
  <c r="V39" i="48"/>
  <c r="W4" i="50"/>
  <c r="V4" i="50"/>
  <c r="E214" i="50"/>
  <c r="D213" i="50"/>
  <c r="D274" i="48"/>
  <c r="V22" i="48"/>
  <c r="W22" i="48"/>
  <c r="Z26" i="48"/>
  <c r="D203" i="50"/>
  <c r="Z71" i="50"/>
  <c r="Z24" i="40"/>
  <c r="D250" i="40"/>
  <c r="E219" i="49"/>
  <c r="D258" i="49"/>
  <c r="D204" i="40"/>
  <c r="D226" i="50"/>
  <c r="W63" i="48"/>
  <c r="V63" i="48"/>
  <c r="D218" i="48"/>
  <c r="Z18" i="49"/>
  <c r="D269" i="40"/>
  <c r="D205" i="48"/>
  <c r="Z17" i="49"/>
  <c r="E204" i="50"/>
  <c r="E229" i="48"/>
  <c r="Z16" i="48"/>
  <c r="V41" i="40"/>
  <c r="W41" i="40"/>
  <c r="Z79" i="48"/>
  <c r="E206" i="50"/>
  <c r="E207" i="50"/>
  <c r="Z52" i="48"/>
  <c r="Z51" i="49"/>
  <c r="Z48" i="49"/>
  <c r="E256" i="48"/>
  <c r="D272" i="48"/>
  <c r="Z39" i="50"/>
  <c r="V80" i="49" l="1"/>
  <c r="V80" i="50"/>
  <c r="V91" i="40"/>
  <c r="V91" i="48"/>
  <c r="Z68" i="48"/>
  <c r="Z57" i="49"/>
  <c r="Z68" i="40"/>
  <c r="Z57" i="50"/>
  <c r="V77" i="49"/>
  <c r="V76" i="49"/>
  <c r="V75" i="49"/>
  <c r="V74" i="49"/>
  <c r="V77" i="50"/>
  <c r="V75" i="50"/>
  <c r="V76" i="50"/>
  <c r="V88" i="40"/>
  <c r="V87" i="40"/>
  <c r="V86" i="40"/>
  <c r="V88" i="48"/>
  <c r="V69" i="49"/>
  <c r="V69" i="50"/>
  <c r="V80" i="40"/>
  <c r="V80" i="48"/>
  <c r="Z59" i="50"/>
  <c r="D540" i="44" l="1"/>
  <c r="D312" i="44"/>
  <c r="D288" i="44"/>
  <c r="D444" i="44"/>
  <c r="D336" i="44"/>
  <c r="D576" i="44"/>
  <c r="D228" i="44"/>
  <c r="D624" i="44"/>
  <c r="D600" i="44"/>
  <c r="D516" i="44"/>
  <c r="D420" i="44"/>
  <c r="D108" i="44"/>
  <c r="D564" i="44"/>
  <c r="D204" i="44"/>
  <c r="D192" i="44"/>
  <c r="D168" i="44"/>
  <c r="D372" i="44"/>
  <c r="D120" i="44"/>
  <c r="D612" i="44"/>
  <c r="D408" i="44"/>
  <c r="D96" i="44"/>
  <c r="D468" i="44"/>
  <c r="D72" i="44"/>
  <c r="D588" i="44"/>
  <c r="D48" i="44"/>
  <c r="D156" i="44"/>
  <c r="D36" i="44"/>
  <c r="D396" i="44"/>
  <c r="D324" i="44"/>
  <c r="D432" i="44"/>
  <c r="D240" i="44"/>
  <c r="D180" i="44"/>
  <c r="D480" i="44"/>
  <c r="D456" i="44"/>
  <c r="D216" i="44"/>
  <c r="D276" i="44"/>
  <c r="D552" i="44"/>
  <c r="D348" i="44"/>
  <c r="D492" i="44"/>
  <c r="D264" i="44"/>
  <c r="D360" i="44"/>
  <c r="D384" i="44"/>
  <c r="D84" i="44"/>
  <c r="D60" i="44"/>
  <c r="D528" i="44"/>
  <c r="D504" i="44"/>
  <c r="D252" i="44"/>
  <c r="D144" i="44"/>
  <c r="D24" i="44"/>
  <c r="D132" i="44"/>
  <c r="D12" i="44"/>
  <c r="D300" i="44"/>
  <c r="F84" i="44" l="1"/>
  <c r="J84" i="44"/>
  <c r="F348" i="44"/>
  <c r="J348" i="44"/>
  <c r="F180" i="44"/>
  <c r="J180" i="44"/>
  <c r="F432" i="44"/>
  <c r="J432" i="44"/>
  <c r="J612" i="44"/>
  <c r="F612" i="44"/>
  <c r="F576" i="44"/>
  <c r="J576" i="44"/>
  <c r="J288" i="44"/>
  <c r="F288" i="44"/>
  <c r="J12" i="44"/>
  <c r="F12" i="44"/>
  <c r="J528" i="44"/>
  <c r="F528" i="44"/>
  <c r="F216" i="44"/>
  <c r="J216" i="44"/>
  <c r="J324" i="44"/>
  <c r="F324" i="44"/>
  <c r="F588" i="44"/>
  <c r="J588" i="44"/>
  <c r="J564" i="44"/>
  <c r="F564" i="44"/>
  <c r="J624" i="44"/>
  <c r="F624" i="44"/>
  <c r="F132" i="44"/>
  <c r="J132" i="44"/>
  <c r="J144" i="44"/>
  <c r="F144" i="44"/>
  <c r="J264" i="44"/>
  <c r="F264" i="44"/>
  <c r="F552" i="44"/>
  <c r="J552" i="44"/>
  <c r="F168" i="44"/>
  <c r="J168" i="44"/>
  <c r="F252" i="44"/>
  <c r="J252" i="44"/>
  <c r="F384" i="44"/>
  <c r="J384" i="44"/>
  <c r="J492" i="44"/>
  <c r="F492" i="44"/>
  <c r="F156" i="44"/>
  <c r="J156" i="44"/>
  <c r="F96" i="44"/>
  <c r="J96" i="44"/>
  <c r="F120" i="44"/>
  <c r="J120" i="44"/>
  <c r="F192" i="44"/>
  <c r="J192" i="44"/>
  <c r="F516" i="44"/>
  <c r="J516" i="44"/>
  <c r="J336" i="44"/>
  <c r="F336" i="44"/>
  <c r="J312" i="44"/>
  <c r="F312" i="44"/>
  <c r="F300" i="44"/>
  <c r="J300" i="44"/>
  <c r="F456" i="44"/>
  <c r="J456" i="44"/>
  <c r="F240" i="44"/>
  <c r="J240" i="44"/>
  <c r="J72" i="44"/>
  <c r="F72" i="44"/>
  <c r="F108" i="44"/>
  <c r="J108" i="44"/>
  <c r="J228" i="44"/>
  <c r="F228" i="44"/>
  <c r="F444" i="44"/>
  <c r="J444" i="44"/>
  <c r="F60" i="44"/>
  <c r="J60" i="44"/>
  <c r="F276" i="44"/>
  <c r="J276" i="44"/>
  <c r="F480" i="44"/>
  <c r="J480" i="44"/>
  <c r="J48" i="44"/>
  <c r="F48" i="44"/>
  <c r="J600" i="44"/>
  <c r="F600" i="44"/>
  <c r="J504" i="44"/>
  <c r="F504" i="44"/>
  <c r="F396" i="44"/>
  <c r="J396" i="44"/>
  <c r="J408" i="44"/>
  <c r="F408" i="44"/>
  <c r="J372" i="44"/>
  <c r="F372" i="44"/>
  <c r="F204" i="44"/>
  <c r="J204" i="44"/>
  <c r="J540" i="44"/>
  <c r="F540" i="44"/>
  <c r="J24" i="44"/>
  <c r="F24" i="44"/>
  <c r="J360" i="44"/>
  <c r="F360" i="44"/>
  <c r="F36" i="44"/>
  <c r="J36" i="44"/>
  <c r="J468" i="44"/>
  <c r="F468" i="44"/>
  <c r="F420" i="44"/>
  <c r="J420" i="44"/>
  <c r="V85" i="40" l="1"/>
  <c r="V73" i="49"/>
  <c r="L468" i="44"/>
  <c r="L540" i="44"/>
  <c r="L72" i="44"/>
  <c r="L312" i="44"/>
  <c r="L144" i="44"/>
  <c r="L624" i="44"/>
  <c r="L324" i="44"/>
  <c r="L12" i="44"/>
  <c r="L204" i="44"/>
  <c r="L276" i="44"/>
  <c r="L444" i="44"/>
  <c r="L192" i="44"/>
  <c r="L156" i="44"/>
  <c r="L252" i="44"/>
  <c r="L132" i="44"/>
  <c r="L504" i="44"/>
  <c r="L48" i="44"/>
  <c r="L336" i="44"/>
  <c r="L264" i="44"/>
  <c r="L288" i="44"/>
  <c r="L36" i="44"/>
  <c r="L396" i="44"/>
  <c r="L120" i="44"/>
  <c r="L588" i="44"/>
  <c r="L216" i="44"/>
  <c r="L576" i="44"/>
  <c r="L348" i="44"/>
  <c r="L24" i="44"/>
  <c r="L372" i="44"/>
  <c r="L228" i="44"/>
  <c r="L492" i="44"/>
  <c r="L564" i="44"/>
  <c r="L528" i="44"/>
  <c r="L240" i="44"/>
  <c r="L300" i="44"/>
  <c r="L516" i="44"/>
  <c r="L96" i="44"/>
  <c r="L384" i="44"/>
  <c r="L432" i="44"/>
  <c r="L360" i="44"/>
  <c r="L408" i="44"/>
  <c r="L600" i="44"/>
  <c r="L612" i="44"/>
  <c r="L420" i="44"/>
  <c r="L480" i="44"/>
  <c r="L60" i="44"/>
  <c r="L108" i="44"/>
  <c r="L456" i="44"/>
  <c r="L168" i="44"/>
  <c r="L552" i="44"/>
  <c r="L180" i="44"/>
  <c r="L84" i="44"/>
  <c r="D72" i="12"/>
  <c r="H214" i="6"/>
  <c r="K93" i="12"/>
  <c r="H211" i="6"/>
  <c r="H80" i="6"/>
  <c r="A326" i="44"/>
  <c r="O39" i="19"/>
  <c r="H370" i="6"/>
  <c r="L180" i="48"/>
  <c r="R37" i="49"/>
  <c r="H6" i="19"/>
  <c r="H403" i="6"/>
  <c r="H341" i="6"/>
  <c r="D163" i="12"/>
  <c r="H14" i="6"/>
  <c r="K61" i="12"/>
  <c r="R48" i="50"/>
  <c r="AF77" i="14"/>
  <c r="D71" i="12"/>
  <c r="A86" i="44"/>
  <c r="R4" i="50"/>
  <c r="AF149" i="14"/>
  <c r="K86" i="12"/>
  <c r="ER15" i="1"/>
  <c r="H105" i="6"/>
  <c r="D29" i="12"/>
  <c r="L26" i="19"/>
  <c r="D108" i="12"/>
  <c r="H406" i="6"/>
  <c r="A542" i="44"/>
  <c r="D85" i="12"/>
  <c r="H5" i="19"/>
  <c r="K31" i="12"/>
  <c r="H113" i="6"/>
  <c r="AF22" i="14"/>
  <c r="L131" i="50"/>
  <c r="E29" i="19"/>
  <c r="A590" i="44"/>
  <c r="EM54" i="1"/>
  <c r="EM23" i="1"/>
  <c r="A458" i="44"/>
  <c r="ER11" i="1"/>
  <c r="H44" i="6"/>
  <c r="H171" i="6"/>
  <c r="E40" i="19"/>
  <c r="K109" i="12"/>
  <c r="H45" i="6"/>
  <c r="H86" i="6"/>
  <c r="H22" i="19"/>
  <c r="E27" i="19"/>
  <c r="AF179" i="14"/>
  <c r="K62" i="12"/>
  <c r="K98" i="12"/>
  <c r="M167" i="48"/>
  <c r="H392" i="6"/>
  <c r="M175" i="48"/>
  <c r="AF143" i="14"/>
  <c r="EM22" i="1"/>
  <c r="AF113" i="14"/>
  <c r="AF170" i="14"/>
  <c r="H240" i="6"/>
  <c r="H48" i="6"/>
  <c r="H54" i="6"/>
  <c r="EM53" i="1"/>
  <c r="D94" i="12"/>
  <c r="H434" i="6"/>
  <c r="L172" i="40"/>
  <c r="A482" i="44"/>
  <c r="AF8" i="14"/>
  <c r="K48" i="12"/>
  <c r="H150" i="6"/>
  <c r="H329" i="6"/>
  <c r="H364" i="6"/>
  <c r="EM55" i="1"/>
  <c r="M184" i="40"/>
  <c r="H495" i="6"/>
  <c r="H499" i="6"/>
  <c r="H466" i="6"/>
  <c r="H246" i="6"/>
  <c r="EM51" i="1"/>
  <c r="L30" i="19"/>
  <c r="L184" i="48"/>
  <c r="C73" i="48"/>
  <c r="H366" i="6"/>
  <c r="H148" i="6"/>
  <c r="K40" i="12"/>
  <c r="AF46" i="14"/>
  <c r="H241" i="6"/>
  <c r="D77" i="12"/>
  <c r="O38" i="19"/>
  <c r="I108" i="50"/>
  <c r="EM38" i="1"/>
  <c r="F60" i="50"/>
  <c r="M172" i="40"/>
  <c r="K65" i="12"/>
  <c r="H401" i="6"/>
  <c r="A218" i="44"/>
  <c r="D96" i="12"/>
  <c r="AF81" i="14"/>
  <c r="M167" i="40"/>
  <c r="R180" i="40"/>
  <c r="AF174" i="14"/>
  <c r="K42" i="12"/>
  <c r="H104" i="6"/>
  <c r="H371" i="6"/>
  <c r="H15" i="6"/>
  <c r="EM37" i="1"/>
  <c r="EM8" i="1"/>
  <c r="A182" i="44"/>
  <c r="A338" i="44"/>
  <c r="H38" i="19"/>
  <c r="K19" i="12"/>
  <c r="D148" i="12"/>
  <c r="D142" i="12"/>
  <c r="H210" i="6"/>
  <c r="L186" i="40"/>
  <c r="H28" i="19"/>
  <c r="D10" i="12"/>
  <c r="ER19" i="1"/>
  <c r="R37" i="50"/>
  <c r="H470" i="6"/>
  <c r="L170" i="40"/>
  <c r="H21" i="6"/>
  <c r="A374" i="44"/>
  <c r="H335" i="6"/>
  <c r="L169" i="48"/>
  <c r="D171" i="12"/>
  <c r="L42" i="19"/>
  <c r="H432" i="6"/>
  <c r="K49" i="12"/>
  <c r="H501" i="6"/>
  <c r="AF54" i="14"/>
  <c r="K117" i="12"/>
  <c r="E15" i="19"/>
  <c r="EM44" i="1"/>
  <c r="C59" i="49"/>
  <c r="H7" i="19"/>
  <c r="EM49" i="1"/>
  <c r="D118" i="12"/>
  <c r="A602" i="44"/>
  <c r="D131" i="12"/>
  <c r="D19" i="12"/>
  <c r="D114" i="12"/>
  <c r="H43" i="6"/>
  <c r="M123" i="50"/>
  <c r="K99" i="12"/>
  <c r="K5" i="12"/>
  <c r="M174" i="48"/>
  <c r="D40" i="12"/>
  <c r="H331" i="6"/>
  <c r="H343" i="6"/>
  <c r="M179" i="48"/>
  <c r="O10" i="19"/>
  <c r="D150" i="12"/>
  <c r="B95" i="48" s="1"/>
  <c r="EM47" i="1"/>
  <c r="L11" i="19"/>
  <c r="M172" i="48"/>
  <c r="H77" i="6"/>
  <c r="H142" i="6"/>
  <c r="A170" i="44"/>
  <c r="K53" i="12"/>
  <c r="L19" i="19"/>
  <c r="H43" i="19"/>
  <c r="K73" i="12"/>
  <c r="L124" i="50"/>
  <c r="A386" i="44"/>
  <c r="K11" i="12"/>
  <c r="H15" i="19"/>
  <c r="D53" i="12"/>
  <c r="O27" i="19"/>
  <c r="H151" i="6"/>
  <c r="D137" i="12"/>
  <c r="H373" i="6"/>
  <c r="H430" i="6"/>
  <c r="H437" i="6"/>
  <c r="K142" i="12"/>
  <c r="O29" i="19"/>
  <c r="L38" i="19"/>
  <c r="ER41" i="1"/>
  <c r="H277" i="6"/>
  <c r="B162" i="48"/>
  <c r="AF76" i="14"/>
  <c r="B125" i="48"/>
  <c r="C71" i="48"/>
  <c r="K20" i="12"/>
  <c r="F71" i="40"/>
  <c r="A122" i="44"/>
  <c r="K160" i="12"/>
  <c r="K15" i="12"/>
  <c r="H51" i="6"/>
  <c r="D130" i="12"/>
  <c r="B119" i="50" s="1"/>
  <c r="M169" i="40"/>
  <c r="D128" i="12"/>
  <c r="R48" i="49"/>
  <c r="H17" i="19"/>
  <c r="AF43" i="14"/>
  <c r="K10" i="12"/>
  <c r="D83" i="12"/>
  <c r="B160" i="48" s="1"/>
  <c r="EM4" i="1"/>
  <c r="H489" i="6"/>
  <c r="EM17" i="1"/>
  <c r="H41" i="6"/>
  <c r="K106" i="12"/>
  <c r="I117" i="49" s="1"/>
  <c r="D81" i="12"/>
  <c r="ER54" i="1"/>
  <c r="AF138" i="14"/>
  <c r="H116" i="6"/>
  <c r="L31" i="19"/>
  <c r="J75" i="48" s="1"/>
  <c r="AF85" i="14"/>
  <c r="K174" i="12"/>
  <c r="AF183" i="14"/>
  <c r="M187" i="48"/>
  <c r="D119" i="12"/>
  <c r="B130" i="48" s="1"/>
  <c r="H272" i="6"/>
  <c r="B93" i="48"/>
  <c r="K37" i="12"/>
  <c r="D51" i="12"/>
  <c r="B139" i="48" s="1"/>
  <c r="EM45" i="1"/>
  <c r="D6" i="12"/>
  <c r="H271" i="6"/>
  <c r="H498" i="6"/>
  <c r="K162" i="12"/>
  <c r="L40" i="19"/>
  <c r="ER47" i="1"/>
  <c r="D129" i="12"/>
  <c r="D61" i="12"/>
  <c r="D132" i="50"/>
  <c r="EM16" i="1"/>
  <c r="L187" i="48"/>
  <c r="H8" i="19"/>
  <c r="D161" i="12"/>
  <c r="E4" i="19"/>
  <c r="E16" i="19"/>
  <c r="H215" i="6"/>
  <c r="L168" i="40"/>
  <c r="A242" i="44"/>
  <c r="ER17" i="1"/>
  <c r="H491" i="6"/>
  <c r="M171" i="40"/>
  <c r="ER9" i="1"/>
  <c r="K108" i="12"/>
  <c r="I119" i="49" s="1"/>
  <c r="K118" i="12"/>
  <c r="K26" i="12"/>
  <c r="R48" i="48"/>
  <c r="K60" i="12"/>
  <c r="H180" i="6"/>
  <c r="H239" i="6"/>
  <c r="EM48" i="1"/>
  <c r="H20" i="6"/>
  <c r="H27" i="19"/>
  <c r="A266" i="44"/>
  <c r="EM7" i="1"/>
  <c r="AF182" i="14"/>
  <c r="K147" i="12"/>
  <c r="H368" i="6"/>
  <c r="H53" i="6"/>
  <c r="AF104" i="14"/>
  <c r="L183" i="48"/>
  <c r="H493" i="6"/>
  <c r="ER32" i="1"/>
  <c r="H500" i="6"/>
  <c r="K94" i="12"/>
  <c r="I105" i="49" s="1"/>
  <c r="H40" i="19"/>
  <c r="K66" i="12"/>
  <c r="I132" i="40" s="1"/>
  <c r="L5" i="19"/>
  <c r="A74" i="44"/>
  <c r="R15" i="49"/>
  <c r="L176" i="48"/>
  <c r="H334" i="6"/>
  <c r="ER46" i="1"/>
  <c r="H183" i="6"/>
  <c r="D43" i="12"/>
  <c r="E33" i="19"/>
  <c r="A14" i="44"/>
  <c r="A398" i="44"/>
  <c r="I141" i="40"/>
  <c r="M131" i="50"/>
  <c r="K81" i="12"/>
  <c r="H274" i="6"/>
  <c r="K104" i="12"/>
  <c r="K28" i="12"/>
  <c r="L187" i="40"/>
  <c r="L32" i="19"/>
  <c r="H296" i="6"/>
  <c r="AF87" i="14"/>
  <c r="B158" i="48"/>
  <c r="B149" i="40"/>
  <c r="M178" i="48"/>
  <c r="I87" i="49"/>
  <c r="D116" i="12"/>
  <c r="D17" i="12"/>
  <c r="B149" i="48" s="1"/>
  <c r="I105" i="50"/>
  <c r="AF78" i="14"/>
  <c r="A206" i="44"/>
  <c r="K159" i="12"/>
  <c r="AF82" i="14"/>
  <c r="D149" i="12"/>
  <c r="L169" i="40"/>
  <c r="AF148" i="14"/>
  <c r="K44" i="12"/>
  <c r="K136" i="12"/>
  <c r="I81" i="49" s="1"/>
  <c r="D32" i="12"/>
  <c r="R125" i="50"/>
  <c r="K85" i="12"/>
  <c r="I162" i="48" s="1"/>
  <c r="H467" i="6"/>
  <c r="A578" i="44"/>
  <c r="L22" i="19"/>
  <c r="J66" i="49" s="1"/>
  <c r="AF13" i="14"/>
  <c r="D22" i="12"/>
  <c r="R169" i="48"/>
  <c r="D5" i="12"/>
  <c r="H490" i="6"/>
  <c r="H503" i="6"/>
  <c r="ER50" i="1"/>
  <c r="M186" i="48"/>
  <c r="H297" i="6"/>
  <c r="EM11" i="1"/>
  <c r="L179" i="48"/>
  <c r="H13" i="6"/>
  <c r="H138" i="6"/>
  <c r="AF142" i="14"/>
  <c r="H10" i="19"/>
  <c r="ER14" i="1"/>
  <c r="E38" i="19"/>
  <c r="AF83" i="14"/>
  <c r="AF173" i="14"/>
  <c r="E37" i="19"/>
  <c r="EM35" i="1"/>
  <c r="AF51" i="14"/>
  <c r="ER39" i="1"/>
  <c r="H268" i="6"/>
  <c r="AF114" i="14"/>
  <c r="AF12" i="14"/>
  <c r="AF106" i="14"/>
  <c r="K110" i="12"/>
  <c r="I121" i="49" s="1"/>
  <c r="H342" i="6"/>
  <c r="AF14" i="14"/>
  <c r="M187" i="40"/>
  <c r="EM33" i="1"/>
  <c r="ER48" i="1"/>
  <c r="H429" i="6"/>
  <c r="AF44" i="14"/>
  <c r="D95" i="12"/>
  <c r="B106" i="49" s="1"/>
  <c r="H424" i="6"/>
  <c r="H19" i="19"/>
  <c r="F63" i="49" s="1"/>
  <c r="K158" i="12"/>
  <c r="I81" i="50" s="1"/>
  <c r="H9" i="6"/>
  <c r="K169" i="12"/>
  <c r="I92" i="40" s="1"/>
  <c r="H119" i="6"/>
  <c r="ER7" i="1"/>
  <c r="AF41" i="14"/>
  <c r="O6" i="19"/>
  <c r="H74" i="6"/>
  <c r="K143" i="12"/>
  <c r="L175" i="48"/>
  <c r="L185" i="48"/>
  <c r="AF21" i="14"/>
  <c r="ER30" i="1"/>
  <c r="L27" i="19"/>
  <c r="K51" i="12"/>
  <c r="H136" i="6"/>
  <c r="A38" i="44"/>
  <c r="EM46" i="1"/>
  <c r="A434" i="44"/>
  <c r="EM18" i="1"/>
  <c r="AF177" i="14"/>
  <c r="AF86" i="14"/>
  <c r="R26" i="49"/>
  <c r="H46" i="6"/>
  <c r="K16" i="12"/>
  <c r="D9" i="12"/>
  <c r="ER53" i="1"/>
  <c r="D121" i="12"/>
  <c r="R26" i="48"/>
  <c r="EM14" i="1"/>
  <c r="E6" i="19"/>
  <c r="I128" i="40"/>
  <c r="K50" i="12"/>
  <c r="A530" i="44"/>
  <c r="B118" i="50"/>
  <c r="AF168" i="14"/>
  <c r="I82" i="50"/>
  <c r="C73" i="40"/>
  <c r="F62" i="50"/>
  <c r="I163" i="48"/>
  <c r="R4" i="49"/>
  <c r="I129" i="48"/>
  <c r="E41" i="19"/>
  <c r="C74" i="40" s="1"/>
  <c r="B153" i="40"/>
  <c r="I127" i="40"/>
  <c r="B120" i="50"/>
  <c r="J63" i="49"/>
  <c r="H336" i="6"/>
  <c r="D173" i="12"/>
  <c r="AF118" i="14"/>
  <c r="L170" i="48"/>
  <c r="H203" i="6"/>
  <c r="EM41" i="1"/>
  <c r="H85" i="6"/>
  <c r="H144" i="6"/>
  <c r="AF75" i="14"/>
  <c r="O16" i="19"/>
  <c r="M60" i="49" s="1"/>
  <c r="K38" i="12"/>
  <c r="D49" i="12"/>
  <c r="E20" i="19"/>
  <c r="M124" i="50"/>
  <c r="A50" i="44"/>
  <c r="D37" i="12"/>
  <c r="H182" i="6"/>
  <c r="ER22" i="1"/>
  <c r="O20" i="19"/>
  <c r="M64" i="49" s="1"/>
  <c r="AF50" i="14"/>
  <c r="H266" i="6"/>
  <c r="H363" i="6"/>
  <c r="ER42" i="1"/>
  <c r="AF10" i="14"/>
  <c r="K152" i="12"/>
  <c r="H361" i="6"/>
  <c r="L126" i="50"/>
  <c r="K64" i="12"/>
  <c r="H108" i="6"/>
  <c r="K97" i="12"/>
  <c r="H37" i="19"/>
  <c r="D126" i="12"/>
  <c r="K33" i="12"/>
  <c r="I110" i="50" s="1"/>
  <c r="R70" i="50"/>
  <c r="A62" i="44"/>
  <c r="L8" i="19"/>
  <c r="J63" i="50" s="1"/>
  <c r="H461" i="6"/>
  <c r="ER13" i="1"/>
  <c r="AF172" i="14"/>
  <c r="D136" i="12"/>
  <c r="H332" i="6"/>
  <c r="R59" i="40"/>
  <c r="H147" i="6"/>
  <c r="L17" i="19"/>
  <c r="J61" i="49" s="1"/>
  <c r="K107" i="12"/>
  <c r="K8" i="12"/>
  <c r="I151" i="40" s="1"/>
  <c r="K95" i="12"/>
  <c r="I106" i="49" s="1"/>
  <c r="O17" i="19"/>
  <c r="M61" i="49" s="1"/>
  <c r="H469" i="6"/>
  <c r="O7" i="19"/>
  <c r="M62" i="50" s="1"/>
  <c r="J73" i="40"/>
  <c r="H245" i="6"/>
  <c r="AF110" i="14"/>
  <c r="D165" i="12"/>
  <c r="ER5" i="1"/>
  <c r="H205" i="6"/>
  <c r="R15" i="40"/>
  <c r="L186" i="48"/>
  <c r="AF147" i="14"/>
  <c r="L180" i="40"/>
  <c r="ER52" i="1"/>
  <c r="D174" i="12"/>
  <c r="L176" i="40"/>
  <c r="H19" i="6"/>
  <c r="R70" i="49"/>
  <c r="H396" i="6"/>
  <c r="H110" i="6"/>
  <c r="H84" i="6"/>
  <c r="H175" i="6"/>
  <c r="H375" i="6"/>
  <c r="H145" i="6"/>
  <c r="D160" i="12"/>
  <c r="A518" i="44"/>
  <c r="H82" i="6"/>
  <c r="K4" i="12"/>
  <c r="O42" i="19"/>
  <c r="O5" i="19"/>
  <c r="AF80" i="14"/>
  <c r="EM5" i="1"/>
  <c r="AF20" i="14"/>
  <c r="H234" i="6"/>
  <c r="H278" i="6"/>
  <c r="H49" i="6"/>
  <c r="H141" i="6"/>
  <c r="I126" i="40"/>
  <c r="M128" i="50"/>
  <c r="D41" i="12"/>
  <c r="M182" i="40"/>
  <c r="H26" i="19"/>
  <c r="H169" i="6"/>
  <c r="D31" i="12"/>
  <c r="I139" i="48"/>
  <c r="M129" i="50"/>
  <c r="ER33" i="1"/>
  <c r="I120" i="49"/>
  <c r="J70" i="48"/>
  <c r="AF16" i="14"/>
  <c r="ER24" i="1"/>
  <c r="I136" i="48"/>
  <c r="K71" i="12"/>
  <c r="J60" i="50"/>
  <c r="AF74" i="14"/>
  <c r="K52" i="12"/>
  <c r="I140" i="48" s="1"/>
  <c r="I97" i="40"/>
  <c r="I139" i="40"/>
  <c r="F76" i="40"/>
  <c r="H10" i="6"/>
  <c r="L132" i="50"/>
  <c r="R26" i="50"/>
  <c r="O37" i="19"/>
  <c r="EM19" i="1"/>
  <c r="D86" i="12"/>
  <c r="O11" i="19"/>
  <c r="M66" i="50" s="1"/>
  <c r="H496" i="6"/>
  <c r="H75" i="6"/>
  <c r="D20" i="12"/>
  <c r="B152" i="48" s="1"/>
  <c r="H209" i="6"/>
  <c r="D106" i="12"/>
  <c r="B117" i="49" s="1"/>
  <c r="ER49" i="1"/>
  <c r="K77" i="12"/>
  <c r="K151" i="12"/>
  <c r="I96" i="48" s="1"/>
  <c r="H267" i="6"/>
  <c r="AF107" i="14"/>
  <c r="K163" i="12"/>
  <c r="D109" i="12"/>
  <c r="H300" i="6"/>
  <c r="D172" i="12"/>
  <c r="B95" i="40" s="1"/>
  <c r="H456" i="6"/>
  <c r="H362" i="6"/>
  <c r="H173" i="6"/>
  <c r="AF112" i="14"/>
  <c r="H12" i="6"/>
  <c r="K70" i="12"/>
  <c r="I158" i="40" s="1"/>
  <c r="H468" i="6"/>
  <c r="ER55" i="1"/>
  <c r="H303" i="6"/>
  <c r="EM56" i="1"/>
  <c r="AF181" i="14"/>
  <c r="D28" i="12"/>
  <c r="B105" i="50" s="1"/>
  <c r="M171" i="48"/>
  <c r="O40" i="19"/>
  <c r="K75" i="12"/>
  <c r="D164" i="12"/>
  <c r="H340" i="6"/>
  <c r="K138" i="12"/>
  <c r="ER57" i="1"/>
  <c r="D27" i="12"/>
  <c r="B104" i="50" s="1"/>
  <c r="AF144" i="14"/>
  <c r="A314" i="44"/>
  <c r="B136" i="40"/>
  <c r="L10" i="19"/>
  <c r="J65" i="50" s="1"/>
  <c r="H79" i="6"/>
  <c r="H23" i="6"/>
  <c r="EM25" i="1"/>
  <c r="F63" i="50"/>
  <c r="EM26" i="1"/>
  <c r="ER3" i="1"/>
  <c r="I85" i="50"/>
  <c r="E39" i="19"/>
  <c r="C72" i="40" s="1"/>
  <c r="M185" i="40"/>
  <c r="EM40" i="1"/>
  <c r="D54" i="12"/>
  <c r="H18" i="6"/>
  <c r="H247" i="6"/>
  <c r="ER35" i="1"/>
  <c r="O4" i="19"/>
  <c r="H33" i="19"/>
  <c r="D153" i="12"/>
  <c r="AF140" i="14"/>
  <c r="A494" i="44"/>
  <c r="K129" i="12"/>
  <c r="I118" i="50" s="1"/>
  <c r="H11" i="19"/>
  <c r="H55" i="6"/>
  <c r="EM36" i="1"/>
  <c r="R4" i="40"/>
  <c r="M183" i="48"/>
  <c r="E10" i="19"/>
  <c r="H301" i="6"/>
  <c r="ER51" i="1"/>
  <c r="A254" i="44"/>
  <c r="K92" i="12"/>
  <c r="I103" i="49" s="1"/>
  <c r="H367" i="6"/>
  <c r="ER27" i="1"/>
  <c r="H369" i="6"/>
  <c r="K63" i="12"/>
  <c r="K173" i="12"/>
  <c r="D154" i="12"/>
  <c r="EM20" i="1"/>
  <c r="K39" i="12"/>
  <c r="EM31" i="1"/>
  <c r="K128" i="12"/>
  <c r="I117" i="50" s="1"/>
  <c r="D159" i="12"/>
  <c r="AF145" i="14"/>
  <c r="B109" i="50"/>
  <c r="M168" i="40"/>
  <c r="H269" i="6"/>
  <c r="O22" i="19"/>
  <c r="H207" i="6"/>
  <c r="L43" i="19"/>
  <c r="M65" i="50"/>
  <c r="B119" i="49"/>
  <c r="ER16" i="1"/>
  <c r="I154" i="40"/>
  <c r="I151" i="48"/>
  <c r="A110" i="44"/>
  <c r="M73" i="40"/>
  <c r="AF111" i="14"/>
  <c r="B140" i="40"/>
  <c r="K172" i="12"/>
  <c r="B142" i="48"/>
  <c r="C65" i="50"/>
  <c r="M61" i="50"/>
  <c r="I109" i="49"/>
  <c r="H146" i="6"/>
  <c r="M73" i="48"/>
  <c r="L182" i="40"/>
  <c r="F61" i="49"/>
  <c r="J74" i="48"/>
  <c r="M60" i="50"/>
  <c r="H168" i="6"/>
  <c r="H471" i="6"/>
  <c r="EM24" i="1"/>
  <c r="M173" i="40"/>
  <c r="O28" i="19"/>
  <c r="H308" i="6"/>
  <c r="R15" i="50"/>
  <c r="H339" i="6"/>
  <c r="AF151" i="14"/>
  <c r="H436" i="6"/>
  <c r="E32" i="19"/>
  <c r="C76" i="48" s="1"/>
  <c r="AF42" i="14"/>
  <c r="AF48" i="14"/>
  <c r="L129" i="50"/>
  <c r="M179" i="40"/>
  <c r="D50" i="12"/>
  <c r="ER59" i="1"/>
  <c r="R15" i="48"/>
  <c r="D93" i="12"/>
  <c r="B104" i="49" s="1"/>
  <c r="E19" i="19"/>
  <c r="O44" i="19"/>
  <c r="M77" i="40" s="1"/>
  <c r="O31" i="19"/>
  <c r="K171" i="12"/>
  <c r="D97" i="12"/>
  <c r="B108" i="49" s="1"/>
  <c r="I94" i="40"/>
  <c r="L173" i="48"/>
  <c r="L179" i="40"/>
  <c r="EM42" i="1"/>
  <c r="L127" i="50"/>
  <c r="D52" i="12"/>
  <c r="EM60" i="1"/>
  <c r="L9" i="19"/>
  <c r="J64" i="50" s="1"/>
  <c r="AF40" i="14"/>
  <c r="A146" i="44"/>
  <c r="AF17" i="14"/>
  <c r="R81" i="40"/>
  <c r="H178" i="6"/>
  <c r="H115" i="6"/>
  <c r="H73" i="6"/>
  <c r="H42" i="19"/>
  <c r="D21" i="12"/>
  <c r="K54" i="12"/>
  <c r="I142" i="48" s="1"/>
  <c r="L28" i="19"/>
  <c r="L39" i="19"/>
  <c r="L172" i="48"/>
  <c r="E43" i="19"/>
  <c r="EM30" i="1"/>
  <c r="K137" i="12"/>
  <c r="I82" i="49" s="1"/>
  <c r="R169" i="40"/>
  <c r="K120" i="12"/>
  <c r="I131" i="48" s="1"/>
  <c r="D110" i="12"/>
  <c r="M186" i="40"/>
  <c r="B120" i="49"/>
  <c r="AF139" i="14"/>
  <c r="EM28" i="1"/>
  <c r="K141" i="12"/>
  <c r="H50" i="6"/>
  <c r="D117" i="12"/>
  <c r="ER20" i="1"/>
  <c r="A422" i="44"/>
  <c r="AF141" i="14"/>
  <c r="AF109" i="14"/>
  <c r="D64" i="12"/>
  <c r="B130" i="40" s="1"/>
  <c r="L128" i="50"/>
  <c r="K114" i="12"/>
  <c r="I125" i="48" s="1"/>
  <c r="H21" i="19"/>
  <c r="F65" i="49" s="1"/>
  <c r="K121" i="12"/>
  <c r="L6" i="19"/>
  <c r="J61" i="50" s="1"/>
  <c r="H337" i="6"/>
  <c r="H16" i="6"/>
  <c r="K126" i="12"/>
  <c r="H400" i="6"/>
  <c r="H30" i="19"/>
  <c r="F74" i="48" s="1"/>
  <c r="ER58" i="1"/>
  <c r="M170" i="40"/>
  <c r="D175" i="12"/>
  <c r="H8" i="6"/>
  <c r="H307" i="6"/>
  <c r="E28" i="19"/>
  <c r="C72" i="48" s="1"/>
  <c r="D87" i="12"/>
  <c r="AF117" i="14"/>
  <c r="K105" i="12"/>
  <c r="I116" i="49" s="1"/>
  <c r="H212" i="6"/>
  <c r="D92" i="12"/>
  <c r="H405" i="6"/>
  <c r="E31" i="19"/>
  <c r="C75" i="48" s="1"/>
  <c r="A446" i="44"/>
  <c r="H32" i="19"/>
  <c r="F76" i="48" s="1"/>
  <c r="E22" i="19"/>
  <c r="C66" i="49" s="1"/>
  <c r="K43" i="12"/>
  <c r="H83" i="6"/>
  <c r="ER34" i="1"/>
  <c r="I147" i="48"/>
  <c r="C70" i="40"/>
  <c r="I96" i="40"/>
  <c r="H52" i="6"/>
  <c r="H465" i="6"/>
  <c r="C60" i="49"/>
  <c r="I104" i="49"/>
  <c r="I83" i="50"/>
  <c r="B115" i="50"/>
  <c r="H276" i="6"/>
  <c r="H170" i="6"/>
  <c r="H139" i="6"/>
  <c r="I148" i="40"/>
  <c r="B159" i="40"/>
  <c r="B82" i="49"/>
  <c r="H112" i="6"/>
  <c r="D4" i="12"/>
  <c r="AF49" i="14"/>
  <c r="J71" i="40"/>
  <c r="F73" i="40"/>
  <c r="I95" i="40"/>
  <c r="B107" i="49"/>
  <c r="I147" i="40"/>
  <c r="F59" i="49"/>
  <c r="L16" i="19"/>
  <c r="J60" i="49" s="1"/>
  <c r="E9" i="19"/>
  <c r="C64" i="50" s="1"/>
  <c r="ER23" i="1"/>
  <c r="D73" i="12"/>
  <c r="L183" i="40"/>
  <c r="AF53" i="14"/>
  <c r="R180" i="48"/>
  <c r="K21" i="12"/>
  <c r="I153" i="48" s="1"/>
  <c r="A566" i="44"/>
  <c r="B97" i="40"/>
  <c r="K82" i="12"/>
  <c r="I159" i="48" s="1"/>
  <c r="H172" i="6"/>
  <c r="B84" i="50"/>
  <c r="E5" i="19"/>
  <c r="C60" i="50" s="1"/>
  <c r="AF136" i="14"/>
  <c r="A278" i="44"/>
  <c r="AF72" i="14"/>
  <c r="H459" i="6"/>
  <c r="H426" i="6"/>
  <c r="D11" i="12"/>
  <c r="B154" i="40" s="1"/>
  <c r="I165" i="40"/>
  <c r="L173" i="40"/>
  <c r="ER12" i="1"/>
  <c r="H275" i="6"/>
  <c r="D152" i="12"/>
  <c r="B97" i="48" s="1"/>
  <c r="ER26" i="1"/>
  <c r="H304" i="6"/>
  <c r="H16" i="19"/>
  <c r="F60" i="49" s="1"/>
  <c r="H201" i="6"/>
  <c r="AF73" i="14"/>
  <c r="I97" i="48"/>
  <c r="AF119" i="14"/>
  <c r="D30" i="12"/>
  <c r="K29" i="12"/>
  <c r="H374" i="6"/>
  <c r="K127" i="12"/>
  <c r="I116" i="50" s="1"/>
  <c r="M127" i="50"/>
  <c r="A158" i="44"/>
  <c r="R48" i="40"/>
  <c r="D107" i="12"/>
  <c r="B118" i="49" s="1"/>
  <c r="M182" i="48"/>
  <c r="D120" i="12"/>
  <c r="H457" i="6"/>
  <c r="EM32" i="1"/>
  <c r="ER6" i="1"/>
  <c r="A98" i="44"/>
  <c r="M175" i="40"/>
  <c r="H208" i="6"/>
  <c r="D130" i="50"/>
  <c r="ER21" i="1"/>
  <c r="E7" i="19"/>
  <c r="H397" i="6"/>
  <c r="H360" i="6"/>
  <c r="M72" i="40"/>
  <c r="H235" i="6"/>
  <c r="H117" i="6"/>
  <c r="AF23" i="14"/>
  <c r="K6" i="12"/>
  <c r="I149" i="40" s="1"/>
  <c r="R125" i="49"/>
  <c r="AF47" i="14"/>
  <c r="H404" i="6"/>
  <c r="ER45" i="1"/>
  <c r="M174" i="40"/>
  <c r="H399" i="6"/>
  <c r="D139" i="12"/>
  <c r="B84" i="49" s="1"/>
  <c r="K83" i="12"/>
  <c r="H244" i="6"/>
  <c r="K170" i="12"/>
  <c r="M178" i="40"/>
  <c r="D65" i="12"/>
  <c r="H44" i="19"/>
  <c r="E18" i="19"/>
  <c r="C62" i="49" s="1"/>
  <c r="AF19" i="14"/>
  <c r="H236" i="6"/>
  <c r="L37" i="19"/>
  <c r="J70" i="40" s="1"/>
  <c r="L130" i="50"/>
  <c r="K9" i="12"/>
  <c r="D143" i="12"/>
  <c r="D138" i="12"/>
  <c r="B83" i="49" s="1"/>
  <c r="EM57" i="1"/>
  <c r="H237" i="6"/>
  <c r="H18" i="19"/>
  <c r="F62" i="49" s="1"/>
  <c r="H311" i="6"/>
  <c r="K59" i="12"/>
  <c r="D140" i="12"/>
  <c r="H270" i="6"/>
  <c r="H279" i="6"/>
  <c r="D141" i="12"/>
  <c r="O8" i="19"/>
  <c r="D158" i="12"/>
  <c r="R59" i="48"/>
  <c r="D76" i="12"/>
  <c r="K139" i="12"/>
  <c r="EM13" i="1"/>
  <c r="H137" i="6"/>
  <c r="EM6" i="1"/>
  <c r="H29" i="19"/>
  <c r="F73" i="48" s="1"/>
  <c r="I137" i="48"/>
  <c r="H118" i="6"/>
  <c r="B98" i="48"/>
  <c r="B140" i="48"/>
  <c r="M72" i="48"/>
  <c r="L168" i="48"/>
  <c r="M75" i="40"/>
  <c r="C76" i="40"/>
  <c r="I163" i="40"/>
  <c r="B137" i="48"/>
  <c r="C64" i="49"/>
  <c r="I148" i="48"/>
  <c r="L21" i="19"/>
  <c r="J72" i="48"/>
  <c r="I138" i="48"/>
  <c r="F77" i="48"/>
  <c r="B164" i="48"/>
  <c r="B98" i="40"/>
  <c r="D147" i="12"/>
  <c r="B92" i="48" s="1"/>
  <c r="B127" i="40"/>
  <c r="B121" i="49"/>
  <c r="B108" i="50"/>
  <c r="M71" i="40"/>
  <c r="M71" i="48"/>
  <c r="K22" i="12"/>
  <c r="I154" i="48" s="1"/>
  <c r="H310" i="6"/>
  <c r="H176" i="6"/>
  <c r="K72" i="12"/>
  <c r="M180" i="48"/>
  <c r="ER29" i="1"/>
  <c r="O32" i="19"/>
  <c r="M76" i="48" s="1"/>
  <c r="H439" i="6"/>
  <c r="D42" i="12"/>
  <c r="B141" i="40" s="1"/>
  <c r="H492" i="6"/>
  <c r="AF116" i="14"/>
  <c r="I153" i="40"/>
  <c r="A2" i="44"/>
  <c r="EM9" i="1"/>
  <c r="E42" i="19"/>
  <c r="C75" i="40" s="1"/>
  <c r="L181" i="40"/>
  <c r="L182" i="48"/>
  <c r="A350" i="44"/>
  <c r="H398" i="6"/>
  <c r="H302" i="6"/>
  <c r="D125" i="12"/>
  <c r="B114" i="50" s="1"/>
  <c r="H488" i="6"/>
  <c r="M176" i="40"/>
  <c r="D48" i="12"/>
  <c r="B136" i="48" s="1"/>
  <c r="K132" i="12"/>
  <c r="I121" i="50" s="1"/>
  <c r="K7" i="12"/>
  <c r="K18" i="12"/>
  <c r="ER40" i="1"/>
  <c r="F72" i="48"/>
  <c r="H81" i="6"/>
  <c r="H143" i="6"/>
  <c r="O41" i="19"/>
  <c r="M74" i="40" s="1"/>
  <c r="H242" i="6"/>
  <c r="M125" i="50"/>
  <c r="H395" i="6"/>
  <c r="AF105" i="14"/>
  <c r="H232" i="6"/>
  <c r="D75" i="12"/>
  <c r="B94" i="40"/>
  <c r="D115" i="12"/>
  <c r="B126" i="48" s="1"/>
  <c r="H213" i="6"/>
  <c r="ER31" i="1"/>
  <c r="H458" i="6"/>
  <c r="M176" i="48"/>
  <c r="M180" i="40"/>
  <c r="AF55" i="14"/>
  <c r="M168" i="48"/>
  <c r="R37" i="48"/>
  <c r="E44" i="19"/>
  <c r="C77" i="40" s="1"/>
  <c r="ER60" i="1"/>
  <c r="D105" i="12"/>
  <c r="A410" i="44"/>
  <c r="H87" i="6"/>
  <c r="O26" i="19"/>
  <c r="M70" i="48" s="1"/>
  <c r="M123" i="49"/>
  <c r="A134" i="44"/>
  <c r="E11" i="19"/>
  <c r="C66" i="50" s="1"/>
  <c r="H393" i="6"/>
  <c r="D88" i="12"/>
  <c r="D70" i="12"/>
  <c r="B158" i="40" s="1"/>
  <c r="EM21" i="1"/>
  <c r="ER37" i="1"/>
  <c r="H9" i="19"/>
  <c r="F64" i="50" s="1"/>
  <c r="H17" i="6"/>
  <c r="A614" i="44"/>
  <c r="K96" i="12"/>
  <c r="F66" i="49"/>
  <c r="K150" i="12"/>
  <c r="A302" i="44"/>
  <c r="H435" i="6"/>
  <c r="H502" i="6"/>
  <c r="K140" i="12"/>
  <c r="D84" i="12"/>
  <c r="L174" i="48"/>
  <c r="H264" i="6"/>
  <c r="K153" i="12"/>
  <c r="I98" i="48" s="1"/>
  <c r="K176" i="12"/>
  <c r="I99" i="40" s="1"/>
  <c r="A194" i="44"/>
  <c r="ER38" i="1"/>
  <c r="B163" i="40"/>
  <c r="K175" i="12"/>
  <c r="I98" i="40" s="1"/>
  <c r="H306" i="6"/>
  <c r="K164" i="12"/>
  <c r="I87" i="50" s="1"/>
  <c r="EM43" i="1"/>
  <c r="M130" i="50"/>
  <c r="D7" i="12"/>
  <c r="K125" i="12"/>
  <c r="H494" i="6"/>
  <c r="M132" i="50"/>
  <c r="AF18" i="14"/>
  <c r="H425" i="6"/>
  <c r="ER18" i="1"/>
  <c r="I150" i="48"/>
  <c r="H402" i="6"/>
  <c r="B141" i="48"/>
  <c r="I88" i="49"/>
  <c r="AF175" i="14"/>
  <c r="H330" i="6"/>
  <c r="B87" i="50"/>
  <c r="I138" i="40"/>
  <c r="I115" i="50"/>
  <c r="EM12" i="1"/>
  <c r="I118" i="49"/>
  <c r="O18" i="19"/>
  <c r="M62" i="49" s="1"/>
  <c r="D176" i="12"/>
  <c r="B99" i="40" s="1"/>
  <c r="A470" i="44"/>
  <c r="K115" i="12"/>
  <c r="I126" i="48" s="1"/>
  <c r="I150" i="40"/>
  <c r="A362" i="44"/>
  <c r="H11" i="6"/>
  <c r="D38" i="12"/>
  <c r="I136" i="40"/>
  <c r="J66" i="50"/>
  <c r="AF79" i="14"/>
  <c r="F70" i="48"/>
  <c r="B142" i="40"/>
  <c r="I92" i="48"/>
  <c r="B151" i="48"/>
  <c r="C77" i="48"/>
  <c r="D62" i="12"/>
  <c r="B128" i="40" s="1"/>
  <c r="H497" i="6"/>
  <c r="K30" i="12"/>
  <c r="D16" i="12"/>
  <c r="H463" i="6"/>
  <c r="D98" i="12"/>
  <c r="D151" i="12"/>
  <c r="C62" i="50"/>
  <c r="M70" i="40"/>
  <c r="M181" i="40"/>
  <c r="H202" i="6"/>
  <c r="M184" i="48"/>
  <c r="EM39" i="1"/>
  <c r="ER8" i="1"/>
  <c r="M170" i="48"/>
  <c r="H40" i="6"/>
  <c r="A506" i="44"/>
  <c r="AF11" i="14"/>
  <c r="H338" i="6"/>
  <c r="K149" i="12"/>
  <c r="I94" i="48" s="1"/>
  <c r="K131" i="12"/>
  <c r="M181" i="48"/>
  <c r="EM29" i="1"/>
  <c r="R81" i="48"/>
  <c r="F66" i="50"/>
  <c r="F65" i="50"/>
  <c r="ER10" i="1"/>
  <c r="B81" i="49"/>
  <c r="H372" i="6"/>
  <c r="B85" i="49"/>
  <c r="H78" i="6"/>
  <c r="H20" i="19"/>
  <c r="F64" i="49" s="1"/>
  <c r="B147" i="40"/>
  <c r="H305" i="6"/>
  <c r="O30" i="19"/>
  <c r="M74" i="48" s="1"/>
  <c r="H309" i="6"/>
  <c r="AF176" i="14"/>
  <c r="H174" i="6"/>
  <c r="L181" i="48"/>
  <c r="H114" i="6"/>
  <c r="D66" i="12"/>
  <c r="B132" i="40" s="1"/>
  <c r="E26" i="19"/>
  <c r="C70" i="48" s="1"/>
  <c r="A554" i="44"/>
  <c r="M173" i="48"/>
  <c r="D59" i="12"/>
  <c r="B125" i="40" s="1"/>
  <c r="AF171" i="14"/>
  <c r="B138" i="48"/>
  <c r="K55" i="12"/>
  <c r="I143" i="48" s="1"/>
  <c r="H140" i="6"/>
  <c r="F75" i="40"/>
  <c r="B160" i="40"/>
  <c r="B88" i="50"/>
  <c r="M75" i="48"/>
  <c r="J75" i="40"/>
  <c r="B137" i="40"/>
  <c r="M66" i="49"/>
  <c r="C71" i="40"/>
  <c r="ER43" i="1"/>
  <c r="H47" i="6"/>
  <c r="K103" i="12"/>
  <c r="I114" i="49" s="1"/>
  <c r="K87" i="12"/>
  <c r="I164" i="48" s="1"/>
  <c r="H41" i="19"/>
  <c r="F74" i="40" s="1"/>
  <c r="A290" i="44"/>
  <c r="H200" i="6"/>
  <c r="K161" i="12"/>
  <c r="I84" i="50" s="1"/>
  <c r="L125" i="50"/>
  <c r="H433" i="6"/>
  <c r="AF180" i="14"/>
  <c r="AF9" i="14"/>
  <c r="K119" i="12"/>
  <c r="I130" i="48" s="1"/>
  <c r="D33" i="12"/>
  <c r="AF52" i="14"/>
  <c r="A230" i="44"/>
  <c r="D18" i="12"/>
  <c r="B150" i="48" s="1"/>
  <c r="H273" i="6"/>
  <c r="E30" i="19"/>
  <c r="C74" i="48" s="1"/>
  <c r="B103" i="49"/>
  <c r="H427" i="6"/>
  <c r="H106" i="6"/>
  <c r="D39" i="12"/>
  <c r="B138" i="40" s="1"/>
  <c r="M59" i="50"/>
  <c r="J76" i="40"/>
  <c r="ER4" i="1"/>
  <c r="H149" i="6"/>
  <c r="B127" i="48"/>
  <c r="H328" i="6"/>
  <c r="I107" i="50"/>
  <c r="K41" i="12"/>
  <c r="H39" i="19"/>
  <c r="F72" i="40" s="1"/>
  <c r="K32" i="12"/>
  <c r="I109" i="50" s="1"/>
  <c r="D132" i="12"/>
  <c r="B121" i="50" s="1"/>
  <c r="H22" i="6"/>
  <c r="EM15" i="1"/>
  <c r="H179" i="6"/>
  <c r="D169" i="12"/>
  <c r="B92" i="40" s="1"/>
  <c r="D63" i="12"/>
  <c r="B129" i="40" s="1"/>
  <c r="AF84" i="14"/>
  <c r="E17" i="19"/>
  <c r="H111" i="6"/>
  <c r="D82" i="12"/>
  <c r="B159" i="48" s="1"/>
  <c r="L174" i="40"/>
  <c r="K74" i="12"/>
  <c r="I162" i="40" s="1"/>
  <c r="B148" i="48"/>
  <c r="I160" i="40"/>
  <c r="K76" i="12"/>
  <c r="I164" i="40" s="1"/>
  <c r="B81" i="50"/>
  <c r="I140" i="40"/>
  <c r="B165" i="40"/>
  <c r="J76" i="48"/>
  <c r="B153" i="48"/>
  <c r="L175" i="40"/>
  <c r="J71" i="48"/>
  <c r="H464" i="6"/>
  <c r="I131" i="40"/>
  <c r="AF178" i="14"/>
  <c r="I86" i="50"/>
  <c r="D60" i="12"/>
  <c r="B126" i="40" s="1"/>
  <c r="C63" i="49"/>
  <c r="L20" i="19"/>
  <c r="J64" i="49" s="1"/>
  <c r="R4" i="48"/>
  <c r="L18" i="19"/>
  <c r="J62" i="49" s="1"/>
  <c r="H177" i="6"/>
  <c r="M185" i="48"/>
  <c r="K148" i="12"/>
  <c r="I93" i="48" s="1"/>
  <c r="E8" i="19"/>
  <c r="C63" i="50" s="1"/>
  <c r="AF108" i="14"/>
  <c r="K116" i="12"/>
  <c r="I127" i="48" s="1"/>
  <c r="ER56" i="1"/>
  <c r="R26" i="40"/>
  <c r="L184" i="40"/>
  <c r="L15" i="19"/>
  <c r="J59" i="49" s="1"/>
  <c r="D44" i="12"/>
  <c r="B143" i="40" s="1"/>
  <c r="O19" i="19"/>
  <c r="M63" i="49" s="1"/>
  <c r="D131" i="50"/>
  <c r="H407" i="6"/>
  <c r="F70" i="40"/>
  <c r="B117" i="50"/>
  <c r="J72" i="40"/>
  <c r="L29" i="19"/>
  <c r="J73" i="48" s="1"/>
  <c r="K130" i="12"/>
  <c r="H298" i="6"/>
  <c r="I110" i="49"/>
  <c r="H460" i="6"/>
  <c r="EM10" i="1"/>
  <c r="ER25" i="1"/>
  <c r="O15" i="19"/>
  <c r="M59" i="49" s="1"/>
  <c r="H72" i="6"/>
  <c r="K165" i="12"/>
  <c r="EM34" i="1"/>
  <c r="H333" i="6"/>
  <c r="AF137" i="14"/>
  <c r="B106" i="50"/>
  <c r="F61" i="50"/>
  <c r="O21" i="19"/>
  <c r="M65" i="49" s="1"/>
  <c r="D104" i="12"/>
  <c r="B115" i="49" s="1"/>
  <c r="ER36" i="1"/>
  <c r="K17" i="12"/>
  <c r="I149" i="48" s="1"/>
  <c r="D127" i="12"/>
  <c r="L171" i="48"/>
  <c r="I120" i="50"/>
  <c r="B131" i="48"/>
  <c r="I143" i="40"/>
  <c r="J65" i="49"/>
  <c r="F71" i="48"/>
  <c r="C59" i="50"/>
  <c r="C61" i="49"/>
  <c r="AF45" i="14"/>
  <c r="H462" i="6"/>
  <c r="EM50" i="1"/>
  <c r="B161" i="48"/>
  <c r="H206" i="6"/>
  <c r="D103" i="12"/>
  <c r="AF115" i="14"/>
  <c r="L44" i="19"/>
  <c r="J77" i="40" s="1"/>
  <c r="EM27" i="1"/>
  <c r="H431" i="6"/>
  <c r="D170" i="12"/>
  <c r="B93" i="40" s="1"/>
  <c r="H265" i="6"/>
  <c r="ER44" i="1"/>
  <c r="H233" i="6"/>
  <c r="D8" i="12"/>
  <c r="B151" i="40" s="1"/>
  <c r="ER28" i="1"/>
  <c r="D74" i="12"/>
  <c r="B162" i="40" s="1"/>
  <c r="B86" i="49"/>
  <c r="D26" i="12"/>
  <c r="B103" i="50" s="1"/>
  <c r="I106" i="50"/>
  <c r="H438" i="6"/>
  <c r="H109" i="6"/>
  <c r="D162" i="12"/>
  <c r="B85" i="50" s="1"/>
  <c r="H365" i="6"/>
  <c r="M63" i="50"/>
  <c r="H181" i="6"/>
  <c r="H204" i="6"/>
  <c r="C61" i="50"/>
  <c r="EM58" i="1"/>
  <c r="H243" i="6"/>
  <c r="H31" i="19"/>
  <c r="F75" i="48" s="1"/>
  <c r="L41" i="19"/>
  <c r="J74" i="40" s="1"/>
  <c r="L171" i="40"/>
  <c r="H238" i="6"/>
  <c r="K27" i="12"/>
  <c r="K84" i="12"/>
  <c r="I161" i="48" s="1"/>
  <c r="H42" i="6"/>
  <c r="EM52" i="1"/>
  <c r="O9" i="19"/>
  <c r="M64" i="50" s="1"/>
  <c r="AF15" i="14"/>
  <c r="I86" i="49"/>
  <c r="M126" i="50"/>
  <c r="I125" i="40"/>
  <c r="E21" i="19"/>
  <c r="C65" i="49" s="1"/>
  <c r="M169" i="48"/>
  <c r="H394" i="6"/>
  <c r="B152" i="40"/>
  <c r="M183" i="40"/>
  <c r="L7" i="19"/>
  <c r="J62" i="50" s="1"/>
  <c r="K154" i="12"/>
  <c r="I99" i="48" s="1"/>
  <c r="H76" i="6"/>
  <c r="H428" i="6"/>
  <c r="A26" i="44"/>
  <c r="K88" i="12"/>
  <c r="I165" i="48" s="1"/>
  <c r="D55" i="12"/>
  <c r="B143" i="48" s="1"/>
  <c r="AF150" i="14"/>
  <c r="H299" i="6"/>
  <c r="O33" i="19"/>
  <c r="M77" i="48" s="1"/>
  <c r="H107" i="6"/>
  <c r="D15" i="12"/>
  <c r="F77" i="40"/>
  <c r="O43" i="19"/>
  <c r="M76" i="40" s="1"/>
  <c r="L185" i="40"/>
  <c r="B96" i="40"/>
  <c r="L4" i="19"/>
  <c r="J59" i="50" s="1"/>
  <c r="R37" i="40"/>
  <c r="AF146" i="14"/>
  <c r="D99" i="12"/>
  <c r="EM59" i="1"/>
  <c r="L33" i="19"/>
  <c r="J77" i="48" s="1"/>
  <c r="AF169" i="14"/>
  <c r="N200" i="6" l="1"/>
  <c r="W200" i="6" s="1"/>
  <c r="EN38" i="1"/>
  <c r="F39" i="54" s="1"/>
  <c r="T175" i="40"/>
  <c r="D131" i="44"/>
  <c r="E131" i="44" s="1"/>
  <c r="D125" i="44"/>
  <c r="C123" i="44"/>
  <c r="D128" i="44"/>
  <c r="E128" i="44" s="1"/>
  <c r="A129" i="44"/>
  <c r="C122" i="44"/>
  <c r="A131" i="44" s="1"/>
  <c r="A132" i="44"/>
  <c r="A128" i="44"/>
  <c r="D127" i="44"/>
  <c r="Q127" i="44" s="1"/>
  <c r="D130" i="44"/>
  <c r="Q130" i="44" s="1"/>
  <c r="A127" i="44"/>
  <c r="D126" i="44"/>
  <c r="F126" i="44" s="1"/>
  <c r="E132" i="44"/>
  <c r="D129" i="44"/>
  <c r="Q129" i="44" s="1"/>
  <c r="A124" i="44"/>
  <c r="A130" i="44"/>
  <c r="B122" i="44"/>
  <c r="Q132" i="44"/>
  <c r="K132" i="44"/>
  <c r="R132" i="44"/>
  <c r="N407" i="6"/>
  <c r="W407" i="6" s="1"/>
  <c r="F41" i="19"/>
  <c r="G41" i="19"/>
  <c r="P38" i="19"/>
  <c r="N29" i="19"/>
  <c r="M29" i="19"/>
  <c r="S29" i="19"/>
  <c r="N11" i="6"/>
  <c r="W11" i="6" s="1"/>
  <c r="N112" i="6"/>
  <c r="W112" i="6" s="1"/>
  <c r="N146" i="6"/>
  <c r="W146" i="6" s="1"/>
  <c r="A369" i="44"/>
  <c r="C362" i="44"/>
  <c r="A371" i="44" s="1"/>
  <c r="Q372" i="44"/>
  <c r="E372" i="44"/>
  <c r="B362" i="44"/>
  <c r="D365" i="44"/>
  <c r="E365" i="44" s="1"/>
  <c r="D367" i="44"/>
  <c r="D370" i="44"/>
  <c r="D371" i="44"/>
  <c r="Q371" i="44" s="1"/>
  <c r="D369" i="44"/>
  <c r="E369" i="44" s="1"/>
  <c r="A367" i="44"/>
  <c r="A370" i="44"/>
  <c r="D366" i="44"/>
  <c r="Q366" i="44" s="1"/>
  <c r="C363" i="44"/>
  <c r="D368" i="44"/>
  <c r="A372" i="44"/>
  <c r="A364" i="44"/>
  <c r="A368" i="44"/>
  <c r="E370" i="44"/>
  <c r="R372" i="44"/>
  <c r="Q368" i="44"/>
  <c r="K372" i="44"/>
  <c r="P15" i="19"/>
  <c r="S21" i="19"/>
  <c r="N21" i="19"/>
  <c r="M21" i="19"/>
  <c r="B470" i="44"/>
  <c r="D478" i="44"/>
  <c r="E478" i="44" s="1"/>
  <c r="D476" i="44"/>
  <c r="E476" i="44" s="1"/>
  <c r="A477" i="44"/>
  <c r="D479" i="44"/>
  <c r="Q479" i="44" s="1"/>
  <c r="A475" i="44"/>
  <c r="A476" i="44"/>
  <c r="D474" i="44"/>
  <c r="D477" i="44"/>
  <c r="Q477" i="44" s="1"/>
  <c r="D475" i="44"/>
  <c r="Q475" i="44" s="1"/>
  <c r="A480" i="44"/>
  <c r="D473" i="44"/>
  <c r="Q473" i="44" s="1"/>
  <c r="Q480" i="44"/>
  <c r="C471" i="44"/>
  <c r="E480" i="44"/>
  <c r="C470" i="44"/>
  <c r="A479" i="44" s="1"/>
  <c r="A472" i="44"/>
  <c r="A478" i="44"/>
  <c r="R480" i="44"/>
  <c r="K480" i="44"/>
  <c r="N139" i="6"/>
  <c r="W139" i="6" s="1"/>
  <c r="N241" i="6"/>
  <c r="W241" i="6" s="1"/>
  <c r="Y241" i="6" s="1"/>
  <c r="Z241" i="6" s="1"/>
  <c r="ES10" i="1"/>
  <c r="N170" i="6"/>
  <c r="W170" i="6" s="1"/>
  <c r="N296" i="6"/>
  <c r="W296" i="6" s="1"/>
  <c r="P19" i="19"/>
  <c r="P18" i="19"/>
  <c r="N276" i="6"/>
  <c r="W276" i="6" s="1"/>
  <c r="ES24" i="1"/>
  <c r="S32" i="19"/>
  <c r="N32" i="19"/>
  <c r="M32" i="19"/>
  <c r="N106" i="6"/>
  <c r="W106" i="6" s="1"/>
  <c r="T187" i="40"/>
  <c r="EN29" i="1"/>
  <c r="F30" i="54" s="1"/>
  <c r="EN12" i="1"/>
  <c r="F13" i="54" s="1"/>
  <c r="I39" i="19"/>
  <c r="R32" i="19"/>
  <c r="F32" i="19"/>
  <c r="G32" i="19"/>
  <c r="N148" i="6"/>
  <c r="W148" i="6" s="1"/>
  <c r="T185" i="40"/>
  <c r="N366" i="6"/>
  <c r="W366" i="6" s="1"/>
  <c r="Y366" i="6" s="1"/>
  <c r="Z366" i="6" s="1"/>
  <c r="N209" i="6"/>
  <c r="W209" i="6" s="1"/>
  <c r="ES33" i="1"/>
  <c r="N274" i="6"/>
  <c r="W274" i="6" s="1"/>
  <c r="Y274" i="6" s="1"/>
  <c r="Z274" i="6" s="1"/>
  <c r="AE274" i="6" s="1"/>
  <c r="AB274" i="6" s="1"/>
  <c r="C274" i="6" s="1"/>
  <c r="N427" i="6"/>
  <c r="W427" i="6" s="1"/>
  <c r="Y427" i="6" s="1"/>
  <c r="N172" i="6"/>
  <c r="W172" i="6" s="1"/>
  <c r="N330" i="6"/>
  <c r="W330" i="6" s="1"/>
  <c r="N465" i="6"/>
  <c r="W465" i="6" s="1"/>
  <c r="A120" i="44"/>
  <c r="D118" i="44"/>
  <c r="D116" i="44"/>
  <c r="A116" i="44"/>
  <c r="B110" i="44"/>
  <c r="D119" i="44"/>
  <c r="A118" i="44"/>
  <c r="A112" i="44"/>
  <c r="C111" i="44"/>
  <c r="E120" i="44"/>
  <c r="D115" i="44"/>
  <c r="J115" i="44" s="1"/>
  <c r="L115" i="44" s="1"/>
  <c r="D117" i="44"/>
  <c r="E117" i="44" s="1"/>
  <c r="D114" i="44"/>
  <c r="E114" i="44" s="1"/>
  <c r="A117" i="44"/>
  <c r="C110" i="44"/>
  <c r="A119" i="44" s="1"/>
  <c r="D113" i="44"/>
  <c r="A115" i="44"/>
  <c r="K120" i="44"/>
  <c r="D538" i="44"/>
  <c r="E538" i="44" s="1"/>
  <c r="A536" i="44"/>
  <c r="A538" i="44"/>
  <c r="D536" i="44"/>
  <c r="J536" i="44" s="1"/>
  <c r="D537" i="44"/>
  <c r="A535" i="44"/>
  <c r="D535" i="44"/>
  <c r="E535" i="44" s="1"/>
  <c r="B530" i="44"/>
  <c r="A532" i="44"/>
  <c r="A537" i="44"/>
  <c r="D539" i="44"/>
  <c r="A540" i="44"/>
  <c r="C531" i="44"/>
  <c r="D533" i="44"/>
  <c r="E533" i="44" s="1"/>
  <c r="C530" i="44"/>
  <c r="A539" i="44" s="1"/>
  <c r="D534" i="44"/>
  <c r="E540" i="44"/>
  <c r="Q540" i="44"/>
  <c r="Q535" i="44"/>
  <c r="K540" i="44"/>
  <c r="R540" i="44"/>
  <c r="I17" i="19"/>
  <c r="N118" i="6"/>
  <c r="W118" i="6" s="1"/>
  <c r="Y118" i="6" s="1"/>
  <c r="Z118" i="6" s="1"/>
  <c r="AE118" i="6" s="1"/>
  <c r="AB118" i="6" s="1"/>
  <c r="C118" i="6" s="1"/>
  <c r="N52" i="6"/>
  <c r="W52" i="6" s="1"/>
  <c r="T184" i="48"/>
  <c r="N462" i="6"/>
  <c r="W462" i="6" s="1"/>
  <c r="S30" i="19"/>
  <c r="N30" i="19"/>
  <c r="M30" i="19"/>
  <c r="P43" i="19"/>
  <c r="I29" i="19"/>
  <c r="ES16" i="1"/>
  <c r="EN51" i="1"/>
  <c r="F52" i="54" s="1"/>
  <c r="EN6" i="1"/>
  <c r="F7" i="54" s="1"/>
  <c r="N277" i="6"/>
  <c r="W277" i="6" s="1"/>
  <c r="N246" i="6"/>
  <c r="W246" i="6" s="1"/>
  <c r="N402" i="6"/>
  <c r="W402" i="6" s="1"/>
  <c r="N169" i="6"/>
  <c r="W169" i="6" s="1"/>
  <c r="C398" i="44"/>
  <c r="A407" i="44" s="1"/>
  <c r="D405" i="44"/>
  <c r="A408" i="44"/>
  <c r="A405" i="44"/>
  <c r="Q408" i="44"/>
  <c r="C399" i="44"/>
  <c r="D404" i="44"/>
  <c r="D401" i="44"/>
  <c r="A400" i="44"/>
  <c r="D406" i="44"/>
  <c r="A403" i="44"/>
  <c r="D403" i="44"/>
  <c r="F403" i="44" s="1"/>
  <c r="A404" i="44"/>
  <c r="D407" i="44"/>
  <c r="Q407" i="44" s="1"/>
  <c r="A406" i="44"/>
  <c r="B398" i="44"/>
  <c r="D402" i="44"/>
  <c r="E402" i="44" s="1"/>
  <c r="E408" i="44"/>
  <c r="Q404" i="44"/>
  <c r="K408" i="44"/>
  <c r="R408" i="44"/>
  <c r="N466" i="6"/>
  <c r="W466" i="6" s="1"/>
  <c r="N137" i="6"/>
  <c r="W137" i="6" s="1"/>
  <c r="Y137" i="6" s="1"/>
  <c r="Z137" i="6" s="1"/>
  <c r="AE137" i="6" s="1"/>
  <c r="AB137" i="6" s="1"/>
  <c r="C137" i="6" s="1"/>
  <c r="N43" i="19"/>
  <c r="S43" i="19"/>
  <c r="M43" i="19"/>
  <c r="H24" i="19"/>
  <c r="I26" i="19"/>
  <c r="F6" i="19"/>
  <c r="G6" i="19"/>
  <c r="C14" i="44"/>
  <c r="A23" i="44" s="1"/>
  <c r="A19" i="44"/>
  <c r="D23" i="44"/>
  <c r="D20" i="44"/>
  <c r="D18" i="44"/>
  <c r="E18" i="44" s="1"/>
  <c r="D22" i="44"/>
  <c r="F22" i="44" s="1"/>
  <c r="D21" i="44"/>
  <c r="E21" i="44" s="1"/>
  <c r="D17" i="44"/>
  <c r="E17" i="44" s="1"/>
  <c r="A24" i="44"/>
  <c r="E24" i="44"/>
  <c r="B14" i="44"/>
  <c r="A16" i="44"/>
  <c r="D19" i="44"/>
  <c r="E19" i="44" s="1"/>
  <c r="A20" i="44"/>
  <c r="C15" i="44"/>
  <c r="A21" i="44"/>
  <c r="A22" i="44"/>
  <c r="K24" i="44"/>
  <c r="ES41" i="1"/>
  <c r="N499" i="6"/>
  <c r="W499" i="6" s="1"/>
  <c r="N140" i="6"/>
  <c r="W140" i="6" s="1"/>
  <c r="ES18" i="1"/>
  <c r="EN13" i="1"/>
  <c r="F14" i="54" s="1"/>
  <c r="ES34" i="1"/>
  <c r="N207" i="6"/>
  <c r="W207" i="6" s="1"/>
  <c r="EN14" i="1"/>
  <c r="F15" i="54" s="1"/>
  <c r="G33" i="19"/>
  <c r="F33" i="19"/>
  <c r="R33" i="19"/>
  <c r="N38" i="19"/>
  <c r="M38" i="19"/>
  <c r="N495" i="6"/>
  <c r="W495" i="6" s="1"/>
  <c r="P30" i="19"/>
  <c r="N425" i="6"/>
  <c r="W425" i="6" s="1"/>
  <c r="N83" i="6"/>
  <c r="W83" i="6" s="1"/>
  <c r="Y83" i="6" s="1"/>
  <c r="Z83" i="6" s="1"/>
  <c r="P22" i="19"/>
  <c r="N269" i="6"/>
  <c r="W269" i="6" s="1"/>
  <c r="N183" i="6"/>
  <c r="W183" i="6" s="1"/>
  <c r="P29" i="19"/>
  <c r="ES4" i="1"/>
  <c r="F22" i="19"/>
  <c r="G22" i="19"/>
  <c r="R22" i="19"/>
  <c r="ES53" i="1"/>
  <c r="ES46" i="1"/>
  <c r="EN55" i="1"/>
  <c r="F56" i="54" s="1"/>
  <c r="N15" i="19"/>
  <c r="M15" i="19"/>
  <c r="P16" i="19"/>
  <c r="N494" i="6"/>
  <c r="W494" i="6" s="1"/>
  <c r="I32" i="19"/>
  <c r="N334" i="6"/>
  <c r="W334" i="6" s="1"/>
  <c r="N437" i="6"/>
  <c r="W437" i="6" s="1"/>
  <c r="N364" i="6"/>
  <c r="W364" i="6" s="1"/>
  <c r="G30" i="19"/>
  <c r="R30" i="19"/>
  <c r="F30" i="19"/>
  <c r="P8" i="19"/>
  <c r="A456" i="44"/>
  <c r="A454" i="44"/>
  <c r="E456" i="44"/>
  <c r="D453" i="44"/>
  <c r="E453" i="44" s="1"/>
  <c r="D450" i="44"/>
  <c r="E450" i="44" s="1"/>
  <c r="D452" i="44"/>
  <c r="J452" i="44" s="1"/>
  <c r="L452" i="44" s="1"/>
  <c r="D454" i="44"/>
  <c r="E454" i="44" s="1"/>
  <c r="B446" i="44"/>
  <c r="A452" i="44"/>
  <c r="A453" i="44"/>
  <c r="D455" i="44"/>
  <c r="E455" i="44" s="1"/>
  <c r="C447" i="44"/>
  <c r="D449" i="44"/>
  <c r="A451" i="44"/>
  <c r="D451" i="44"/>
  <c r="E451" i="44" s="1"/>
  <c r="A448" i="44"/>
  <c r="C446" i="44"/>
  <c r="A455" i="44" s="1"/>
  <c r="K456" i="44"/>
  <c r="N141" i="6"/>
  <c r="W141" i="6" s="1"/>
  <c r="T176" i="48"/>
  <c r="N430" i="6"/>
  <c r="W430" i="6" s="1"/>
  <c r="N329" i="6"/>
  <c r="W329" i="6" s="1"/>
  <c r="Y330" i="6" s="1"/>
  <c r="R31" i="19"/>
  <c r="G31" i="19"/>
  <c r="F31" i="19"/>
  <c r="N49" i="6"/>
  <c r="W49" i="6" s="1"/>
  <c r="N373" i="6"/>
  <c r="W373" i="6" s="1"/>
  <c r="N150" i="6"/>
  <c r="W150" i="6" s="1"/>
  <c r="EN59" i="1"/>
  <c r="F60" i="54" s="1"/>
  <c r="N279" i="6"/>
  <c r="W279" i="6" s="1"/>
  <c r="Y279" i="6" s="1"/>
  <c r="Z279" i="6" s="1"/>
  <c r="AD279" i="6" s="1"/>
  <c r="AA279" i="6" s="1"/>
  <c r="B279" i="6" s="1"/>
  <c r="N405" i="6"/>
  <c r="W405" i="6" s="1"/>
  <c r="N278" i="6"/>
  <c r="W278" i="6" s="1"/>
  <c r="N46" i="6"/>
  <c r="W46" i="6" s="1"/>
  <c r="Y46" i="6" s="1"/>
  <c r="Z46" i="6" s="1"/>
  <c r="A84" i="44"/>
  <c r="D81" i="44"/>
  <c r="Q81" i="44" s="1"/>
  <c r="D83" i="44"/>
  <c r="E83" i="44" s="1"/>
  <c r="C75" i="44"/>
  <c r="A76" i="44"/>
  <c r="Q84" i="44"/>
  <c r="D77" i="44"/>
  <c r="Q77" i="44" s="1"/>
  <c r="A82" i="44"/>
  <c r="D79" i="44"/>
  <c r="Q79" i="44" s="1"/>
  <c r="B74" i="44"/>
  <c r="D82" i="44"/>
  <c r="E82" i="44" s="1"/>
  <c r="A79" i="44"/>
  <c r="A81" i="44"/>
  <c r="Q96" i="44"/>
  <c r="C74" i="44"/>
  <c r="A83" i="44" s="1"/>
  <c r="D78" i="44"/>
  <c r="J78" i="44" s="1"/>
  <c r="K78" i="44" s="1"/>
  <c r="D80" i="44"/>
  <c r="Q80" i="44" s="1"/>
  <c r="A80" i="44"/>
  <c r="E84" i="44"/>
  <c r="R96" i="44"/>
  <c r="K84" i="44"/>
  <c r="R84" i="44"/>
  <c r="N109" i="6"/>
  <c r="W109" i="6" s="1"/>
  <c r="Y109" i="6" s="1"/>
  <c r="N436" i="6"/>
  <c r="W436" i="6" s="1"/>
  <c r="Y436" i="6" s="1"/>
  <c r="EN43" i="1"/>
  <c r="F44" i="54" s="1"/>
  <c r="N270" i="6"/>
  <c r="W270" i="6" s="1"/>
  <c r="EN31" i="1"/>
  <c r="F32" i="54" s="1"/>
  <c r="N234" i="6"/>
  <c r="W234" i="6" s="1"/>
  <c r="N5" i="19"/>
  <c r="M5" i="19"/>
  <c r="N151" i="6"/>
  <c r="W151" i="6" s="1"/>
  <c r="ES28" i="1"/>
  <c r="N212" i="6"/>
  <c r="W212" i="6" s="1"/>
  <c r="Y212" i="6" s="1"/>
  <c r="Z212" i="6" s="1"/>
  <c r="AD212" i="6" s="1"/>
  <c r="AA212" i="6" s="1"/>
  <c r="B212" i="6" s="1"/>
  <c r="P27" i="19"/>
  <c r="D489" i="44"/>
  <c r="E489" i="44" s="1"/>
  <c r="D488" i="44"/>
  <c r="F488" i="44" s="1"/>
  <c r="D486" i="44"/>
  <c r="Q486" i="44" s="1"/>
  <c r="A488" i="44"/>
  <c r="D491" i="44"/>
  <c r="E491" i="44" s="1"/>
  <c r="B482" i="44"/>
  <c r="A484" i="44"/>
  <c r="D487" i="44"/>
  <c r="D490" i="44"/>
  <c r="A492" i="44"/>
  <c r="A490" i="44"/>
  <c r="A487" i="44"/>
  <c r="C483" i="44"/>
  <c r="C482" i="44"/>
  <c r="A491" i="44" s="1"/>
  <c r="D485" i="44"/>
  <c r="F485" i="44" s="1"/>
  <c r="Q492" i="44"/>
  <c r="A489" i="44"/>
  <c r="E492" i="44"/>
  <c r="K492" i="44"/>
  <c r="E490" i="44"/>
  <c r="R492" i="44"/>
  <c r="T184" i="40"/>
  <c r="N306" i="6"/>
  <c r="W306" i="6" s="1"/>
  <c r="Y306" i="6" s="1"/>
  <c r="Z306" i="6" s="1"/>
  <c r="EN20" i="1"/>
  <c r="F21" i="54" s="1"/>
  <c r="EN5" i="1"/>
  <c r="F6" i="54" s="1"/>
  <c r="I40" i="19"/>
  <c r="T174" i="40"/>
  <c r="N273" i="6"/>
  <c r="W273" i="6" s="1"/>
  <c r="N75" i="6"/>
  <c r="W75" i="6" s="1"/>
  <c r="N311" i="6"/>
  <c r="W311" i="6" s="1"/>
  <c r="EN18" i="1"/>
  <c r="F19" i="54" s="1"/>
  <c r="I15" i="19"/>
  <c r="H13" i="19"/>
  <c r="N434" i="6"/>
  <c r="W434" i="6" s="1"/>
  <c r="I18" i="19"/>
  <c r="P5" i="19"/>
  <c r="C434" i="44"/>
  <c r="A443" i="44" s="1"/>
  <c r="Q444" i="44"/>
  <c r="D443" i="44"/>
  <c r="A440" i="44"/>
  <c r="D442" i="44"/>
  <c r="Q442" i="44" s="1"/>
  <c r="A442" i="44"/>
  <c r="A436" i="44"/>
  <c r="A439" i="44"/>
  <c r="E444" i="44"/>
  <c r="Q456" i="44"/>
  <c r="D440" i="44"/>
  <c r="F440" i="44" s="1"/>
  <c r="C435" i="44"/>
  <c r="B434" i="44"/>
  <c r="D438" i="44"/>
  <c r="E438" i="44" s="1"/>
  <c r="D439" i="44"/>
  <c r="E439" i="44" s="1"/>
  <c r="D441" i="44"/>
  <c r="A441" i="44"/>
  <c r="A444" i="44"/>
  <c r="D437" i="44"/>
  <c r="E437" i="44" s="1"/>
  <c r="E443" i="44"/>
  <c r="Q450" i="44"/>
  <c r="R456" i="44"/>
  <c r="R444" i="44"/>
  <c r="Q440" i="44"/>
  <c r="K444" i="44"/>
  <c r="N500" i="6"/>
  <c r="W500" i="6" s="1"/>
  <c r="I20" i="19"/>
  <c r="ES38" i="1"/>
  <c r="N237" i="6"/>
  <c r="W237" i="6" s="1"/>
  <c r="G28" i="19"/>
  <c r="F28" i="19"/>
  <c r="P42" i="19"/>
  <c r="EN46" i="1"/>
  <c r="F47" i="54" s="1"/>
  <c r="ES32" i="1"/>
  <c r="Q396" i="44"/>
  <c r="D394" i="44"/>
  <c r="Q394" i="44" s="1"/>
  <c r="C386" i="44"/>
  <c r="A395" i="44" s="1"/>
  <c r="A396" i="44"/>
  <c r="A393" i="44"/>
  <c r="D389" i="44"/>
  <c r="J389" i="44" s="1"/>
  <c r="L389" i="44" s="1"/>
  <c r="D392" i="44"/>
  <c r="E396" i="44"/>
  <c r="A388" i="44"/>
  <c r="B386" i="44"/>
  <c r="A392" i="44"/>
  <c r="D393" i="44"/>
  <c r="J393" i="44" s="1"/>
  <c r="R393" i="44" s="1"/>
  <c r="D391" i="44"/>
  <c r="Q391" i="44" s="1"/>
  <c r="D390" i="44"/>
  <c r="E390" i="44" s="1"/>
  <c r="A394" i="44"/>
  <c r="D395" i="44"/>
  <c r="A391" i="44"/>
  <c r="C387" i="44"/>
  <c r="R396" i="44"/>
  <c r="K396" i="44"/>
  <c r="EN53" i="1"/>
  <c r="F54" i="54" s="1"/>
  <c r="N47" i="6"/>
  <c r="W47" i="6" s="1"/>
  <c r="Y47" i="6" s="1"/>
  <c r="Z47" i="6" s="1"/>
  <c r="N107" i="6"/>
  <c r="W107" i="6" s="1"/>
  <c r="A573" i="44"/>
  <c r="D572" i="44"/>
  <c r="Q572" i="44" s="1"/>
  <c r="A574" i="44"/>
  <c r="D573" i="44"/>
  <c r="E573" i="44" s="1"/>
  <c r="A576" i="44"/>
  <c r="A568" i="44"/>
  <c r="C567" i="44"/>
  <c r="E576" i="44"/>
  <c r="B566" i="44"/>
  <c r="D569" i="44"/>
  <c r="Q569" i="44" s="1"/>
  <c r="D570" i="44"/>
  <c r="Q576" i="44"/>
  <c r="C566" i="44"/>
  <c r="A575" i="44" s="1"/>
  <c r="D575" i="44"/>
  <c r="Q575" i="44" s="1"/>
  <c r="D571" i="44"/>
  <c r="F571" i="44" s="1"/>
  <c r="D574" i="44"/>
  <c r="E574" i="44" s="1"/>
  <c r="A572" i="44"/>
  <c r="A571" i="44"/>
  <c r="E570" i="44"/>
  <c r="K576" i="44"/>
  <c r="R576" i="44"/>
  <c r="A201" i="44"/>
  <c r="Q204" i="44"/>
  <c r="E204" i="44"/>
  <c r="D199" i="44"/>
  <c r="D203" i="44"/>
  <c r="F203" i="44" s="1"/>
  <c r="D198" i="44"/>
  <c r="E198" i="44" s="1"/>
  <c r="A202" i="44"/>
  <c r="A199" i="44"/>
  <c r="A204" i="44"/>
  <c r="D201" i="44"/>
  <c r="D200" i="44"/>
  <c r="C195" i="44"/>
  <c r="C194" i="44"/>
  <c r="A203" i="44" s="1"/>
  <c r="D202" i="44"/>
  <c r="E202" i="44" s="1"/>
  <c r="B194" i="44"/>
  <c r="D197" i="44"/>
  <c r="A200" i="44"/>
  <c r="A196" i="44"/>
  <c r="E200" i="44"/>
  <c r="R204" i="44"/>
  <c r="K204" i="44"/>
  <c r="EN57" i="1"/>
  <c r="F58" i="54" s="1"/>
  <c r="N307" i="6"/>
  <c r="W307" i="6" s="1"/>
  <c r="N369" i="6"/>
  <c r="W369" i="6" s="1"/>
  <c r="N493" i="6"/>
  <c r="W493" i="6" s="1"/>
  <c r="W124" i="50"/>
  <c r="N54" i="6"/>
  <c r="W54" i="6" s="1"/>
  <c r="Y54" i="6" s="1"/>
  <c r="Z54" i="6" s="1"/>
  <c r="AE54" i="6" s="1"/>
  <c r="AB54" i="6" s="1"/>
  <c r="C54" i="6" s="1"/>
  <c r="P9" i="19"/>
  <c r="N8" i="6"/>
  <c r="W8" i="6" s="1"/>
  <c r="ES27" i="1"/>
  <c r="N82" i="6"/>
  <c r="W82" i="6" s="1"/>
  <c r="Y82" i="6" s="1"/>
  <c r="Z82" i="6" s="1"/>
  <c r="B38" i="44"/>
  <c r="C39" i="44"/>
  <c r="A48" i="44"/>
  <c r="A46" i="44"/>
  <c r="D46" i="44"/>
  <c r="Q46" i="44" s="1"/>
  <c r="D45" i="44"/>
  <c r="E45" i="44" s="1"/>
  <c r="D47" i="44"/>
  <c r="Q47" i="44" s="1"/>
  <c r="C38" i="44"/>
  <c r="A47" i="44" s="1"/>
  <c r="A45" i="44"/>
  <c r="D43" i="44"/>
  <c r="E43" i="44" s="1"/>
  <c r="A43" i="44"/>
  <c r="A40" i="44"/>
  <c r="Q48" i="44"/>
  <c r="D41" i="44"/>
  <c r="Q41" i="44" s="1"/>
  <c r="D42" i="44"/>
  <c r="D44" i="44"/>
  <c r="J44" i="44" s="1"/>
  <c r="L44" i="44" s="1"/>
  <c r="E48" i="44"/>
  <c r="A44" i="44"/>
  <c r="K48" i="44"/>
  <c r="R48" i="44"/>
  <c r="N48" i="6"/>
  <c r="W48" i="6" s="1"/>
  <c r="Y48" i="6" s="1"/>
  <c r="Z48" i="6" s="1"/>
  <c r="AD48" i="6" s="1"/>
  <c r="AA48" i="6" s="1"/>
  <c r="B48" i="6" s="1"/>
  <c r="N367" i="6"/>
  <c r="W367" i="6" s="1"/>
  <c r="C518" i="44"/>
  <c r="A527" i="44" s="1"/>
  <c r="D523" i="44"/>
  <c r="J523" i="44" s="1"/>
  <c r="L523" i="44" s="1"/>
  <c r="A528" i="44"/>
  <c r="E528" i="44"/>
  <c r="A526" i="44"/>
  <c r="Q528" i="44"/>
  <c r="A520" i="44"/>
  <c r="D521" i="44"/>
  <c r="F521" i="44" s="1"/>
  <c r="B518" i="44"/>
  <c r="A523" i="44"/>
  <c r="A525" i="44"/>
  <c r="A524" i="44"/>
  <c r="D526" i="44"/>
  <c r="Q526" i="44" s="1"/>
  <c r="D522" i="44"/>
  <c r="Q522" i="44" s="1"/>
  <c r="C519" i="44"/>
  <c r="D527" i="44"/>
  <c r="E527" i="44" s="1"/>
  <c r="R528" i="44"/>
  <c r="D524" i="44"/>
  <c r="Q524" i="44" s="1"/>
  <c r="D525" i="44"/>
  <c r="K528" i="44"/>
  <c r="N136" i="6"/>
  <c r="W136" i="6" s="1"/>
  <c r="I43" i="19"/>
  <c r="N492" i="6"/>
  <c r="W492" i="6" s="1"/>
  <c r="N264" i="6"/>
  <c r="W264" i="6" s="1"/>
  <c r="N53" i="6"/>
  <c r="W53" i="6" s="1"/>
  <c r="Y53" i="6" s="1"/>
  <c r="Z53" i="6" s="1"/>
  <c r="N19" i="19"/>
  <c r="M19" i="19"/>
  <c r="S19" i="19"/>
  <c r="N240" i="6"/>
  <c r="W240" i="6" s="1"/>
  <c r="W130" i="50"/>
  <c r="ES58" i="1"/>
  <c r="A260" i="44"/>
  <c r="A256" i="44"/>
  <c r="D263" i="44"/>
  <c r="D257" i="44"/>
  <c r="J257" i="44" s="1"/>
  <c r="K257" i="44" s="1"/>
  <c r="A262" i="44"/>
  <c r="A259" i="44"/>
  <c r="D258" i="44"/>
  <c r="Q258" i="44" s="1"/>
  <c r="B254" i="44"/>
  <c r="A264" i="44"/>
  <c r="D261" i="44"/>
  <c r="J261" i="44" s="1"/>
  <c r="R261" i="44" s="1"/>
  <c r="D262" i="44"/>
  <c r="C254" i="44"/>
  <c r="A263" i="44" s="1"/>
  <c r="Q264" i="44"/>
  <c r="R264" i="44"/>
  <c r="A261" i="44"/>
  <c r="C255" i="44"/>
  <c r="D260" i="44"/>
  <c r="J260" i="44" s="1"/>
  <c r="D259" i="44"/>
  <c r="E259" i="44" s="1"/>
  <c r="E264" i="44"/>
  <c r="K264" i="44"/>
  <c r="N145" i="6"/>
  <c r="W145" i="6" s="1"/>
  <c r="M27" i="19"/>
  <c r="N27" i="19"/>
  <c r="N368" i="6"/>
  <c r="W368" i="6" s="1"/>
  <c r="N204" i="6"/>
  <c r="W204" i="6" s="1"/>
  <c r="EN10" i="1"/>
  <c r="F11" i="54" s="1"/>
  <c r="M37" i="19"/>
  <c r="N37" i="19"/>
  <c r="ES51" i="1"/>
  <c r="ES30" i="1"/>
  <c r="P33" i="19"/>
  <c r="N236" i="6"/>
  <c r="W236" i="6" s="1"/>
  <c r="I30" i="19"/>
  <c r="N301" i="6"/>
  <c r="W301" i="6" s="1"/>
  <c r="N375" i="6"/>
  <c r="W375" i="6" s="1"/>
  <c r="Y375" i="6" s="1"/>
  <c r="Z375" i="6" s="1"/>
  <c r="AE375" i="6" s="1"/>
  <c r="AB375" i="6" s="1"/>
  <c r="C375" i="6" s="1"/>
  <c r="A172" i="44"/>
  <c r="A177" i="44"/>
  <c r="D179" i="44"/>
  <c r="E179" i="44" s="1"/>
  <c r="A180" i="44"/>
  <c r="A178" i="44"/>
  <c r="D176" i="44"/>
  <c r="E176" i="44" s="1"/>
  <c r="D175" i="44"/>
  <c r="J175" i="44" s="1"/>
  <c r="D174" i="44"/>
  <c r="Q174" i="44" s="1"/>
  <c r="D177" i="44"/>
  <c r="C171" i="44"/>
  <c r="A175" i="44"/>
  <c r="D178" i="44"/>
  <c r="Q178" i="44" s="1"/>
  <c r="Q180" i="44"/>
  <c r="C170" i="44"/>
  <c r="A179" i="44" s="1"/>
  <c r="A176" i="44"/>
  <c r="B170" i="44"/>
  <c r="D173" i="44"/>
  <c r="Q173" i="44" s="1"/>
  <c r="E180" i="44"/>
  <c r="K180" i="44"/>
  <c r="R180" i="44"/>
  <c r="EN22" i="1"/>
  <c r="F23" i="54" s="1"/>
  <c r="EN52" i="1"/>
  <c r="F53" i="54" s="1"/>
  <c r="N233" i="6"/>
  <c r="W233" i="6" s="1"/>
  <c r="N496" i="6"/>
  <c r="W496" i="6" s="1"/>
  <c r="N502" i="6"/>
  <c r="W502" i="6" s="1"/>
  <c r="N400" i="6"/>
  <c r="W400" i="6" s="1"/>
  <c r="G10" i="19"/>
  <c r="F10" i="19"/>
  <c r="N175" i="6"/>
  <c r="W175" i="6" s="1"/>
  <c r="Y175" i="6" s="1"/>
  <c r="Z175" i="6" s="1"/>
  <c r="AD175" i="6" s="1"/>
  <c r="AA175" i="6" s="1"/>
  <c r="B175" i="6" s="1"/>
  <c r="T185" i="48"/>
  <c r="EN7" i="1"/>
  <c r="F8" i="54" s="1"/>
  <c r="N142" i="6"/>
  <c r="W142" i="6" s="1"/>
  <c r="ES36" i="1"/>
  <c r="ES56" i="1"/>
  <c r="N435" i="6"/>
  <c r="W435" i="6" s="1"/>
  <c r="F18" i="19"/>
  <c r="G18" i="19"/>
  <c r="A268" i="44"/>
  <c r="D269" i="44"/>
  <c r="E269" i="44" s="1"/>
  <c r="A271" i="44"/>
  <c r="A272" i="44"/>
  <c r="D270" i="44"/>
  <c r="Q270" i="44" s="1"/>
  <c r="D272" i="44"/>
  <c r="E272" i="44" s="1"/>
  <c r="C267" i="44"/>
  <c r="E276" i="44"/>
  <c r="D273" i="44"/>
  <c r="Q273" i="44" s="1"/>
  <c r="B266" i="44"/>
  <c r="A274" i="44"/>
  <c r="D271" i="44"/>
  <c r="D274" i="44"/>
  <c r="Q274" i="44" s="1"/>
  <c r="C266" i="44"/>
  <c r="A275" i="44" s="1"/>
  <c r="Q276" i="44"/>
  <c r="A276" i="44"/>
  <c r="D275" i="44"/>
  <c r="Q275" i="44" s="1"/>
  <c r="A273" i="44"/>
  <c r="K276" i="44"/>
  <c r="R276" i="44"/>
  <c r="N111" i="6"/>
  <c r="W111" i="6" s="1"/>
  <c r="Y111" i="6" s="1"/>
  <c r="Z111" i="6" s="1"/>
  <c r="AD111" i="6" s="1"/>
  <c r="AA111" i="6" s="1"/>
  <c r="B111" i="6" s="1"/>
  <c r="D235" i="44"/>
  <c r="Q235" i="44" s="1"/>
  <c r="C231" i="44"/>
  <c r="B230" i="44"/>
  <c r="A232" i="44"/>
  <c r="A238" i="44"/>
  <c r="D236" i="44"/>
  <c r="D233" i="44"/>
  <c r="E233" i="44" s="1"/>
  <c r="A235" i="44"/>
  <c r="D237" i="44"/>
  <c r="E237" i="44" s="1"/>
  <c r="Q240" i="44"/>
  <c r="C230" i="44"/>
  <c r="A239" i="44" s="1"/>
  <c r="A236" i="44"/>
  <c r="D238" i="44"/>
  <c r="E238" i="44" s="1"/>
  <c r="A240" i="44"/>
  <c r="D234" i="44"/>
  <c r="E240" i="44"/>
  <c r="D239" i="44"/>
  <c r="Q239" i="44" s="1"/>
  <c r="A237" i="44"/>
  <c r="Q233" i="44"/>
  <c r="R240" i="44"/>
  <c r="K240" i="44"/>
  <c r="N144" i="6"/>
  <c r="W144" i="6" s="1"/>
  <c r="Y144" i="6" s="1"/>
  <c r="Z144" i="6" s="1"/>
  <c r="AD144" i="6" s="1"/>
  <c r="AA144" i="6" s="1"/>
  <c r="B144" i="6" s="1"/>
  <c r="Q312" i="44"/>
  <c r="A312" i="44"/>
  <c r="B302" i="44"/>
  <c r="D305" i="44"/>
  <c r="Q305" i="44" s="1"/>
  <c r="A308" i="44"/>
  <c r="A304" i="44"/>
  <c r="A309" i="44"/>
  <c r="D309" i="44"/>
  <c r="E309" i="44" s="1"/>
  <c r="D308" i="44"/>
  <c r="F308" i="44" s="1"/>
  <c r="C302" i="44"/>
  <c r="A311" i="44" s="1"/>
  <c r="E312" i="44"/>
  <c r="D311" i="44"/>
  <c r="Q311" i="44" s="1"/>
  <c r="A310" i="44"/>
  <c r="C303" i="44"/>
  <c r="A307" i="44"/>
  <c r="D307" i="44"/>
  <c r="E307" i="44" s="1"/>
  <c r="D310" i="44"/>
  <c r="D306" i="44"/>
  <c r="Q306" i="44" s="1"/>
  <c r="R312" i="44"/>
  <c r="K312" i="44"/>
  <c r="I44" i="19"/>
  <c r="N16" i="6"/>
  <c r="W16" i="6" s="1"/>
  <c r="Y16" i="6" s="1"/>
  <c r="Z16" i="6" s="1"/>
  <c r="N84" i="6"/>
  <c r="W84" i="6" s="1"/>
  <c r="T175" i="48"/>
  <c r="I27" i="19"/>
  <c r="N77" i="6"/>
  <c r="W77" i="6" s="1"/>
  <c r="N392" i="6"/>
  <c r="W392" i="6" s="1"/>
  <c r="N338" i="6"/>
  <c r="W338" i="6" s="1"/>
  <c r="N337" i="6"/>
  <c r="W337" i="6" s="1"/>
  <c r="EN36" i="1"/>
  <c r="F37" i="54" s="1"/>
  <c r="N110" i="6"/>
  <c r="W110" i="6" s="1"/>
  <c r="N20" i="6"/>
  <c r="W20" i="6" s="1"/>
  <c r="B290" i="44"/>
  <c r="D299" i="44"/>
  <c r="J299" i="44" s="1"/>
  <c r="A297" i="44"/>
  <c r="A292" i="44"/>
  <c r="Q300" i="44"/>
  <c r="D298" i="44"/>
  <c r="E298" i="44" s="1"/>
  <c r="C291" i="44"/>
  <c r="D297" i="44"/>
  <c r="E297" i="44" s="1"/>
  <c r="A300" i="44"/>
  <c r="A295" i="44"/>
  <c r="A298" i="44"/>
  <c r="A296" i="44"/>
  <c r="D293" i="44"/>
  <c r="Q293" i="44" s="1"/>
  <c r="E300" i="44"/>
  <c r="C290" i="44"/>
  <c r="A299" i="44" s="1"/>
  <c r="D296" i="44"/>
  <c r="Q296" i="44" s="1"/>
  <c r="D294" i="44"/>
  <c r="Q294" i="44" s="1"/>
  <c r="D295" i="44"/>
  <c r="R300" i="44"/>
  <c r="K300" i="44"/>
  <c r="N365" i="6"/>
  <c r="W365" i="6" s="1"/>
  <c r="M6" i="19"/>
  <c r="N6" i="19"/>
  <c r="N55" i="6"/>
  <c r="W55" i="6" s="1"/>
  <c r="Y55" i="6" s="1"/>
  <c r="Z55" i="6" s="1"/>
  <c r="AE55" i="6" s="1"/>
  <c r="AB55" i="6" s="1"/>
  <c r="C55" i="6" s="1"/>
  <c r="N396" i="6"/>
  <c r="W396" i="6" s="1"/>
  <c r="N74" i="6"/>
  <c r="W74" i="6" s="1"/>
  <c r="EN48" i="1"/>
  <c r="F49" i="54" s="1"/>
  <c r="M11" i="19"/>
  <c r="S11" i="19"/>
  <c r="N11" i="19"/>
  <c r="N298" i="6"/>
  <c r="W298" i="6" s="1"/>
  <c r="Y298" i="6" s="1"/>
  <c r="N299" i="6"/>
  <c r="W299" i="6" s="1"/>
  <c r="N463" i="6"/>
  <c r="W463" i="6" s="1"/>
  <c r="I11" i="19"/>
  <c r="P6" i="19"/>
  <c r="N239" i="6"/>
  <c r="W239" i="6" s="1"/>
  <c r="Y239" i="6" s="1"/>
  <c r="Z239" i="6" s="1"/>
  <c r="AE239" i="6" s="1"/>
  <c r="AB239" i="6" s="1"/>
  <c r="C239" i="6" s="1"/>
  <c r="EN47" i="1"/>
  <c r="F48" i="54" s="1"/>
  <c r="N42" i="6"/>
  <c r="W42" i="6" s="1"/>
  <c r="ES44" i="1"/>
  <c r="A621" i="44"/>
  <c r="A624" i="44"/>
  <c r="C615" i="44"/>
  <c r="D617" i="44"/>
  <c r="Q624" i="44"/>
  <c r="A619" i="44"/>
  <c r="D619" i="44"/>
  <c r="D621" i="44"/>
  <c r="D618" i="44"/>
  <c r="A616" i="44"/>
  <c r="C614" i="44"/>
  <c r="A623" i="44" s="1"/>
  <c r="D623" i="44"/>
  <c r="B614" i="44"/>
  <c r="A620" i="44"/>
  <c r="A622" i="44"/>
  <c r="E624" i="44"/>
  <c r="D622" i="44"/>
  <c r="Q622" i="44" s="1"/>
  <c r="D620" i="44"/>
  <c r="E619" i="44"/>
  <c r="R624" i="44"/>
  <c r="E618" i="44"/>
  <c r="K624" i="44"/>
  <c r="N244" i="6"/>
  <c r="W244" i="6" s="1"/>
  <c r="I21" i="19"/>
  <c r="N19" i="6"/>
  <c r="W19" i="6" s="1"/>
  <c r="Y19" i="6" s="1"/>
  <c r="Z19" i="6" s="1"/>
  <c r="N339" i="6"/>
  <c r="W339" i="6" s="1"/>
  <c r="N17" i="6"/>
  <c r="W17" i="6" s="1"/>
  <c r="D503" i="44"/>
  <c r="E503" i="44" s="1"/>
  <c r="A502" i="44"/>
  <c r="C494" i="44"/>
  <c r="A503" i="44" s="1"/>
  <c r="D501" i="44"/>
  <c r="A504" i="44"/>
  <c r="E504" i="44"/>
  <c r="A499" i="44"/>
  <c r="Q504" i="44"/>
  <c r="C495" i="44"/>
  <c r="A501" i="44"/>
  <c r="A496" i="44"/>
  <c r="A500" i="44"/>
  <c r="B494" i="44"/>
  <c r="D499" i="44"/>
  <c r="E499" i="44" s="1"/>
  <c r="D502" i="44"/>
  <c r="E502" i="44" s="1"/>
  <c r="D500" i="44"/>
  <c r="J500" i="44" s="1"/>
  <c r="L500" i="44" s="1"/>
  <c r="D498" i="44"/>
  <c r="Q498" i="44" s="1"/>
  <c r="D497" i="44"/>
  <c r="E497" i="44" s="1"/>
  <c r="K504" i="44"/>
  <c r="R504" i="44"/>
  <c r="ES7" i="1"/>
  <c r="N180" i="6"/>
  <c r="W180" i="6" s="1"/>
  <c r="P10" i="19"/>
  <c r="G27" i="19"/>
  <c r="F27" i="19"/>
  <c r="G17" i="19"/>
  <c r="F17" i="19"/>
  <c r="I9" i="19"/>
  <c r="W128" i="50"/>
  <c r="N119" i="6"/>
  <c r="W119" i="6" s="1"/>
  <c r="I22" i="19"/>
  <c r="P11" i="19"/>
  <c r="ES37" i="1"/>
  <c r="N399" i="6"/>
  <c r="W399" i="6" s="1"/>
  <c r="Y399" i="6" s="1"/>
  <c r="Z399" i="6" s="1"/>
  <c r="AD399" i="6" s="1"/>
  <c r="AA399" i="6" s="1"/>
  <c r="B399" i="6" s="1"/>
  <c r="ES52" i="1"/>
  <c r="N343" i="6"/>
  <c r="W343" i="6" s="1"/>
  <c r="Y343" i="6" s="1"/>
  <c r="Z343" i="6" s="1"/>
  <c r="AD343" i="6" s="1"/>
  <c r="AA343" i="6" s="1"/>
  <c r="B343" i="6" s="1"/>
  <c r="N86" i="6"/>
  <c r="W86" i="6" s="1"/>
  <c r="EN21" i="1"/>
  <c r="F22" i="54" s="1"/>
  <c r="I33" i="19"/>
  <c r="N9" i="6"/>
  <c r="W9" i="6" s="1"/>
  <c r="N331" i="6"/>
  <c r="W331" i="6" s="1"/>
  <c r="N45" i="6"/>
  <c r="W45" i="6" s="1"/>
  <c r="Y45" i="6" s="1"/>
  <c r="Z45" i="6" s="1"/>
  <c r="N149" i="6"/>
  <c r="W149" i="6" s="1"/>
  <c r="N51" i="6"/>
  <c r="W51" i="6" s="1"/>
  <c r="ES45" i="1"/>
  <c r="P4" i="19"/>
  <c r="N265" i="6"/>
  <c r="W265" i="6" s="1"/>
  <c r="E228" i="44"/>
  <c r="D226" i="44"/>
  <c r="E226" i="44" s="1"/>
  <c r="D222" i="44"/>
  <c r="B218" i="44"/>
  <c r="A220" i="44"/>
  <c r="D221" i="44"/>
  <c r="E221" i="44" s="1"/>
  <c r="D223" i="44"/>
  <c r="E223" i="44" s="1"/>
  <c r="C218" i="44"/>
  <c r="A227" i="44" s="1"/>
  <c r="A228" i="44"/>
  <c r="A226" i="44"/>
  <c r="A225" i="44"/>
  <c r="C219" i="44"/>
  <c r="A223" i="44"/>
  <c r="D224" i="44"/>
  <c r="Q224" i="44" s="1"/>
  <c r="D225" i="44"/>
  <c r="E225" i="44" s="1"/>
  <c r="D227" i="44"/>
  <c r="F227" i="44" s="1"/>
  <c r="A224" i="44"/>
  <c r="Q228" i="44"/>
  <c r="K228" i="44"/>
  <c r="R228" i="44"/>
  <c r="N404" i="6"/>
  <c r="W404" i="6" s="1"/>
  <c r="A432" i="44"/>
  <c r="D430" i="44"/>
  <c r="Q430" i="44" s="1"/>
  <c r="A424" i="44"/>
  <c r="A428" i="44"/>
  <c r="C423" i="44"/>
  <c r="D428" i="44"/>
  <c r="E428" i="44" s="1"/>
  <c r="A430" i="44"/>
  <c r="D429" i="44"/>
  <c r="D431" i="44"/>
  <c r="E431" i="44" s="1"/>
  <c r="B422" i="44"/>
  <c r="A427" i="44"/>
  <c r="D427" i="44"/>
  <c r="J427" i="44" s="1"/>
  <c r="K427" i="44" s="1"/>
  <c r="E432" i="44"/>
  <c r="A429" i="44"/>
  <c r="C422" i="44"/>
  <c r="A431" i="44" s="1"/>
  <c r="D426" i="44"/>
  <c r="E426" i="44" s="1"/>
  <c r="D425" i="44"/>
  <c r="Q432" i="44"/>
  <c r="K432" i="44"/>
  <c r="R432" i="44"/>
  <c r="ES35" i="1"/>
  <c r="T186" i="48"/>
  <c r="I19" i="19"/>
  <c r="G40" i="19"/>
  <c r="F40" i="19"/>
  <c r="P21" i="19"/>
  <c r="N85" i="6"/>
  <c r="W85" i="6" s="1"/>
  <c r="N393" i="6"/>
  <c r="W393" i="6" s="1"/>
  <c r="ES20" i="1"/>
  <c r="N247" i="6"/>
  <c r="W247" i="6" s="1"/>
  <c r="Y247" i="6" s="1"/>
  <c r="Z247" i="6" s="1"/>
  <c r="AD247" i="6" s="1"/>
  <c r="AA247" i="6" s="1"/>
  <c r="B247" i="6" s="1"/>
  <c r="N424" i="6"/>
  <c r="W424" i="6" s="1"/>
  <c r="ES9" i="1"/>
  <c r="N171" i="6"/>
  <c r="W171" i="6" s="1"/>
  <c r="F11" i="19"/>
  <c r="G11" i="19"/>
  <c r="R11" i="19"/>
  <c r="N18" i="6"/>
  <c r="W18" i="6" s="1"/>
  <c r="N205" i="6"/>
  <c r="W205" i="6" s="1"/>
  <c r="N44" i="6"/>
  <c r="W44" i="6" s="1"/>
  <c r="A556" i="44"/>
  <c r="A559" i="44"/>
  <c r="D560" i="44"/>
  <c r="A561" i="44"/>
  <c r="D562" i="44"/>
  <c r="A564" i="44"/>
  <c r="D558" i="44"/>
  <c r="C555" i="44"/>
  <c r="Q564" i="44"/>
  <c r="D557" i="44"/>
  <c r="E557" i="44" s="1"/>
  <c r="A560" i="44"/>
  <c r="D561" i="44"/>
  <c r="E561" i="44" s="1"/>
  <c r="D559" i="44"/>
  <c r="E564" i="44"/>
  <c r="B554" i="44"/>
  <c r="D563" i="44"/>
  <c r="E563" i="44" s="1"/>
  <c r="C554" i="44"/>
  <c r="A563" i="44" s="1"/>
  <c r="A562" i="44"/>
  <c r="K564" i="44"/>
  <c r="R564" i="44"/>
  <c r="A512" i="44"/>
  <c r="A513" i="44"/>
  <c r="D514" i="44"/>
  <c r="E514" i="44" s="1"/>
  <c r="D513" i="44"/>
  <c r="D510" i="44"/>
  <c r="E510" i="44" s="1"/>
  <c r="E516" i="44"/>
  <c r="C507" i="44"/>
  <c r="B506" i="44"/>
  <c r="A508" i="44"/>
  <c r="D509" i="44"/>
  <c r="D511" i="44"/>
  <c r="A511" i="44"/>
  <c r="D512" i="44"/>
  <c r="E512" i="44" s="1"/>
  <c r="A516" i="44"/>
  <c r="Q516" i="44"/>
  <c r="A514" i="44"/>
  <c r="C506" i="44"/>
  <c r="A515" i="44" s="1"/>
  <c r="D515" i="44"/>
  <c r="E515" i="44" s="1"/>
  <c r="K516" i="44"/>
  <c r="R516" i="44"/>
  <c r="A140" i="44"/>
  <c r="A141" i="44"/>
  <c r="C134" i="44"/>
  <c r="A143" i="44" s="1"/>
  <c r="B134" i="44"/>
  <c r="E144" i="44"/>
  <c r="A144" i="44"/>
  <c r="D138" i="44"/>
  <c r="J138" i="44" s="1"/>
  <c r="A136" i="44"/>
  <c r="D143" i="44"/>
  <c r="J143" i="44" s="1"/>
  <c r="R143" i="44" s="1"/>
  <c r="A142" i="44"/>
  <c r="D141" i="44"/>
  <c r="C135" i="44"/>
  <c r="D140" i="44"/>
  <c r="Q144" i="44"/>
  <c r="D137" i="44"/>
  <c r="D139" i="44"/>
  <c r="E139" i="44" s="1"/>
  <c r="R144" i="44"/>
  <c r="A139" i="44"/>
  <c r="D142" i="44"/>
  <c r="J142" i="44" s="1"/>
  <c r="K144" i="44"/>
  <c r="N50" i="6"/>
  <c r="W50" i="6" s="1"/>
  <c r="Y50" i="6" s="1"/>
  <c r="Z50" i="6" s="1"/>
  <c r="AD50" i="6" s="1"/>
  <c r="AA50" i="6" s="1"/>
  <c r="B50" i="6" s="1"/>
  <c r="ES5" i="1"/>
  <c r="N491" i="6"/>
  <c r="W491" i="6" s="1"/>
  <c r="ES11" i="1"/>
  <c r="ES25" i="1"/>
  <c r="N439" i="6"/>
  <c r="W439" i="6" s="1"/>
  <c r="EN40" i="1"/>
  <c r="F41" i="54" s="1"/>
  <c r="N429" i="6"/>
  <c r="W429" i="6" s="1"/>
  <c r="ES17" i="1"/>
  <c r="N43" i="6"/>
  <c r="W43" i="6" s="1"/>
  <c r="Y43" i="6" s="1"/>
  <c r="Z43" i="6" s="1"/>
  <c r="D464" i="44"/>
  <c r="E464" i="44" s="1"/>
  <c r="A460" i="44"/>
  <c r="D463" i="44"/>
  <c r="D467" i="44"/>
  <c r="E467" i="44" s="1"/>
  <c r="B458" i="44"/>
  <c r="E468" i="44"/>
  <c r="A465" i="44"/>
  <c r="D466" i="44"/>
  <c r="F466" i="44" s="1"/>
  <c r="A466" i="44"/>
  <c r="D465" i="44"/>
  <c r="Q465" i="44" s="1"/>
  <c r="A463" i="44"/>
  <c r="D462" i="44"/>
  <c r="E462" i="44" s="1"/>
  <c r="C458" i="44"/>
  <c r="A467" i="44" s="1"/>
  <c r="K468" i="44"/>
  <c r="A468" i="44"/>
  <c r="D461" i="44"/>
  <c r="Q468" i="44"/>
  <c r="A464" i="44"/>
  <c r="C459" i="44"/>
  <c r="R468" i="44"/>
  <c r="N372" i="6"/>
  <c r="W372" i="6" s="1"/>
  <c r="P26" i="19"/>
  <c r="N117" i="6"/>
  <c r="W117" i="6" s="1"/>
  <c r="EN28" i="1"/>
  <c r="F29" i="54" s="1"/>
  <c r="ES48" i="1"/>
  <c r="D246" i="44"/>
  <c r="D247" i="44"/>
  <c r="E247" i="44" s="1"/>
  <c r="D251" i="44"/>
  <c r="A250" i="44"/>
  <c r="Q252" i="44"/>
  <c r="C242" i="44"/>
  <c r="A251" i="44" s="1"/>
  <c r="A252" i="44"/>
  <c r="C243" i="44"/>
  <c r="D249" i="44"/>
  <c r="Q249" i="44" s="1"/>
  <c r="E252" i="44"/>
  <c r="A244" i="44"/>
  <c r="A247" i="44"/>
  <c r="D250" i="44"/>
  <c r="A249" i="44"/>
  <c r="R252" i="44"/>
  <c r="D245" i="44"/>
  <c r="A248" i="44"/>
  <c r="D248" i="44"/>
  <c r="J248" i="44" s="1"/>
  <c r="L248" i="44" s="1"/>
  <c r="B242" i="44"/>
  <c r="K252" i="44"/>
  <c r="EN23" i="1"/>
  <c r="F24" i="54" s="1"/>
  <c r="N87" i="6"/>
  <c r="W87" i="6" s="1"/>
  <c r="Y87" i="6" s="1"/>
  <c r="Z87" i="6" s="1"/>
  <c r="AE87" i="6" s="1"/>
  <c r="AB87" i="6" s="1"/>
  <c r="C87" i="6" s="1"/>
  <c r="N235" i="6"/>
  <c r="W235" i="6" s="1"/>
  <c r="Y232" i="6" s="1"/>
  <c r="G39" i="19"/>
  <c r="F39" i="19"/>
  <c r="N245" i="6"/>
  <c r="W245" i="6" s="1"/>
  <c r="Y245" i="6" s="1"/>
  <c r="Z245" i="6" s="1"/>
  <c r="EN33" i="1"/>
  <c r="F34" i="54" s="1"/>
  <c r="F8" i="19"/>
  <c r="G8" i="19"/>
  <c r="D416" i="44"/>
  <c r="Q416" i="44" s="1"/>
  <c r="D417" i="44"/>
  <c r="Q417" i="44" s="1"/>
  <c r="C410" i="44"/>
  <c r="A419" i="44" s="1"/>
  <c r="A412" i="44"/>
  <c r="D413" i="44"/>
  <c r="A415" i="44"/>
  <c r="Q420" i="44"/>
  <c r="C411" i="44"/>
  <c r="A418" i="44"/>
  <c r="A417" i="44"/>
  <c r="E420" i="44"/>
  <c r="A420" i="44"/>
  <c r="D414" i="44"/>
  <c r="A416" i="44"/>
  <c r="D419" i="44"/>
  <c r="D415" i="44"/>
  <c r="E415" i="44" s="1"/>
  <c r="B410" i="44"/>
  <c r="D418" i="44"/>
  <c r="Q418" i="44" s="1"/>
  <c r="R420" i="44"/>
  <c r="K420" i="44"/>
  <c r="N360" i="6"/>
  <c r="W360" i="6" s="1"/>
  <c r="ES3" i="1"/>
  <c r="P7" i="19"/>
  <c r="N215" i="6"/>
  <c r="W215" i="6" s="1"/>
  <c r="Y215" i="6" s="1"/>
  <c r="Z215" i="6" s="1"/>
  <c r="AD215" i="6" s="1"/>
  <c r="AA215" i="6" s="1"/>
  <c r="B215" i="6" s="1"/>
  <c r="D609" i="44"/>
  <c r="A607" i="44"/>
  <c r="D605" i="44"/>
  <c r="E605" i="44" s="1"/>
  <c r="A608" i="44"/>
  <c r="E609" i="44"/>
  <c r="C602" i="44"/>
  <c r="A611" i="44" s="1"/>
  <c r="B602" i="44"/>
  <c r="A604" i="44"/>
  <c r="D611" i="44"/>
  <c r="J611" i="44" s="1"/>
  <c r="R611" i="44" s="1"/>
  <c r="E612" i="44"/>
  <c r="D608" i="44"/>
  <c r="E608" i="44" s="1"/>
  <c r="A612" i="44"/>
  <c r="C603" i="44"/>
  <c r="A610" i="44"/>
  <c r="D607" i="44"/>
  <c r="Q607" i="44" s="1"/>
  <c r="A609" i="44"/>
  <c r="D606" i="44"/>
  <c r="J606" i="44" s="1"/>
  <c r="K606" i="44" s="1"/>
  <c r="D610" i="44"/>
  <c r="Q610" i="44" s="1"/>
  <c r="Q612" i="44"/>
  <c r="R612" i="44"/>
  <c r="K612" i="44"/>
  <c r="EN54" i="1"/>
  <c r="F55" i="54" s="1"/>
  <c r="G26" i="19"/>
  <c r="F26" i="19"/>
  <c r="T26" i="19"/>
  <c r="U26" i="19"/>
  <c r="N40" i="6"/>
  <c r="W40" i="6" s="1"/>
  <c r="N401" i="6"/>
  <c r="W401" i="6" s="1"/>
  <c r="ES60" i="1"/>
  <c r="N397" i="6"/>
  <c r="W397" i="6" s="1"/>
  <c r="Y397" i="6" s="1"/>
  <c r="EN26" i="1"/>
  <c r="F27" i="54" s="1"/>
  <c r="N469" i="6"/>
  <c r="W469" i="6" s="1"/>
  <c r="N342" i="6"/>
  <c r="W342" i="6" s="1"/>
  <c r="G16" i="19"/>
  <c r="F16" i="19"/>
  <c r="D593" i="44"/>
  <c r="A598" i="44"/>
  <c r="D599" i="44"/>
  <c r="C591" i="44"/>
  <c r="D598" i="44"/>
  <c r="E598" i="44" s="1"/>
  <c r="A595" i="44"/>
  <c r="A600" i="44"/>
  <c r="A597" i="44"/>
  <c r="A592" i="44"/>
  <c r="D595" i="44"/>
  <c r="Q595" i="44" s="1"/>
  <c r="A596" i="44"/>
  <c r="D596" i="44"/>
  <c r="B590" i="44"/>
  <c r="D597" i="44"/>
  <c r="E600" i="44"/>
  <c r="D594" i="44"/>
  <c r="Q594" i="44" s="1"/>
  <c r="C590" i="44"/>
  <c r="A599" i="44" s="1"/>
  <c r="Q600" i="44"/>
  <c r="Q599" i="44"/>
  <c r="K600" i="44"/>
  <c r="R600" i="44"/>
  <c r="EN41" i="1"/>
  <c r="F42" i="54" s="1"/>
  <c r="R44" i="19"/>
  <c r="G44" i="19"/>
  <c r="F44" i="19"/>
  <c r="G7" i="19"/>
  <c r="F7" i="19"/>
  <c r="P17" i="19"/>
  <c r="G4" i="19"/>
  <c r="T4" i="19"/>
  <c r="F4" i="19"/>
  <c r="U4" i="19"/>
  <c r="EN49" i="1"/>
  <c r="F50" i="54" s="1"/>
  <c r="F29" i="19"/>
  <c r="G29" i="19"/>
  <c r="ES21" i="1"/>
  <c r="EN25" i="1"/>
  <c r="F26" i="54" s="1"/>
  <c r="I7" i="19"/>
  <c r="T131" i="50"/>
  <c r="V131" i="50"/>
  <c r="W131" i="50"/>
  <c r="N238" i="6"/>
  <c r="W238" i="6" s="1"/>
  <c r="Y238" i="6" s="1"/>
  <c r="N431" i="6"/>
  <c r="W431" i="6" s="1"/>
  <c r="P32" i="19"/>
  <c r="N23" i="6"/>
  <c r="W23" i="6" s="1"/>
  <c r="Y23" i="6" s="1"/>
  <c r="Z23" i="6" s="1"/>
  <c r="AD23" i="6" s="1"/>
  <c r="AA23" i="6" s="1"/>
  <c r="B23" i="6" s="1"/>
  <c r="I8" i="19"/>
  <c r="A212" i="44"/>
  <c r="C206" i="44"/>
  <c r="A215" i="44" s="1"/>
  <c r="D210" i="44"/>
  <c r="E210" i="44" s="1"/>
  <c r="D213" i="44"/>
  <c r="E216" i="44"/>
  <c r="C207" i="44"/>
  <c r="D212" i="44"/>
  <c r="A214" i="44"/>
  <c r="D211" i="44"/>
  <c r="Q211" i="44" s="1"/>
  <c r="A208" i="44"/>
  <c r="A216" i="44"/>
  <c r="D214" i="44"/>
  <c r="A213" i="44"/>
  <c r="Q216" i="44"/>
  <c r="A211" i="44"/>
  <c r="D209" i="44"/>
  <c r="B206" i="44"/>
  <c r="D215" i="44"/>
  <c r="E212" i="44"/>
  <c r="Q213" i="44"/>
  <c r="R216" i="44"/>
  <c r="K216" i="44"/>
  <c r="N208" i="6"/>
  <c r="W208" i="6" s="1"/>
  <c r="EN30" i="1"/>
  <c r="F31" i="54" s="1"/>
  <c r="N79" i="6"/>
  <c r="W79" i="6" s="1"/>
  <c r="T187" i="48"/>
  <c r="EN44" i="1"/>
  <c r="F45" i="54" s="1"/>
  <c r="N113" i="6"/>
  <c r="W113" i="6" s="1"/>
  <c r="Y113" i="6" s="1"/>
  <c r="Z113" i="6" s="1"/>
  <c r="AD113" i="6" s="1"/>
  <c r="AA113" i="6" s="1"/>
  <c r="B113" i="6" s="1"/>
  <c r="N308" i="6"/>
  <c r="W308" i="6" s="1"/>
  <c r="R43" i="19"/>
  <c r="G43" i="19"/>
  <c r="F43" i="19"/>
  <c r="N10" i="19"/>
  <c r="M10" i="19"/>
  <c r="S10" i="19"/>
  <c r="S17" i="19"/>
  <c r="N17" i="19"/>
  <c r="M17" i="19"/>
  <c r="N268" i="6"/>
  <c r="W268" i="6" s="1"/>
  <c r="EN16" i="1"/>
  <c r="F17" i="54" s="1"/>
  <c r="G15" i="19"/>
  <c r="U15" i="19"/>
  <c r="F15" i="19"/>
  <c r="T15" i="19"/>
  <c r="EN19" i="1"/>
  <c r="F20" i="54" s="1"/>
  <c r="C98" i="44"/>
  <c r="A107" i="44" s="1"/>
  <c r="D101" i="44"/>
  <c r="Q101" i="44" s="1"/>
  <c r="D102" i="44"/>
  <c r="Q102" i="44" s="1"/>
  <c r="D105" i="44"/>
  <c r="A108" i="44"/>
  <c r="A105" i="44"/>
  <c r="D104" i="44"/>
  <c r="A104" i="44"/>
  <c r="A100" i="44"/>
  <c r="C99" i="44"/>
  <c r="A106" i="44"/>
  <c r="E108" i="44"/>
  <c r="D107" i="44"/>
  <c r="Q120" i="44"/>
  <c r="Q108" i="44"/>
  <c r="B98" i="44"/>
  <c r="D103" i="44"/>
  <c r="E103" i="44" s="1"/>
  <c r="D106" i="44"/>
  <c r="J106" i="44" s="1"/>
  <c r="L106" i="44" s="1"/>
  <c r="A103" i="44"/>
  <c r="Q118" i="44"/>
  <c r="Q117" i="44"/>
  <c r="Q113" i="44"/>
  <c r="R120" i="44"/>
  <c r="Q114" i="44"/>
  <c r="K108" i="44"/>
  <c r="R108" i="44"/>
  <c r="N147" i="6"/>
  <c r="W147" i="6" s="1"/>
  <c r="Y147" i="6" s="1"/>
  <c r="Z147" i="6" s="1"/>
  <c r="AD147" i="6" s="1"/>
  <c r="AA147" i="6" s="1"/>
  <c r="B147" i="6" s="1"/>
  <c r="ES39" i="1"/>
  <c r="I5" i="19"/>
  <c r="N305" i="6"/>
  <c r="W305" i="6" s="1"/>
  <c r="N328" i="6"/>
  <c r="W328" i="6" s="1"/>
  <c r="N458" i="6"/>
  <c r="W458" i="6" s="1"/>
  <c r="ES6" i="1"/>
  <c r="M39" i="19"/>
  <c r="N39" i="19"/>
  <c r="A319" i="44"/>
  <c r="C315" i="44"/>
  <c r="A316" i="44"/>
  <c r="D320" i="44"/>
  <c r="D318" i="44"/>
  <c r="Q318" i="44" s="1"/>
  <c r="D317" i="44"/>
  <c r="E324" i="44"/>
  <c r="D319" i="44"/>
  <c r="D321" i="44"/>
  <c r="Q321" i="44" s="1"/>
  <c r="A320" i="44"/>
  <c r="C314" i="44"/>
  <c r="A323" i="44" s="1"/>
  <c r="D323" i="44"/>
  <c r="F323" i="44" s="1"/>
  <c r="B314" i="44"/>
  <c r="Q324" i="44"/>
  <c r="A324" i="44"/>
  <c r="D322" i="44"/>
  <c r="Q322" i="44" s="1"/>
  <c r="A321" i="44"/>
  <c r="A322" i="44"/>
  <c r="K324" i="44"/>
  <c r="R324" i="44"/>
  <c r="A36" i="44"/>
  <c r="A28" i="44"/>
  <c r="D30" i="44"/>
  <c r="E30" i="44" s="1"/>
  <c r="D29" i="44"/>
  <c r="Q29" i="44" s="1"/>
  <c r="E36" i="44"/>
  <c r="D32" i="44"/>
  <c r="E32" i="44" s="1"/>
  <c r="A34" i="44"/>
  <c r="A32" i="44"/>
  <c r="C27" i="44"/>
  <c r="D31" i="44"/>
  <c r="Q31" i="44" s="1"/>
  <c r="D34" i="44"/>
  <c r="E34" i="44" s="1"/>
  <c r="A33" i="44"/>
  <c r="D33" i="44"/>
  <c r="E33" i="44" s="1"/>
  <c r="B26" i="44"/>
  <c r="D35" i="44"/>
  <c r="Q35" i="44" s="1"/>
  <c r="Q36" i="44"/>
  <c r="A31" i="44"/>
  <c r="C26" i="44"/>
  <c r="A35" i="44" s="1"/>
  <c r="R36" i="44"/>
  <c r="K36" i="44"/>
  <c r="T183" i="40"/>
  <c r="ES31" i="1"/>
  <c r="EN32" i="1"/>
  <c r="F33" i="54" s="1"/>
  <c r="N28" i="19"/>
  <c r="M28" i="19"/>
  <c r="N332" i="6"/>
  <c r="W332" i="6" s="1"/>
  <c r="EN35" i="1"/>
  <c r="F36" i="54" s="1"/>
  <c r="N501" i="6"/>
  <c r="W501" i="6" s="1"/>
  <c r="A550" i="44"/>
  <c r="D549" i="44"/>
  <c r="E549" i="44" s="1"/>
  <c r="D546" i="44"/>
  <c r="D550" i="44"/>
  <c r="A548" i="44"/>
  <c r="D545" i="44"/>
  <c r="E545" i="44" s="1"/>
  <c r="A544" i="44"/>
  <c r="C542" i="44"/>
  <c r="A551" i="44" s="1"/>
  <c r="D551" i="44"/>
  <c r="Q551" i="44" s="1"/>
  <c r="D547" i="44"/>
  <c r="Q547" i="44" s="1"/>
  <c r="A549" i="44"/>
  <c r="C543" i="44"/>
  <c r="Q552" i="44"/>
  <c r="D548" i="44"/>
  <c r="A547" i="44"/>
  <c r="B542" i="44"/>
  <c r="A552" i="44"/>
  <c r="E552" i="44"/>
  <c r="R552" i="44"/>
  <c r="K552" i="44"/>
  <c r="EN27" i="1"/>
  <c r="F28" i="54" s="1"/>
  <c r="N203" i="6"/>
  <c r="W203" i="6" s="1"/>
  <c r="N213" i="6"/>
  <c r="W213" i="6" s="1"/>
  <c r="N457" i="6"/>
  <c r="W457" i="6" s="1"/>
  <c r="Y467" i="6" s="1"/>
  <c r="U37" i="19"/>
  <c r="G37" i="19"/>
  <c r="T37" i="19"/>
  <c r="F37" i="19"/>
  <c r="ES47" i="1"/>
  <c r="N406" i="6"/>
  <c r="W406" i="6" s="1"/>
  <c r="ES57" i="1"/>
  <c r="M40" i="19"/>
  <c r="N40" i="19"/>
  <c r="S40" i="19"/>
  <c r="N432" i="6"/>
  <c r="W432" i="6" s="1"/>
  <c r="Y432" i="6" s="1"/>
  <c r="N179" i="6"/>
  <c r="W179" i="6" s="1"/>
  <c r="ES29" i="1"/>
  <c r="I42" i="19"/>
  <c r="ES13" i="1"/>
  <c r="M42" i="19"/>
  <c r="N42" i="19"/>
  <c r="S42" i="19"/>
  <c r="N26" i="19"/>
  <c r="M26" i="19"/>
  <c r="N114" i="6"/>
  <c r="W114" i="6" s="1"/>
  <c r="ES8" i="1"/>
  <c r="N497" i="6"/>
  <c r="W497" i="6" s="1"/>
  <c r="N73" i="6"/>
  <c r="W73" i="6" s="1"/>
  <c r="N340" i="6"/>
  <c r="W340" i="6" s="1"/>
  <c r="N461" i="6"/>
  <c r="W461" i="6" s="1"/>
  <c r="F38" i="19"/>
  <c r="G38" i="19"/>
  <c r="N498" i="6"/>
  <c r="W498" i="6" s="1"/>
  <c r="N181" i="6"/>
  <c r="W181" i="6" s="1"/>
  <c r="N78" i="6"/>
  <c r="W78" i="6" s="1"/>
  <c r="P28" i="19"/>
  <c r="N232" i="6"/>
  <c r="W232" i="6" s="1"/>
  <c r="N115" i="6"/>
  <c r="W115" i="6" s="1"/>
  <c r="Y115" i="6" s="1"/>
  <c r="Z115" i="6" s="1"/>
  <c r="M8" i="19"/>
  <c r="N8" i="19"/>
  <c r="ES14" i="1"/>
  <c r="N271" i="6"/>
  <c r="W271" i="6" s="1"/>
  <c r="N105" i="6"/>
  <c r="W105" i="6" s="1"/>
  <c r="Y105" i="6" s="1"/>
  <c r="Z105" i="6" s="1"/>
  <c r="AD105" i="6" s="1"/>
  <c r="AA105" i="6" s="1"/>
  <c r="B105" i="6" s="1"/>
  <c r="N4" i="19"/>
  <c r="M4" i="19"/>
  <c r="N428" i="6"/>
  <c r="W428" i="6" s="1"/>
  <c r="P37" i="19"/>
  <c r="A165" i="44"/>
  <c r="B158" i="44"/>
  <c r="C158" i="44"/>
  <c r="A167" i="44" s="1"/>
  <c r="D162" i="44"/>
  <c r="E162" i="44" s="1"/>
  <c r="Q168" i="44"/>
  <c r="A168" i="44"/>
  <c r="D164" i="44"/>
  <c r="D163" i="44"/>
  <c r="E163" i="44" s="1"/>
  <c r="D161" i="44"/>
  <c r="Q161" i="44" s="1"/>
  <c r="D167" i="44"/>
  <c r="A163" i="44"/>
  <c r="A166" i="44"/>
  <c r="D166" i="44"/>
  <c r="A160" i="44"/>
  <c r="C159" i="44"/>
  <c r="D165" i="44"/>
  <c r="A164" i="44"/>
  <c r="E168" i="44"/>
  <c r="K168" i="44"/>
  <c r="R168" i="44"/>
  <c r="N178" i="6"/>
  <c r="W178" i="6" s="1"/>
  <c r="A70" i="44"/>
  <c r="A64" i="44"/>
  <c r="B62" i="44"/>
  <c r="C63" i="44"/>
  <c r="A67" i="44"/>
  <c r="A72" i="44"/>
  <c r="A69" i="44"/>
  <c r="C62" i="44"/>
  <c r="A71" i="44" s="1"/>
  <c r="D65" i="44"/>
  <c r="Q65" i="44" s="1"/>
  <c r="Q72" i="44"/>
  <c r="D70" i="44"/>
  <c r="E70" i="44" s="1"/>
  <c r="D67" i="44"/>
  <c r="D66" i="44"/>
  <c r="D68" i="44"/>
  <c r="D71" i="44"/>
  <c r="E71" i="44" s="1"/>
  <c r="D69" i="44"/>
  <c r="A68" i="44"/>
  <c r="E72" i="44"/>
  <c r="R72" i="44"/>
  <c r="K72" i="44"/>
  <c r="I10" i="19"/>
  <c r="N335" i="6"/>
  <c r="W335" i="6" s="1"/>
  <c r="Y335" i="6" s="1"/>
  <c r="Z335" i="6" s="1"/>
  <c r="AD335" i="6" s="1"/>
  <c r="AA335" i="6" s="1"/>
  <c r="B335" i="6" s="1"/>
  <c r="ES15" i="1"/>
  <c r="N41" i="19"/>
  <c r="S41" i="19"/>
  <c r="M41" i="19"/>
  <c r="S44" i="19"/>
  <c r="M44" i="19"/>
  <c r="N44" i="19"/>
  <c r="N395" i="6"/>
  <c r="W395" i="6" s="1"/>
  <c r="P40" i="19"/>
  <c r="EN45" i="1"/>
  <c r="F46" i="54" s="1"/>
  <c r="B374" i="44"/>
  <c r="C375" i="44"/>
  <c r="D377" i="44"/>
  <c r="Q377" i="44" s="1"/>
  <c r="D380" i="44"/>
  <c r="D379" i="44"/>
  <c r="Q379" i="44" s="1"/>
  <c r="E384" i="44"/>
  <c r="A384" i="44"/>
  <c r="D383" i="44"/>
  <c r="Q383" i="44" s="1"/>
  <c r="D378" i="44"/>
  <c r="D382" i="44"/>
  <c r="J382" i="44" s="1"/>
  <c r="R382" i="44" s="1"/>
  <c r="D381" i="44"/>
  <c r="J381" i="44" s="1"/>
  <c r="L381" i="44" s="1"/>
  <c r="A382" i="44"/>
  <c r="A379" i="44"/>
  <c r="A380" i="44"/>
  <c r="C374" i="44"/>
  <c r="A383" i="44" s="1"/>
  <c r="K384" i="44"/>
  <c r="A381" i="44"/>
  <c r="A376" i="44"/>
  <c r="Q384" i="44"/>
  <c r="R384" i="44"/>
  <c r="E379" i="44"/>
  <c r="N333" i="6"/>
  <c r="W333" i="6" s="1"/>
  <c r="N177" i="6"/>
  <c r="W177" i="6" s="1"/>
  <c r="N138" i="6"/>
  <c r="W138" i="6" s="1"/>
  <c r="N21" i="6"/>
  <c r="W21" i="6" s="1"/>
  <c r="Y21" i="6" s="1"/>
  <c r="Z21" i="6" s="1"/>
  <c r="AD21" i="6" s="1"/>
  <c r="EN15" i="1"/>
  <c r="F16" i="54" s="1"/>
  <c r="N242" i="6"/>
  <c r="W242" i="6" s="1"/>
  <c r="Y242" i="6" s="1"/>
  <c r="Z242" i="6" s="1"/>
  <c r="N374" i="6"/>
  <c r="W374" i="6" s="1"/>
  <c r="A152" i="44"/>
  <c r="A153" i="44"/>
  <c r="A151" i="44"/>
  <c r="D152" i="44"/>
  <c r="D150" i="44"/>
  <c r="A154" i="44"/>
  <c r="C146" i="44"/>
  <c r="A155" i="44" s="1"/>
  <c r="D155" i="44"/>
  <c r="Q156" i="44"/>
  <c r="C147" i="44"/>
  <c r="D151" i="44"/>
  <c r="F151" i="44" s="1"/>
  <c r="B146" i="44"/>
  <c r="A148" i="44"/>
  <c r="E156" i="44"/>
  <c r="K156" i="44"/>
  <c r="D153" i="44"/>
  <c r="Q153" i="44" s="1"/>
  <c r="A156" i="44"/>
  <c r="D149" i="44"/>
  <c r="E149" i="44" s="1"/>
  <c r="D154" i="44"/>
  <c r="Q154" i="44" s="1"/>
  <c r="Q152" i="44"/>
  <c r="Q150" i="44"/>
  <c r="R156" i="44"/>
  <c r="N13" i="6"/>
  <c r="W13" i="6" s="1"/>
  <c r="Y13" i="6" s="1"/>
  <c r="Z13" i="6" s="1"/>
  <c r="EN39" i="1"/>
  <c r="F40" i="54" s="1"/>
  <c r="P41" i="19"/>
  <c r="H35" i="19"/>
  <c r="I37" i="19"/>
  <c r="N470" i="6"/>
  <c r="W470" i="6" s="1"/>
  <c r="C86" i="44"/>
  <c r="A95" i="44" s="1"/>
  <c r="E96" i="44"/>
  <c r="D89" i="44"/>
  <c r="Q89" i="44" s="1"/>
  <c r="D91" i="44"/>
  <c r="A96" i="44"/>
  <c r="D90" i="44"/>
  <c r="E90" i="44" s="1"/>
  <c r="D94" i="44"/>
  <c r="E94" i="44" s="1"/>
  <c r="A91" i="44"/>
  <c r="D93" i="44"/>
  <c r="D95" i="44"/>
  <c r="A94" i="44"/>
  <c r="A92" i="44"/>
  <c r="D92" i="44"/>
  <c r="F92" i="44" s="1"/>
  <c r="C87" i="44"/>
  <c r="A88" i="44"/>
  <c r="A93" i="44"/>
  <c r="B86" i="44"/>
  <c r="E95" i="44"/>
  <c r="K96" i="44"/>
  <c r="N394" i="6"/>
  <c r="W394" i="6" s="1"/>
  <c r="N143" i="6"/>
  <c r="W143" i="6" s="1"/>
  <c r="M9" i="19"/>
  <c r="N9" i="19"/>
  <c r="EN56" i="1"/>
  <c r="F57" i="54" s="1"/>
  <c r="EN11" i="1"/>
  <c r="F12" i="54" s="1"/>
  <c r="N272" i="6"/>
  <c r="W272" i="6" s="1"/>
  <c r="N76" i="6"/>
  <c r="W76" i="6" s="1"/>
  <c r="N81" i="6"/>
  <c r="W81" i="6" s="1"/>
  <c r="EN60" i="1"/>
  <c r="F61" i="54" s="1"/>
  <c r="N303" i="6"/>
  <c r="W303" i="6" s="1"/>
  <c r="N108" i="6"/>
  <c r="W108" i="6" s="1"/>
  <c r="N297" i="6"/>
  <c r="W297" i="6" s="1"/>
  <c r="ES19" i="1"/>
  <c r="I31" i="19"/>
  <c r="ES55" i="1"/>
  <c r="EN34" i="1"/>
  <c r="F35" i="54" s="1"/>
  <c r="M18" i="19"/>
  <c r="S18" i="19"/>
  <c r="N18" i="19"/>
  <c r="ES40" i="1"/>
  <c r="W127" i="50"/>
  <c r="N468" i="6"/>
  <c r="W468" i="6" s="1"/>
  <c r="W126" i="50"/>
  <c r="ES50" i="1"/>
  <c r="I28" i="19"/>
  <c r="N22" i="6"/>
  <c r="W22" i="6" s="1"/>
  <c r="N433" i="6"/>
  <c r="W433" i="6" s="1"/>
  <c r="ES23" i="1"/>
  <c r="N201" i="6"/>
  <c r="W201" i="6" s="1"/>
  <c r="EN42" i="1"/>
  <c r="F43" i="54" s="1"/>
  <c r="N361" i="6"/>
  <c r="W361" i="6" s="1"/>
  <c r="Y368" i="6" s="1"/>
  <c r="N503" i="6"/>
  <c r="W503" i="6" s="1"/>
  <c r="Y503" i="6" s="1"/>
  <c r="Z503" i="6" s="1"/>
  <c r="AE503" i="6" s="1"/>
  <c r="AB503" i="6" s="1"/>
  <c r="C503" i="6" s="1"/>
  <c r="T186" i="40"/>
  <c r="N14" i="6"/>
  <c r="W14" i="6" s="1"/>
  <c r="Y14" i="6" s="1"/>
  <c r="Z14" i="6" s="1"/>
  <c r="AE14" i="6" s="1"/>
  <c r="AB14" i="6" s="1"/>
  <c r="C14" i="6" s="1"/>
  <c r="N174" i="6"/>
  <c r="W174" i="6" s="1"/>
  <c r="I16" i="19"/>
  <c r="N12" i="6"/>
  <c r="W12" i="6" s="1"/>
  <c r="Y12" i="6" s="1"/>
  <c r="Z12" i="6" s="1"/>
  <c r="AE12" i="6" s="1"/>
  <c r="AB12" i="6" s="1"/>
  <c r="C12" i="6" s="1"/>
  <c r="N490" i="6"/>
  <c r="W490" i="6" s="1"/>
  <c r="AJ85" i="14"/>
  <c r="AN85" i="14" s="1"/>
  <c r="N210" i="6"/>
  <c r="W210" i="6" s="1"/>
  <c r="I41" i="19"/>
  <c r="N460" i="6"/>
  <c r="W460" i="6" s="1"/>
  <c r="N304" i="6"/>
  <c r="W304" i="6" s="1"/>
  <c r="N31" i="19"/>
  <c r="M31" i="19"/>
  <c r="S31" i="19"/>
  <c r="N341" i="6"/>
  <c r="W341" i="6" s="1"/>
  <c r="ES43" i="1"/>
  <c r="ES26" i="1"/>
  <c r="N173" i="6"/>
  <c r="W173" i="6" s="1"/>
  <c r="ES42" i="1"/>
  <c r="N116" i="6"/>
  <c r="W116" i="6" s="1"/>
  <c r="N403" i="6"/>
  <c r="W403" i="6" s="1"/>
  <c r="N243" i="6"/>
  <c r="W243" i="6" s="1"/>
  <c r="Y243" i="6" s="1"/>
  <c r="EN24" i="1"/>
  <c r="F25" i="54" s="1"/>
  <c r="N362" i="6"/>
  <c r="W362" i="6" s="1"/>
  <c r="N363" i="6"/>
  <c r="W363" i="6" s="1"/>
  <c r="I6" i="19"/>
  <c r="T132" i="50"/>
  <c r="V132" i="50"/>
  <c r="W132" i="50"/>
  <c r="N275" i="6"/>
  <c r="W275" i="6" s="1"/>
  <c r="N456" i="6"/>
  <c r="W456" i="6" s="1"/>
  <c r="N266" i="6"/>
  <c r="W266" i="6" s="1"/>
  <c r="ES54" i="1"/>
  <c r="I38" i="19"/>
  <c r="W125" i="50"/>
  <c r="F9" i="19"/>
  <c r="G9" i="19"/>
  <c r="N488" i="6"/>
  <c r="W488" i="6" s="1"/>
  <c r="ES12" i="1"/>
  <c r="P31" i="19"/>
  <c r="M22" i="19"/>
  <c r="N22" i="19"/>
  <c r="S22" i="19"/>
  <c r="C339" i="44"/>
  <c r="B338" i="44"/>
  <c r="A346" i="44"/>
  <c r="D341" i="44"/>
  <c r="Q341" i="44" s="1"/>
  <c r="D342" i="44"/>
  <c r="E342" i="44" s="1"/>
  <c r="A340" i="44"/>
  <c r="A348" i="44"/>
  <c r="Q360" i="44"/>
  <c r="A343" i="44"/>
  <c r="D344" i="44"/>
  <c r="D345" i="44"/>
  <c r="Q345" i="44" s="1"/>
  <c r="D343" i="44"/>
  <c r="D346" i="44"/>
  <c r="Q346" i="44" s="1"/>
  <c r="Q348" i="44"/>
  <c r="A345" i="44"/>
  <c r="D347" i="44"/>
  <c r="A344" i="44"/>
  <c r="C338" i="44"/>
  <c r="A347" i="44" s="1"/>
  <c r="E348" i="44"/>
  <c r="Q343" i="44"/>
  <c r="K348" i="44"/>
  <c r="R360" i="44"/>
  <c r="R348" i="44"/>
  <c r="N202" i="6"/>
  <c r="W202" i="6" s="1"/>
  <c r="N176" i="6"/>
  <c r="W176" i="6" s="1"/>
  <c r="P44" i="19"/>
  <c r="N300" i="6"/>
  <c r="W300" i="6" s="1"/>
  <c r="P20" i="19"/>
  <c r="A585" i="44"/>
  <c r="C578" i="44"/>
  <c r="A587" i="44" s="1"/>
  <c r="B578" i="44"/>
  <c r="D587" i="44"/>
  <c r="D583" i="44"/>
  <c r="Q583" i="44" s="1"/>
  <c r="D584" i="44"/>
  <c r="J584" i="44" s="1"/>
  <c r="R584" i="44" s="1"/>
  <c r="A586" i="44"/>
  <c r="D581" i="44"/>
  <c r="D586" i="44"/>
  <c r="Q586" i="44" s="1"/>
  <c r="D585" i="44"/>
  <c r="Q585" i="44" s="1"/>
  <c r="A580" i="44"/>
  <c r="A584" i="44"/>
  <c r="E588" i="44"/>
  <c r="A588" i="44"/>
  <c r="A583" i="44"/>
  <c r="C579" i="44"/>
  <c r="D582" i="44"/>
  <c r="Q582" i="44" s="1"/>
  <c r="Q588" i="44"/>
  <c r="R588" i="44"/>
  <c r="K588" i="44"/>
  <c r="D186" i="44"/>
  <c r="Q186" i="44" s="1"/>
  <c r="D189" i="44"/>
  <c r="E189" i="44" s="1"/>
  <c r="B182" i="44"/>
  <c r="C183" i="44"/>
  <c r="A192" i="44"/>
  <c r="A187" i="44"/>
  <c r="D190" i="44"/>
  <c r="C182" i="44"/>
  <c r="A191" i="44" s="1"/>
  <c r="A188" i="44"/>
  <c r="E192" i="44"/>
  <c r="D191" i="44"/>
  <c r="E191" i="44" s="1"/>
  <c r="A189" i="44"/>
  <c r="Q192" i="44"/>
  <c r="D188" i="44"/>
  <c r="E188" i="44" s="1"/>
  <c r="D185" i="44"/>
  <c r="J185" i="44" s="1"/>
  <c r="L185" i="44" s="1"/>
  <c r="A184" i="44"/>
  <c r="D187" i="44"/>
  <c r="E187" i="44" s="1"/>
  <c r="A190" i="44"/>
  <c r="K192" i="44"/>
  <c r="R192" i="44"/>
  <c r="N370" i="6"/>
  <c r="W370" i="6" s="1"/>
  <c r="EN50" i="1"/>
  <c r="F51" i="54" s="1"/>
  <c r="R21" i="19"/>
  <c r="G21" i="19"/>
  <c r="F21" i="19"/>
  <c r="N302" i="6"/>
  <c r="W302" i="6" s="1"/>
  <c r="F19" i="19"/>
  <c r="G19" i="19"/>
  <c r="ES22" i="1"/>
  <c r="N467" i="6"/>
  <c r="W467" i="6" s="1"/>
  <c r="N41" i="6"/>
  <c r="W41" i="6" s="1"/>
  <c r="EN8" i="1"/>
  <c r="F9" i="54" s="1"/>
  <c r="P39" i="19"/>
  <c r="N438" i="6"/>
  <c r="W438" i="6" s="1"/>
  <c r="M7" i="19"/>
  <c r="N7" i="19"/>
  <c r="N471" i="6"/>
  <c r="W471" i="6" s="1"/>
  <c r="N398" i="6"/>
  <c r="W398" i="6" s="1"/>
  <c r="N182" i="6"/>
  <c r="W182" i="6" s="1"/>
  <c r="Y182" i="6" s="1"/>
  <c r="Z182" i="6" s="1"/>
  <c r="EN17" i="1"/>
  <c r="F18" i="54" s="1"/>
  <c r="EN37" i="1"/>
  <c r="F38" i="54" s="1"/>
  <c r="D334" i="44"/>
  <c r="D331" i="44"/>
  <c r="B326" i="44"/>
  <c r="A331" i="44"/>
  <c r="A333" i="44"/>
  <c r="A336" i="44"/>
  <c r="A332" i="44"/>
  <c r="Q336" i="44"/>
  <c r="E336" i="44"/>
  <c r="D332" i="44"/>
  <c r="E332" i="44" s="1"/>
  <c r="A334" i="44"/>
  <c r="A328" i="44"/>
  <c r="D333" i="44"/>
  <c r="Q333" i="44" s="1"/>
  <c r="C326" i="44"/>
  <c r="A335" i="44" s="1"/>
  <c r="D329" i="44"/>
  <c r="D330" i="44"/>
  <c r="Q330" i="44" s="1"/>
  <c r="C327" i="44"/>
  <c r="D335" i="44"/>
  <c r="E335" i="44" s="1"/>
  <c r="K336" i="44"/>
  <c r="R336" i="44"/>
  <c r="EN58" i="1"/>
  <c r="F59" i="54" s="1"/>
  <c r="N206" i="6"/>
  <c r="W206" i="6" s="1"/>
  <c r="N310" i="6"/>
  <c r="W310" i="6" s="1"/>
  <c r="Y310" i="6" s="1"/>
  <c r="Z310" i="6" s="1"/>
  <c r="AE310" i="6" s="1"/>
  <c r="AB310" i="6" s="1"/>
  <c r="C310" i="6" s="1"/>
  <c r="C350" i="44"/>
  <c r="A359" i="44" s="1"/>
  <c r="D356" i="44"/>
  <c r="A356" i="44"/>
  <c r="A358" i="44"/>
  <c r="A352" i="44"/>
  <c r="A355" i="44"/>
  <c r="A357" i="44"/>
  <c r="D359" i="44"/>
  <c r="D355" i="44"/>
  <c r="Q355" i="44" s="1"/>
  <c r="D353" i="44"/>
  <c r="Q353" i="44" s="1"/>
  <c r="D354" i="44"/>
  <c r="Q354" i="44" s="1"/>
  <c r="A360" i="44"/>
  <c r="D357" i="44"/>
  <c r="Q357" i="44" s="1"/>
  <c r="C351" i="44"/>
  <c r="B350" i="44"/>
  <c r="D358" i="44"/>
  <c r="E360" i="44"/>
  <c r="K360" i="44"/>
  <c r="N426" i="6"/>
  <c r="W426" i="6" s="1"/>
  <c r="N489" i="6"/>
  <c r="W489" i="6" s="1"/>
  <c r="N15" i="6"/>
  <c r="W15" i="6" s="1"/>
  <c r="Y15" i="6" s="1"/>
  <c r="Z15" i="6" s="1"/>
  <c r="AD15" i="6" s="1"/>
  <c r="AA15" i="6" s="1"/>
  <c r="B15" i="6" s="1"/>
  <c r="N80" i="6"/>
  <c r="W80" i="6" s="1"/>
  <c r="N72" i="6"/>
  <c r="W72" i="6" s="1"/>
  <c r="M20" i="19"/>
  <c r="S20" i="19"/>
  <c r="N20" i="19"/>
  <c r="N459" i="6"/>
  <c r="W459" i="6" s="1"/>
  <c r="ES59" i="1"/>
  <c r="N267" i="6"/>
  <c r="W267" i="6" s="1"/>
  <c r="Q60" i="44"/>
  <c r="D54" i="44"/>
  <c r="E54" i="44" s="1"/>
  <c r="C50" i="44"/>
  <c r="A59" i="44" s="1"/>
  <c r="A60" i="44"/>
  <c r="D59" i="44"/>
  <c r="E59" i="44" s="1"/>
  <c r="A55" i="44"/>
  <c r="D58" i="44"/>
  <c r="D57" i="44"/>
  <c r="J57" i="44" s="1"/>
  <c r="K57" i="44" s="1"/>
  <c r="B50" i="44"/>
  <c r="E60" i="44"/>
  <c r="A58" i="44"/>
  <c r="D56" i="44"/>
  <c r="D53" i="44"/>
  <c r="Q53" i="44" s="1"/>
  <c r="A57" i="44"/>
  <c r="A52" i="44"/>
  <c r="C51" i="44"/>
  <c r="D55" i="44"/>
  <c r="E55" i="44" s="1"/>
  <c r="A56" i="44"/>
  <c r="K60" i="44"/>
  <c r="R60" i="44"/>
  <c r="EN4" i="1"/>
  <c r="F5" i="54" s="1"/>
  <c r="N371" i="6"/>
  <c r="W371" i="6" s="1"/>
  <c r="N211" i="6"/>
  <c r="W211" i="6" s="1"/>
  <c r="N168" i="6"/>
  <c r="W168" i="6" s="1"/>
  <c r="Y168" i="6" s="1"/>
  <c r="Z168" i="6" s="1"/>
  <c r="AE168" i="6" s="1"/>
  <c r="AB168" i="6" s="1"/>
  <c r="C168" i="6" s="1"/>
  <c r="N104" i="6"/>
  <c r="W104" i="6" s="1"/>
  <c r="Y104" i="6" s="1"/>
  <c r="Z104" i="6" s="1"/>
  <c r="AD104" i="6" s="1"/>
  <c r="AA104" i="6" s="1"/>
  <c r="B104" i="6" s="1"/>
  <c r="N309" i="6"/>
  <c r="W309" i="6" s="1"/>
  <c r="N10" i="6"/>
  <c r="W10" i="6" s="1"/>
  <c r="R42" i="19"/>
  <c r="F42" i="19"/>
  <c r="G42" i="19"/>
  <c r="A286" i="44"/>
  <c r="B278" i="44"/>
  <c r="D286" i="44"/>
  <c r="A288" i="44"/>
  <c r="A284" i="44"/>
  <c r="A285" i="44"/>
  <c r="D285" i="44"/>
  <c r="E285" i="44" s="1"/>
  <c r="C279" i="44"/>
  <c r="A283" i="44"/>
  <c r="A280" i="44"/>
  <c r="D284" i="44"/>
  <c r="Q284" i="44" s="1"/>
  <c r="D287" i="44"/>
  <c r="E287" i="44" s="1"/>
  <c r="Q288" i="44"/>
  <c r="D282" i="44"/>
  <c r="E282" i="44" s="1"/>
  <c r="D283" i="44"/>
  <c r="E283" i="44" s="1"/>
  <c r="D281" i="44"/>
  <c r="F281" i="44" s="1"/>
  <c r="C278" i="44"/>
  <c r="A287" i="44" s="1"/>
  <c r="E288" i="44"/>
  <c r="R288" i="44"/>
  <c r="K288" i="44"/>
  <c r="R20" i="19"/>
  <c r="F20" i="19"/>
  <c r="G20" i="19"/>
  <c r="N214" i="6"/>
  <c r="W214" i="6" s="1"/>
  <c r="Y214" i="6" s="1"/>
  <c r="Z214" i="6" s="1"/>
  <c r="AD214" i="6" s="1"/>
  <c r="AA214" i="6" s="1"/>
  <c r="B214" i="6" s="1"/>
  <c r="S33" i="19"/>
  <c r="N33" i="19"/>
  <c r="M33" i="19"/>
  <c r="N336" i="6"/>
  <c r="W336" i="6" s="1"/>
  <c r="Y336" i="6" s="1"/>
  <c r="Z336" i="6" s="1"/>
  <c r="EN9" i="1"/>
  <c r="F10" i="54" s="1"/>
  <c r="W129" i="50"/>
  <c r="ES49" i="1"/>
  <c r="N464" i="6"/>
  <c r="W464" i="6" s="1"/>
  <c r="M16" i="19"/>
  <c r="N16" i="19"/>
  <c r="C2" i="44"/>
  <c r="A11" i="44" s="1"/>
  <c r="D9" i="44"/>
  <c r="F9" i="44" s="1"/>
  <c r="C3" i="44"/>
  <c r="D10" i="44"/>
  <c r="D5" i="44"/>
  <c r="F5" i="44" s="1"/>
  <c r="A7" i="44"/>
  <c r="A9" i="44"/>
  <c r="A10" i="44"/>
  <c r="A8" i="44"/>
  <c r="E12" i="44"/>
  <c r="Q19" i="44"/>
  <c r="Q23" i="44"/>
  <c r="A12" i="44"/>
  <c r="A4" i="44"/>
  <c r="D7" i="44"/>
  <c r="Q24" i="44"/>
  <c r="Q12" i="44"/>
  <c r="B2" i="44"/>
  <c r="D6" i="44"/>
  <c r="Q6" i="44" s="1"/>
  <c r="D8" i="44"/>
  <c r="Q8" i="44" s="1"/>
  <c r="D11" i="44"/>
  <c r="E11" i="44" s="1"/>
  <c r="R12" i="44"/>
  <c r="R24" i="44"/>
  <c r="K12" i="44"/>
  <c r="F5" i="19"/>
  <c r="G5" i="19"/>
  <c r="F33" i="44"/>
  <c r="E393" i="44"/>
  <c r="F449" i="44"/>
  <c r="Q510" i="44"/>
  <c r="J490" i="44"/>
  <c r="Q33" i="44"/>
  <c r="J431" i="44"/>
  <c r="K431" i="44" s="1"/>
  <c r="J201" i="44"/>
  <c r="L201" i="44" s="1"/>
  <c r="E44" i="44"/>
  <c r="K44" i="44"/>
  <c r="Q509" i="44"/>
  <c r="J33" i="44"/>
  <c r="L33" i="44" s="1"/>
  <c r="J455" i="44"/>
  <c r="K455" i="44" s="1"/>
  <c r="J202" i="44"/>
  <c r="E53" i="44"/>
  <c r="Q461" i="44"/>
  <c r="Q248" i="44"/>
  <c r="F575" i="44"/>
  <c r="E449" i="44"/>
  <c r="J510" i="44"/>
  <c r="R510" i="44" s="1"/>
  <c r="F202" i="44"/>
  <c r="E47" i="44"/>
  <c r="J461" i="44"/>
  <c r="F191" i="44"/>
  <c r="K393" i="44"/>
  <c r="K248" i="44"/>
  <c r="F510" i="44"/>
  <c r="E201" i="44"/>
  <c r="J47" i="44"/>
  <c r="R47" i="44" s="1"/>
  <c r="L393" i="44"/>
  <c r="F46" i="44"/>
  <c r="E248" i="44"/>
  <c r="F431" i="44"/>
  <c r="F47" i="44"/>
  <c r="J438" i="44"/>
  <c r="R438" i="44" s="1"/>
  <c r="Q393" i="44"/>
  <c r="Q202" i="44"/>
  <c r="E260" i="44"/>
  <c r="F154" i="44"/>
  <c r="F527" i="44"/>
  <c r="R248" i="44"/>
  <c r="J41" i="44"/>
  <c r="F248" i="44"/>
  <c r="Q44" i="44"/>
  <c r="AE245" i="6"/>
  <c r="AB245" i="6" s="1"/>
  <c r="C245" i="6" s="1"/>
  <c r="J263" i="44"/>
  <c r="K263" i="44" s="1"/>
  <c r="E509" i="44"/>
  <c r="J249" i="44"/>
  <c r="L249" i="44" s="1"/>
  <c r="Q66" i="44"/>
  <c r="F393" i="44"/>
  <c r="J334" i="44"/>
  <c r="L334" i="44" s="1"/>
  <c r="E263" i="44"/>
  <c r="Q167" i="44"/>
  <c r="E559" i="44"/>
  <c r="AD366" i="6"/>
  <c r="AA366" i="6" s="1"/>
  <c r="B366" i="6" s="1"/>
  <c r="E249" i="44"/>
  <c r="Y181" i="6"/>
  <c r="Z181" i="6" s="1"/>
  <c r="AE181" i="6" s="1"/>
  <c r="J178" i="44"/>
  <c r="Q428" i="44"/>
  <c r="J223" i="44"/>
  <c r="K223" i="44" s="1"/>
  <c r="F178" i="44"/>
  <c r="E178" i="44"/>
  <c r="F11" i="44"/>
  <c r="AE366" i="6"/>
  <c r="AB366" i="6" s="1"/>
  <c r="C366" i="6" s="1"/>
  <c r="E250" i="44"/>
  <c r="F250" i="44"/>
  <c r="J250" i="44"/>
  <c r="L250" i="44" s="1"/>
  <c r="E378" i="44"/>
  <c r="J378" i="44"/>
  <c r="L378" i="44" s="1"/>
  <c r="Q378" i="44"/>
  <c r="Y439" i="6"/>
  <c r="Z439" i="6" s="1"/>
  <c r="AE439" i="6" s="1"/>
  <c r="AB439" i="6" s="1"/>
  <c r="C439" i="6" s="1"/>
  <c r="Q140" i="44"/>
  <c r="F140" i="44"/>
  <c r="J140" i="44"/>
  <c r="R140" i="44" s="1"/>
  <c r="E140" i="44"/>
  <c r="Q513" i="44"/>
  <c r="E513" i="44"/>
  <c r="E57" i="44"/>
  <c r="Q57" i="44"/>
  <c r="Y44" i="6"/>
  <c r="Z44" i="6" s="1"/>
  <c r="AD44" i="6" s="1"/>
  <c r="AA44" i="6" s="1"/>
  <c r="B44" i="6" s="1"/>
  <c r="Q164" i="44"/>
  <c r="F164" i="44"/>
  <c r="J164" i="44"/>
  <c r="R164" i="44" s="1"/>
  <c r="E164" i="44"/>
  <c r="Y107" i="6"/>
  <c r="J392" i="44"/>
  <c r="E392" i="44"/>
  <c r="Q392" i="44"/>
  <c r="F392" i="44"/>
  <c r="Y471" i="6"/>
  <c r="Z471" i="6" s="1"/>
  <c r="E429" i="44"/>
  <c r="Q429" i="44"/>
  <c r="J429" i="44"/>
  <c r="L429" i="44" s="1"/>
  <c r="F429" i="44"/>
  <c r="Q223" i="44"/>
  <c r="F223" i="44"/>
  <c r="E584" i="44"/>
  <c r="F584" i="44"/>
  <c r="Y9" i="6"/>
  <c r="Z9" i="6" s="1"/>
  <c r="AD9" i="6" s="1"/>
  <c r="AA9" i="6" s="1"/>
  <c r="B9" i="6" s="1"/>
  <c r="E487" i="44"/>
  <c r="Q487" i="44"/>
  <c r="J487" i="44"/>
  <c r="K487" i="44" s="1"/>
  <c r="Q32" i="44"/>
  <c r="J32" i="44"/>
  <c r="K32" i="44" s="1"/>
  <c r="F32" i="44"/>
  <c r="Q317" i="44"/>
  <c r="F317" i="44"/>
  <c r="Y405" i="6"/>
  <c r="Z405" i="6" s="1"/>
  <c r="E104" i="44"/>
  <c r="J104" i="44"/>
  <c r="F104" i="44"/>
  <c r="E621" i="44"/>
  <c r="F621" i="44"/>
  <c r="J621" i="44"/>
  <c r="L621" i="44" s="1"/>
  <c r="Y463" i="6"/>
  <c r="Z463" i="6" s="1"/>
  <c r="AE463" i="6" s="1"/>
  <c r="AB463" i="6" s="1"/>
  <c r="C463" i="6" s="1"/>
  <c r="E452" i="44"/>
  <c r="F452" i="44"/>
  <c r="Q452" i="44"/>
  <c r="Q297" i="44"/>
  <c r="F297" i="44"/>
  <c r="Y433" i="6"/>
  <c r="Q238" i="44"/>
  <c r="F238" i="44"/>
  <c r="Q271" i="44"/>
  <c r="F271" i="44"/>
  <c r="E271" i="44"/>
  <c r="J271" i="44"/>
  <c r="Q597" i="44"/>
  <c r="J597" i="44"/>
  <c r="K597" i="44" s="1"/>
  <c r="E597" i="44"/>
  <c r="F597" i="44"/>
  <c r="Y143" i="6"/>
  <c r="Z143" i="6" s="1"/>
  <c r="AE143" i="6" s="1"/>
  <c r="AB143" i="6" s="1"/>
  <c r="C143" i="6" s="1"/>
  <c r="Q92" i="44"/>
  <c r="J92" i="44"/>
  <c r="E92" i="44"/>
  <c r="E406" i="44"/>
  <c r="J406" i="44"/>
  <c r="R406" i="44" s="1"/>
  <c r="E414" i="44"/>
  <c r="Q414" i="44"/>
  <c r="Y11" i="6"/>
  <c r="Z11" i="6" s="1"/>
  <c r="AD11" i="6" s="1"/>
  <c r="AA11" i="6" s="1"/>
  <c r="B11" i="6" s="1"/>
  <c r="Q539" i="44"/>
  <c r="F539" i="44"/>
  <c r="E539" i="44"/>
  <c r="J539" i="44"/>
  <c r="L539" i="44" s="1"/>
  <c r="Q262" i="44"/>
  <c r="J262" i="44"/>
  <c r="K262" i="44" s="1"/>
  <c r="F262" i="44"/>
  <c r="Q466" i="44"/>
  <c r="J466" i="44"/>
  <c r="E382" i="44"/>
  <c r="Y136" i="6"/>
  <c r="Z136" i="6" s="1"/>
  <c r="E42" i="44"/>
  <c r="J42" i="44"/>
  <c r="R42" i="44" s="1"/>
  <c r="Q42" i="44"/>
  <c r="F42" i="44"/>
  <c r="Q515" i="44"/>
  <c r="F515" i="44"/>
  <c r="J515" i="44"/>
  <c r="Q560" i="44"/>
  <c r="F560" i="44"/>
  <c r="E560" i="44"/>
  <c r="Q54" i="44"/>
  <c r="J54" i="44"/>
  <c r="K54" i="44" s="1"/>
  <c r="Y8" i="6"/>
  <c r="E199" i="44"/>
  <c r="Q199" i="44"/>
  <c r="E572" i="44"/>
  <c r="J356" i="44"/>
  <c r="E356" i="44"/>
  <c r="Q331" i="44"/>
  <c r="E331" i="44"/>
  <c r="F331" i="44"/>
  <c r="Y237" i="6"/>
  <c r="Z237" i="6" s="1"/>
  <c r="F222" i="44"/>
  <c r="J222" i="44"/>
  <c r="K222" i="44" s="1"/>
  <c r="E222" i="44"/>
  <c r="Y302" i="6"/>
  <c r="Z302" i="6" s="1"/>
  <c r="AE302" i="6" s="1"/>
  <c r="AB302" i="6" s="1"/>
  <c r="C302" i="6" s="1"/>
  <c r="Y51" i="6"/>
  <c r="E488" i="44"/>
  <c r="Q546" i="44"/>
  <c r="J546" i="44"/>
  <c r="R546" i="44" s="1"/>
  <c r="E546" i="44"/>
  <c r="F546" i="44"/>
  <c r="Y119" i="6"/>
  <c r="Z119" i="6" s="1"/>
  <c r="AD119" i="6" s="1"/>
  <c r="AA119" i="6" s="1"/>
  <c r="B119" i="6" s="1"/>
  <c r="J501" i="44"/>
  <c r="Q501" i="44"/>
  <c r="E501" i="44"/>
  <c r="Q83" i="44"/>
  <c r="F83" i="44"/>
  <c r="Q106" i="44"/>
  <c r="F106" i="44"/>
  <c r="J620" i="44"/>
  <c r="F620" i="44"/>
  <c r="J451" i="44"/>
  <c r="F451" i="44"/>
  <c r="Q451" i="44"/>
  <c r="Q209" i="44"/>
  <c r="E209" i="44"/>
  <c r="J209" i="44"/>
  <c r="L209" i="44" s="1"/>
  <c r="F209" i="44"/>
  <c r="Q295" i="44"/>
  <c r="J295" i="44"/>
  <c r="R295" i="44" s="1"/>
  <c r="E295" i="44"/>
  <c r="Y20" i="6"/>
  <c r="Z20" i="6" s="1"/>
  <c r="AD20" i="6" s="1"/>
  <c r="AA20" i="6" s="1"/>
  <c r="B20" i="6" s="1"/>
  <c r="E308" i="44"/>
  <c r="Q308" i="44"/>
  <c r="E236" i="44"/>
  <c r="J236" i="44"/>
  <c r="Q236" i="44"/>
  <c r="E273" i="44"/>
  <c r="J273" i="44"/>
  <c r="F273" i="44"/>
  <c r="Y303" i="6"/>
  <c r="Z303" i="6" s="1"/>
  <c r="AD303" i="6" s="1"/>
  <c r="AA303" i="6" s="1"/>
  <c r="B303" i="6" s="1"/>
  <c r="Q611" i="44"/>
  <c r="F611" i="44"/>
  <c r="E22" i="44"/>
  <c r="J22" i="44"/>
  <c r="L22" i="44" s="1"/>
  <c r="Q93" i="44"/>
  <c r="E93" i="44"/>
  <c r="F93" i="44"/>
  <c r="J93" i="44"/>
  <c r="E401" i="44"/>
  <c r="Q401" i="44"/>
  <c r="Q367" i="44"/>
  <c r="F367" i="44"/>
  <c r="J367" i="44"/>
  <c r="L367" i="44" s="1"/>
  <c r="Q474" i="44"/>
  <c r="F474" i="44"/>
  <c r="J474" i="44"/>
  <c r="R474" i="44" s="1"/>
  <c r="E474" i="44"/>
  <c r="Q115" i="44"/>
  <c r="F115" i="44"/>
  <c r="E143" i="44"/>
  <c r="Q143" i="44"/>
  <c r="F143" i="44"/>
  <c r="E197" i="44"/>
  <c r="F197" i="44"/>
  <c r="F536" i="44"/>
  <c r="Q119" i="44"/>
  <c r="J119" i="44"/>
  <c r="K119" i="44" s="1"/>
  <c r="E246" i="44"/>
  <c r="J246" i="44"/>
  <c r="E521" i="44"/>
  <c r="J521" i="44"/>
  <c r="E511" i="44"/>
  <c r="F511" i="44"/>
  <c r="J511" i="44"/>
  <c r="E68" i="44"/>
  <c r="F68" i="44"/>
  <c r="Q571" i="44"/>
  <c r="Q548" i="44"/>
  <c r="E548" i="44"/>
  <c r="F463" i="44"/>
  <c r="E526" i="44"/>
  <c r="F522" i="44"/>
  <c r="J197" i="44"/>
  <c r="K197" i="44" s="1"/>
  <c r="J428" i="44"/>
  <c r="K428" i="44" s="1"/>
  <c r="F295" i="44"/>
  <c r="E262" i="44"/>
  <c r="J401" i="44"/>
  <c r="L401" i="44" s="1"/>
  <c r="F378" i="44"/>
  <c r="Q584" i="44"/>
  <c r="Q257" i="44"/>
  <c r="F257" i="44"/>
  <c r="E257" i="44"/>
  <c r="F428" i="44"/>
  <c r="Q246" i="44"/>
  <c r="F236" i="44"/>
  <c r="J331" i="44"/>
  <c r="L331" i="44" s="1"/>
  <c r="F414" i="44"/>
  <c r="J560" i="44"/>
  <c r="K560" i="44" s="1"/>
  <c r="F487" i="44"/>
  <c r="Q620" i="44"/>
  <c r="F401" i="44"/>
  <c r="J414" i="44"/>
  <c r="J94" i="44"/>
  <c r="R94" i="44" s="1"/>
  <c r="E367" i="44"/>
  <c r="Q250" i="44"/>
  <c r="E466" i="44"/>
  <c r="E203" i="44"/>
  <c r="F356" i="44"/>
  <c r="F382" i="44"/>
  <c r="F246" i="44"/>
  <c r="J308" i="44"/>
  <c r="L308" i="44" s="1"/>
  <c r="F54" i="44"/>
  <c r="F94" i="44"/>
  <c r="E317" i="44"/>
  <c r="F369" i="44"/>
  <c r="Q621" i="44"/>
  <c r="E251" i="44"/>
  <c r="F251" i="44"/>
  <c r="Y233" i="6"/>
  <c r="E395" i="44"/>
  <c r="Q395" i="44"/>
  <c r="F395" i="44"/>
  <c r="J395" i="44"/>
  <c r="R395" i="44" s="1"/>
  <c r="Q227" i="44"/>
  <c r="J227" i="44"/>
  <c r="K227" i="44" s="1"/>
  <c r="J83" i="44"/>
  <c r="K83" i="44" s="1"/>
  <c r="J238" i="44"/>
  <c r="R238" i="44" s="1"/>
  <c r="F284" i="44"/>
  <c r="F513" i="44"/>
  <c r="J513" i="44"/>
  <c r="L513" i="44" s="1"/>
  <c r="E620" i="44"/>
  <c r="J297" i="44"/>
  <c r="J317" i="44"/>
  <c r="L317" i="44" s="1"/>
  <c r="E151" i="44"/>
  <c r="J151" i="44"/>
  <c r="L151" i="44" s="1"/>
  <c r="F465" i="44"/>
  <c r="E10" i="44"/>
  <c r="J10" i="44"/>
  <c r="R10" i="44" s="1"/>
  <c r="Q10" i="44"/>
  <c r="F10" i="44"/>
  <c r="Q425" i="44"/>
  <c r="F425" i="44"/>
  <c r="E425" i="44"/>
  <c r="J425" i="44"/>
  <c r="Q511" i="44"/>
  <c r="E465" i="44"/>
  <c r="Q251" i="44"/>
  <c r="F430" i="44"/>
  <c r="J465" i="44"/>
  <c r="Q356" i="44"/>
  <c r="AE21" i="6"/>
  <c r="AB21" i="6" s="1"/>
  <c r="C21" i="6" s="1"/>
  <c r="F501" i="44"/>
  <c r="Q521" i="44"/>
  <c r="Q104" i="44"/>
  <c r="F570" i="44"/>
  <c r="J70" i="44"/>
  <c r="K70" i="44" s="1"/>
  <c r="F239" i="44"/>
  <c r="F116" i="44"/>
  <c r="AD12" i="6"/>
  <c r="AA21" i="6" s="1"/>
  <c r="B21" i="6" s="1"/>
  <c r="F6" i="44"/>
  <c r="F44" i="44"/>
  <c r="AD245" i="6"/>
  <c r="AA245" i="6" s="1"/>
  <c r="B245" i="6" s="1"/>
  <c r="AE247" i="6"/>
  <c r="AB247" i="6" s="1"/>
  <c r="C247" i="6" s="1"/>
  <c r="J239" i="44"/>
  <c r="L239" i="44" s="1"/>
  <c r="J561" i="44"/>
  <c r="L561" i="44" s="1"/>
  <c r="J551" i="44"/>
  <c r="L551" i="44" s="1"/>
  <c r="J56" i="44"/>
  <c r="J333" i="44"/>
  <c r="L333" i="44" s="1"/>
  <c r="J343" i="44"/>
  <c r="L343" i="44" s="1"/>
  <c r="Q234" i="44"/>
  <c r="F65" i="44"/>
  <c r="J31" i="44"/>
  <c r="E214" i="44"/>
  <c r="Q116" i="44"/>
  <c r="F200" i="44"/>
  <c r="E355" i="44"/>
  <c r="F355" i="44"/>
  <c r="Q427" i="44"/>
  <c r="J275" i="44"/>
  <c r="R275" i="44" s="1"/>
  <c r="F551" i="44"/>
  <c r="J167" i="44"/>
  <c r="K167" i="44" s="1"/>
  <c r="F214" i="44"/>
  <c r="F333" i="44"/>
  <c r="Q107" i="44"/>
  <c r="F70" i="44"/>
  <c r="Q70" i="44"/>
  <c r="AE15" i="6"/>
  <c r="AB15" i="6" s="1"/>
  <c r="C15" i="6" s="1"/>
  <c r="F561" i="44"/>
  <c r="F391" i="44"/>
  <c r="J355" i="44"/>
  <c r="L355" i="44" s="1"/>
  <c r="E8" i="44"/>
  <c r="AE212" i="6"/>
  <c r="AB212" i="6" s="1"/>
  <c r="C212" i="6" s="1"/>
  <c r="F344" i="44"/>
  <c r="Q344" i="44"/>
  <c r="F332" i="44"/>
  <c r="Q163" i="44"/>
  <c r="Q261" i="44"/>
  <c r="E498" i="44"/>
  <c r="E524" i="44"/>
  <c r="J187" i="44"/>
  <c r="R187" i="44" s="1"/>
  <c r="F35" i="44"/>
  <c r="Q476" i="44"/>
  <c r="J476" i="44"/>
  <c r="K476" i="44" s="1"/>
  <c r="AE215" i="6"/>
  <c r="AB215" i="6" s="1"/>
  <c r="C215" i="6" s="1"/>
  <c r="F249" i="44"/>
  <c r="AD239" i="6"/>
  <c r="AA239" i="6" s="1"/>
  <c r="B239" i="6" s="1"/>
  <c r="F235" i="44"/>
  <c r="E582" i="44"/>
  <c r="Q78" i="44"/>
  <c r="F261" i="44"/>
  <c r="E224" i="44"/>
  <c r="Y465" i="6"/>
  <c r="Q222" i="44"/>
  <c r="E227" i="44"/>
  <c r="E20" i="44"/>
  <c r="E261" i="44"/>
  <c r="F179" i="44"/>
  <c r="F187" i="44"/>
  <c r="F569" i="44"/>
  <c r="Q269" i="44"/>
  <c r="AD47" i="6"/>
  <c r="AA47" i="6" s="1"/>
  <c r="B47" i="6" s="1"/>
  <c r="F210" i="44"/>
  <c r="J498" i="44"/>
  <c r="R498" i="44" s="1"/>
  <c r="J453" i="44"/>
  <c r="R453" i="44" s="1"/>
  <c r="E569" i="44"/>
  <c r="F305" i="44"/>
  <c r="F548" i="44"/>
  <c r="F163" i="44"/>
  <c r="J582" i="44"/>
  <c r="K582" i="44" s="1"/>
  <c r="AE279" i="6"/>
  <c r="AB279" i="6" s="1"/>
  <c r="C279" i="6" s="1"/>
  <c r="J20" i="44"/>
  <c r="L20" i="44" s="1"/>
  <c r="E558" i="44"/>
  <c r="F101" i="44"/>
  <c r="E101" i="44"/>
  <c r="AE47" i="6"/>
  <c r="AB47" i="6" s="1"/>
  <c r="C47" i="6" s="1"/>
  <c r="Q453" i="44"/>
  <c r="F453" i="44"/>
  <c r="J305" i="44"/>
  <c r="L305" i="44" s="1"/>
  <c r="F269" i="44"/>
  <c r="R389" i="44"/>
  <c r="F476" i="44"/>
  <c r="Q210" i="44"/>
  <c r="J65" i="44"/>
  <c r="J524" i="44"/>
  <c r="K524" i="44" s="1"/>
  <c r="J101" i="44"/>
  <c r="K101" i="44" s="1"/>
  <c r="F498" i="44"/>
  <c r="L261" i="44"/>
  <c r="Q525" i="44"/>
  <c r="AD118" i="6"/>
  <c r="AA118" i="6" s="1"/>
  <c r="B118" i="6" s="1"/>
  <c r="J179" i="44"/>
  <c r="L179" i="44" s="1"/>
  <c r="Q179" i="44"/>
  <c r="AD83" i="6"/>
  <c r="AA83" i="6" s="1"/>
  <c r="B83" i="6" s="1"/>
  <c r="AE45" i="6"/>
  <c r="AB45" i="6" s="1"/>
  <c r="C45" i="6" s="1"/>
  <c r="J569" i="44"/>
  <c r="L569" i="44" s="1"/>
  <c r="J198" i="44"/>
  <c r="E562" i="44"/>
  <c r="J548" i="44"/>
  <c r="K548" i="44" s="1"/>
  <c r="AE13" i="6"/>
  <c r="AB13" i="6" s="1"/>
  <c r="C13" i="6" s="1"/>
  <c r="F285" i="44"/>
  <c r="F558" i="44"/>
  <c r="E389" i="44"/>
  <c r="J441" i="44"/>
  <c r="L441" i="44" s="1"/>
  <c r="E119" i="44"/>
  <c r="J525" i="44"/>
  <c r="R525" i="44" s="1"/>
  <c r="AD14" i="6"/>
  <c r="AA14" i="6" s="1"/>
  <c r="B14" i="6" s="1"/>
  <c r="F524" i="44"/>
  <c r="AE111" i="6"/>
  <c r="AB111" i="6" s="1"/>
  <c r="C111" i="6" s="1"/>
  <c r="Q187" i="44"/>
  <c r="F119" i="44"/>
  <c r="AD45" i="6"/>
  <c r="AA45" i="6" s="1"/>
  <c r="B45" i="6" s="1"/>
  <c r="F582" i="44"/>
  <c r="K261" i="44"/>
  <c r="F389" i="44"/>
  <c r="J163" i="44"/>
  <c r="AE83" i="6"/>
  <c r="AB83" i="6" s="1"/>
  <c r="C83" i="6" s="1"/>
  <c r="E305" i="44"/>
  <c r="J269" i="44"/>
  <c r="K269" i="44" s="1"/>
  <c r="Q441" i="44"/>
  <c r="J562" i="44"/>
  <c r="K562" i="44" s="1"/>
  <c r="K389" i="44"/>
  <c r="E235" i="44"/>
  <c r="J235" i="44"/>
  <c r="R235" i="44" s="1"/>
  <c r="J210" i="44"/>
  <c r="L210" i="44" s="1"/>
  <c r="Q285" i="44"/>
  <c r="E6" i="44"/>
  <c r="Q151" i="44"/>
  <c r="R185" i="44"/>
  <c r="Y430" i="6"/>
  <c r="AE48" i="6"/>
  <c r="AB48" i="6" s="1"/>
  <c r="C48" i="6" s="1"/>
  <c r="F45" i="44"/>
  <c r="E377" i="44"/>
  <c r="F67" i="44"/>
  <c r="F149" i="44"/>
  <c r="Y240" i="6"/>
  <c r="E65" i="44"/>
  <c r="Q197" i="44"/>
  <c r="F377" i="44"/>
  <c r="J377" i="44"/>
  <c r="L377" i="44" s="1"/>
  <c r="Q45" i="44"/>
  <c r="J68" i="44"/>
  <c r="L68" i="44" s="1"/>
  <c r="Q68" i="44"/>
  <c r="F8" i="44"/>
  <c r="E417" i="44"/>
  <c r="F283" i="44"/>
  <c r="AD54" i="6"/>
  <c r="AA54" i="6" s="1"/>
  <c r="B54" i="6" s="1"/>
  <c r="Y458" i="6"/>
  <c r="J251" i="44"/>
  <c r="J8" i="44"/>
  <c r="L8" i="44" s="1"/>
  <c r="J45" i="44"/>
  <c r="R45" i="44" s="1"/>
  <c r="Q503" i="44"/>
  <c r="J503" i="44"/>
  <c r="F503" i="44"/>
  <c r="Q307" i="44"/>
  <c r="Q500" i="44"/>
  <c r="F500" i="44"/>
  <c r="Q499" i="44"/>
  <c r="F499" i="44"/>
  <c r="J499" i="44"/>
  <c r="Q310" i="44"/>
  <c r="J310" i="44"/>
  <c r="Q369" i="44"/>
  <c r="J369" i="44"/>
  <c r="F131" i="44"/>
  <c r="F224" i="44"/>
  <c r="J224" i="44"/>
  <c r="J417" i="44"/>
  <c r="F417" i="44"/>
  <c r="E129" i="44"/>
  <c r="F129" i="44"/>
  <c r="J129" i="44"/>
  <c r="E127" i="44"/>
  <c r="F127" i="44"/>
  <c r="J127" i="44"/>
  <c r="Y106" i="6"/>
  <c r="Z106" i="6" s="1"/>
  <c r="AD106" i="6" s="1"/>
  <c r="AA106" i="6" s="1"/>
  <c r="B106" i="6" s="1"/>
  <c r="E125" i="44"/>
  <c r="J125" i="44"/>
  <c r="F125" i="44"/>
  <c r="Q149" i="44"/>
  <c r="J149" i="44"/>
  <c r="Q502" i="44"/>
  <c r="J502" i="44"/>
  <c r="F502" i="44"/>
  <c r="F307" i="44"/>
  <c r="J307" i="44"/>
  <c r="E371" i="44"/>
  <c r="F371" i="44"/>
  <c r="J371" i="44"/>
  <c r="Q225" i="44"/>
  <c r="F225" i="44"/>
  <c r="J225" i="44"/>
  <c r="Q443" i="44"/>
  <c r="F443" i="44"/>
  <c r="J443" i="44"/>
  <c r="E78" i="44"/>
  <c r="F78" i="44"/>
  <c r="Q125" i="44"/>
  <c r="E130" i="44"/>
  <c r="J130" i="44"/>
  <c r="F130" i="44"/>
  <c r="Q439" i="44"/>
  <c r="F439" i="44"/>
  <c r="J439" i="44"/>
  <c r="Q619" i="44"/>
  <c r="J619" i="44"/>
  <c r="F619" i="44"/>
  <c r="Y112" i="6"/>
  <c r="Z112" i="6" s="1"/>
  <c r="AD112" i="6" s="1"/>
  <c r="AA112" i="6" s="1"/>
  <c r="B112" i="6" s="1"/>
  <c r="Y209" i="6"/>
  <c r="Z209" i="6" s="1"/>
  <c r="L222" i="44"/>
  <c r="R227" i="44"/>
  <c r="R222" i="44"/>
  <c r="AE336" i="6"/>
  <c r="AB336" i="6" s="1"/>
  <c r="C336" i="6" s="1"/>
  <c r="AD336" i="6"/>
  <c r="R57" i="44"/>
  <c r="L57" i="44"/>
  <c r="L227" i="44"/>
  <c r="R378" i="44"/>
  <c r="K378" i="44"/>
  <c r="Z298" i="6"/>
  <c r="R317" i="44"/>
  <c r="K317" i="44"/>
  <c r="R343" i="44"/>
  <c r="L584" i="44"/>
  <c r="K295" i="44"/>
  <c r="K343" i="44"/>
  <c r="L295" i="44"/>
  <c r="L455" i="44"/>
  <c r="R455" i="44"/>
  <c r="K584" i="44"/>
  <c r="R597" i="44"/>
  <c r="L597" i="44"/>
  <c r="R167" i="44"/>
  <c r="L94" i="44"/>
  <c r="K249" i="44"/>
  <c r="R249" i="44"/>
  <c r="R78" i="44"/>
  <c r="L78" i="44"/>
  <c r="K438" i="44"/>
  <c r="L548" i="44"/>
  <c r="K453" i="44"/>
  <c r="L453" i="44"/>
  <c r="L510" i="44"/>
  <c r="K510" i="44"/>
  <c r="L487" i="44"/>
  <c r="L54" i="44"/>
  <c r="L257" i="44"/>
  <c r="L223" i="44"/>
  <c r="K143" i="44"/>
  <c r="K151" i="44"/>
  <c r="K333" i="44"/>
  <c r="R431" i="44"/>
  <c r="K140" i="44"/>
  <c r="K395" i="44"/>
  <c r="R115" i="44"/>
  <c r="L395" i="44"/>
  <c r="K115" i="44"/>
  <c r="L438" i="44"/>
  <c r="L42" i="44"/>
  <c r="L428" i="44"/>
  <c r="L119" i="44"/>
  <c r="K42" i="44"/>
  <c r="R119" i="44"/>
  <c r="R524" i="44"/>
  <c r="R308" i="44"/>
  <c r="R305" i="44"/>
  <c r="K308" i="44"/>
  <c r="R428" i="44"/>
  <c r="R414" i="44"/>
  <c r="K551" i="44"/>
  <c r="R551" i="44"/>
  <c r="R401" i="44"/>
  <c r="K401" i="44"/>
  <c r="L167" i="44"/>
  <c r="R476" i="44"/>
  <c r="R257" i="44"/>
  <c r="L431" i="44"/>
  <c r="L143" i="44"/>
  <c r="L476" i="44"/>
  <c r="R106" i="44"/>
  <c r="K106" i="44"/>
  <c r="R151" i="44"/>
  <c r="R223" i="44"/>
  <c r="R333" i="44"/>
  <c r="L140" i="44"/>
  <c r="K500" i="44"/>
  <c r="R487" i="44"/>
  <c r="AA12" i="6"/>
  <c r="B12" i="6" s="1"/>
  <c r="K33" i="44"/>
  <c r="R197" i="44"/>
  <c r="R33" i="44"/>
  <c r="K452" i="44"/>
  <c r="R452" i="44"/>
  <c r="L197" i="44"/>
  <c r="K441" i="44"/>
  <c r="K513" i="44"/>
  <c r="R513" i="44"/>
  <c r="R179" i="44"/>
  <c r="K179" i="44"/>
  <c r="R441" i="44"/>
  <c r="L406" i="44"/>
  <c r="K406" i="44"/>
  <c r="K521" i="44"/>
  <c r="R263" i="44"/>
  <c r="L263" i="44"/>
  <c r="R31" i="44"/>
  <c r="K498" i="44"/>
  <c r="L498" i="44"/>
  <c r="L465" i="44"/>
  <c r="L611" i="44"/>
  <c r="K611" i="44"/>
  <c r="R331" i="44"/>
  <c r="L466" i="44"/>
  <c r="R500" i="44"/>
  <c r="L41" i="44"/>
  <c r="K187" i="44"/>
  <c r="L187" i="44"/>
  <c r="R83" i="44"/>
  <c r="L83" i="44"/>
  <c r="L164" i="44"/>
  <c r="AE113" i="6"/>
  <c r="AB113" i="6" s="1"/>
  <c r="C113" i="6" s="1"/>
  <c r="AE306" i="6"/>
  <c r="AB306" i="6" s="1"/>
  <c r="C306" i="6" s="1"/>
  <c r="AE335" i="6"/>
  <c r="AB335" i="6" s="1"/>
  <c r="C335" i="6" s="1"/>
  <c r="AD375" i="6"/>
  <c r="AA375" i="6" s="1"/>
  <c r="B375" i="6" s="1"/>
  <c r="AD55" i="6"/>
  <c r="AA55" i="6" s="1"/>
  <c r="B55" i="6" s="1"/>
  <c r="R511" i="44"/>
  <c r="K511" i="44"/>
  <c r="L511" i="44"/>
  <c r="AE175" i="6"/>
  <c r="AB175" i="6" s="1"/>
  <c r="C175" i="6" s="1"/>
  <c r="AE242" i="6"/>
  <c r="AB242" i="6" s="1"/>
  <c r="C242" i="6" s="1"/>
  <c r="AE50" i="6"/>
  <c r="AB50" i="6" s="1"/>
  <c r="C50" i="6" s="1"/>
  <c r="AD242" i="6"/>
  <c r="AA242" i="6" s="1"/>
  <c r="B242" i="6" s="1"/>
  <c r="R163" i="44"/>
  <c r="L163" i="44"/>
  <c r="K163" i="44"/>
  <c r="AD137" i="6"/>
  <c r="AA137" i="6" s="1"/>
  <c r="B137" i="6" s="1"/>
  <c r="AE343" i="6"/>
  <c r="AB343" i="6" s="1"/>
  <c r="C343" i="6" s="1"/>
  <c r="AE23" i="6"/>
  <c r="AB23" i="6" s="1"/>
  <c r="C23" i="6" s="1"/>
  <c r="AD168" i="6"/>
  <c r="AA168" i="6" s="1"/>
  <c r="B168" i="6" s="1"/>
  <c r="AE104" i="6"/>
  <c r="AB104" i="6" s="1"/>
  <c r="C104" i="6" s="1"/>
  <c r="AE105" i="6"/>
  <c r="AB105" i="6" s="1"/>
  <c r="C105" i="6" s="1"/>
  <c r="V102" i="50"/>
  <c r="V267" i="50"/>
  <c r="V113" i="50"/>
  <c r="V91" i="50"/>
  <c r="V124" i="40"/>
  <c r="V102" i="40"/>
  <c r="V146" i="40"/>
  <c r="V113" i="40"/>
  <c r="V135" i="40"/>
  <c r="V157" i="40"/>
  <c r="V135" i="48"/>
  <c r="V124" i="48"/>
  <c r="V102" i="48"/>
  <c r="V157" i="48"/>
  <c r="V113" i="48"/>
  <c r="V278" i="48"/>
  <c r="V146" i="48"/>
  <c r="V102" i="49"/>
  <c r="V267" i="49"/>
  <c r="V91" i="49"/>
  <c r="V113" i="49"/>
  <c r="V245" i="50"/>
  <c r="V256" i="48"/>
  <c r="V245" i="49"/>
  <c r="V206" i="50"/>
  <c r="V208" i="50"/>
  <c r="V209" i="50"/>
  <c r="V220" i="50"/>
  <c r="V240" i="50"/>
  <c r="V262" i="50"/>
  <c r="V263" i="50"/>
  <c r="V230" i="50"/>
  <c r="V236" i="50"/>
  <c r="V241" i="50"/>
  <c r="V237" i="50"/>
  <c r="V198" i="50"/>
  <c r="V219" i="50"/>
  <c r="V264" i="50"/>
  <c r="V239" i="50"/>
  <c r="V261" i="50"/>
  <c r="V238" i="50"/>
  <c r="V231" i="50"/>
  <c r="V207" i="50"/>
  <c r="V242" i="50"/>
  <c r="V249" i="48"/>
  <c r="V204" i="48"/>
  <c r="V228" i="48"/>
  <c r="V275" i="48"/>
  <c r="V253" i="48"/>
  <c r="V273" i="48"/>
  <c r="V240" i="48"/>
  <c r="V247" i="48"/>
  <c r="V246" i="48"/>
  <c r="V241" i="48"/>
  <c r="V252" i="48"/>
  <c r="V198" i="48"/>
  <c r="V219" i="48"/>
  <c r="V242" i="48"/>
  <c r="V229" i="48"/>
  <c r="V251" i="48"/>
  <c r="V209" i="48"/>
  <c r="V250" i="48"/>
  <c r="V248" i="48"/>
  <c r="V230" i="48"/>
  <c r="V202" i="48"/>
  <c r="V239" i="48"/>
  <c r="V197" i="48"/>
  <c r="V206" i="48"/>
  <c r="V208" i="48"/>
  <c r="V271" i="48"/>
  <c r="V231" i="48"/>
  <c r="V274" i="48"/>
  <c r="V203" i="48"/>
  <c r="V207" i="48"/>
  <c r="V238" i="48"/>
  <c r="V272" i="48"/>
  <c r="V205" i="48"/>
  <c r="V220" i="48"/>
  <c r="V239" i="49"/>
  <c r="V229" i="49"/>
  <c r="V208" i="49"/>
  <c r="V262" i="49"/>
  <c r="V203" i="49"/>
  <c r="V259" i="49"/>
  <c r="V206" i="49"/>
  <c r="V207" i="49"/>
  <c r="V205" i="49"/>
  <c r="V195" i="49"/>
  <c r="V238" i="49"/>
  <c r="V198" i="49"/>
  <c r="V204" i="49"/>
  <c r="V258" i="49"/>
  <c r="V263" i="49"/>
  <c r="V241" i="49"/>
  <c r="V261" i="49"/>
  <c r="V219" i="49"/>
  <c r="V235" i="49"/>
  <c r="V264" i="49"/>
  <c r="V242" i="49"/>
  <c r="V220" i="49"/>
  <c r="V196" i="49"/>
  <c r="V237" i="49"/>
  <c r="V197" i="49"/>
  <c r="V240" i="49"/>
  <c r="V209" i="49"/>
  <c r="V231" i="49"/>
  <c r="V236" i="49"/>
  <c r="V230" i="49"/>
  <c r="V260" i="49"/>
  <c r="V234" i="50"/>
  <c r="V223" i="50"/>
  <c r="V212" i="50"/>
  <c r="V201" i="50"/>
  <c r="V256" i="50"/>
  <c r="V234" i="48"/>
  <c r="V245" i="48"/>
  <c r="V212" i="48"/>
  <c r="V223" i="48"/>
  <c r="V267" i="48"/>
  <c r="V201" i="48"/>
  <c r="V223" i="49"/>
  <c r="V256" i="49"/>
  <c r="V212" i="49"/>
  <c r="V234" i="49"/>
  <c r="V201" i="49"/>
  <c r="I104" i="50"/>
  <c r="B83" i="50"/>
  <c r="I159" i="40"/>
  <c r="N66" i="49"/>
  <c r="AJ117" i="14"/>
  <c r="E65" i="50"/>
  <c r="B165" i="48"/>
  <c r="E59" i="50"/>
  <c r="G75" i="40"/>
  <c r="AJ115" i="14"/>
  <c r="S7" i="19"/>
  <c r="G72" i="40"/>
  <c r="D74" i="48"/>
  <c r="N75" i="40"/>
  <c r="E62" i="49"/>
  <c r="AJ139" i="14"/>
  <c r="R15" i="19"/>
  <c r="D71" i="40"/>
  <c r="G51" i="54"/>
  <c r="G60" i="54"/>
  <c r="G17" i="54"/>
  <c r="B82" i="50"/>
  <c r="AJ113" i="14"/>
  <c r="AJ11" i="14"/>
  <c r="E72" i="40"/>
  <c r="S39" i="19"/>
  <c r="L74" i="40"/>
  <c r="AJ10" i="14"/>
  <c r="D75" i="40"/>
  <c r="G33" i="54"/>
  <c r="L61" i="50"/>
  <c r="B116" i="49"/>
  <c r="E76" i="40"/>
  <c r="N72" i="48"/>
  <c r="D65" i="49"/>
  <c r="G60" i="50"/>
  <c r="L62" i="50"/>
  <c r="AN139" i="14"/>
  <c r="G59" i="49"/>
  <c r="G59" i="54"/>
  <c r="K60" i="49"/>
  <c r="I108" i="49"/>
  <c r="L61" i="49"/>
  <c r="L59" i="49"/>
  <c r="E63" i="49"/>
  <c r="D72" i="40"/>
  <c r="B116" i="50"/>
  <c r="I115" i="49"/>
  <c r="L65" i="49"/>
  <c r="AJ18" i="14"/>
  <c r="B94" i="48"/>
  <c r="D62" i="49"/>
  <c r="G36" i="54"/>
  <c r="R4" i="19"/>
  <c r="R59" i="50" s="1"/>
  <c r="L70" i="48"/>
  <c r="K62" i="49"/>
  <c r="AJ72" i="14"/>
  <c r="AJ111" i="14"/>
  <c r="AN111" i="14" s="1"/>
  <c r="N63" i="50"/>
  <c r="K66" i="50"/>
  <c r="R8" i="19"/>
  <c r="G40" i="54"/>
  <c r="G15" i="54"/>
  <c r="G74" i="40"/>
  <c r="AN72" i="14"/>
  <c r="K76" i="40"/>
  <c r="N71" i="48"/>
  <c r="AJ21" i="14"/>
  <c r="AN21" i="14" s="1"/>
  <c r="G53" i="54"/>
  <c r="AJ53" i="14"/>
  <c r="AN53" i="14" s="1"/>
  <c r="G32" i="54"/>
  <c r="K77" i="40"/>
  <c r="AJ118" i="14"/>
  <c r="D64" i="49"/>
  <c r="AJ46" i="14"/>
  <c r="K59" i="49"/>
  <c r="N64" i="50"/>
  <c r="L66" i="50"/>
  <c r="AJ147" i="14"/>
  <c r="AJ14" i="14"/>
  <c r="D59" i="49"/>
  <c r="L63" i="50"/>
  <c r="R19" i="19"/>
  <c r="E70" i="48"/>
  <c r="G24" i="54"/>
  <c r="K64" i="50"/>
  <c r="I83" i="49"/>
  <c r="K65" i="50"/>
  <c r="G77" i="40"/>
  <c r="R9" i="19"/>
  <c r="AJ137" i="14"/>
  <c r="G56" i="54"/>
  <c r="N76" i="48"/>
  <c r="B163" i="48"/>
  <c r="B110" i="50"/>
  <c r="I103" i="50"/>
  <c r="N63" i="49"/>
  <c r="B132" i="48"/>
  <c r="AJ169" i="14"/>
  <c r="S6" i="19"/>
  <c r="D73" i="40"/>
  <c r="R29" i="19"/>
  <c r="G72" i="48"/>
  <c r="G50" i="54"/>
  <c r="L74" i="48"/>
  <c r="B96" i="48"/>
  <c r="G76" i="40"/>
  <c r="G66" i="50"/>
  <c r="G4" i="54"/>
  <c r="L72" i="40"/>
  <c r="K59" i="50"/>
  <c r="K75" i="48"/>
  <c r="AJ148" i="14"/>
  <c r="E61" i="50"/>
  <c r="AJ177" i="14"/>
  <c r="AN177" i="14" s="1"/>
  <c r="AJ19" i="14"/>
  <c r="AJ109" i="14"/>
  <c r="N62" i="50"/>
  <c r="S28" i="19"/>
  <c r="AJ142" i="14"/>
  <c r="G43" i="54"/>
  <c r="L77" i="48"/>
  <c r="G25" i="54"/>
  <c r="G76" i="48"/>
  <c r="I107" i="49"/>
  <c r="E73" i="40"/>
  <c r="G65" i="50"/>
  <c r="N77" i="40"/>
  <c r="R6" i="19"/>
  <c r="I129" i="40"/>
  <c r="E74" i="40"/>
  <c r="G23" i="54"/>
  <c r="S27" i="19"/>
  <c r="B109" i="49"/>
  <c r="I161" i="40"/>
  <c r="AJ16" i="14"/>
  <c r="D66" i="49"/>
  <c r="G39" i="54"/>
  <c r="I93" i="40"/>
  <c r="AJ84" i="14"/>
  <c r="AJ22" i="14"/>
  <c r="AN22" i="14" s="1"/>
  <c r="S8" i="19"/>
  <c r="B86" i="50"/>
  <c r="L60" i="49"/>
  <c r="G73" i="48"/>
  <c r="D75" i="48"/>
  <c r="L63" i="49"/>
  <c r="N65" i="50"/>
  <c r="R16" i="19"/>
  <c r="AJ105" i="14"/>
  <c r="AN105" i="14" s="1"/>
  <c r="G44" i="54"/>
  <c r="AJ174" i="14"/>
  <c r="G35" i="54"/>
  <c r="AJ80" i="14"/>
  <c r="R10" i="19"/>
  <c r="N59" i="50"/>
  <c r="AJ172" i="14"/>
  <c r="AJ17" i="14"/>
  <c r="B114" i="49"/>
  <c r="AJ136" i="14"/>
  <c r="D76" i="48"/>
  <c r="E74" i="48"/>
  <c r="AJ41" i="14"/>
  <c r="AJ108" i="14"/>
  <c r="AN108" i="14" s="1"/>
  <c r="R26" i="19"/>
  <c r="L77" i="40"/>
  <c r="G60" i="49"/>
  <c r="AJ107" i="14"/>
  <c r="AN46" i="14"/>
  <c r="AN174" i="14"/>
  <c r="R37" i="19"/>
  <c r="AJ168" i="14"/>
  <c r="AN168" i="14" s="1"/>
  <c r="AN80" i="14"/>
  <c r="L76" i="48"/>
  <c r="G12" i="54"/>
  <c r="AJ50" i="14"/>
  <c r="B88" i="49"/>
  <c r="I141" i="48"/>
  <c r="E76" i="48"/>
  <c r="G47" i="54"/>
  <c r="R28" i="19"/>
  <c r="G65" i="49"/>
  <c r="AJ178" i="14"/>
  <c r="AJ55" i="14"/>
  <c r="L59" i="50"/>
  <c r="AJ112" i="14"/>
  <c r="R5" i="19"/>
  <c r="D61" i="50"/>
  <c r="B147" i="48"/>
  <c r="AJ171" i="14"/>
  <c r="E61" i="49"/>
  <c r="D62" i="50"/>
  <c r="K72" i="48"/>
  <c r="G16" i="54"/>
  <c r="I88" i="50"/>
  <c r="S16" i="19"/>
  <c r="D77" i="48"/>
  <c r="N60" i="50"/>
  <c r="G57" i="54"/>
  <c r="G63" i="49"/>
  <c r="E77" i="40"/>
  <c r="L73" i="40"/>
  <c r="AJ180" i="14"/>
  <c r="B154" i="48"/>
  <c r="AN148" i="14"/>
  <c r="G34" i="54"/>
  <c r="AJ116" i="14"/>
  <c r="S37" i="19"/>
  <c r="I160" i="48"/>
  <c r="G21" i="54"/>
  <c r="E60" i="49"/>
  <c r="AJ51" i="14"/>
  <c r="AN17" i="14"/>
  <c r="B148" i="40"/>
  <c r="L64" i="49"/>
  <c r="AN11" i="14"/>
  <c r="AN107" i="14"/>
  <c r="AN116" i="14"/>
  <c r="D70" i="48"/>
  <c r="I85" i="49"/>
  <c r="G6" i="54"/>
  <c r="AJ110" i="14"/>
  <c r="AJ15" i="14"/>
  <c r="E66" i="49"/>
  <c r="K75" i="40"/>
  <c r="K63" i="50"/>
  <c r="AJ75" i="14"/>
  <c r="AN112" i="14"/>
  <c r="I152" i="40"/>
  <c r="B139" i="40"/>
  <c r="G61" i="49"/>
  <c r="S15" i="19"/>
  <c r="AJ104" i="14"/>
  <c r="AN104" i="14" s="1"/>
  <c r="AJ179" i="14"/>
  <c r="N70" i="48"/>
  <c r="D76" i="40"/>
  <c r="N70" i="40"/>
  <c r="L75" i="48"/>
  <c r="R41" i="19"/>
  <c r="S5" i="19"/>
  <c r="L71" i="48"/>
  <c r="G22" i="54"/>
  <c r="E70" i="40"/>
  <c r="N73" i="40"/>
  <c r="K73" i="48"/>
  <c r="S38" i="19"/>
  <c r="G64" i="49"/>
  <c r="R18" i="19"/>
  <c r="N65" i="49"/>
  <c r="R7" i="19"/>
  <c r="AJ9" i="14"/>
  <c r="AJ40" i="14"/>
  <c r="AN40" i="14" s="1"/>
  <c r="G55" i="54"/>
  <c r="D60" i="50"/>
  <c r="L60" i="50"/>
  <c r="AN113" i="14"/>
  <c r="E66" i="50"/>
  <c r="B110" i="49"/>
  <c r="AJ144" i="14"/>
  <c r="AJ149" i="14"/>
  <c r="AN149" i="14" s="1"/>
  <c r="B87" i="49"/>
  <c r="E75" i="40"/>
  <c r="AN55" i="14"/>
  <c r="AN15" i="14"/>
  <c r="AN9" i="14"/>
  <c r="E64" i="49"/>
  <c r="AN144" i="14"/>
  <c r="G19" i="54"/>
  <c r="B164" i="40"/>
  <c r="E71" i="48"/>
  <c r="E65" i="49"/>
  <c r="AJ106" i="14"/>
  <c r="AN106" i="14" s="1"/>
  <c r="AN110" i="14"/>
  <c r="AJ150" i="14"/>
  <c r="D65" i="50"/>
  <c r="AJ76" i="14"/>
  <c r="AN76" i="14" s="1"/>
  <c r="AJ74" i="14"/>
  <c r="AN74" i="14" s="1"/>
  <c r="AJ83" i="14"/>
  <c r="AN83" i="14" s="1"/>
  <c r="B131" i="40"/>
  <c r="B129" i="48"/>
  <c r="I137" i="40"/>
  <c r="I114" i="50"/>
  <c r="AJ151" i="14"/>
  <c r="AN151" i="14" s="1"/>
  <c r="R27" i="19"/>
  <c r="K72" i="40"/>
  <c r="K74" i="40"/>
  <c r="G27" i="54"/>
  <c r="L73" i="48"/>
  <c r="E77" i="48"/>
  <c r="G29" i="54"/>
  <c r="G66" i="49"/>
  <c r="G62" i="50"/>
  <c r="G48" i="54"/>
  <c r="G70" i="40"/>
  <c r="D64" i="50"/>
  <c r="N59" i="49"/>
  <c r="I84" i="49"/>
  <c r="E72" i="48"/>
  <c r="K61" i="50"/>
  <c r="AJ47" i="14"/>
  <c r="D59" i="50"/>
  <c r="G14" i="54"/>
  <c r="S9" i="19"/>
  <c r="E64" i="50"/>
  <c r="AJ48" i="14"/>
  <c r="AN48" i="14" s="1"/>
  <c r="I158" i="48"/>
  <c r="AJ8" i="14"/>
  <c r="AN8" i="14" s="1"/>
  <c r="G74" i="48"/>
  <c r="D71" i="48"/>
  <c r="AJ44" i="14"/>
  <c r="AN44" i="14" s="1"/>
  <c r="D77" i="40"/>
  <c r="D70" i="40"/>
  <c r="AJ78" i="14"/>
  <c r="AN78" i="14" s="1"/>
  <c r="AN118" i="14"/>
  <c r="AN109" i="14"/>
  <c r="AJ81" i="14"/>
  <c r="AN81" i="14" s="1"/>
  <c r="R40" i="19"/>
  <c r="AJ49" i="14"/>
  <c r="AN49" i="14" s="1"/>
  <c r="I119" i="50"/>
  <c r="AN147" i="14"/>
  <c r="L71" i="40"/>
  <c r="G62" i="49"/>
  <c r="D63" i="49"/>
  <c r="L62" i="49"/>
  <c r="G71" i="48"/>
  <c r="B161" i="40"/>
  <c r="B105" i="49"/>
  <c r="L76" i="40"/>
  <c r="AJ145" i="14"/>
  <c r="AN145" i="14" s="1"/>
  <c r="K71" i="48"/>
  <c r="AJ52" i="14"/>
  <c r="AN52" i="14" s="1"/>
  <c r="R39" i="19"/>
  <c r="AJ54" i="14"/>
  <c r="AN54" i="14" s="1"/>
  <c r="N74" i="40"/>
  <c r="G61" i="50"/>
  <c r="AJ87" i="14"/>
  <c r="AN87" i="14" s="1"/>
  <c r="K71" i="40"/>
  <c r="K70" i="40"/>
  <c r="AN150" i="14"/>
  <c r="AJ12" i="14"/>
  <c r="G58" i="54"/>
  <c r="AJ45" i="14"/>
  <c r="AN45" i="14" s="1"/>
  <c r="G13" i="54"/>
  <c r="I152" i="48"/>
  <c r="K63" i="49"/>
  <c r="N61" i="50"/>
  <c r="G10" i="54"/>
  <c r="D73" i="48"/>
  <c r="L75" i="40"/>
  <c r="AJ119" i="14"/>
  <c r="AN119" i="14" s="1"/>
  <c r="N75" i="48"/>
  <c r="AJ79" i="14"/>
  <c r="AN79" i="14" s="1"/>
  <c r="AJ175" i="14"/>
  <c r="AN175" i="14" s="1"/>
  <c r="AJ20" i="14"/>
  <c r="AN20" i="14" s="1"/>
  <c r="AJ182" i="14"/>
  <c r="R17" i="19"/>
  <c r="G26" i="54"/>
  <c r="N61" i="49"/>
  <c r="AN137" i="14"/>
  <c r="AJ181" i="14"/>
  <c r="AN181" i="14" s="1"/>
  <c r="AJ138" i="14"/>
  <c r="AN138" i="14" s="1"/>
  <c r="K77" i="48"/>
  <c r="AN136" i="14"/>
  <c r="AN75" i="14"/>
  <c r="AN117" i="14"/>
  <c r="AN19" i="14"/>
  <c r="AN41" i="14"/>
  <c r="K66" i="49"/>
  <c r="AJ77" i="14"/>
  <c r="I130" i="40"/>
  <c r="G30" i="54"/>
  <c r="D60" i="49"/>
  <c r="AN84" i="14"/>
  <c r="K61" i="49"/>
  <c r="AN18" i="14"/>
  <c r="E60" i="50"/>
  <c r="I132" i="48"/>
  <c r="G70" i="48"/>
  <c r="E75" i="48"/>
  <c r="AJ170" i="14"/>
  <c r="AN170" i="14" s="1"/>
  <c r="G64" i="50"/>
  <c r="E63" i="50"/>
  <c r="L72" i="48"/>
  <c r="F68" i="40"/>
  <c r="AJ13" i="14"/>
  <c r="AN13" i="14" s="1"/>
  <c r="K65" i="49"/>
  <c r="AJ146" i="14"/>
  <c r="AN146" i="14" s="1"/>
  <c r="B99" i="48"/>
  <c r="AJ114" i="14"/>
  <c r="AN114" i="14" s="1"/>
  <c r="K73" i="40"/>
  <c r="L64" i="50"/>
  <c r="L66" i="49"/>
  <c r="K76" i="48"/>
  <c r="I142" i="40"/>
  <c r="AN171" i="14"/>
  <c r="D66" i="50"/>
  <c r="AN12" i="14"/>
  <c r="S26" i="19"/>
  <c r="AN77" i="14"/>
  <c r="AJ176" i="14"/>
  <c r="D74" i="40"/>
  <c r="N76" i="40"/>
  <c r="G73" i="40"/>
  <c r="AJ143" i="14"/>
  <c r="AN143" i="14" s="1"/>
  <c r="AJ82" i="14"/>
  <c r="AJ23" i="14"/>
  <c r="AN23" i="14" s="1"/>
  <c r="E73" i="48"/>
  <c r="AN172" i="14"/>
  <c r="B107" i="50"/>
  <c r="G71" i="40"/>
  <c r="AJ43" i="14"/>
  <c r="AN43" i="14" s="1"/>
  <c r="AN179" i="14"/>
  <c r="AN47" i="14"/>
  <c r="AN51" i="14"/>
  <c r="AN180" i="14"/>
  <c r="AN82" i="14"/>
  <c r="B128" i="48"/>
  <c r="K60" i="50"/>
  <c r="N62" i="49"/>
  <c r="L65" i="50"/>
  <c r="N73" i="48"/>
  <c r="E71" i="40"/>
  <c r="AN115" i="14"/>
  <c r="G52" i="54"/>
  <c r="D61" i="49"/>
  <c r="N66" i="50"/>
  <c r="AN10" i="14"/>
  <c r="S4" i="19"/>
  <c r="N74" i="48"/>
  <c r="AN178" i="14"/>
  <c r="AJ183" i="14"/>
  <c r="AN183" i="14" s="1"/>
  <c r="AN50" i="14"/>
  <c r="D72" i="48"/>
  <c r="I95" i="48"/>
  <c r="L70" i="40"/>
  <c r="G42" i="54"/>
  <c r="R38" i="19"/>
  <c r="AJ86" i="14"/>
  <c r="AN86" i="14" s="1"/>
  <c r="E59" i="49"/>
  <c r="K62" i="50"/>
  <c r="AJ73" i="14"/>
  <c r="AN73" i="14" s="1"/>
  <c r="E62" i="50"/>
  <c r="AJ173" i="14"/>
  <c r="AN173" i="14" s="1"/>
  <c r="G46" i="54"/>
  <c r="G20" i="54"/>
  <c r="N77" i="48"/>
  <c r="K70" i="48"/>
  <c r="AJ42" i="14"/>
  <c r="AN42" i="14" s="1"/>
  <c r="AN182" i="14"/>
  <c r="AJ141" i="14"/>
  <c r="AN141" i="14" s="1"/>
  <c r="AN142" i="14"/>
  <c r="AN176" i="14"/>
  <c r="AN14" i="14"/>
  <c r="G63" i="50"/>
  <c r="N60" i="49"/>
  <c r="G7" i="54"/>
  <c r="G9" i="54"/>
  <c r="G5" i="54"/>
  <c r="K64" i="49"/>
  <c r="G77" i="48"/>
  <c r="G54" i="54"/>
  <c r="K74" i="48"/>
  <c r="N72" i="40"/>
  <c r="AN16" i="14"/>
  <c r="G61" i="54"/>
  <c r="G41" i="54"/>
  <c r="B150" i="40"/>
  <c r="D63" i="50"/>
  <c r="G11" i="54"/>
  <c r="G18" i="54"/>
  <c r="G28" i="54"/>
  <c r="G31" i="54"/>
  <c r="G45" i="54"/>
  <c r="G8" i="54"/>
  <c r="G38" i="54"/>
  <c r="G49" i="54"/>
  <c r="AN169" i="14"/>
  <c r="I128" i="48"/>
  <c r="G75" i="48"/>
  <c r="N71" i="40"/>
  <c r="G37" i="54"/>
  <c r="N64" i="49"/>
  <c r="AJ140" i="14"/>
  <c r="AN140" i="14" s="1"/>
  <c r="K536" i="44" l="1"/>
  <c r="R536" i="44"/>
  <c r="L536" i="44"/>
  <c r="L299" i="44"/>
  <c r="K299" i="44"/>
  <c r="L260" i="44"/>
  <c r="K260" i="44"/>
  <c r="R260" i="44"/>
  <c r="R539" i="44"/>
  <c r="Q131" i="44"/>
  <c r="F407" i="44"/>
  <c r="AD310" i="6"/>
  <c r="AA310" i="6" s="1"/>
  <c r="B310" i="6" s="1"/>
  <c r="K561" i="44"/>
  <c r="J390" i="44"/>
  <c r="L390" i="44" s="1"/>
  <c r="AD306" i="6"/>
  <c r="AA306" i="6" s="1"/>
  <c r="B306" i="6" s="1"/>
  <c r="AD115" i="6"/>
  <c r="AA115" i="6" s="1"/>
  <c r="B115" i="6" s="1"/>
  <c r="AE115" i="6"/>
  <c r="AB115" i="6" s="1"/>
  <c r="C115" i="6" s="1"/>
  <c r="K621" i="44"/>
  <c r="K10" i="44"/>
  <c r="R429" i="44"/>
  <c r="K539" i="44"/>
  <c r="J188" i="44"/>
  <c r="Y246" i="6"/>
  <c r="Z246" i="6" s="1"/>
  <c r="Y435" i="6"/>
  <c r="AE16" i="6"/>
  <c r="AB16" i="6" s="1"/>
  <c r="C16" i="6" s="1"/>
  <c r="J59" i="44"/>
  <c r="F299" i="44"/>
  <c r="Q381" i="44"/>
  <c r="AD46" i="6"/>
  <c r="AA46" i="6" s="1"/>
  <c r="B46" i="6" s="1"/>
  <c r="J162" i="44"/>
  <c r="R162" i="44" s="1"/>
  <c r="F30" i="44"/>
  <c r="Y437" i="6"/>
  <c r="Y234" i="6"/>
  <c r="Z234" i="6" s="1"/>
  <c r="AD234" i="6" s="1"/>
  <c r="F17" i="44"/>
  <c r="J30" i="44"/>
  <c r="Q382" i="44"/>
  <c r="F259" i="44"/>
  <c r="E258" i="44"/>
  <c r="Q523" i="44"/>
  <c r="J17" i="44"/>
  <c r="Q30" i="44"/>
  <c r="L10" i="44"/>
  <c r="R68" i="44"/>
  <c r="R201" i="44"/>
  <c r="R32" i="44"/>
  <c r="AD182" i="6"/>
  <c r="AA182" i="6" s="1"/>
  <c r="B182" i="6" s="1"/>
  <c r="F55" i="44"/>
  <c r="J9" i="44"/>
  <c r="AD87" i="6"/>
  <c r="AA87" i="6" s="1"/>
  <c r="B87" i="6" s="1"/>
  <c r="E381" i="44"/>
  <c r="Q185" i="44"/>
  <c r="J610" i="44"/>
  <c r="F585" i="44"/>
  <c r="Q17" i="44"/>
  <c r="E299" i="44"/>
  <c r="E430" i="44"/>
  <c r="E9" i="44"/>
  <c r="E175" i="44"/>
  <c r="F573" i="44"/>
  <c r="F311" i="44"/>
  <c r="F526" i="44"/>
  <c r="J575" i="44"/>
  <c r="Q21" i="44"/>
  <c r="Y10" i="6"/>
  <c r="Y489" i="6"/>
  <c r="Y108" i="6"/>
  <c r="R250" i="44"/>
  <c r="R621" i="44"/>
  <c r="L525" i="44"/>
  <c r="K525" i="44"/>
  <c r="L606" i="44"/>
  <c r="Y426" i="6"/>
  <c r="J258" i="44"/>
  <c r="L258" i="44" s="1"/>
  <c r="F287" i="44"/>
  <c r="J585" i="44"/>
  <c r="L585" i="44" s="1"/>
  <c r="J557" i="44"/>
  <c r="L557" i="44" s="1"/>
  <c r="E585" i="44"/>
  <c r="Q299" i="44"/>
  <c r="J311" i="44"/>
  <c r="Q9" i="44"/>
  <c r="F175" i="44"/>
  <c r="J573" i="44"/>
  <c r="Y425" i="6"/>
  <c r="Z425" i="6" s="1"/>
  <c r="AE425" i="6" s="1"/>
  <c r="AB425" i="6" s="1"/>
  <c r="C425" i="6" s="1"/>
  <c r="E311" i="44"/>
  <c r="Y438" i="6"/>
  <c r="L47" i="44"/>
  <c r="J522" i="44"/>
  <c r="Y424" i="6"/>
  <c r="Z424" i="6" s="1"/>
  <c r="E522" i="44"/>
  <c r="R239" i="44"/>
  <c r="K47" i="44"/>
  <c r="L382" i="44"/>
  <c r="F606" i="44"/>
  <c r="Q390" i="44"/>
  <c r="F198" i="44"/>
  <c r="E154" i="44"/>
  <c r="Q175" i="44"/>
  <c r="J485" i="44"/>
  <c r="J430" i="44"/>
  <c r="L430" i="44" s="1"/>
  <c r="Q573" i="44"/>
  <c r="Q126" i="44"/>
  <c r="E523" i="44"/>
  <c r="K429" i="44"/>
  <c r="J296" i="44"/>
  <c r="K296" i="44" s="1"/>
  <c r="L70" i="44"/>
  <c r="R562" i="44"/>
  <c r="R22" i="44"/>
  <c r="Q606" i="44"/>
  <c r="Q259" i="44"/>
  <c r="J55" i="44"/>
  <c r="L55" i="44" s="1"/>
  <c r="Y338" i="6"/>
  <c r="AD53" i="6"/>
  <c r="AA53" i="6" s="1"/>
  <c r="B53" i="6" s="1"/>
  <c r="J35" i="44"/>
  <c r="F610" i="44"/>
  <c r="J571" i="44"/>
  <c r="Q485" i="44"/>
  <c r="J284" i="44"/>
  <c r="F523" i="44"/>
  <c r="R561" i="44"/>
  <c r="F258" i="44"/>
  <c r="R70" i="44"/>
  <c r="L562" i="44"/>
  <c r="R54" i="44"/>
  <c r="F189" i="44"/>
  <c r="Y468" i="6"/>
  <c r="Y428" i="6"/>
  <c r="Z436" i="6" s="1"/>
  <c r="AE436" i="6" s="1"/>
  <c r="AB436" i="6" s="1"/>
  <c r="C436" i="6" s="1"/>
  <c r="F390" i="44"/>
  <c r="F185" i="44"/>
  <c r="J332" i="44"/>
  <c r="K332" i="44" s="1"/>
  <c r="AD19" i="6"/>
  <c r="AA19" i="6" s="1"/>
  <c r="B19" i="6" s="1"/>
  <c r="Q514" i="44"/>
  <c r="J391" i="44"/>
  <c r="F512" i="44"/>
  <c r="Q512" i="44"/>
  <c r="K185" i="44"/>
  <c r="Q462" i="44"/>
  <c r="J526" i="44"/>
  <c r="F514" i="44"/>
  <c r="Y235" i="6"/>
  <c r="J407" i="44"/>
  <c r="R407" i="44" s="1"/>
  <c r="AE144" i="6"/>
  <c r="AB144" i="6" s="1"/>
  <c r="C144" i="6" s="1"/>
  <c r="K239" i="44"/>
  <c r="R367" i="44"/>
  <c r="R606" i="44"/>
  <c r="J259" i="44"/>
  <c r="L259" i="44" s="1"/>
  <c r="Y429" i="6"/>
  <c r="F381" i="44"/>
  <c r="AD16" i="6"/>
  <c r="AA16" i="6" s="1"/>
  <c r="B16" i="6" s="1"/>
  <c r="Q198" i="44"/>
  <c r="J512" i="44"/>
  <c r="J403" i="44"/>
  <c r="J203" i="44"/>
  <c r="R203" i="44" s="1"/>
  <c r="F462" i="44"/>
  <c r="K523" i="44"/>
  <c r="AD43" i="6"/>
  <c r="AA43" i="6" s="1"/>
  <c r="B43" i="6" s="1"/>
  <c r="Q22" i="44"/>
  <c r="L275" i="44"/>
  <c r="J514" i="44"/>
  <c r="L514" i="44" s="1"/>
  <c r="Q536" i="44"/>
  <c r="R20" i="44"/>
  <c r="F296" i="44"/>
  <c r="K238" i="44"/>
  <c r="K164" i="44"/>
  <c r="K275" i="44"/>
  <c r="K201" i="44"/>
  <c r="L32" i="44"/>
  <c r="K367" i="44"/>
  <c r="J440" i="44"/>
  <c r="Y434" i="6"/>
  <c r="E185" i="44"/>
  <c r="J287" i="44"/>
  <c r="E536" i="44"/>
  <c r="Q557" i="44"/>
  <c r="E275" i="44"/>
  <c r="F275" i="44"/>
  <c r="F162" i="44"/>
  <c r="Q55" i="44"/>
  <c r="E571" i="44"/>
  <c r="J488" i="44"/>
  <c r="Q162" i="44"/>
  <c r="J126" i="44"/>
  <c r="E403" i="44"/>
  <c r="Q203" i="44"/>
  <c r="J462" i="44"/>
  <c r="R462" i="44" s="1"/>
  <c r="AE19" i="6"/>
  <c r="AB19" i="6" s="1"/>
  <c r="C19" i="6" s="1"/>
  <c r="E485" i="44"/>
  <c r="L238" i="44"/>
  <c r="K20" i="44"/>
  <c r="K250" i="44"/>
  <c r="K22" i="44"/>
  <c r="K382" i="44"/>
  <c r="E440" i="44"/>
  <c r="J131" i="44"/>
  <c r="AE53" i="6"/>
  <c r="AB53" i="6" s="1"/>
  <c r="C53" i="6" s="1"/>
  <c r="AE43" i="6"/>
  <c r="AB43" i="6" s="1"/>
  <c r="C43" i="6" s="1"/>
  <c r="Q287" i="44"/>
  <c r="E35" i="44"/>
  <c r="AE46" i="6"/>
  <c r="AB46" i="6" s="1"/>
  <c r="C46" i="6" s="1"/>
  <c r="Q488" i="44"/>
  <c r="E126" i="44"/>
  <c r="Q403" i="44"/>
  <c r="J154" i="44"/>
  <c r="L154" i="44" s="1"/>
  <c r="R523" i="44"/>
  <c r="F557" i="44"/>
  <c r="L524" i="44"/>
  <c r="K68" i="44"/>
  <c r="Y81" i="6"/>
  <c r="Y276" i="6"/>
  <c r="U1" i="19"/>
  <c r="L235" i="44"/>
  <c r="Z235" i="6"/>
  <c r="Y210" i="6"/>
  <c r="Y309" i="6"/>
  <c r="R258" i="44"/>
  <c r="L45" i="44"/>
  <c r="K569" i="44"/>
  <c r="AE237" i="6"/>
  <c r="AB237" i="6" s="1"/>
  <c r="C237" i="6" s="1"/>
  <c r="R259" i="44"/>
  <c r="R355" i="44"/>
  <c r="K377" i="44"/>
  <c r="R557" i="44"/>
  <c r="Z428" i="6"/>
  <c r="K258" i="44"/>
  <c r="K585" i="44"/>
  <c r="K45" i="44"/>
  <c r="K305" i="44"/>
  <c r="R569" i="44"/>
  <c r="R585" i="44"/>
  <c r="L138" i="44"/>
  <c r="R138" i="44"/>
  <c r="K138" i="44"/>
  <c r="L31" i="44"/>
  <c r="K31" i="44"/>
  <c r="L56" i="44"/>
  <c r="R56" i="44"/>
  <c r="K246" i="44"/>
  <c r="R246" i="44"/>
  <c r="R430" i="44"/>
  <c r="K430" i="44"/>
  <c r="J7" i="44"/>
  <c r="Q7" i="44"/>
  <c r="E7" i="44"/>
  <c r="F7" i="44"/>
  <c r="Y211" i="6"/>
  <c r="Z211" i="6" s="1"/>
  <c r="E581" i="44"/>
  <c r="Q581" i="44"/>
  <c r="J581" i="44"/>
  <c r="Y394" i="6"/>
  <c r="Y392" i="6"/>
  <c r="Y401" i="6"/>
  <c r="Z401" i="6" s="1"/>
  <c r="AD401" i="6" s="1"/>
  <c r="AA401" i="6" s="1"/>
  <c r="B401" i="6" s="1"/>
  <c r="Y393" i="6"/>
  <c r="Y395" i="6"/>
  <c r="Y400" i="6"/>
  <c r="Y402" i="6"/>
  <c r="Y396" i="6"/>
  <c r="Q91" i="44"/>
  <c r="F91" i="44"/>
  <c r="J91" i="44"/>
  <c r="E67" i="44"/>
  <c r="J67" i="44"/>
  <c r="L67" i="44" s="1"/>
  <c r="Y177" i="6"/>
  <c r="Y180" i="6"/>
  <c r="Y169" i="6"/>
  <c r="Y172" i="6"/>
  <c r="Y174" i="6"/>
  <c r="Y77" i="6"/>
  <c r="Y75" i="6"/>
  <c r="Z75" i="6" s="1"/>
  <c r="Y76" i="6"/>
  <c r="Y72" i="6"/>
  <c r="Y73" i="6"/>
  <c r="Z73" i="6" s="1"/>
  <c r="Y85" i="6"/>
  <c r="Z77" i="6" s="1"/>
  <c r="Y78" i="6"/>
  <c r="Z78" i="6" s="1"/>
  <c r="Y86" i="6"/>
  <c r="Y501" i="6"/>
  <c r="E323" i="44"/>
  <c r="J323" i="44"/>
  <c r="R323" i="44" s="1"/>
  <c r="Q105" i="44"/>
  <c r="F105" i="44"/>
  <c r="E105" i="44"/>
  <c r="J105" i="44"/>
  <c r="E245" i="44"/>
  <c r="F245" i="44"/>
  <c r="Q245" i="44"/>
  <c r="Y491" i="6"/>
  <c r="Q142" i="44"/>
  <c r="E142" i="44"/>
  <c r="Q141" i="44"/>
  <c r="F141" i="44"/>
  <c r="E141" i="44"/>
  <c r="AD503" i="6"/>
  <c r="AA503" i="6" s="1"/>
  <c r="B503" i="6" s="1"/>
  <c r="K56" i="44"/>
  <c r="K474" i="44"/>
  <c r="Y365" i="6"/>
  <c r="Y373" i="6"/>
  <c r="Z373" i="6" s="1"/>
  <c r="AE373" i="6" s="1"/>
  <c r="F142" i="44"/>
  <c r="Y406" i="6"/>
  <c r="K198" i="44"/>
  <c r="R198" i="44"/>
  <c r="R465" i="44"/>
  <c r="K465" i="44"/>
  <c r="L297" i="44"/>
  <c r="R297" i="44"/>
  <c r="K297" i="44"/>
  <c r="Y340" i="6"/>
  <c r="R403" i="44"/>
  <c r="L403" i="44"/>
  <c r="K403" i="44"/>
  <c r="R92" i="44"/>
  <c r="K92" i="44"/>
  <c r="L92" i="44"/>
  <c r="K104" i="44"/>
  <c r="L104" i="44"/>
  <c r="R104" i="44"/>
  <c r="Y173" i="6"/>
  <c r="J245" i="44"/>
  <c r="R490" i="44"/>
  <c r="K490" i="44"/>
  <c r="L490" i="44"/>
  <c r="K142" i="44"/>
  <c r="L142" i="44"/>
  <c r="R425" i="44"/>
  <c r="K425" i="44"/>
  <c r="L425" i="44"/>
  <c r="R515" i="44"/>
  <c r="L515" i="44"/>
  <c r="K515" i="44"/>
  <c r="F358" i="44"/>
  <c r="Q358" i="44"/>
  <c r="E358" i="44"/>
  <c r="J358" i="44"/>
  <c r="Q359" i="44"/>
  <c r="F359" i="44"/>
  <c r="Y270" i="6"/>
  <c r="Y273" i="6"/>
  <c r="Y265" i="6"/>
  <c r="Y267" i="6"/>
  <c r="Y264" i="6"/>
  <c r="Y275" i="6"/>
  <c r="Y278" i="6"/>
  <c r="Z278" i="6" s="1"/>
  <c r="AD278" i="6" s="1"/>
  <c r="AA278" i="6" s="1"/>
  <c r="B278" i="6" s="1"/>
  <c r="Y268" i="6"/>
  <c r="E153" i="44"/>
  <c r="F153" i="44"/>
  <c r="J153" i="44"/>
  <c r="E155" i="44"/>
  <c r="J155" i="44"/>
  <c r="Q155" i="44"/>
  <c r="F152" i="44"/>
  <c r="J152" i="44"/>
  <c r="Y374" i="6"/>
  <c r="Z374" i="6" s="1"/>
  <c r="Y138" i="6"/>
  <c r="Z138" i="6" s="1"/>
  <c r="Y139" i="6"/>
  <c r="Z139" i="6" s="1"/>
  <c r="AD139" i="6" s="1"/>
  <c r="Y149" i="6"/>
  <c r="Z149" i="6" s="1"/>
  <c r="Y140" i="6"/>
  <c r="Y148" i="6"/>
  <c r="Y141" i="6"/>
  <c r="E69" i="44"/>
  <c r="F69" i="44"/>
  <c r="J69" i="44"/>
  <c r="R69" i="44" s="1"/>
  <c r="Q166" i="44"/>
  <c r="E166" i="44"/>
  <c r="E161" i="44"/>
  <c r="F161" i="44"/>
  <c r="J161" i="44"/>
  <c r="Y469" i="6"/>
  <c r="Z469" i="6" s="1"/>
  <c r="AE469" i="6" s="1"/>
  <c r="Y459" i="6"/>
  <c r="Y461" i="6"/>
  <c r="Y456" i="6"/>
  <c r="Y466" i="6"/>
  <c r="Y460" i="6"/>
  <c r="Y462" i="6"/>
  <c r="Y457" i="6"/>
  <c r="G20" i="5"/>
  <c r="Y308" i="6"/>
  <c r="E596" i="44"/>
  <c r="Q596" i="44"/>
  <c r="J605" i="44"/>
  <c r="F605" i="44"/>
  <c r="Q464" i="44"/>
  <c r="J464" i="44"/>
  <c r="F464" i="44"/>
  <c r="Y74" i="6"/>
  <c r="Z74" i="6" s="1"/>
  <c r="Y84" i="6"/>
  <c r="Z84" i="6" s="1"/>
  <c r="AD84" i="6" s="1"/>
  <c r="AA84" i="6" s="1"/>
  <c r="B84" i="6" s="1"/>
  <c r="Y305" i="6"/>
  <c r="Y80" i="6"/>
  <c r="Y404" i="6"/>
  <c r="Z396" i="6" s="1"/>
  <c r="AD396" i="6" s="1"/>
  <c r="E91" i="44"/>
  <c r="L407" i="44"/>
  <c r="K407" i="44"/>
  <c r="L391" i="44"/>
  <c r="K391" i="44"/>
  <c r="R391" i="44"/>
  <c r="L521" i="44"/>
  <c r="R521" i="44"/>
  <c r="Y403" i="6"/>
  <c r="F155" i="44"/>
  <c r="L271" i="44"/>
  <c r="K271" i="44"/>
  <c r="R271" i="44"/>
  <c r="F581" i="44"/>
  <c r="R178" i="44"/>
  <c r="K178" i="44"/>
  <c r="L178" i="44"/>
  <c r="R461" i="44"/>
  <c r="K461" i="44"/>
  <c r="L461" i="44"/>
  <c r="R202" i="44"/>
  <c r="L202" i="44"/>
  <c r="K202" i="44"/>
  <c r="R93" i="44"/>
  <c r="L93" i="44"/>
  <c r="L273" i="44"/>
  <c r="K273" i="44"/>
  <c r="J58" i="44"/>
  <c r="K58" i="44" s="1"/>
  <c r="Q58" i="44"/>
  <c r="Y490" i="6"/>
  <c r="Y500" i="6"/>
  <c r="Y493" i="6"/>
  <c r="Y498" i="6"/>
  <c r="Y496" i="6"/>
  <c r="Y499" i="6"/>
  <c r="Z491" i="6" s="1"/>
  <c r="Y502" i="6"/>
  <c r="Y494" i="6"/>
  <c r="Y488" i="6"/>
  <c r="E329" i="44"/>
  <c r="Q329" i="44"/>
  <c r="J329" i="44"/>
  <c r="F329" i="44"/>
  <c r="Q587" i="44"/>
  <c r="E587" i="44"/>
  <c r="Y204" i="6"/>
  <c r="Z204" i="6" s="1"/>
  <c r="AD204" i="6" s="1"/>
  <c r="Y203" i="6"/>
  <c r="Z203" i="6" s="1"/>
  <c r="Y201" i="6"/>
  <c r="Z201" i="6" s="1"/>
  <c r="Y206" i="6"/>
  <c r="Z206" i="6" s="1"/>
  <c r="AD206" i="6" s="1"/>
  <c r="Y208" i="6"/>
  <c r="Y202" i="6"/>
  <c r="Z202" i="6" s="1"/>
  <c r="Y200" i="6"/>
  <c r="Y362" i="6"/>
  <c r="Z362" i="6" s="1"/>
  <c r="Y360" i="6"/>
  <c r="Z360" i="6" s="1"/>
  <c r="Y363" i="6"/>
  <c r="Y369" i="6"/>
  <c r="Y371" i="6"/>
  <c r="Y361" i="6"/>
  <c r="Z369" i="6" s="1"/>
  <c r="Y300" i="6"/>
  <c r="Y301" i="6"/>
  <c r="Y296" i="6"/>
  <c r="Z296" i="6" s="1"/>
  <c r="Y297" i="6"/>
  <c r="Y299" i="6"/>
  <c r="Y304" i="6"/>
  <c r="Y307" i="6"/>
  <c r="E380" i="44"/>
  <c r="J380" i="44"/>
  <c r="Q380" i="44"/>
  <c r="F380" i="44"/>
  <c r="E319" i="44"/>
  <c r="Q319" i="44"/>
  <c r="J319" i="44"/>
  <c r="Y328" i="6"/>
  <c r="Y339" i="6"/>
  <c r="Y332" i="6"/>
  <c r="Y334" i="6"/>
  <c r="Y329" i="6"/>
  <c r="Y331" i="6"/>
  <c r="Y337" i="6"/>
  <c r="J215" i="44"/>
  <c r="E215" i="44"/>
  <c r="Q215" i="44"/>
  <c r="Y40" i="6"/>
  <c r="Z40" i="6" s="1"/>
  <c r="Y42" i="6"/>
  <c r="Z42" i="6" s="1"/>
  <c r="AD42" i="6" s="1"/>
  <c r="Q419" i="44"/>
  <c r="F419" i="44"/>
  <c r="Y372" i="6"/>
  <c r="E137" i="44"/>
  <c r="Q137" i="44"/>
  <c r="J137" i="44"/>
  <c r="F137" i="44"/>
  <c r="F138" i="44"/>
  <c r="Q138" i="44"/>
  <c r="E138" i="44"/>
  <c r="AE147" i="6"/>
  <c r="AB147" i="6" s="1"/>
  <c r="C147" i="6" s="1"/>
  <c r="R142" i="44"/>
  <c r="L474" i="44"/>
  <c r="K93" i="44"/>
  <c r="R273" i="44"/>
  <c r="Y205" i="6"/>
  <c r="Y492" i="6"/>
  <c r="Y497" i="6"/>
  <c r="Z497" i="6" s="1"/>
  <c r="Y272" i="6"/>
  <c r="Y171" i="6"/>
  <c r="Y364" i="6"/>
  <c r="R101" i="44"/>
  <c r="L101" i="44"/>
  <c r="Y333" i="6"/>
  <c r="Y398" i="6"/>
  <c r="K414" i="44"/>
  <c r="L414" i="44"/>
  <c r="R560" i="44"/>
  <c r="L560" i="44"/>
  <c r="Q69" i="44"/>
  <c r="F215" i="44"/>
  <c r="J141" i="44"/>
  <c r="R466" i="44"/>
  <c r="K466" i="44"/>
  <c r="F319" i="44"/>
  <c r="E152" i="44"/>
  <c r="K41" i="44"/>
  <c r="R41" i="44"/>
  <c r="Z427" i="6"/>
  <c r="K9" i="44"/>
  <c r="Z465" i="6"/>
  <c r="Z426" i="6"/>
  <c r="AD426" i="6" s="1"/>
  <c r="Z404" i="6"/>
  <c r="AD404" i="6" s="1"/>
  <c r="AA404" i="6" s="1"/>
  <c r="B404" i="6" s="1"/>
  <c r="L198" i="44"/>
  <c r="Z434" i="6"/>
  <c r="AE434" i="6" s="1"/>
  <c r="Z457" i="6"/>
  <c r="Z240" i="6"/>
  <c r="AD240" i="6" s="1"/>
  <c r="Z435" i="6"/>
  <c r="E359" i="44"/>
  <c r="Y464" i="6"/>
  <c r="Z456" i="6" s="1"/>
  <c r="R390" i="44"/>
  <c r="K259" i="44"/>
  <c r="R377" i="44"/>
  <c r="L69" i="44"/>
  <c r="K390" i="44"/>
  <c r="K235" i="44"/>
  <c r="R299" i="44"/>
  <c r="Z464" i="6"/>
  <c r="Z430" i="6"/>
  <c r="AE430" i="6" s="1"/>
  <c r="AB430" i="6" s="1"/>
  <c r="C430" i="6" s="1"/>
  <c r="Z438" i="6"/>
  <c r="AE438" i="6" s="1"/>
  <c r="E353" i="44"/>
  <c r="E173" i="44"/>
  <c r="K210" i="44"/>
  <c r="R55" i="44"/>
  <c r="J11" i="44"/>
  <c r="Q281" i="44"/>
  <c r="E293" i="44"/>
  <c r="E551" i="44"/>
  <c r="E80" i="44"/>
  <c r="Z300" i="6"/>
  <c r="AD300" i="6" s="1"/>
  <c r="Z392" i="6"/>
  <c r="AE392" i="6" s="1"/>
  <c r="AB392" i="6" s="1"/>
  <c r="C392" i="6" s="1"/>
  <c r="Q335" i="44"/>
  <c r="Z305" i="6"/>
  <c r="AD305" i="6" s="1"/>
  <c r="AA305" i="6" s="1"/>
  <c r="B305" i="6" s="1"/>
  <c r="Q467" i="44"/>
  <c r="E500" i="44"/>
  <c r="J359" i="44"/>
  <c r="E284" i="44"/>
  <c r="J281" i="44"/>
  <c r="Y116" i="6"/>
  <c r="Z116" i="6" s="1"/>
  <c r="F53" i="44"/>
  <c r="Q11" i="44"/>
  <c r="E357" i="44"/>
  <c r="E321" i="44"/>
  <c r="E294" i="44"/>
  <c r="Z400" i="6"/>
  <c r="L269" i="44"/>
  <c r="AE74" i="6"/>
  <c r="AB74" i="6" s="1"/>
  <c r="C74" i="6" s="1"/>
  <c r="K162" i="44"/>
  <c r="Z174" i="6"/>
  <c r="Z232" i="6"/>
  <c r="Z361" i="6"/>
  <c r="AD361" i="6" s="1"/>
  <c r="Z488" i="6"/>
  <c r="AD488" i="6" s="1"/>
  <c r="AE82" i="6"/>
  <c r="AB82" i="6" s="1"/>
  <c r="C82" i="6" s="1"/>
  <c r="J53" i="44"/>
  <c r="E281" i="44"/>
  <c r="E586" i="44"/>
  <c r="E607" i="44"/>
  <c r="R44" i="44"/>
  <c r="Z273" i="6"/>
  <c r="AE273" i="6" s="1"/>
  <c r="Z308" i="6"/>
  <c r="AD308" i="6" s="1"/>
  <c r="AA308" i="6" s="1"/>
  <c r="B308" i="6" s="1"/>
  <c r="E610" i="44"/>
  <c r="E575" i="44"/>
  <c r="L35" i="44"/>
  <c r="L58" i="44"/>
  <c r="R548" i="44"/>
  <c r="Z437" i="6"/>
  <c r="AE437" i="6" s="1"/>
  <c r="L162" i="44"/>
  <c r="F57" i="44"/>
  <c r="Q332" i="44"/>
  <c r="E318" i="44"/>
  <c r="Q298" i="44"/>
  <c r="Z177" i="6"/>
  <c r="AD177" i="6" s="1"/>
  <c r="AA177" i="6" s="1"/>
  <c r="B177" i="6" s="1"/>
  <c r="Z501" i="6"/>
  <c r="Z238" i="6"/>
  <c r="Z243" i="6"/>
  <c r="AD243" i="6" s="1"/>
  <c r="Q561" i="44"/>
  <c r="E296" i="44"/>
  <c r="E239" i="44"/>
  <c r="Q389" i="44"/>
  <c r="R58" i="44"/>
  <c r="Z275" i="6"/>
  <c r="AD275" i="6" s="1"/>
  <c r="R210" i="44"/>
  <c r="Z467" i="6"/>
  <c r="AD467" i="6" s="1"/>
  <c r="AA467" i="6" s="1"/>
  <c r="B467" i="6" s="1"/>
  <c r="J282" i="44"/>
  <c r="Q43" i="44"/>
  <c r="Q574" i="44"/>
  <c r="R269" i="44"/>
  <c r="K355" i="44"/>
  <c r="Z180" i="6"/>
  <c r="AD180" i="6" s="1"/>
  <c r="AD75" i="6"/>
  <c r="J6" i="44"/>
  <c r="Q67" i="44"/>
  <c r="E106" i="44"/>
  <c r="Q605" i="44"/>
  <c r="E306" i="44"/>
  <c r="Q272" i="44"/>
  <c r="E391" i="44"/>
  <c r="AE75" i="6"/>
  <c r="AB75" i="6" s="1"/>
  <c r="C75" i="6" s="1"/>
  <c r="AD471" i="6"/>
  <c r="AA471" i="6" s="1"/>
  <c r="B471" i="6" s="1"/>
  <c r="E583" i="44"/>
  <c r="D247" i="49"/>
  <c r="AK43" i="14"/>
  <c r="D264" i="48"/>
  <c r="V264" i="48" s="1"/>
  <c r="E251" i="49"/>
  <c r="AK107" i="14"/>
  <c r="AW107" i="14" s="1"/>
  <c r="AZ107" i="14" s="1"/>
  <c r="E249" i="50"/>
  <c r="W65" i="49"/>
  <c r="V65" i="49"/>
  <c r="AK50" i="14"/>
  <c r="AW50" i="14" s="1"/>
  <c r="AZ50" i="14" s="1"/>
  <c r="G16" i="5"/>
  <c r="Z71" i="40"/>
  <c r="AK138" i="14"/>
  <c r="AW138" i="14" s="1"/>
  <c r="AZ138" i="14" s="1"/>
  <c r="Z60" i="49"/>
  <c r="Z75" i="48"/>
  <c r="AK181" i="14"/>
  <c r="AX181" i="14" s="1"/>
  <c r="AK78" i="14"/>
  <c r="AW78" i="14" s="1"/>
  <c r="AZ78" i="14" s="1"/>
  <c r="AK149" i="14"/>
  <c r="AW149" i="14" s="1"/>
  <c r="AZ149" i="14" s="1"/>
  <c r="E264" i="40"/>
  <c r="Z65" i="50"/>
  <c r="E250" i="50"/>
  <c r="AK83" i="14"/>
  <c r="AW83" i="14" s="1"/>
  <c r="AZ83" i="14" s="1"/>
  <c r="V82" i="40"/>
  <c r="V84" i="40"/>
  <c r="W70" i="40"/>
  <c r="V83" i="40"/>
  <c r="V81" i="40"/>
  <c r="V70" i="40"/>
  <c r="AK144" i="14"/>
  <c r="AW144" i="14" s="1"/>
  <c r="AZ144" i="14" s="1"/>
  <c r="AK51" i="14"/>
  <c r="AX51" i="14" s="1"/>
  <c r="BA51" i="14" s="1"/>
  <c r="Z60" i="50"/>
  <c r="V72" i="49"/>
  <c r="V70" i="49"/>
  <c r="W59" i="49"/>
  <c r="V71" i="49"/>
  <c r="V59" i="49"/>
  <c r="Z63" i="50"/>
  <c r="AK106" i="14"/>
  <c r="W77" i="40"/>
  <c r="V77" i="40"/>
  <c r="AK14" i="14"/>
  <c r="AW14" i="14" s="1"/>
  <c r="V63" i="50"/>
  <c r="W63" i="50"/>
  <c r="W72" i="40"/>
  <c r="V72" i="40"/>
  <c r="AK110" i="14"/>
  <c r="AW110" i="14" s="1"/>
  <c r="AZ110" i="14" s="1"/>
  <c r="AK23" i="14"/>
  <c r="AX23" i="14" s="1"/>
  <c r="BA23" i="14" s="1"/>
  <c r="AK44" i="14"/>
  <c r="AX44" i="14" s="1"/>
  <c r="BA44" i="14" s="1"/>
  <c r="AK108" i="14"/>
  <c r="AW108" i="14" s="1"/>
  <c r="AZ108" i="14" s="1"/>
  <c r="AK147" i="14"/>
  <c r="AW147" i="14" s="1"/>
  <c r="AZ147" i="14" s="1"/>
  <c r="Z77" i="48"/>
  <c r="AK82" i="14"/>
  <c r="AW82" i="14" s="1"/>
  <c r="AZ82" i="14" s="1"/>
  <c r="V71" i="48"/>
  <c r="W71" i="48"/>
  <c r="AK41" i="14"/>
  <c r="AX41" i="14" s="1"/>
  <c r="BA41" i="14" s="1"/>
  <c r="E253" i="50"/>
  <c r="E248" i="50"/>
  <c r="Z71" i="48"/>
  <c r="Z77" i="40"/>
  <c r="AK143" i="14"/>
  <c r="AX143" i="14" s="1"/>
  <c r="BA143" i="14" s="1"/>
  <c r="AK182" i="14"/>
  <c r="AX182" i="14" s="1"/>
  <c r="BA182" i="14" s="1"/>
  <c r="Z74" i="48"/>
  <c r="W72" i="48"/>
  <c r="V72" i="48"/>
  <c r="AK75" i="14"/>
  <c r="AW75" i="14" s="1"/>
  <c r="Z73" i="40"/>
  <c r="AK20" i="14"/>
  <c r="AX20" i="14" s="1"/>
  <c r="AK8" i="14"/>
  <c r="AX8" i="14" s="1"/>
  <c r="BA8" i="14" s="1"/>
  <c r="E247" i="50"/>
  <c r="AK116" i="14"/>
  <c r="AX116" i="14" s="1"/>
  <c r="BA116" i="14" s="1"/>
  <c r="Z76" i="48"/>
  <c r="D246" i="49"/>
  <c r="G19" i="5"/>
  <c r="AK175" i="14"/>
  <c r="AX175" i="14" s="1"/>
  <c r="BA175" i="14" s="1"/>
  <c r="W76" i="48"/>
  <c r="V76" i="48"/>
  <c r="AK46" i="14"/>
  <c r="AW46" i="14" s="1"/>
  <c r="AZ46" i="14" s="1"/>
  <c r="AK42" i="14"/>
  <c r="AW42" i="14" s="1"/>
  <c r="AZ42" i="14" s="1"/>
  <c r="AK74" i="14"/>
  <c r="AW74" i="14" s="1"/>
  <c r="AZ74" i="14" s="1"/>
  <c r="AK49" i="14"/>
  <c r="AX49" i="14" s="1"/>
  <c r="BA49" i="14" s="1"/>
  <c r="W74" i="40"/>
  <c r="V74" i="40"/>
  <c r="AK79" i="14"/>
  <c r="AW79" i="14" s="1"/>
  <c r="AZ79" i="14" s="1"/>
  <c r="AK48" i="14"/>
  <c r="AW48" i="14" s="1"/>
  <c r="AZ48" i="14" s="1"/>
  <c r="V60" i="50"/>
  <c r="W60" i="50"/>
  <c r="AK136" i="14"/>
  <c r="AX136" i="14" s="1"/>
  <c r="BA136" i="14" s="1"/>
  <c r="E264" i="48"/>
  <c r="V64" i="49"/>
  <c r="W64" i="49"/>
  <c r="W75" i="40"/>
  <c r="V75" i="40"/>
  <c r="D249" i="50"/>
  <c r="AK176" i="14"/>
  <c r="AX176" i="14" s="1"/>
  <c r="AK118" i="14"/>
  <c r="AX118" i="14" s="1"/>
  <c r="BA118" i="14" s="1"/>
  <c r="AK10" i="14"/>
  <c r="AW10" i="14" s="1"/>
  <c r="AZ10" i="14" s="1"/>
  <c r="AK183" i="14"/>
  <c r="AX183" i="14" s="1"/>
  <c r="BA183" i="14" s="1"/>
  <c r="E249" i="49"/>
  <c r="AK119" i="14"/>
  <c r="AX119" i="14" s="1"/>
  <c r="BA119" i="14" s="1"/>
  <c r="AK40" i="14"/>
  <c r="AW40" i="14" s="1"/>
  <c r="AZ40" i="14" s="1"/>
  <c r="AK180" i="14"/>
  <c r="AK17" i="14"/>
  <c r="AX17" i="14" s="1"/>
  <c r="BA17" i="14" s="1"/>
  <c r="AK142" i="14"/>
  <c r="AX142" i="14" s="1"/>
  <c r="BA142" i="14" s="1"/>
  <c r="D264" i="40"/>
  <c r="E261" i="40"/>
  <c r="D250" i="50"/>
  <c r="E262" i="40"/>
  <c r="AK9" i="14"/>
  <c r="AW9" i="14" s="1"/>
  <c r="E260" i="40"/>
  <c r="AK172" i="14"/>
  <c r="AW172" i="14" s="1"/>
  <c r="AZ172" i="14" s="1"/>
  <c r="D248" i="49"/>
  <c r="V248" i="49" s="1"/>
  <c r="D252" i="50"/>
  <c r="V252" i="50" s="1"/>
  <c r="W73" i="48"/>
  <c r="V73" i="48"/>
  <c r="V70" i="50"/>
  <c r="V74" i="50"/>
  <c r="V59" i="50"/>
  <c r="V73" i="50"/>
  <c r="W59" i="50"/>
  <c r="V72" i="50"/>
  <c r="V71" i="50"/>
  <c r="G13" i="5"/>
  <c r="AK53" i="14"/>
  <c r="AX53" i="14" s="1"/>
  <c r="BA53" i="14" s="1"/>
  <c r="V66" i="50"/>
  <c r="W66" i="50"/>
  <c r="AK47" i="14"/>
  <c r="AW47" i="14" s="1"/>
  <c r="AZ47" i="14" s="1"/>
  <c r="Z63" i="49"/>
  <c r="AK109" i="14"/>
  <c r="AW109" i="14" s="1"/>
  <c r="AZ109" i="14" s="1"/>
  <c r="AK11" i="14"/>
  <c r="AW11" i="14" s="1"/>
  <c r="AZ11" i="14" s="1"/>
  <c r="AK140" i="14"/>
  <c r="AW140" i="14" s="1"/>
  <c r="AZ140" i="14" s="1"/>
  <c r="V61" i="49"/>
  <c r="W61" i="49"/>
  <c r="D248" i="50"/>
  <c r="G18" i="5"/>
  <c r="AK19" i="14"/>
  <c r="AW19" i="14" s="1"/>
  <c r="AZ19" i="14" s="1"/>
  <c r="AK21" i="14"/>
  <c r="AW21" i="14" s="1"/>
  <c r="AZ21" i="14" s="1"/>
  <c r="AK113" i="14"/>
  <c r="AW113" i="14" s="1"/>
  <c r="AZ113" i="14" s="1"/>
  <c r="E257" i="40"/>
  <c r="D250" i="49"/>
  <c r="V250" i="49" s="1"/>
  <c r="Z64" i="49"/>
  <c r="AK80" i="14"/>
  <c r="AX80" i="14" s="1"/>
  <c r="BA80" i="14" s="1"/>
  <c r="AK177" i="14"/>
  <c r="AX177" i="14" s="1"/>
  <c r="BA177" i="14" s="1"/>
  <c r="E246" i="49"/>
  <c r="V77" i="48"/>
  <c r="W77" i="48"/>
  <c r="D263" i="40"/>
  <c r="D261" i="48"/>
  <c r="V261" i="48" s="1"/>
  <c r="AK76" i="14"/>
  <c r="AW76" i="14" s="1"/>
  <c r="AZ76" i="14" s="1"/>
  <c r="AK168" i="14"/>
  <c r="D263" i="48"/>
  <c r="V263" i="48" s="1"/>
  <c r="D260" i="48"/>
  <c r="V260" i="48" s="1"/>
  <c r="AK174" i="14"/>
  <c r="AX174" i="14" s="1"/>
  <c r="BA174" i="14" s="1"/>
  <c r="AK148" i="14"/>
  <c r="AX148" i="14" s="1"/>
  <c r="BA148" i="14" s="1"/>
  <c r="D251" i="49"/>
  <c r="V251" i="49" s="1"/>
  <c r="V63" i="49"/>
  <c r="W63" i="49"/>
  <c r="E253" i="49"/>
  <c r="W64" i="50"/>
  <c r="V64" i="50"/>
  <c r="D262" i="48"/>
  <c r="V262" i="48" s="1"/>
  <c r="Z74" i="40"/>
  <c r="AK73" i="14"/>
  <c r="AW73" i="14" s="1"/>
  <c r="AZ73" i="14" s="1"/>
  <c r="AK77" i="14"/>
  <c r="AX77" i="14" s="1"/>
  <c r="BA77" i="14" s="1"/>
  <c r="AK85" i="14"/>
  <c r="E251" i="50"/>
  <c r="AK45" i="14"/>
  <c r="AW45" i="14" s="1"/>
  <c r="AZ45" i="14" s="1"/>
  <c r="Z70" i="40"/>
  <c r="AK105" i="14"/>
  <c r="AL105" i="14" s="1"/>
  <c r="BI105" i="14" s="1"/>
  <c r="D246" i="50"/>
  <c r="V71" i="40"/>
  <c r="W71" i="40"/>
  <c r="D257" i="48"/>
  <c r="D262" i="40"/>
  <c r="D260" i="40"/>
  <c r="D259" i="48"/>
  <c r="E259" i="40"/>
  <c r="E248" i="49"/>
  <c r="E252" i="50"/>
  <c r="AK114" i="14"/>
  <c r="AX114" i="14" s="1"/>
  <c r="BA114" i="14" s="1"/>
  <c r="AK12" i="14"/>
  <c r="AX12" i="14" s="1"/>
  <c r="BA12" i="14" s="1"/>
  <c r="Z62" i="50"/>
  <c r="W62" i="50"/>
  <c r="V62" i="50"/>
  <c r="G15" i="5"/>
  <c r="AK139" i="14"/>
  <c r="AX139" i="14" s="1"/>
  <c r="BA139" i="14" s="1"/>
  <c r="Z66" i="49"/>
  <c r="Z66" i="50"/>
  <c r="D253" i="50"/>
  <c r="V253" i="50" s="1"/>
  <c r="W65" i="50"/>
  <c r="V65" i="50"/>
  <c r="D257" i="40"/>
  <c r="E258" i="48"/>
  <c r="AK171" i="14"/>
  <c r="AX171" i="14" s="1"/>
  <c r="BA171" i="14" s="1"/>
  <c r="E250" i="49"/>
  <c r="Z76" i="40"/>
  <c r="Z62" i="49"/>
  <c r="Z59" i="49"/>
  <c r="W75" i="48"/>
  <c r="V75" i="48"/>
  <c r="V74" i="48"/>
  <c r="W74" i="48"/>
  <c r="AK146" i="14"/>
  <c r="AW146" i="14" s="1"/>
  <c r="AZ146" i="14" s="1"/>
  <c r="D258" i="40"/>
  <c r="W61" i="50"/>
  <c r="V61" i="50"/>
  <c r="Z73" i="48"/>
  <c r="E261" i="48"/>
  <c r="AK111" i="14"/>
  <c r="AW111" i="14" s="1"/>
  <c r="AZ111" i="14" s="1"/>
  <c r="Z72" i="40"/>
  <c r="E263" i="48"/>
  <c r="D252" i="49"/>
  <c r="V252" i="49" s="1"/>
  <c r="AK87" i="14"/>
  <c r="AX87" i="14" s="1"/>
  <c r="BA87" i="14" s="1"/>
  <c r="E260" i="48"/>
  <c r="G14" i="5"/>
  <c r="E247" i="49"/>
  <c r="AK72" i="14"/>
  <c r="AX72" i="14" s="1"/>
  <c r="D253" i="49"/>
  <c r="V253" i="49" s="1"/>
  <c r="AK13" i="14"/>
  <c r="AW13" i="14" s="1"/>
  <c r="AZ13" i="14" s="1"/>
  <c r="Z61" i="50"/>
  <c r="E262" i="48"/>
  <c r="AK112" i="14"/>
  <c r="AW112" i="14" s="1"/>
  <c r="AZ112" i="14" s="1"/>
  <c r="Z72" i="48"/>
  <c r="D249" i="49"/>
  <c r="V249" i="49" s="1"/>
  <c r="AK115" i="14"/>
  <c r="AX115" i="14" s="1"/>
  <c r="BA115" i="14" s="1"/>
  <c r="D251" i="50"/>
  <c r="D261" i="40"/>
  <c r="E246" i="50"/>
  <c r="E257" i="48"/>
  <c r="Z75" i="40"/>
  <c r="AK173" i="14"/>
  <c r="AW173" i="14" s="1"/>
  <c r="AK137" i="14"/>
  <c r="AX137" i="14" s="1"/>
  <c r="BA137" i="14" s="1"/>
  <c r="E259" i="48"/>
  <c r="AK54" i="14"/>
  <c r="AX54" i="14" s="1"/>
  <c r="BA54" i="14" s="1"/>
  <c r="D259" i="40"/>
  <c r="V76" i="40"/>
  <c r="W76" i="40"/>
  <c r="AK55" i="14"/>
  <c r="AW55" i="14" s="1"/>
  <c r="AZ55" i="14" s="1"/>
  <c r="AK22" i="14"/>
  <c r="B22" i="14" s="1"/>
  <c r="G17" i="5"/>
  <c r="V60" i="49"/>
  <c r="W60" i="49"/>
  <c r="V83" i="48"/>
  <c r="V81" i="48"/>
  <c r="V84" i="48"/>
  <c r="V87" i="48"/>
  <c r="W70" i="48"/>
  <c r="V82" i="48"/>
  <c r="V85" i="48"/>
  <c r="V86" i="48"/>
  <c r="V70" i="48"/>
  <c r="AK178" i="14"/>
  <c r="AW178" i="14" s="1"/>
  <c r="AZ178" i="14" s="1"/>
  <c r="AK84" i="14"/>
  <c r="AX84" i="14" s="1"/>
  <c r="W73" i="40"/>
  <c r="V73" i="40"/>
  <c r="AK141" i="14"/>
  <c r="AX141" i="14" s="1"/>
  <c r="BA141" i="14" s="1"/>
  <c r="AK150" i="14"/>
  <c r="AW150" i="14" s="1"/>
  <c r="AZ150" i="14" s="1"/>
  <c r="Z64" i="50"/>
  <c r="AK52" i="14"/>
  <c r="AW52" i="14" s="1"/>
  <c r="AZ52" i="14" s="1"/>
  <c r="AK179" i="14"/>
  <c r="AW179" i="14" s="1"/>
  <c r="AZ179" i="14" s="1"/>
  <c r="Z65" i="49"/>
  <c r="V62" i="49"/>
  <c r="W62" i="49"/>
  <c r="AK81" i="14"/>
  <c r="AW81" i="14" s="1"/>
  <c r="AZ81" i="14" s="1"/>
  <c r="AK170" i="14"/>
  <c r="AX170" i="14" s="1"/>
  <c r="D258" i="48"/>
  <c r="AK151" i="14"/>
  <c r="AK104" i="14"/>
  <c r="AW104" i="14" s="1"/>
  <c r="AZ104" i="14" s="1"/>
  <c r="AK169" i="14"/>
  <c r="AW169" i="14" s="1"/>
  <c r="AZ169" i="14" s="1"/>
  <c r="AK117" i="14"/>
  <c r="AW117" i="14" s="1"/>
  <c r="AZ117" i="14" s="1"/>
  <c r="AK86" i="14"/>
  <c r="AW86" i="14" s="1"/>
  <c r="AZ86" i="14" s="1"/>
  <c r="AK15" i="14"/>
  <c r="AW15" i="14" s="1"/>
  <c r="AZ15" i="14" s="1"/>
  <c r="D247" i="50"/>
  <c r="AK145" i="14"/>
  <c r="AX145" i="14" s="1"/>
  <c r="BA145" i="14" s="1"/>
  <c r="V66" i="49"/>
  <c r="W66" i="49"/>
  <c r="AK18" i="14"/>
  <c r="AW18" i="14" s="1"/>
  <c r="AZ18" i="14" s="1"/>
  <c r="E258" i="40"/>
  <c r="Z70" i="48"/>
  <c r="E263" i="40"/>
  <c r="Z61" i="49"/>
  <c r="AK16" i="14"/>
  <c r="AW16" i="14" s="1"/>
  <c r="AZ16" i="14" s="1"/>
  <c r="E252" i="49"/>
  <c r="K7" i="44"/>
  <c r="Q283" i="44"/>
  <c r="J283" i="44"/>
  <c r="Q59" i="44"/>
  <c r="F59" i="44"/>
  <c r="F357" i="44"/>
  <c r="J357" i="44"/>
  <c r="F335" i="44"/>
  <c r="J335" i="44"/>
  <c r="Y370" i="6"/>
  <c r="Z370" i="6" s="1"/>
  <c r="J587" i="44"/>
  <c r="F587" i="44"/>
  <c r="E346" i="44"/>
  <c r="J346" i="44"/>
  <c r="F346" i="44"/>
  <c r="Q342" i="44"/>
  <c r="J342" i="44"/>
  <c r="F342" i="44"/>
  <c r="Y266" i="6"/>
  <c r="Z266" i="6" s="1"/>
  <c r="AD266" i="6" s="1"/>
  <c r="AA266" i="6" s="1"/>
  <c r="B266" i="6" s="1"/>
  <c r="R381" i="44"/>
  <c r="E383" i="44"/>
  <c r="F383" i="44"/>
  <c r="J383" i="44"/>
  <c r="Q71" i="44"/>
  <c r="J71" i="44"/>
  <c r="F71" i="44"/>
  <c r="E167" i="44"/>
  <c r="F167" i="44"/>
  <c r="Y114" i="6"/>
  <c r="Z114" i="6" s="1"/>
  <c r="AD114" i="6" s="1"/>
  <c r="AA114" i="6" s="1"/>
  <c r="B114" i="6" s="1"/>
  <c r="E31" i="44"/>
  <c r="F31" i="44"/>
  <c r="Q323" i="44"/>
  <c r="J321" i="44"/>
  <c r="F321" i="44"/>
  <c r="J318" i="44"/>
  <c r="F318" i="44"/>
  <c r="Q103" i="44"/>
  <c r="F103" i="44"/>
  <c r="J103" i="44"/>
  <c r="E107" i="44"/>
  <c r="F107" i="44"/>
  <c r="J107" i="44"/>
  <c r="Y79" i="6"/>
  <c r="Z79" i="6" s="1"/>
  <c r="AE79" i="6" s="1"/>
  <c r="AB79" i="6" s="1"/>
  <c r="C79" i="6" s="1"/>
  <c r="Q212" i="44"/>
  <c r="F212" i="44"/>
  <c r="J212" i="44"/>
  <c r="E595" i="44"/>
  <c r="J595" i="44"/>
  <c r="F595" i="44"/>
  <c r="E611" i="44"/>
  <c r="E418" i="44"/>
  <c r="J418" i="44"/>
  <c r="F418" i="44"/>
  <c r="F467" i="44"/>
  <c r="J467" i="44"/>
  <c r="Q139" i="44"/>
  <c r="J139" i="44"/>
  <c r="F139" i="44"/>
  <c r="J509" i="44"/>
  <c r="F509" i="44"/>
  <c r="Q563" i="44"/>
  <c r="F563" i="44"/>
  <c r="J563" i="44"/>
  <c r="Q221" i="44"/>
  <c r="J221" i="44"/>
  <c r="F221" i="44"/>
  <c r="Q226" i="44"/>
  <c r="J226" i="44"/>
  <c r="F226" i="44"/>
  <c r="Y244" i="6"/>
  <c r="Z244" i="6" s="1"/>
  <c r="E622" i="44"/>
  <c r="F622" i="44"/>
  <c r="J622" i="44"/>
  <c r="Q618" i="44"/>
  <c r="F618" i="44"/>
  <c r="J618" i="44"/>
  <c r="E310" i="44"/>
  <c r="F310" i="44"/>
  <c r="E234" i="44"/>
  <c r="J234" i="44"/>
  <c r="F234" i="44"/>
  <c r="F233" i="44"/>
  <c r="J233" i="44"/>
  <c r="E274" i="44"/>
  <c r="J274" i="44"/>
  <c r="F274" i="44"/>
  <c r="E270" i="44"/>
  <c r="F270" i="44"/>
  <c r="J270" i="44"/>
  <c r="E174" i="44"/>
  <c r="F174" i="44"/>
  <c r="J174" i="44"/>
  <c r="Y145" i="6"/>
  <c r="Z145" i="6" s="1"/>
  <c r="AD145" i="6" s="1"/>
  <c r="AA145" i="6" s="1"/>
  <c r="B145" i="6" s="1"/>
  <c r="Q260" i="44"/>
  <c r="F260" i="44"/>
  <c r="Y367" i="6"/>
  <c r="Z367" i="6" s="1"/>
  <c r="AD367" i="6" s="1"/>
  <c r="AA367" i="6" s="1"/>
  <c r="B367" i="6" s="1"/>
  <c r="E46" i="44"/>
  <c r="J46" i="44"/>
  <c r="J199" i="44"/>
  <c r="F199" i="44"/>
  <c r="F572" i="44"/>
  <c r="J572" i="44"/>
  <c r="E442" i="44"/>
  <c r="J442" i="44"/>
  <c r="F442" i="44"/>
  <c r="Y311" i="6"/>
  <c r="Z311" i="6" s="1"/>
  <c r="AE311" i="6" s="1"/>
  <c r="AB311" i="6" s="1"/>
  <c r="C311" i="6" s="1"/>
  <c r="Q490" i="44"/>
  <c r="F490" i="44"/>
  <c r="Q491" i="44"/>
  <c r="F491" i="44"/>
  <c r="J491" i="44"/>
  <c r="Q489" i="44"/>
  <c r="F489" i="44"/>
  <c r="J489" i="44"/>
  <c r="J80" i="44"/>
  <c r="F80" i="44"/>
  <c r="E79" i="44"/>
  <c r="J79" i="44"/>
  <c r="F79" i="44"/>
  <c r="Y49" i="6"/>
  <c r="Z49" i="6" s="1"/>
  <c r="AD49" i="6" s="1"/>
  <c r="AA49" i="6" s="1"/>
  <c r="B49" i="6" s="1"/>
  <c r="Y269" i="6"/>
  <c r="Z269" i="6" s="1"/>
  <c r="Y495" i="6"/>
  <c r="Z495" i="6" s="1"/>
  <c r="AE495" i="6" s="1"/>
  <c r="AB495" i="6" s="1"/>
  <c r="C495" i="6" s="1"/>
  <c r="Y207" i="6"/>
  <c r="Z207" i="6" s="1"/>
  <c r="AD207" i="6" s="1"/>
  <c r="AA207" i="6" s="1"/>
  <c r="B207" i="6" s="1"/>
  <c r="Q20" i="44"/>
  <c r="F20" i="44"/>
  <c r="F404" i="44"/>
  <c r="J404" i="44"/>
  <c r="Q537" i="44"/>
  <c r="F537" i="44"/>
  <c r="J537" i="44"/>
  <c r="Q538" i="44"/>
  <c r="J538" i="44"/>
  <c r="F538" i="44"/>
  <c r="E116" i="44"/>
  <c r="J116" i="44"/>
  <c r="E477" i="44"/>
  <c r="F477" i="44"/>
  <c r="J477" i="44"/>
  <c r="E479" i="44"/>
  <c r="J479" i="44"/>
  <c r="F479" i="44"/>
  <c r="E368" i="44"/>
  <c r="F368" i="44"/>
  <c r="J368" i="44"/>
  <c r="Q128" i="44"/>
  <c r="F128" i="44"/>
  <c r="J128" i="44"/>
  <c r="Z276" i="6"/>
  <c r="AE276" i="6" s="1"/>
  <c r="AB276" i="6" s="1"/>
  <c r="C276" i="6" s="1"/>
  <c r="Z339" i="6"/>
  <c r="AD339" i="6" s="1"/>
  <c r="AA339" i="6" s="1"/>
  <c r="B339" i="6" s="1"/>
  <c r="Z363" i="6"/>
  <c r="Z338" i="6"/>
  <c r="Z498" i="6"/>
  <c r="AD498" i="6" s="1"/>
  <c r="AA498" i="6" s="1"/>
  <c r="B498" i="6" s="1"/>
  <c r="Q5" i="44"/>
  <c r="J5" i="44"/>
  <c r="Q286" i="44"/>
  <c r="F286" i="44"/>
  <c r="Q56" i="44"/>
  <c r="F56" i="44"/>
  <c r="Q334" i="44"/>
  <c r="F334" i="44"/>
  <c r="Y41" i="6"/>
  <c r="Z41" i="6" s="1"/>
  <c r="Q191" i="44"/>
  <c r="J191" i="44"/>
  <c r="E190" i="44"/>
  <c r="F190" i="44"/>
  <c r="J190" i="44"/>
  <c r="E347" i="44"/>
  <c r="F347" i="44"/>
  <c r="J347" i="44"/>
  <c r="E343" i="44"/>
  <c r="F343" i="44"/>
  <c r="E341" i="44"/>
  <c r="F341" i="44"/>
  <c r="J341" i="44"/>
  <c r="Y470" i="6"/>
  <c r="Z470" i="6" s="1"/>
  <c r="F166" i="44"/>
  <c r="J166" i="44"/>
  <c r="Y271" i="6"/>
  <c r="Z271" i="6" s="1"/>
  <c r="AD271" i="6" s="1"/>
  <c r="AA271" i="6" s="1"/>
  <c r="B271" i="6" s="1"/>
  <c r="Y213" i="6"/>
  <c r="Z213" i="6" s="1"/>
  <c r="AD213" i="6" s="1"/>
  <c r="AA213" i="6" s="1"/>
  <c r="B213" i="6" s="1"/>
  <c r="E550" i="44"/>
  <c r="J550" i="44"/>
  <c r="F550" i="44"/>
  <c r="E322" i="44"/>
  <c r="F322" i="44"/>
  <c r="J322" i="44"/>
  <c r="E320" i="44"/>
  <c r="F320" i="44"/>
  <c r="J320" i="44"/>
  <c r="Y431" i="6"/>
  <c r="Z431" i="6" s="1"/>
  <c r="AD431" i="6" s="1"/>
  <c r="AA431" i="6" s="1"/>
  <c r="B431" i="6" s="1"/>
  <c r="Q598" i="44"/>
  <c r="J598" i="44"/>
  <c r="F598" i="44"/>
  <c r="Q593" i="44"/>
  <c r="F593" i="44"/>
  <c r="J593" i="44"/>
  <c r="Y342" i="6"/>
  <c r="Z342" i="6" s="1"/>
  <c r="AE342" i="6" s="1"/>
  <c r="AB342" i="6" s="1"/>
  <c r="C342" i="6" s="1"/>
  <c r="Q609" i="44"/>
  <c r="F609" i="44"/>
  <c r="J609" i="44"/>
  <c r="Q413" i="44"/>
  <c r="F413" i="44"/>
  <c r="J413" i="44"/>
  <c r="E416" i="44"/>
  <c r="F416" i="44"/>
  <c r="J416" i="44"/>
  <c r="J247" i="44"/>
  <c r="F247" i="44"/>
  <c r="E463" i="44"/>
  <c r="J463" i="44"/>
  <c r="Q558" i="44"/>
  <c r="J558" i="44"/>
  <c r="Y17" i="6"/>
  <c r="Z17" i="6" s="1"/>
  <c r="AE17" i="6" s="1"/>
  <c r="AB17" i="6" s="1"/>
  <c r="C17" i="6" s="1"/>
  <c r="Q623" i="44"/>
  <c r="J623" i="44"/>
  <c r="F623" i="44"/>
  <c r="J617" i="44"/>
  <c r="F617" i="44"/>
  <c r="Y110" i="6"/>
  <c r="Z110" i="6" s="1"/>
  <c r="AE110" i="6" s="1"/>
  <c r="AB110" i="6" s="1"/>
  <c r="C110" i="6" s="1"/>
  <c r="F309" i="44"/>
  <c r="J309" i="44"/>
  <c r="Y142" i="6"/>
  <c r="Z142" i="6" s="1"/>
  <c r="AD142" i="6" s="1"/>
  <c r="AA142" i="6" s="1"/>
  <c r="B142" i="6" s="1"/>
  <c r="Y236" i="6"/>
  <c r="Z236" i="6" s="1"/>
  <c r="Q200" i="44"/>
  <c r="J200" i="44"/>
  <c r="E441" i="44"/>
  <c r="F441" i="44"/>
  <c r="Y151" i="6"/>
  <c r="Z151" i="6" s="1"/>
  <c r="AE151" i="6" s="1"/>
  <c r="AB151" i="6" s="1"/>
  <c r="C151" i="6" s="1"/>
  <c r="Q449" i="44"/>
  <c r="J449" i="44"/>
  <c r="J450" i="44"/>
  <c r="F450" i="44"/>
  <c r="F21" i="44"/>
  <c r="J21" i="44"/>
  <c r="E23" i="44"/>
  <c r="F23" i="44"/>
  <c r="J23" i="44"/>
  <c r="Q406" i="44"/>
  <c r="F406" i="44"/>
  <c r="Q405" i="44"/>
  <c r="J405" i="44"/>
  <c r="F405" i="44"/>
  <c r="Y52" i="6"/>
  <c r="Z52" i="6" s="1"/>
  <c r="AD52" i="6" s="1"/>
  <c r="AA52" i="6" s="1"/>
  <c r="B52" i="6" s="1"/>
  <c r="Q534" i="44"/>
  <c r="F534" i="44"/>
  <c r="J534" i="44"/>
  <c r="E118" i="44"/>
  <c r="J118" i="44"/>
  <c r="F118" i="44"/>
  <c r="F473" i="44"/>
  <c r="J473" i="44"/>
  <c r="F365" i="44"/>
  <c r="J365" i="44"/>
  <c r="Y146" i="6"/>
  <c r="Z146" i="6" s="1"/>
  <c r="AD146" i="6" s="1"/>
  <c r="AA146" i="6" s="1"/>
  <c r="B146" i="6" s="1"/>
  <c r="Y407" i="6"/>
  <c r="Z407" i="6" s="1"/>
  <c r="Q282" i="44"/>
  <c r="E286" i="44"/>
  <c r="E56" i="44"/>
  <c r="E58" i="44"/>
  <c r="F58" i="44"/>
  <c r="E354" i="44"/>
  <c r="F354" i="44"/>
  <c r="J354" i="44"/>
  <c r="E333" i="44"/>
  <c r="E330" i="44"/>
  <c r="F330" i="44"/>
  <c r="J330" i="44"/>
  <c r="Q190" i="44"/>
  <c r="Q188" i="44"/>
  <c r="F188" i="44"/>
  <c r="Q189" i="44"/>
  <c r="J189" i="44"/>
  <c r="E345" i="44"/>
  <c r="J345" i="44"/>
  <c r="F345" i="44"/>
  <c r="Y22" i="6"/>
  <c r="Z22" i="6" s="1"/>
  <c r="AD22" i="6" s="1"/>
  <c r="AA22" i="6" s="1"/>
  <c r="B22" i="6" s="1"/>
  <c r="E89" i="44"/>
  <c r="F89" i="44"/>
  <c r="J89" i="44"/>
  <c r="E150" i="44"/>
  <c r="F150" i="44"/>
  <c r="J150" i="44"/>
  <c r="K381" i="44"/>
  <c r="E66" i="44"/>
  <c r="F66" i="44"/>
  <c r="J66" i="44"/>
  <c r="E165" i="44"/>
  <c r="F165" i="44"/>
  <c r="J165" i="44"/>
  <c r="Y179" i="6"/>
  <c r="Z179" i="6" s="1"/>
  <c r="AD179" i="6" s="1"/>
  <c r="AA179" i="6" s="1"/>
  <c r="B179" i="6" s="1"/>
  <c r="Q550" i="44"/>
  <c r="E29" i="44"/>
  <c r="F29" i="44"/>
  <c r="J29" i="44"/>
  <c r="E102" i="44"/>
  <c r="F102" i="44"/>
  <c r="J102" i="44"/>
  <c r="E211" i="44"/>
  <c r="J211" i="44"/>
  <c r="F211" i="44"/>
  <c r="N13" i="54"/>
  <c r="V13" i="54" s="1"/>
  <c r="T1" i="19"/>
  <c r="N12" i="54" s="1"/>
  <c r="E594" i="44"/>
  <c r="J594" i="44"/>
  <c r="F594" i="44"/>
  <c r="F596" i="44"/>
  <c r="J596" i="44"/>
  <c r="E606" i="44"/>
  <c r="Q415" i="44"/>
  <c r="F415" i="44"/>
  <c r="J415" i="44"/>
  <c r="Q247" i="44"/>
  <c r="Y117" i="6"/>
  <c r="Y18" i="6"/>
  <c r="Z18" i="6" s="1"/>
  <c r="AE18" i="6" s="1"/>
  <c r="AB18" i="6" s="1"/>
  <c r="C18" i="6" s="1"/>
  <c r="Q426" i="44"/>
  <c r="J426" i="44"/>
  <c r="F426" i="44"/>
  <c r="E427" i="44"/>
  <c r="F427" i="44"/>
  <c r="Q497" i="44"/>
  <c r="F497" i="44"/>
  <c r="J497" i="44"/>
  <c r="Q617" i="44"/>
  <c r="E617" i="44"/>
  <c r="F298" i="44"/>
  <c r="J298" i="44"/>
  <c r="J237" i="44"/>
  <c r="F237" i="44"/>
  <c r="Q176" i="44"/>
  <c r="F176" i="44"/>
  <c r="J176" i="44"/>
  <c r="Q263" i="44"/>
  <c r="F263" i="44"/>
  <c r="Q201" i="44"/>
  <c r="F201" i="44"/>
  <c r="J574" i="44"/>
  <c r="F574" i="44"/>
  <c r="E394" i="44"/>
  <c r="F394" i="44"/>
  <c r="J394" i="44"/>
  <c r="Q437" i="44"/>
  <c r="J437" i="44"/>
  <c r="F437" i="44"/>
  <c r="J486" i="44"/>
  <c r="F486" i="44"/>
  <c r="Q94" i="44"/>
  <c r="Q82" i="44"/>
  <c r="J82" i="44"/>
  <c r="F82" i="44"/>
  <c r="E77" i="44"/>
  <c r="J77" i="44"/>
  <c r="F77" i="44"/>
  <c r="Y150" i="6"/>
  <c r="Z150" i="6" s="1"/>
  <c r="AE150" i="6" s="1"/>
  <c r="AB150" i="6" s="1"/>
  <c r="C150" i="6" s="1"/>
  <c r="Y183" i="6"/>
  <c r="Z183" i="6" s="1"/>
  <c r="AE183" i="6" s="1"/>
  <c r="AB183" i="6" s="1"/>
  <c r="C183" i="6" s="1"/>
  <c r="E405" i="44"/>
  <c r="Q402" i="44"/>
  <c r="F402" i="44"/>
  <c r="J402" i="44"/>
  <c r="Y277" i="6"/>
  <c r="Z277" i="6" s="1"/>
  <c r="E534" i="44"/>
  <c r="F535" i="44"/>
  <c r="J535" i="44"/>
  <c r="J114" i="44"/>
  <c r="F114" i="44"/>
  <c r="E366" i="44"/>
  <c r="F366" i="44"/>
  <c r="J366" i="44"/>
  <c r="Z462" i="6"/>
  <c r="AE471" i="6"/>
  <c r="AB471" i="6" s="1"/>
  <c r="C471" i="6" s="1"/>
  <c r="AD439" i="6"/>
  <c r="AA439" i="6" s="1"/>
  <c r="B439" i="6" s="1"/>
  <c r="J286" i="44"/>
  <c r="F282" i="44"/>
  <c r="J285" i="44"/>
  <c r="R285" i="44" s="1"/>
  <c r="AD211" i="6"/>
  <c r="AA211" i="6" s="1"/>
  <c r="B211" i="6" s="1"/>
  <c r="E5" i="44"/>
  <c r="F353" i="44"/>
  <c r="J353" i="44"/>
  <c r="E334" i="44"/>
  <c r="E186" i="44"/>
  <c r="F186" i="44"/>
  <c r="J186" i="44"/>
  <c r="F586" i="44"/>
  <c r="J586" i="44"/>
  <c r="F583" i="44"/>
  <c r="J583" i="44"/>
  <c r="Y176" i="6"/>
  <c r="Q347" i="44"/>
  <c r="E344" i="44"/>
  <c r="J344" i="44"/>
  <c r="Y341" i="6"/>
  <c r="Q95" i="44"/>
  <c r="F95" i="44"/>
  <c r="J95" i="44"/>
  <c r="J90" i="44"/>
  <c r="F90" i="44"/>
  <c r="AD13" i="6"/>
  <c r="AA13" i="6" s="1"/>
  <c r="B13" i="6" s="1"/>
  <c r="F379" i="44"/>
  <c r="J379" i="44"/>
  <c r="Y178" i="6"/>
  <c r="Q165" i="44"/>
  <c r="E547" i="44"/>
  <c r="J547" i="44"/>
  <c r="F547" i="44"/>
  <c r="Q545" i="44"/>
  <c r="J545" i="44"/>
  <c r="F545" i="44"/>
  <c r="Q549" i="44"/>
  <c r="F549" i="44"/>
  <c r="J549" i="44"/>
  <c r="Q34" i="44"/>
  <c r="J34" i="44"/>
  <c r="F34" i="44"/>
  <c r="Q320" i="44"/>
  <c r="Q214" i="44"/>
  <c r="J214" i="44"/>
  <c r="E213" i="44"/>
  <c r="J213" i="44"/>
  <c r="F213" i="44"/>
  <c r="E593" i="44"/>
  <c r="E599" i="44"/>
  <c r="F599" i="44"/>
  <c r="J599" i="44"/>
  <c r="F607" i="44"/>
  <c r="J607" i="44"/>
  <c r="Q608" i="44"/>
  <c r="F608" i="44"/>
  <c r="J608" i="44"/>
  <c r="E413" i="44"/>
  <c r="E419" i="44"/>
  <c r="J419" i="44"/>
  <c r="Q463" i="44"/>
  <c r="E461" i="44"/>
  <c r="F461" i="44"/>
  <c r="Q559" i="44"/>
  <c r="F559" i="44"/>
  <c r="J559" i="44"/>
  <c r="Q562" i="44"/>
  <c r="F562" i="44"/>
  <c r="Q431" i="44"/>
  <c r="E623" i="44"/>
  <c r="F294" i="44"/>
  <c r="J294" i="44"/>
  <c r="J293" i="44"/>
  <c r="F293" i="44"/>
  <c r="Q309" i="44"/>
  <c r="F306" i="44"/>
  <c r="J306" i="44"/>
  <c r="Q237" i="44"/>
  <c r="F272" i="44"/>
  <c r="J272" i="44"/>
  <c r="J173" i="44"/>
  <c r="F173" i="44"/>
  <c r="Q177" i="44"/>
  <c r="J177" i="44"/>
  <c r="F177" i="44"/>
  <c r="E525" i="44"/>
  <c r="F525" i="44"/>
  <c r="Q527" i="44"/>
  <c r="J527" i="44"/>
  <c r="E41" i="44"/>
  <c r="F41" i="44"/>
  <c r="J43" i="44"/>
  <c r="F43" i="44"/>
  <c r="Q570" i="44"/>
  <c r="J570" i="44"/>
  <c r="Q438" i="44"/>
  <c r="F438" i="44"/>
  <c r="E486" i="44"/>
  <c r="Q90" i="44"/>
  <c r="E81" i="44"/>
  <c r="J81" i="44"/>
  <c r="F81" i="44"/>
  <c r="Q455" i="44"/>
  <c r="F455" i="44"/>
  <c r="Q454" i="44"/>
  <c r="J454" i="44"/>
  <c r="F454" i="44"/>
  <c r="F19" i="44"/>
  <c r="J19" i="44"/>
  <c r="Q18" i="44"/>
  <c r="F18" i="44"/>
  <c r="J18" i="44"/>
  <c r="E404" i="44"/>
  <c r="E407" i="44"/>
  <c r="E537" i="44"/>
  <c r="Q533" i="44"/>
  <c r="F533" i="44"/>
  <c r="J533" i="44"/>
  <c r="E115" i="44"/>
  <c r="E113" i="44"/>
  <c r="F113" i="44"/>
  <c r="J113" i="44"/>
  <c r="F117" i="44"/>
  <c r="J117" i="44"/>
  <c r="Y170" i="6"/>
  <c r="Z170" i="6" s="1"/>
  <c r="E473" i="44"/>
  <c r="E475" i="44"/>
  <c r="J475" i="44"/>
  <c r="F475" i="44"/>
  <c r="Q478" i="44"/>
  <c r="F478" i="44"/>
  <c r="J478" i="44"/>
  <c r="Q365" i="44"/>
  <c r="Q370" i="44"/>
  <c r="F370" i="44"/>
  <c r="J370" i="44"/>
  <c r="B174" i="14"/>
  <c r="AM105" i="14"/>
  <c r="BN105" i="14" s="1"/>
  <c r="K546" i="44"/>
  <c r="BD105" i="14"/>
  <c r="BC105" i="14"/>
  <c r="R296" i="44"/>
  <c r="Z432" i="6"/>
  <c r="AE432" i="6" s="1"/>
  <c r="Z330" i="6"/>
  <c r="Z233" i="6"/>
  <c r="AE233" i="6" s="1"/>
  <c r="AB233" i="6" s="1"/>
  <c r="C233" i="6" s="1"/>
  <c r="BJ105" i="14"/>
  <c r="C138" i="14"/>
  <c r="R262" i="44"/>
  <c r="L296" i="44"/>
  <c r="Z331" i="6"/>
  <c r="K462" i="44"/>
  <c r="Z403" i="6"/>
  <c r="AD403" i="6" s="1"/>
  <c r="AW174" i="14"/>
  <c r="AZ174" i="14" s="1"/>
  <c r="C183" i="14"/>
  <c r="B105" i="14"/>
  <c r="AM12" i="14"/>
  <c r="BQ12" i="14" s="1"/>
  <c r="AR105" i="14"/>
  <c r="AQ105" i="14" s="1"/>
  <c r="AP105" i="14" s="1"/>
  <c r="AX105" i="14"/>
  <c r="BA105" i="14" s="1"/>
  <c r="K514" i="44"/>
  <c r="L323" i="44"/>
  <c r="K203" i="44"/>
  <c r="AD74" i="6"/>
  <c r="L582" i="44"/>
  <c r="Z371" i="6"/>
  <c r="AD371" i="6" s="1"/>
  <c r="AA371" i="6" s="1"/>
  <c r="B371" i="6" s="1"/>
  <c r="AL183" i="14"/>
  <c r="BJ183" i="14" s="1"/>
  <c r="B183" i="14"/>
  <c r="L262" i="44"/>
  <c r="R514" i="44"/>
  <c r="L462" i="44"/>
  <c r="AW105" i="14"/>
  <c r="AZ105" i="14" s="1"/>
  <c r="BF105" i="14"/>
  <c r="AL174" i="14"/>
  <c r="BD174" i="14" s="1"/>
  <c r="BE105" i="14"/>
  <c r="C105" i="14"/>
  <c r="AL138" i="14"/>
  <c r="BG138" i="14" s="1"/>
  <c r="R427" i="44"/>
  <c r="L427" i="44"/>
  <c r="K94" i="44"/>
  <c r="L246" i="44"/>
  <c r="K334" i="44"/>
  <c r="R582" i="44"/>
  <c r="R209" i="44"/>
  <c r="Z459" i="6"/>
  <c r="AE459" i="6" s="1"/>
  <c r="AB459" i="6" s="1"/>
  <c r="C459" i="6" s="1"/>
  <c r="BH105" i="14"/>
  <c r="AW183" i="14"/>
  <c r="AZ183" i="14" s="1"/>
  <c r="L546" i="44"/>
  <c r="K331" i="44"/>
  <c r="BG105" i="14"/>
  <c r="AX168" i="14"/>
  <c r="BA168" i="14" s="1"/>
  <c r="K323" i="44"/>
  <c r="R334" i="44"/>
  <c r="B138" i="14"/>
  <c r="C174" i="14"/>
  <c r="AM174" i="14"/>
  <c r="BP174" i="14" s="1"/>
  <c r="AM138" i="14"/>
  <c r="BL138" i="14" s="1"/>
  <c r="AM183" i="14"/>
  <c r="BL183" i="14" s="1"/>
  <c r="C168" i="14"/>
  <c r="L203" i="44"/>
  <c r="K209" i="44"/>
  <c r="Z268" i="6"/>
  <c r="AE268" i="6" s="1"/>
  <c r="K55" i="44"/>
  <c r="AD237" i="6"/>
  <c r="AA237" i="6" s="1"/>
  <c r="B237" i="6" s="1"/>
  <c r="AD463" i="6"/>
  <c r="AA463" i="6" s="1"/>
  <c r="B463" i="6" s="1"/>
  <c r="AD405" i="6"/>
  <c r="AA405" i="6" s="1"/>
  <c r="B405" i="6" s="1"/>
  <c r="AE11" i="6"/>
  <c r="AB11" i="6" s="1"/>
  <c r="C11" i="6" s="1"/>
  <c r="AE399" i="6"/>
  <c r="AB399" i="6" s="1"/>
  <c r="C399" i="6" s="1"/>
  <c r="Z173" i="6"/>
  <c r="AD173" i="6" s="1"/>
  <c r="AE182" i="6"/>
  <c r="AB182" i="6" s="1"/>
  <c r="C182" i="6" s="1"/>
  <c r="AE303" i="6"/>
  <c r="AB303" i="6" s="1"/>
  <c r="C303" i="6" s="1"/>
  <c r="AD302" i="6"/>
  <c r="AA302" i="6" s="1"/>
  <c r="B302" i="6" s="1"/>
  <c r="AE405" i="6"/>
  <c r="AB405" i="6" s="1"/>
  <c r="C405" i="6" s="1"/>
  <c r="AE20" i="6"/>
  <c r="AB20" i="6" s="1"/>
  <c r="C20" i="6" s="1"/>
  <c r="AE214" i="6"/>
  <c r="AB214" i="6" s="1"/>
  <c r="C214" i="6" s="1"/>
  <c r="AD136" i="6"/>
  <c r="AA136" i="6" s="1"/>
  <c r="B136" i="6" s="1"/>
  <c r="AD143" i="6"/>
  <c r="AA143" i="6" s="1"/>
  <c r="B143" i="6" s="1"/>
  <c r="AE9" i="6"/>
  <c r="AB9" i="6" s="1"/>
  <c r="C9" i="6" s="1"/>
  <c r="L175" i="44"/>
  <c r="R175" i="44"/>
  <c r="K175" i="44"/>
  <c r="AE119" i="6"/>
  <c r="AB119" i="6" s="1"/>
  <c r="C119" i="6" s="1"/>
  <c r="K236" i="44"/>
  <c r="R236" i="44"/>
  <c r="L236" i="44"/>
  <c r="AD40" i="6"/>
  <c r="AA40" i="6" s="1"/>
  <c r="B40" i="6" s="1"/>
  <c r="Z109" i="6"/>
  <c r="AE109" i="6" s="1"/>
  <c r="AB109" i="6" s="1"/>
  <c r="C109" i="6" s="1"/>
  <c r="AE44" i="6"/>
  <c r="AB44" i="6" s="1"/>
  <c r="C44" i="6" s="1"/>
  <c r="K356" i="44"/>
  <c r="L356" i="44"/>
  <c r="R356" i="44"/>
  <c r="AE40" i="6"/>
  <c r="AB40" i="6" s="1"/>
  <c r="C40" i="6" s="1"/>
  <c r="L392" i="44"/>
  <c r="K392" i="44"/>
  <c r="R392" i="44"/>
  <c r="L464" i="44"/>
  <c r="R464" i="44"/>
  <c r="K464" i="44"/>
  <c r="R451" i="44"/>
  <c r="K451" i="44"/>
  <c r="L451" i="44"/>
  <c r="L501" i="44"/>
  <c r="R501" i="44"/>
  <c r="K501" i="44"/>
  <c r="Z51" i="6"/>
  <c r="AD51" i="6" s="1"/>
  <c r="AA51" i="6" s="1"/>
  <c r="B51" i="6" s="1"/>
  <c r="Z107" i="6"/>
  <c r="AD107" i="6" s="1"/>
  <c r="AA107" i="6" s="1"/>
  <c r="B107" i="6" s="1"/>
  <c r="K620" i="44"/>
  <c r="R620" i="44"/>
  <c r="L620" i="44"/>
  <c r="L141" i="44"/>
  <c r="R141" i="44"/>
  <c r="K141" i="44"/>
  <c r="Z397" i="6"/>
  <c r="AD397" i="6" s="1"/>
  <c r="AA397" i="6" s="1"/>
  <c r="B397" i="6" s="1"/>
  <c r="L581" i="44"/>
  <c r="R581" i="44"/>
  <c r="K581" i="44"/>
  <c r="Z8" i="6"/>
  <c r="AD8" i="6" s="1"/>
  <c r="AE136" i="6"/>
  <c r="AB136" i="6" s="1"/>
  <c r="C136" i="6" s="1"/>
  <c r="Z433" i="6"/>
  <c r="AE433" i="6" s="1"/>
  <c r="AB433" i="6" s="1"/>
  <c r="C433" i="6" s="1"/>
  <c r="AD82" i="6"/>
  <c r="AA82" i="6" s="1"/>
  <c r="B82" i="6" s="1"/>
  <c r="AE203" i="6"/>
  <c r="AB203" i="6" s="1"/>
  <c r="C203" i="6" s="1"/>
  <c r="AD203" i="6"/>
  <c r="AE106" i="6"/>
  <c r="AB106" i="6" s="1"/>
  <c r="C106" i="6" s="1"/>
  <c r="L105" i="44"/>
  <c r="R105" i="44"/>
  <c r="K105" i="44"/>
  <c r="Z466" i="6"/>
  <c r="AE466" i="6" s="1"/>
  <c r="Z460" i="6"/>
  <c r="AE460" i="6" s="1"/>
  <c r="AB460" i="6" s="1"/>
  <c r="C460" i="6" s="1"/>
  <c r="Z493" i="6"/>
  <c r="K65" i="44"/>
  <c r="L65" i="44"/>
  <c r="R65" i="44"/>
  <c r="Z297" i="6"/>
  <c r="AE297" i="6" s="1"/>
  <c r="AB297" i="6" s="1"/>
  <c r="C297" i="6" s="1"/>
  <c r="Z72" i="6"/>
  <c r="AD72" i="6" s="1"/>
  <c r="Z272" i="6"/>
  <c r="AE272" i="6" s="1"/>
  <c r="AD497" i="6"/>
  <c r="AA497" i="6" s="1"/>
  <c r="B497" i="6" s="1"/>
  <c r="AE497" i="6"/>
  <c r="Z76" i="6"/>
  <c r="AD76" i="6" s="1"/>
  <c r="Z458" i="6"/>
  <c r="AD458" i="6" s="1"/>
  <c r="AD209" i="6"/>
  <c r="AA209" i="6" s="1"/>
  <c r="B209" i="6" s="1"/>
  <c r="AW180" i="14"/>
  <c r="AZ180" i="14" s="1"/>
  <c r="AW43" i="14"/>
  <c r="AX22" i="14"/>
  <c r="BA22" i="14" s="1"/>
  <c r="C145" i="14"/>
  <c r="AE209" i="6"/>
  <c r="AB209" i="6" s="1"/>
  <c r="C209" i="6" s="1"/>
  <c r="Z492" i="6"/>
  <c r="AE492" i="6" s="1"/>
  <c r="AB492" i="6" s="1"/>
  <c r="C492" i="6" s="1"/>
  <c r="K8" i="44"/>
  <c r="Z264" i="6"/>
  <c r="AE264" i="6" s="1"/>
  <c r="AB264" i="6" s="1"/>
  <c r="C264" i="6" s="1"/>
  <c r="Z489" i="6"/>
  <c r="Z80" i="6"/>
  <c r="AD80" i="6" s="1"/>
  <c r="AM145" i="14"/>
  <c r="BL145" i="14" s="1"/>
  <c r="Z468" i="6"/>
  <c r="AD468" i="6" s="1"/>
  <c r="AA468" i="6" s="1"/>
  <c r="B468" i="6" s="1"/>
  <c r="L251" i="44"/>
  <c r="R251" i="44"/>
  <c r="K251" i="44"/>
  <c r="AX43" i="14"/>
  <c r="BA43" i="14" s="1"/>
  <c r="R8" i="44"/>
  <c r="K129" i="44"/>
  <c r="L129" i="44"/>
  <c r="R129" i="44"/>
  <c r="L131" i="44"/>
  <c r="K131" i="44"/>
  <c r="R131" i="44"/>
  <c r="R502" i="44"/>
  <c r="K502" i="44"/>
  <c r="L502" i="44"/>
  <c r="R125" i="44"/>
  <c r="L125" i="44"/>
  <c r="K125" i="44"/>
  <c r="R439" i="44"/>
  <c r="K439" i="44"/>
  <c r="L439" i="44"/>
  <c r="AZ173" i="14"/>
  <c r="K371" i="44"/>
  <c r="L371" i="44"/>
  <c r="R371" i="44"/>
  <c r="R153" i="44"/>
  <c r="L153" i="44"/>
  <c r="K153" i="44"/>
  <c r="L127" i="44"/>
  <c r="K127" i="44"/>
  <c r="R127" i="44"/>
  <c r="R369" i="44"/>
  <c r="L369" i="44"/>
  <c r="K369" i="44"/>
  <c r="AE112" i="6"/>
  <c r="AB112" i="6" s="1"/>
  <c r="C112" i="6" s="1"/>
  <c r="R443" i="44"/>
  <c r="L443" i="44"/>
  <c r="K443" i="44"/>
  <c r="L417" i="44"/>
  <c r="K417" i="44"/>
  <c r="R417" i="44"/>
  <c r="L224" i="44"/>
  <c r="K224" i="44"/>
  <c r="R224" i="44"/>
  <c r="L310" i="44"/>
  <c r="K310" i="44"/>
  <c r="R310" i="44"/>
  <c r="R307" i="44"/>
  <c r="K307" i="44"/>
  <c r="L307" i="44"/>
  <c r="K149" i="44"/>
  <c r="L149" i="44"/>
  <c r="R149" i="44"/>
  <c r="AZ75" i="14"/>
  <c r="L619" i="44"/>
  <c r="R619" i="44"/>
  <c r="K619" i="44"/>
  <c r="L130" i="44"/>
  <c r="K130" i="44"/>
  <c r="R130" i="44"/>
  <c r="L225" i="44"/>
  <c r="K225" i="44"/>
  <c r="R225" i="44"/>
  <c r="K440" i="44"/>
  <c r="L440" i="44"/>
  <c r="R440" i="44"/>
  <c r="L499" i="44"/>
  <c r="K499" i="44"/>
  <c r="R499" i="44"/>
  <c r="K503" i="44"/>
  <c r="R503" i="44"/>
  <c r="L503" i="44"/>
  <c r="AE243" i="6"/>
  <c r="AB243" i="6" s="1"/>
  <c r="C243" i="6" s="1"/>
  <c r="AE275" i="6"/>
  <c r="AB275" i="6" s="1"/>
  <c r="C275" i="6" s="1"/>
  <c r="AE235" i="6"/>
  <c r="AD235" i="6"/>
  <c r="AA235" i="6" s="1"/>
  <c r="B235" i="6" s="1"/>
  <c r="AD363" i="6"/>
  <c r="AE363" i="6"/>
  <c r="AB363" i="6" s="1"/>
  <c r="C363" i="6" s="1"/>
  <c r="AD360" i="6"/>
  <c r="AE360" i="6"/>
  <c r="AD276" i="6"/>
  <c r="AE501" i="6"/>
  <c r="AD501" i="6"/>
  <c r="AE498" i="6"/>
  <c r="AE488" i="6"/>
  <c r="AA488" i="6"/>
  <c r="B488" i="6" s="1"/>
  <c r="AD436" i="6"/>
  <c r="AD338" i="6"/>
  <c r="AA338" i="6" s="1"/>
  <c r="B338" i="6" s="1"/>
  <c r="AE338" i="6"/>
  <c r="AE330" i="6"/>
  <c r="AB330" i="6" s="1"/>
  <c r="C330" i="6" s="1"/>
  <c r="AD330" i="6"/>
  <c r="AA336" i="6"/>
  <c r="B336" i="6" s="1"/>
  <c r="AE305" i="6"/>
  <c r="AE300" i="6"/>
  <c r="AB300" i="6" s="1"/>
  <c r="C300" i="6" s="1"/>
  <c r="AD298" i="6"/>
  <c r="AE298" i="6"/>
  <c r="AB298" i="6" s="1"/>
  <c r="C298" i="6" s="1"/>
  <c r="AD273" i="6"/>
  <c r="AA273" i="6" s="1"/>
  <c r="B273" i="6" s="1"/>
  <c r="AL40" i="14"/>
  <c r="B176" i="14"/>
  <c r="AL176" i="14"/>
  <c r="BI176" i="14" s="1"/>
  <c r="AD246" i="6"/>
  <c r="AA246" i="6" s="1"/>
  <c r="B246" i="6" s="1"/>
  <c r="AE246" i="6"/>
  <c r="AD238" i="6"/>
  <c r="AE238" i="6"/>
  <c r="AB238" i="6" s="1"/>
  <c r="C238" i="6" s="1"/>
  <c r="AE241" i="6"/>
  <c r="AD241" i="6"/>
  <c r="AA241" i="6" s="1"/>
  <c r="B241" i="6" s="1"/>
  <c r="AE232" i="6"/>
  <c r="AD232" i="6"/>
  <c r="AA232" i="6"/>
  <c r="B232" i="6" s="1"/>
  <c r="AM75" i="14"/>
  <c r="BP75" i="14" s="1"/>
  <c r="AL83" i="14"/>
  <c r="BG83" i="14" s="1"/>
  <c r="AE464" i="6"/>
  <c r="AD464" i="6"/>
  <c r="AA464" i="6" s="1"/>
  <c r="B464" i="6" s="1"/>
  <c r="AD465" i="6"/>
  <c r="AE465" i="6"/>
  <c r="AB465" i="6" s="1"/>
  <c r="C465" i="6" s="1"/>
  <c r="AE457" i="6"/>
  <c r="AD457" i="6"/>
  <c r="AD434" i="6"/>
  <c r="AA434" i="6" s="1"/>
  <c r="B434" i="6" s="1"/>
  <c r="AD392" i="6"/>
  <c r="B85" i="14"/>
  <c r="AL85" i="14"/>
  <c r="BF85" i="14" s="1"/>
  <c r="AE427" i="6"/>
  <c r="AB427" i="6" s="1"/>
  <c r="C427" i="6" s="1"/>
  <c r="AD427" i="6"/>
  <c r="AD437" i="6"/>
  <c r="AA437" i="6" s="1"/>
  <c r="B437" i="6" s="1"/>
  <c r="AD435" i="6"/>
  <c r="AA435" i="6" s="1"/>
  <c r="B435" i="6" s="1"/>
  <c r="AE435" i="6"/>
  <c r="AE426" i="6"/>
  <c r="AB426" i="6" s="1"/>
  <c r="C426" i="6" s="1"/>
  <c r="AE428" i="6"/>
  <c r="AD428" i="6"/>
  <c r="AE139" i="6"/>
  <c r="AB139" i="6" s="1"/>
  <c r="C139" i="6" s="1"/>
  <c r="AD181" i="6"/>
  <c r="BQ183" i="14"/>
  <c r="BR183" i="14"/>
  <c r="BN183" i="14"/>
  <c r="AE404" i="6"/>
  <c r="AE401" i="6"/>
  <c r="AD400" i="6"/>
  <c r="AA400" i="6" s="1"/>
  <c r="B400" i="6" s="1"/>
  <c r="AE400" i="6"/>
  <c r="AE396" i="6"/>
  <c r="AB396" i="6" s="1"/>
  <c r="C396" i="6" s="1"/>
  <c r="BP183" i="14"/>
  <c r="BM183" i="14"/>
  <c r="AV183" i="14"/>
  <c r="AU183" i="14" s="1"/>
  <c r="AT183" i="14" s="1"/>
  <c r="BK138" i="14"/>
  <c r="BO138" i="14"/>
  <c r="BM138" i="14"/>
  <c r="BR138" i="14"/>
  <c r="AV138" i="14"/>
  <c r="AU138" i="14" s="1"/>
  <c r="AT138" i="14" s="1"/>
  <c r="BO12" i="14"/>
  <c r="BM12" i="14"/>
  <c r="BF174" i="14"/>
  <c r="AV12" i="14"/>
  <c r="AU12" i="14" s="1"/>
  <c r="AT12" i="14" s="1"/>
  <c r="BG174" i="14"/>
  <c r="AR174" i="14"/>
  <c r="AQ174" i="14" s="1"/>
  <c r="AP174" i="14" s="1"/>
  <c r="BJ174" i="14"/>
  <c r="BH174" i="14"/>
  <c r="BI174" i="14"/>
  <c r="BE174" i="14"/>
  <c r="BC174" i="14"/>
  <c r="BK105" i="14"/>
  <c r="BK12" i="14"/>
  <c r="AR183" i="14"/>
  <c r="AQ183" i="14" s="1"/>
  <c r="AP183" i="14" s="1"/>
  <c r="BR12" i="14"/>
  <c r="BL12" i="14"/>
  <c r="BN12" i="14"/>
  <c r="BP12" i="14"/>
  <c r="AD274" i="6"/>
  <c r="AA274" i="6" s="1"/>
  <c r="B274" i="6" s="1"/>
  <c r="AR138" i="14"/>
  <c r="AQ138" i="14" s="1"/>
  <c r="AP138" i="14" s="1"/>
  <c r="BC138" i="14"/>
  <c r="BE138" i="14"/>
  <c r="BD138" i="14"/>
  <c r="AD438" i="6"/>
  <c r="AA438" i="6" s="1"/>
  <c r="B438" i="6" s="1"/>
  <c r="AE403" i="6"/>
  <c r="AB403" i="6" s="1"/>
  <c r="C403" i="6" s="1"/>
  <c r="AD425" i="6"/>
  <c r="T174" i="48"/>
  <c r="U113" i="50"/>
  <c r="T267" i="49"/>
  <c r="T91" i="40"/>
  <c r="T113" i="50"/>
  <c r="V333" i="48"/>
  <c r="T113" i="49"/>
  <c r="U157" i="48"/>
  <c r="T135" i="48"/>
  <c r="T80" i="50"/>
  <c r="V289" i="49"/>
  <c r="U91" i="48"/>
  <c r="U113" i="48"/>
  <c r="T91" i="48"/>
  <c r="T102" i="40"/>
  <c r="T300" i="50"/>
  <c r="T91" i="49"/>
  <c r="U102" i="49"/>
  <c r="T124" i="48"/>
  <c r="U135" i="48"/>
  <c r="V300" i="49"/>
  <c r="U146" i="48"/>
  <c r="T333" i="48"/>
  <c r="U124" i="48"/>
  <c r="T289" i="48"/>
  <c r="U102" i="48"/>
  <c r="T102" i="50"/>
  <c r="T267" i="50"/>
  <c r="U113" i="49"/>
  <c r="U80" i="49"/>
  <c r="T113" i="48"/>
  <c r="T322" i="48"/>
  <c r="T344" i="48"/>
  <c r="T146" i="40"/>
  <c r="T135" i="40"/>
  <c r="U102" i="50"/>
  <c r="T80" i="49"/>
  <c r="V311" i="48"/>
  <c r="V322" i="48"/>
  <c r="V300" i="48"/>
  <c r="T113" i="40"/>
  <c r="V289" i="50"/>
  <c r="T278" i="49"/>
  <c r="U91" i="49"/>
  <c r="T311" i="48"/>
  <c r="T300" i="48"/>
  <c r="T102" i="48"/>
  <c r="T157" i="40"/>
  <c r="U91" i="50"/>
  <c r="V278" i="50"/>
  <c r="V300" i="50"/>
  <c r="T102" i="49"/>
  <c r="V278" i="49"/>
  <c r="T289" i="49"/>
  <c r="T278" i="48"/>
  <c r="V289" i="48"/>
  <c r="T91" i="50"/>
  <c r="T278" i="50"/>
  <c r="T289" i="50"/>
  <c r="T300" i="49"/>
  <c r="T146" i="48"/>
  <c r="T157" i="48"/>
  <c r="V344" i="48"/>
  <c r="T124" i="40"/>
  <c r="U80" i="50"/>
  <c r="T75" i="40"/>
  <c r="U58" i="49"/>
  <c r="T65" i="49"/>
  <c r="U76" i="48"/>
  <c r="T69" i="48"/>
  <c r="T251" i="49"/>
  <c r="U66" i="49"/>
  <c r="T264" i="48"/>
  <c r="U65" i="50"/>
  <c r="T249" i="49"/>
  <c r="T261" i="48"/>
  <c r="T253" i="49"/>
  <c r="T252" i="49"/>
  <c r="U65" i="49"/>
  <c r="T260" i="48"/>
  <c r="T75" i="48"/>
  <c r="T77" i="40"/>
  <c r="T66" i="50"/>
  <c r="U61" i="49"/>
  <c r="U77" i="48"/>
  <c r="T76" i="48"/>
  <c r="U58" i="50"/>
  <c r="U64" i="49"/>
  <c r="T262" i="48"/>
  <c r="U73" i="48"/>
  <c r="U75" i="48"/>
  <c r="T250" i="49"/>
  <c r="T66" i="49"/>
  <c r="T77" i="48"/>
  <c r="U62" i="49"/>
  <c r="U63" i="49"/>
  <c r="T74" i="48"/>
  <c r="T76" i="40"/>
  <c r="T253" i="50"/>
  <c r="U66" i="50"/>
  <c r="T248" i="49"/>
  <c r="T64" i="49"/>
  <c r="U74" i="48"/>
  <c r="T69" i="40"/>
  <c r="T58" i="49"/>
  <c r="T245" i="49"/>
  <c r="T256" i="48"/>
  <c r="T245" i="50"/>
  <c r="U69" i="48"/>
  <c r="T58" i="50"/>
  <c r="U77" i="49"/>
  <c r="T237" i="49"/>
  <c r="T198" i="49"/>
  <c r="T219" i="49"/>
  <c r="U62" i="48"/>
  <c r="T88" i="48"/>
  <c r="U44" i="49"/>
  <c r="U9" i="49"/>
  <c r="T246" i="48"/>
  <c r="U65" i="48"/>
  <c r="U76" i="49"/>
  <c r="U75" i="49"/>
  <c r="U16" i="48"/>
  <c r="T274" i="48"/>
  <c r="T22" i="49"/>
  <c r="T229" i="49"/>
  <c r="U22" i="49"/>
  <c r="T262" i="49"/>
  <c r="U20" i="49"/>
  <c r="U43" i="49"/>
  <c r="U16" i="49"/>
  <c r="U55" i="49"/>
  <c r="T235" i="49"/>
  <c r="T53" i="49"/>
  <c r="U17" i="49"/>
  <c r="U11" i="49"/>
  <c r="T33" i="49"/>
  <c r="U49" i="49"/>
  <c r="T259" i="49"/>
  <c r="T76" i="49"/>
  <c r="T55" i="49"/>
  <c r="T203" i="49"/>
  <c r="T258" i="49"/>
  <c r="U73" i="49"/>
  <c r="T261" i="49"/>
  <c r="T241" i="49"/>
  <c r="T75" i="49"/>
  <c r="T197" i="49"/>
  <c r="U51" i="49"/>
  <c r="U71" i="49"/>
  <c r="T21" i="49"/>
  <c r="U48" i="49"/>
  <c r="T18" i="49"/>
  <c r="T43" i="49"/>
  <c r="T220" i="49"/>
  <c r="U21" i="49"/>
  <c r="U32" i="49"/>
  <c r="T49" i="49"/>
  <c r="U19" i="49"/>
  <c r="T74" i="49"/>
  <c r="T195" i="49"/>
  <c r="U18" i="49"/>
  <c r="T260" i="49"/>
  <c r="T20" i="49"/>
  <c r="T11" i="49"/>
  <c r="U42" i="49"/>
  <c r="T207" i="49"/>
  <c r="T44" i="49"/>
  <c r="T204" i="49"/>
  <c r="U54" i="49"/>
  <c r="U10" i="49"/>
  <c r="T242" i="49"/>
  <c r="U72" i="49"/>
  <c r="T236" i="49"/>
  <c r="T54" i="49"/>
  <c r="T19" i="49"/>
  <c r="T263" i="49"/>
  <c r="T209" i="49"/>
  <c r="T231" i="49"/>
  <c r="U74" i="49"/>
  <c r="T208" i="49"/>
  <c r="T240" i="49"/>
  <c r="U18" i="48"/>
  <c r="T17" i="49"/>
  <c r="T239" i="49"/>
  <c r="U33" i="49"/>
  <c r="T22" i="48"/>
  <c r="T238" i="49"/>
  <c r="U53" i="49"/>
  <c r="T48" i="49"/>
  <c r="T230" i="49"/>
  <c r="T231" i="48"/>
  <c r="T65" i="48"/>
  <c r="T64" i="48"/>
  <c r="T66" i="48"/>
  <c r="U20" i="50"/>
  <c r="T33" i="50"/>
  <c r="T55" i="50"/>
  <c r="T241" i="50"/>
  <c r="T198" i="50"/>
  <c r="T261" i="50"/>
  <c r="T242" i="50"/>
  <c r="T207" i="50"/>
  <c r="T50" i="50"/>
  <c r="U76" i="50"/>
  <c r="T240" i="50"/>
  <c r="U54" i="50"/>
  <c r="T52" i="50"/>
  <c r="T219" i="50"/>
  <c r="T239" i="50"/>
  <c r="U55" i="50"/>
  <c r="T44" i="50"/>
  <c r="T11" i="50"/>
  <c r="U51" i="50"/>
  <c r="T49" i="50"/>
  <c r="T51" i="50"/>
  <c r="T75" i="50"/>
  <c r="T264" i="50"/>
  <c r="T238" i="50"/>
  <c r="U77" i="50"/>
  <c r="T209" i="50"/>
  <c r="T21" i="50"/>
  <c r="T77" i="50"/>
  <c r="U74" i="50"/>
  <c r="T262" i="50"/>
  <c r="T230" i="50"/>
  <c r="U44" i="50"/>
  <c r="T206" i="50"/>
  <c r="U19" i="50"/>
  <c r="T220" i="50"/>
  <c r="U11" i="50"/>
  <c r="T53" i="50"/>
  <c r="T20" i="50"/>
  <c r="U53" i="50"/>
  <c r="U32" i="50"/>
  <c r="T263" i="50"/>
  <c r="T237" i="50"/>
  <c r="U43" i="50"/>
  <c r="T208" i="50"/>
  <c r="U33" i="50"/>
  <c r="T76" i="50"/>
  <c r="T231" i="50"/>
  <c r="U52" i="50"/>
  <c r="U49" i="50"/>
  <c r="T236" i="50"/>
  <c r="U21" i="50"/>
  <c r="T54" i="50"/>
  <c r="U50" i="50"/>
  <c r="T22" i="50"/>
  <c r="U22" i="50"/>
  <c r="U75" i="50"/>
  <c r="T196" i="49"/>
  <c r="T264" i="49"/>
  <c r="U50" i="49"/>
  <c r="T50" i="49"/>
  <c r="T10" i="49"/>
  <c r="T208" i="48"/>
  <c r="U44" i="48"/>
  <c r="U42" i="48"/>
  <c r="U10" i="48"/>
  <c r="T240" i="48"/>
  <c r="T21" i="48"/>
  <c r="U64" i="48"/>
  <c r="U59" i="48"/>
  <c r="T207" i="48"/>
  <c r="T43" i="48"/>
  <c r="T205" i="48"/>
  <c r="T229" i="48"/>
  <c r="T238" i="48"/>
  <c r="T249" i="48"/>
  <c r="U19" i="48"/>
  <c r="T61" i="48"/>
  <c r="U66" i="48"/>
  <c r="U11" i="48"/>
  <c r="T204" i="48"/>
  <c r="U86" i="48"/>
  <c r="U51" i="48"/>
  <c r="U20" i="48"/>
  <c r="U87" i="48"/>
  <c r="T247" i="48"/>
  <c r="U85" i="48"/>
  <c r="T11" i="48"/>
  <c r="U88" i="48"/>
  <c r="U63" i="48"/>
  <c r="T253" i="48"/>
  <c r="U22" i="48"/>
  <c r="T251" i="48"/>
  <c r="T273" i="48"/>
  <c r="T209" i="48"/>
  <c r="T228" i="48"/>
  <c r="U21" i="48"/>
  <c r="U60" i="48"/>
  <c r="U32" i="48"/>
  <c r="T62" i="48"/>
  <c r="U41" i="48"/>
  <c r="U54" i="48"/>
  <c r="U84" i="48"/>
  <c r="T250" i="48"/>
  <c r="U43" i="48"/>
  <c r="T241" i="48"/>
  <c r="U17" i="48"/>
  <c r="U61" i="48"/>
  <c r="U55" i="48"/>
  <c r="T198" i="48"/>
  <c r="T239" i="48"/>
  <c r="T252" i="48"/>
  <c r="T203" i="48"/>
  <c r="T220" i="48"/>
  <c r="T272" i="48"/>
  <c r="U52" i="48"/>
  <c r="T60" i="48"/>
  <c r="T63" i="48"/>
  <c r="T44" i="48"/>
  <c r="T248" i="48"/>
  <c r="T202" i="48"/>
  <c r="T197" i="48"/>
  <c r="T242" i="48"/>
  <c r="T219" i="48"/>
  <c r="T275" i="48"/>
  <c r="T33" i="48"/>
  <c r="U53" i="48"/>
  <c r="T230" i="48"/>
  <c r="T206" i="48"/>
  <c r="T54" i="40"/>
  <c r="T205" i="49"/>
  <c r="T42" i="49"/>
  <c r="T52" i="49"/>
  <c r="T51" i="49"/>
  <c r="T271" i="48"/>
  <c r="T16" i="49"/>
  <c r="T206" i="49"/>
  <c r="T77" i="49"/>
  <c r="U52" i="49"/>
  <c r="U8" i="49"/>
  <c r="U33" i="48"/>
  <c r="U15" i="48"/>
  <c r="T55" i="40"/>
  <c r="T11" i="40"/>
  <c r="T33" i="40"/>
  <c r="T21" i="40"/>
  <c r="T86" i="40"/>
  <c r="T63" i="40"/>
  <c r="T87" i="40"/>
  <c r="T17" i="40"/>
  <c r="T65" i="40"/>
  <c r="T44" i="40"/>
  <c r="T64" i="40"/>
  <c r="T18" i="40"/>
  <c r="T66" i="40"/>
  <c r="T88" i="40"/>
  <c r="T19" i="40"/>
  <c r="T20" i="40"/>
  <c r="T61" i="40"/>
  <c r="T62" i="40"/>
  <c r="T22" i="40"/>
  <c r="U47" i="50"/>
  <c r="T212" i="48"/>
  <c r="T256" i="49"/>
  <c r="T25" i="49"/>
  <c r="T267" i="48"/>
  <c r="T47" i="49"/>
  <c r="T25" i="48"/>
  <c r="T201" i="50"/>
  <c r="U14" i="49"/>
  <c r="T36" i="49"/>
  <c r="T14" i="48"/>
  <c r="T58" i="48"/>
  <c r="T245" i="48"/>
  <c r="T47" i="50"/>
  <c r="T212" i="50"/>
  <c r="T47" i="48"/>
  <c r="T256" i="50"/>
  <c r="T201" i="49"/>
  <c r="U25" i="49"/>
  <c r="T234" i="48"/>
  <c r="U36" i="48"/>
  <c r="T58" i="40"/>
  <c r="T36" i="40"/>
  <c r="T14" i="50"/>
  <c r="T36" i="50"/>
  <c r="U69" i="49"/>
  <c r="T69" i="49"/>
  <c r="T201" i="48"/>
  <c r="T223" i="48"/>
  <c r="U14" i="48"/>
  <c r="T14" i="40"/>
  <c r="T234" i="49"/>
  <c r="T80" i="48"/>
  <c r="T25" i="40"/>
  <c r="U25" i="50"/>
  <c r="T69" i="50"/>
  <c r="T25" i="50"/>
  <c r="U36" i="49"/>
  <c r="T223" i="49"/>
  <c r="U80" i="48"/>
  <c r="U47" i="48"/>
  <c r="T36" i="48"/>
  <c r="U69" i="50"/>
  <c r="U36" i="50"/>
  <c r="T14" i="49"/>
  <c r="U47" i="49"/>
  <c r="U58" i="48"/>
  <c r="U25" i="48"/>
  <c r="U14" i="50"/>
  <c r="T234" i="50"/>
  <c r="T212" i="49"/>
  <c r="T47" i="40"/>
  <c r="T80" i="40"/>
  <c r="T223" i="50"/>
  <c r="R70" i="48"/>
  <c r="R70" i="40"/>
  <c r="R59" i="49"/>
  <c r="AE77" i="6" l="1"/>
  <c r="AB77" i="6" s="1"/>
  <c r="C77" i="6" s="1"/>
  <c r="AD77" i="6"/>
  <c r="AD73" i="6"/>
  <c r="AA73" i="6"/>
  <c r="B73" i="6" s="1"/>
  <c r="AD149" i="6"/>
  <c r="AA149" i="6" s="1"/>
  <c r="B149" i="6" s="1"/>
  <c r="AE149" i="6"/>
  <c r="AE424" i="6"/>
  <c r="AB424" i="6" s="1"/>
  <c r="C424" i="6" s="1"/>
  <c r="AD424" i="6"/>
  <c r="AE202" i="6"/>
  <c r="AB202" i="6" s="1"/>
  <c r="C202" i="6" s="1"/>
  <c r="AD202" i="6"/>
  <c r="BO174" i="14"/>
  <c r="AE177" i="6"/>
  <c r="C42" i="14"/>
  <c r="Z141" i="6"/>
  <c r="R154" i="44"/>
  <c r="K488" i="44"/>
  <c r="R488" i="44"/>
  <c r="L488" i="44"/>
  <c r="L30" i="44"/>
  <c r="R30" i="44"/>
  <c r="K30" i="44"/>
  <c r="AD373" i="6"/>
  <c r="AA373" i="6" s="1"/>
  <c r="B373" i="6" s="1"/>
  <c r="Z365" i="6"/>
  <c r="Z309" i="6"/>
  <c r="L573" i="44"/>
  <c r="K573" i="44"/>
  <c r="R573" i="44"/>
  <c r="K188" i="44"/>
  <c r="R188" i="44"/>
  <c r="BN174" i="14"/>
  <c r="BL174" i="14"/>
  <c r="AE467" i="6"/>
  <c r="Z301" i="6"/>
  <c r="AD301" i="6" s="1"/>
  <c r="AE211" i="6"/>
  <c r="AB211" i="6" s="1"/>
  <c r="C211" i="6" s="1"/>
  <c r="R571" i="44"/>
  <c r="L571" i="44"/>
  <c r="K571" i="44"/>
  <c r="L311" i="44"/>
  <c r="K311" i="44"/>
  <c r="R311" i="44"/>
  <c r="L284" i="44"/>
  <c r="R284" i="44"/>
  <c r="K284" i="44"/>
  <c r="L512" i="44"/>
  <c r="K512" i="44"/>
  <c r="R512" i="44"/>
  <c r="BQ174" i="14"/>
  <c r="AE240" i="6"/>
  <c r="AB240" i="6" s="1"/>
  <c r="C240" i="6" s="1"/>
  <c r="K526" i="44"/>
  <c r="L526" i="44"/>
  <c r="R526" i="44"/>
  <c r="K35" i="44"/>
  <c r="R35" i="44"/>
  <c r="AE308" i="6"/>
  <c r="R610" i="44"/>
  <c r="K610" i="44"/>
  <c r="L610" i="44"/>
  <c r="L17" i="44"/>
  <c r="R17" i="44"/>
  <c r="K17" i="44"/>
  <c r="Z333" i="6"/>
  <c r="Z85" i="6"/>
  <c r="Z81" i="6"/>
  <c r="Z270" i="6"/>
  <c r="Z172" i="6"/>
  <c r="AA172" i="6" s="1"/>
  <c r="B172" i="6" s="1"/>
  <c r="L287" i="44"/>
  <c r="K287" i="44"/>
  <c r="R287" i="44"/>
  <c r="L522" i="44"/>
  <c r="R522" i="44"/>
  <c r="K522" i="44"/>
  <c r="AD430" i="6"/>
  <c r="AE234" i="6"/>
  <c r="AB234" i="6" s="1"/>
  <c r="C234" i="6" s="1"/>
  <c r="Z500" i="6"/>
  <c r="AD500" i="6" s="1"/>
  <c r="AA500" i="6" s="1"/>
  <c r="B500" i="6" s="1"/>
  <c r="R332" i="44"/>
  <c r="K557" i="44"/>
  <c r="L188" i="44"/>
  <c r="Z429" i="6"/>
  <c r="R485" i="44"/>
  <c r="L485" i="44"/>
  <c r="K485" i="44"/>
  <c r="K575" i="44"/>
  <c r="L575" i="44"/>
  <c r="R575" i="44"/>
  <c r="L59" i="44"/>
  <c r="K59" i="44"/>
  <c r="R59" i="44"/>
  <c r="AE42" i="6"/>
  <c r="AB42" i="6" s="1"/>
  <c r="C42" i="6" s="1"/>
  <c r="B42" i="14"/>
  <c r="K154" i="44"/>
  <c r="L332" i="44"/>
  <c r="K126" i="44"/>
  <c r="R126" i="44"/>
  <c r="L126" i="44"/>
  <c r="Z210" i="6"/>
  <c r="AE210" i="6" s="1"/>
  <c r="L9" i="44"/>
  <c r="R9" i="44"/>
  <c r="AE500" i="6"/>
  <c r="BR174" i="14"/>
  <c r="AE468" i="6"/>
  <c r="BM174" i="14"/>
  <c r="AV174" i="14"/>
  <c r="AU174" i="14" s="1"/>
  <c r="AT174" i="14" s="1"/>
  <c r="K285" i="44"/>
  <c r="Z496" i="6"/>
  <c r="AD496" i="6" s="1"/>
  <c r="Z148" i="6"/>
  <c r="Z372" i="6"/>
  <c r="AD372" i="6" s="1"/>
  <c r="AA372" i="6" s="1"/>
  <c r="B372" i="6" s="1"/>
  <c r="Z299" i="6"/>
  <c r="AE299" i="6" s="1"/>
  <c r="AB299" i="6" s="1"/>
  <c r="C299" i="6" s="1"/>
  <c r="BI183" i="14"/>
  <c r="BK174" i="14"/>
  <c r="BP105" i="14"/>
  <c r="BF183" i="14"/>
  <c r="AE80" i="6"/>
  <c r="AB80" i="6" s="1"/>
  <c r="C80" i="6" s="1"/>
  <c r="AD432" i="6"/>
  <c r="AA432" i="6" s="1"/>
  <c r="B432" i="6" s="1"/>
  <c r="L285" i="44"/>
  <c r="BG183" i="14"/>
  <c r="BD183" i="14"/>
  <c r="BK183" i="14"/>
  <c r="AD272" i="6"/>
  <c r="AA272" i="6" s="1"/>
  <c r="B272" i="6" s="1"/>
  <c r="AD466" i="6"/>
  <c r="AA466" i="6" s="1"/>
  <c r="B466" i="6" s="1"/>
  <c r="Z108" i="6"/>
  <c r="AD369" i="6"/>
  <c r="AA369" i="6" s="1"/>
  <c r="B369" i="6" s="1"/>
  <c r="AE369" i="6"/>
  <c r="AE138" i="6"/>
  <c r="AB138" i="6" s="1"/>
  <c r="C138" i="6" s="1"/>
  <c r="Z394" i="6"/>
  <c r="Z340" i="6"/>
  <c r="AD340" i="6" s="1"/>
  <c r="Z499" i="6"/>
  <c r="AE499" i="6" s="1"/>
  <c r="Z395" i="6"/>
  <c r="AE395" i="6" s="1"/>
  <c r="BE183" i="14"/>
  <c r="BC183" i="14"/>
  <c r="BH183" i="14"/>
  <c r="BO183" i="14"/>
  <c r="AD233" i="6"/>
  <c r="AE206" i="6"/>
  <c r="AB206" i="6" s="1"/>
  <c r="C206" i="6" s="1"/>
  <c r="Z208" i="6"/>
  <c r="AD208" i="6" s="1"/>
  <c r="AA208" i="6" s="1"/>
  <c r="B208" i="6" s="1"/>
  <c r="Z494" i="6"/>
  <c r="AD138" i="6"/>
  <c r="AA138" i="6" s="1"/>
  <c r="B138" i="6" s="1"/>
  <c r="AD296" i="6"/>
  <c r="AE296" i="6"/>
  <c r="AE456" i="6"/>
  <c r="AB456" i="6" s="1"/>
  <c r="C456" i="6" s="1"/>
  <c r="AD456" i="6"/>
  <c r="AD270" i="6"/>
  <c r="AE270" i="6"/>
  <c r="AB270" i="6" s="1"/>
  <c r="C270" i="6" s="1"/>
  <c r="AD78" i="6"/>
  <c r="AE78" i="6"/>
  <c r="AB78" i="6" s="1"/>
  <c r="C78" i="6" s="1"/>
  <c r="AD395" i="6"/>
  <c r="Z329" i="6"/>
  <c r="AD329" i="6" s="1"/>
  <c r="Z328" i="6"/>
  <c r="AD328" i="6" s="1"/>
  <c r="AA328" i="6" s="1"/>
  <c r="B328" i="6" s="1"/>
  <c r="K329" i="44"/>
  <c r="L329" i="44"/>
  <c r="R329" i="44"/>
  <c r="R155" i="44"/>
  <c r="L155" i="44"/>
  <c r="K155" i="44"/>
  <c r="Z398" i="6"/>
  <c r="T263" i="48"/>
  <c r="T252" i="50"/>
  <c r="AD469" i="6"/>
  <c r="AA469" i="6" s="1"/>
  <c r="B469" i="6" s="1"/>
  <c r="B40" i="14"/>
  <c r="AE278" i="6"/>
  <c r="AE339" i="6"/>
  <c r="AL52" i="14"/>
  <c r="BI52" i="14" s="1"/>
  <c r="AM173" i="14"/>
  <c r="R67" i="44"/>
  <c r="Z364" i="6"/>
  <c r="Z502" i="6"/>
  <c r="AE204" i="6"/>
  <c r="AB204" i="6" s="1"/>
  <c r="C204" i="6" s="1"/>
  <c r="K69" i="44"/>
  <c r="Z307" i="6"/>
  <c r="L215" i="44"/>
  <c r="R215" i="44"/>
  <c r="K215" i="44"/>
  <c r="L319" i="44"/>
  <c r="K319" i="44"/>
  <c r="R319" i="44"/>
  <c r="L152" i="44"/>
  <c r="R152" i="44"/>
  <c r="K152" i="44"/>
  <c r="Z267" i="6"/>
  <c r="L245" i="44"/>
  <c r="R245" i="44"/>
  <c r="K245" i="44"/>
  <c r="Z169" i="6"/>
  <c r="Z393" i="6"/>
  <c r="R7" i="44"/>
  <c r="L7" i="44"/>
  <c r="AE73" i="6"/>
  <c r="AE180" i="6"/>
  <c r="AB180" i="6" s="1"/>
  <c r="C180" i="6" s="1"/>
  <c r="AD268" i="6"/>
  <c r="AE361" i="6"/>
  <c r="AB361" i="6" s="1"/>
  <c r="C361" i="6" s="1"/>
  <c r="Z368" i="6"/>
  <c r="AD368" i="6" s="1"/>
  <c r="AA368" i="6" s="1"/>
  <c r="B368" i="6" s="1"/>
  <c r="AX11" i="14"/>
  <c r="BA11" i="14" s="1"/>
  <c r="Z304" i="6"/>
  <c r="Z337" i="6"/>
  <c r="Z332" i="6"/>
  <c r="K380" i="44"/>
  <c r="R380" i="44"/>
  <c r="L380" i="44"/>
  <c r="Z200" i="6"/>
  <c r="K605" i="44"/>
  <c r="R605" i="44"/>
  <c r="L605" i="44"/>
  <c r="Z461" i="6"/>
  <c r="Z140" i="6"/>
  <c r="AD374" i="6"/>
  <c r="AA374" i="6" s="1"/>
  <c r="B374" i="6" s="1"/>
  <c r="Z265" i="6"/>
  <c r="L91" i="44"/>
  <c r="R91" i="44"/>
  <c r="K91" i="44"/>
  <c r="Z402" i="6"/>
  <c r="AA268" i="6"/>
  <c r="B268" i="6" s="1"/>
  <c r="AE76" i="6"/>
  <c r="AB76" i="6" s="1"/>
  <c r="C76" i="6" s="1"/>
  <c r="AX173" i="14"/>
  <c r="BA173" i="14" s="1"/>
  <c r="C173" i="14"/>
  <c r="AE170" i="6"/>
  <c r="AB170" i="6" s="1"/>
  <c r="C170" i="6" s="1"/>
  <c r="AD150" i="6"/>
  <c r="AA150" i="6" s="1"/>
  <c r="B150" i="6" s="1"/>
  <c r="AD244" i="6"/>
  <c r="AA244" i="6" s="1"/>
  <c r="B244" i="6" s="1"/>
  <c r="AD79" i="6"/>
  <c r="AA79" i="6" s="1"/>
  <c r="B79" i="6" s="1"/>
  <c r="K67" i="44"/>
  <c r="Z406" i="6"/>
  <c r="L137" i="44"/>
  <c r="R137" i="44"/>
  <c r="K137" i="44"/>
  <c r="AD362" i="6"/>
  <c r="AA362" i="6" s="1"/>
  <c r="B362" i="6" s="1"/>
  <c r="Z490" i="6"/>
  <c r="L161" i="44"/>
  <c r="K161" i="44"/>
  <c r="R161" i="44"/>
  <c r="AE374" i="6"/>
  <c r="AB374" i="6" s="1"/>
  <c r="C374" i="6" s="1"/>
  <c r="R358" i="44"/>
  <c r="L358" i="44"/>
  <c r="K358" i="44"/>
  <c r="Z86" i="6"/>
  <c r="AE362" i="6"/>
  <c r="AB362" i="6" s="1"/>
  <c r="C362" i="6" s="1"/>
  <c r="AD116" i="6"/>
  <c r="AA116" i="6" s="1"/>
  <c r="B116" i="6" s="1"/>
  <c r="AE116" i="6"/>
  <c r="AD297" i="6"/>
  <c r="AE266" i="6"/>
  <c r="AB266" i="6" s="1"/>
  <c r="C266" i="6" s="1"/>
  <c r="AE179" i="6"/>
  <c r="AB179" i="6" s="1"/>
  <c r="C179" i="6" s="1"/>
  <c r="AE22" i="6"/>
  <c r="AB22" i="6" s="1"/>
  <c r="C22" i="6" s="1"/>
  <c r="AE244" i="6"/>
  <c r="AB244" i="6" s="1"/>
  <c r="C244" i="6" s="1"/>
  <c r="L11" i="44"/>
  <c r="R11" i="44"/>
  <c r="K11" i="44"/>
  <c r="BF138" i="14"/>
  <c r="BI138" i="14"/>
  <c r="BR105" i="14"/>
  <c r="BL105" i="14"/>
  <c r="BQ105" i="14"/>
  <c r="BO145" i="14"/>
  <c r="BH138" i="14"/>
  <c r="BJ138" i="14"/>
  <c r="BM105" i="14"/>
  <c r="BO105" i="14"/>
  <c r="BP138" i="14"/>
  <c r="BN138" i="14"/>
  <c r="BH52" i="14"/>
  <c r="AE84" i="6"/>
  <c r="AD459" i="6"/>
  <c r="AD460" i="6"/>
  <c r="AE371" i="6"/>
  <c r="AX55" i="14"/>
  <c r="BA55" i="14" s="1"/>
  <c r="AW114" i="14"/>
  <c r="AZ114" i="14" s="1"/>
  <c r="AW136" i="14"/>
  <c r="AZ136" i="14" s="1"/>
  <c r="AV105" i="14"/>
  <c r="AU105" i="14" s="1"/>
  <c r="AT105" i="14" s="1"/>
  <c r="BQ138" i="14"/>
  <c r="BP145" i="14"/>
  <c r="AE146" i="6"/>
  <c r="AB146" i="6" s="1"/>
  <c r="C146" i="6" s="1"/>
  <c r="AE277" i="6"/>
  <c r="AB277" i="6" s="1"/>
  <c r="C277" i="6" s="1"/>
  <c r="AE407" i="6"/>
  <c r="AB407" i="6" s="1"/>
  <c r="C407" i="6" s="1"/>
  <c r="R359" i="44"/>
  <c r="L359" i="44"/>
  <c r="K359" i="44"/>
  <c r="K53" i="44"/>
  <c r="R53" i="44"/>
  <c r="L53" i="44"/>
  <c r="AE236" i="6"/>
  <c r="AB236" i="6" s="1"/>
  <c r="C236" i="6" s="1"/>
  <c r="AX146" i="14"/>
  <c r="BA146" i="14" s="1"/>
  <c r="AX79" i="14"/>
  <c r="BA79" i="14" s="1"/>
  <c r="AW49" i="14"/>
  <c r="AZ49" i="14" s="1"/>
  <c r="AE174" i="6"/>
  <c r="AB174" i="6" s="1"/>
  <c r="C174" i="6" s="1"/>
  <c r="AD174" i="6"/>
  <c r="R281" i="44"/>
  <c r="L281" i="44"/>
  <c r="K281" i="44"/>
  <c r="AD109" i="6"/>
  <c r="AA109" i="6" s="1"/>
  <c r="B109" i="6" s="1"/>
  <c r="AE213" i="6"/>
  <c r="AB213" i="6" s="1"/>
  <c r="C213" i="6" s="1"/>
  <c r="AX15" i="14"/>
  <c r="BA15" i="14" s="1"/>
  <c r="AX169" i="14"/>
  <c r="BA169" i="14" s="1"/>
  <c r="C181" i="14" s="1"/>
  <c r="AW54" i="14"/>
  <c r="AZ54" i="14" s="1"/>
  <c r="AW8" i="14"/>
  <c r="AZ8" i="14" s="1"/>
  <c r="BQ145" i="14"/>
  <c r="AD264" i="6"/>
  <c r="AD495" i="6"/>
  <c r="AA495" i="6" s="1"/>
  <c r="B495" i="6" s="1"/>
  <c r="AX108" i="14"/>
  <c r="BA108" i="14" s="1"/>
  <c r="BK145" i="14"/>
  <c r="AV145" i="14"/>
  <c r="AU145" i="14" s="1"/>
  <c r="AT145" i="14" s="1"/>
  <c r="AD170" i="6"/>
  <c r="AA170" i="6" s="1"/>
  <c r="B170" i="6" s="1"/>
  <c r="AD17" i="6"/>
  <c r="AA17" i="6" s="1"/>
  <c r="B17" i="6" s="1"/>
  <c r="AE271" i="6"/>
  <c r="AB271" i="6" s="1"/>
  <c r="C271" i="6" s="1"/>
  <c r="AD470" i="6"/>
  <c r="AA470" i="6" s="1"/>
  <c r="B470" i="6" s="1"/>
  <c r="AW170" i="14"/>
  <c r="AZ170" i="14" s="1"/>
  <c r="AW115" i="14"/>
  <c r="AZ115" i="14" s="1"/>
  <c r="AX13" i="14"/>
  <c r="BA13" i="14" s="1"/>
  <c r="AX147" i="14"/>
  <c r="BA147" i="14" s="1"/>
  <c r="AX40" i="14"/>
  <c r="BA40" i="14" s="1"/>
  <c r="AW116" i="14"/>
  <c r="AZ116" i="14" s="1"/>
  <c r="AX75" i="14"/>
  <c r="BA75" i="14" s="1"/>
  <c r="C75" i="14" s="1"/>
  <c r="AW41" i="14"/>
  <c r="AZ41" i="14" s="1"/>
  <c r="AW23" i="14"/>
  <c r="AZ23" i="14" s="1"/>
  <c r="AX149" i="14"/>
  <c r="BA149" i="14" s="1"/>
  <c r="BR145" i="14"/>
  <c r="BN145" i="14"/>
  <c r="BM145" i="14"/>
  <c r="AE8" i="6"/>
  <c r="AB8" i="6" s="1"/>
  <c r="C8" i="6" s="1"/>
  <c r="AE173" i="6"/>
  <c r="AB173" i="6" s="1"/>
  <c r="C173" i="6" s="1"/>
  <c r="Z10" i="6"/>
  <c r="AD183" i="6"/>
  <c r="AA183" i="6" s="1"/>
  <c r="B183" i="6" s="1"/>
  <c r="AD41" i="6"/>
  <c r="AE207" i="6"/>
  <c r="AB207" i="6" s="1"/>
  <c r="C207" i="6" s="1"/>
  <c r="AD269" i="6"/>
  <c r="AA269" i="6" s="1"/>
  <c r="B269" i="6" s="1"/>
  <c r="AD311" i="6"/>
  <c r="AA311" i="6" s="1"/>
  <c r="B311" i="6" s="1"/>
  <c r="AW84" i="14"/>
  <c r="AZ84" i="14" s="1"/>
  <c r="AW137" i="14"/>
  <c r="AZ137" i="14" s="1"/>
  <c r="AX9" i="14"/>
  <c r="BA9" i="14" s="1"/>
  <c r="R6" i="44"/>
  <c r="K6" i="44"/>
  <c r="L6" i="44"/>
  <c r="AX172" i="14"/>
  <c r="BA172" i="14" s="1"/>
  <c r="AW143" i="14"/>
  <c r="AZ143" i="14" s="1"/>
  <c r="AD236" i="6"/>
  <c r="AA236" i="6" s="1"/>
  <c r="B236" i="6" s="1"/>
  <c r="AX18" i="14"/>
  <c r="BA18" i="14" s="1"/>
  <c r="AX179" i="14"/>
  <c r="BA179" i="14" s="1"/>
  <c r="AX178" i="14"/>
  <c r="BA178" i="14" s="1"/>
  <c r="AW72" i="14"/>
  <c r="AZ72" i="14" s="1"/>
  <c r="B83" i="14" s="1"/>
  <c r="AX144" i="14"/>
  <c r="BA144" i="14" s="1"/>
  <c r="K282" i="44"/>
  <c r="L282" i="44"/>
  <c r="R282" i="44"/>
  <c r="BA72" i="14"/>
  <c r="BA181" i="14"/>
  <c r="BA170" i="14"/>
  <c r="BA84" i="14"/>
  <c r="AZ9" i="14"/>
  <c r="BA20" i="14"/>
  <c r="AD333" i="6"/>
  <c r="AE333" i="6"/>
  <c r="AB333" i="6" s="1"/>
  <c r="C333" i="6" s="1"/>
  <c r="BA176" i="14"/>
  <c r="AZ14" i="14"/>
  <c r="R117" i="44"/>
  <c r="K117" i="44"/>
  <c r="L117" i="44"/>
  <c r="L18" i="44"/>
  <c r="R18" i="44"/>
  <c r="K18" i="44"/>
  <c r="L43" i="44"/>
  <c r="K43" i="44"/>
  <c r="R43" i="44"/>
  <c r="R177" i="44"/>
  <c r="L177" i="44"/>
  <c r="K272" i="44"/>
  <c r="R272" i="44"/>
  <c r="L272" i="44"/>
  <c r="K294" i="44"/>
  <c r="R294" i="44"/>
  <c r="L294" i="44"/>
  <c r="K419" i="44"/>
  <c r="L419" i="44"/>
  <c r="R419" i="44"/>
  <c r="L599" i="44"/>
  <c r="K599" i="44"/>
  <c r="R599" i="44"/>
  <c r="R547" i="44"/>
  <c r="L547" i="44"/>
  <c r="K547" i="44"/>
  <c r="Z178" i="6"/>
  <c r="AE178" i="6" s="1"/>
  <c r="AB178" i="6" s="1"/>
  <c r="C178" i="6" s="1"/>
  <c r="L344" i="44"/>
  <c r="K344" i="44"/>
  <c r="R344" i="44"/>
  <c r="Z176" i="6"/>
  <c r="AD176" i="6" s="1"/>
  <c r="AA176" i="6" s="1"/>
  <c r="B176" i="6" s="1"/>
  <c r="K366" i="44"/>
  <c r="R366" i="44"/>
  <c r="L366" i="44"/>
  <c r="R114" i="44"/>
  <c r="L114" i="44"/>
  <c r="K114" i="44"/>
  <c r="AD277" i="6"/>
  <c r="AA277" i="6" s="1"/>
  <c r="B277" i="6" s="1"/>
  <c r="L77" i="44"/>
  <c r="R77" i="44"/>
  <c r="K77" i="44"/>
  <c r="K176" i="44"/>
  <c r="L176" i="44"/>
  <c r="R176" i="44"/>
  <c r="K237" i="44"/>
  <c r="R237" i="44"/>
  <c r="L237" i="44"/>
  <c r="Z117" i="6"/>
  <c r="AE117" i="6" s="1"/>
  <c r="AB117" i="6" s="1"/>
  <c r="C117" i="6" s="1"/>
  <c r="K102" i="44"/>
  <c r="R102" i="44"/>
  <c r="L102" i="44"/>
  <c r="L66" i="44"/>
  <c r="R66" i="44"/>
  <c r="K66" i="44"/>
  <c r="L150" i="44"/>
  <c r="R150" i="44"/>
  <c r="K150" i="44"/>
  <c r="L330" i="44"/>
  <c r="K330" i="44"/>
  <c r="R330" i="44"/>
  <c r="L354" i="44"/>
  <c r="K354" i="44"/>
  <c r="R354" i="44"/>
  <c r="AD407" i="6"/>
  <c r="AA407" i="6" s="1"/>
  <c r="B407" i="6" s="1"/>
  <c r="L534" i="44"/>
  <c r="K534" i="44"/>
  <c r="R534" i="44"/>
  <c r="L450" i="44"/>
  <c r="R450" i="44"/>
  <c r="K450" i="44"/>
  <c r="AE142" i="6"/>
  <c r="AB142" i="6" s="1"/>
  <c r="C142" i="6" s="1"/>
  <c r="AD110" i="6"/>
  <c r="AA110" i="6" s="1"/>
  <c r="B110" i="6" s="1"/>
  <c r="AD342" i="6"/>
  <c r="AA342" i="6" s="1"/>
  <c r="B342" i="6" s="1"/>
  <c r="AE431" i="6"/>
  <c r="AB431" i="6" s="1"/>
  <c r="C431" i="6" s="1"/>
  <c r="L341" i="44"/>
  <c r="R341" i="44"/>
  <c r="K341" i="44"/>
  <c r="K190" i="44"/>
  <c r="L190" i="44"/>
  <c r="R190" i="44"/>
  <c r="Z205" i="6"/>
  <c r="R368" i="44"/>
  <c r="L368" i="44"/>
  <c r="K368" i="44"/>
  <c r="R479" i="44"/>
  <c r="K479" i="44"/>
  <c r="L479" i="44"/>
  <c r="R538" i="44"/>
  <c r="K538" i="44"/>
  <c r="L538" i="44"/>
  <c r="AE49" i="6"/>
  <c r="AB49" i="6" s="1"/>
  <c r="C49" i="6" s="1"/>
  <c r="R572" i="44"/>
  <c r="K572" i="44"/>
  <c r="L572" i="44"/>
  <c r="K46" i="44"/>
  <c r="R46" i="44"/>
  <c r="L46" i="44"/>
  <c r="K174" i="44"/>
  <c r="L174" i="44"/>
  <c r="R174" i="44"/>
  <c r="L234" i="44"/>
  <c r="K234" i="44"/>
  <c r="R234" i="44"/>
  <c r="R618" i="44"/>
  <c r="K618" i="44"/>
  <c r="L618" i="44"/>
  <c r="K212" i="44"/>
  <c r="L212" i="44"/>
  <c r="R212" i="44"/>
  <c r="L103" i="44"/>
  <c r="R103" i="44"/>
  <c r="K103" i="44"/>
  <c r="L318" i="44"/>
  <c r="R318" i="44"/>
  <c r="K318" i="44"/>
  <c r="R342" i="44"/>
  <c r="K342" i="44"/>
  <c r="L342" i="44"/>
  <c r="AD370" i="6"/>
  <c r="AA370" i="6" s="1"/>
  <c r="B370" i="6" s="1"/>
  <c r="L357" i="44"/>
  <c r="R357" i="44"/>
  <c r="K357" i="44"/>
  <c r="K283" i="44"/>
  <c r="L283" i="44"/>
  <c r="R283" i="44"/>
  <c r="AX104" i="14"/>
  <c r="BA104" i="14" s="1"/>
  <c r="AM104" i="14"/>
  <c r="AL104" i="14"/>
  <c r="B104" i="14"/>
  <c r="C104" i="14"/>
  <c r="AX81" i="14"/>
  <c r="BA81" i="14" s="1"/>
  <c r="C81" i="14"/>
  <c r="AM81" i="14"/>
  <c r="AX52" i="14"/>
  <c r="BA52" i="14" s="1"/>
  <c r="C52" i="14"/>
  <c r="B52" i="14"/>
  <c r="AM52" i="14"/>
  <c r="AX150" i="14"/>
  <c r="C54" i="14"/>
  <c r="AM54" i="14"/>
  <c r="B54" i="14"/>
  <c r="AL54" i="14"/>
  <c r="AM137" i="14"/>
  <c r="AL137" i="14"/>
  <c r="B137" i="14"/>
  <c r="C137" i="14"/>
  <c r="AW87" i="14"/>
  <c r="AZ87" i="14" s="1"/>
  <c r="C87" i="14"/>
  <c r="AM87" i="14"/>
  <c r="AL87" i="14"/>
  <c r="B87" i="14"/>
  <c r="AX111" i="14"/>
  <c r="BA111" i="14" s="1"/>
  <c r="AL111" i="14"/>
  <c r="AM111" i="14"/>
  <c r="C111" i="14"/>
  <c r="B111" i="14"/>
  <c r="AW139" i="14"/>
  <c r="AZ139" i="14" s="1"/>
  <c r="AM139" i="14"/>
  <c r="C139" i="14"/>
  <c r="B139" i="14"/>
  <c r="AL139" i="14"/>
  <c r="AX45" i="14"/>
  <c r="BA45" i="14" s="1"/>
  <c r="AM45" i="14"/>
  <c r="C45" i="14"/>
  <c r="AW77" i="14"/>
  <c r="C77" i="14"/>
  <c r="AM77" i="14"/>
  <c r="AW148" i="14"/>
  <c r="AZ148" i="14" s="1"/>
  <c r="AL148" i="14"/>
  <c r="B148" i="14"/>
  <c r="AM148" i="14"/>
  <c r="C148" i="14"/>
  <c r="AW168" i="14"/>
  <c r="AZ168" i="14" s="1"/>
  <c r="AM168" i="14"/>
  <c r="AX113" i="14"/>
  <c r="BA113" i="14" s="1"/>
  <c r="B113" i="14"/>
  <c r="C113" i="14"/>
  <c r="AM113" i="14"/>
  <c r="AL113" i="14"/>
  <c r="AX19" i="14"/>
  <c r="BA19" i="14" s="1"/>
  <c r="AM19" i="14"/>
  <c r="C19" i="14"/>
  <c r="AX109" i="14"/>
  <c r="BA109" i="14" s="1"/>
  <c r="AW142" i="14"/>
  <c r="AM142" i="14"/>
  <c r="C142" i="14"/>
  <c r="AX180" i="14"/>
  <c r="BA180" i="14" s="1"/>
  <c r="AL180" i="14"/>
  <c r="C180" i="14"/>
  <c r="AM180" i="14"/>
  <c r="B180" i="14"/>
  <c r="AW119" i="14"/>
  <c r="AZ119" i="14" s="1"/>
  <c r="C119" i="14"/>
  <c r="AL119" i="14"/>
  <c r="AM119" i="14"/>
  <c r="B119" i="14"/>
  <c r="AL136" i="14"/>
  <c r="AM136" i="14"/>
  <c r="C136" i="14"/>
  <c r="B136" i="14"/>
  <c r="AX48" i="14"/>
  <c r="BA48" i="14" s="1"/>
  <c r="C48" i="14"/>
  <c r="AM48" i="14"/>
  <c r="C49" i="14"/>
  <c r="AL49" i="14"/>
  <c r="B49" i="14"/>
  <c r="AM49" i="14"/>
  <c r="AM8" i="14"/>
  <c r="C8" i="14"/>
  <c r="B149" i="14"/>
  <c r="C149" i="14"/>
  <c r="AM149" i="14"/>
  <c r="AL149" i="14"/>
  <c r="AX138" i="14"/>
  <c r="BA138" i="14" s="1"/>
  <c r="AX50" i="14"/>
  <c r="BA50" i="14" s="1"/>
  <c r="R570" i="44"/>
  <c r="K570" i="44"/>
  <c r="L570" i="44"/>
  <c r="L213" i="44"/>
  <c r="K213" i="44"/>
  <c r="R213" i="44"/>
  <c r="L549" i="44"/>
  <c r="R549" i="44"/>
  <c r="K549" i="44"/>
  <c r="L545" i="44"/>
  <c r="R545" i="44"/>
  <c r="K545" i="44"/>
  <c r="L379" i="44"/>
  <c r="R379" i="44"/>
  <c r="K379" i="44"/>
  <c r="K583" i="44"/>
  <c r="L583" i="44"/>
  <c r="R583" i="44"/>
  <c r="L186" i="44"/>
  <c r="R186" i="44"/>
  <c r="K186" i="44"/>
  <c r="R353" i="44"/>
  <c r="K353" i="44"/>
  <c r="L353" i="44"/>
  <c r="K535" i="44"/>
  <c r="L535" i="44"/>
  <c r="R535" i="44"/>
  <c r="L437" i="44"/>
  <c r="K437" i="44"/>
  <c r="R437" i="44"/>
  <c r="R298" i="44"/>
  <c r="K298" i="44"/>
  <c r="L298" i="44"/>
  <c r="K497" i="44"/>
  <c r="L497" i="44"/>
  <c r="R497" i="44"/>
  <c r="AD18" i="6"/>
  <c r="AA18" i="6" s="1"/>
  <c r="B18" i="6" s="1"/>
  <c r="L594" i="44"/>
  <c r="K594" i="44"/>
  <c r="R594" i="44"/>
  <c r="K165" i="44"/>
  <c r="L165" i="44"/>
  <c r="R165" i="44"/>
  <c r="L345" i="44"/>
  <c r="R345" i="44"/>
  <c r="K345" i="44"/>
  <c r="L365" i="44"/>
  <c r="R365" i="44"/>
  <c r="K365" i="44"/>
  <c r="R21" i="44"/>
  <c r="L21" i="44"/>
  <c r="K21" i="44"/>
  <c r="R449" i="44"/>
  <c r="L449" i="44"/>
  <c r="K449" i="44"/>
  <c r="L623" i="44"/>
  <c r="R623" i="44"/>
  <c r="K623" i="44"/>
  <c r="K558" i="44"/>
  <c r="L558" i="44"/>
  <c r="R558" i="44"/>
  <c r="L609" i="44"/>
  <c r="R609" i="44"/>
  <c r="K609" i="44"/>
  <c r="L322" i="44"/>
  <c r="R322" i="44"/>
  <c r="K322" i="44"/>
  <c r="K550" i="44"/>
  <c r="R550" i="44"/>
  <c r="L550" i="44"/>
  <c r="L347" i="44"/>
  <c r="K347" i="44"/>
  <c r="R347" i="44"/>
  <c r="L128" i="44"/>
  <c r="R128" i="44"/>
  <c r="K128" i="44"/>
  <c r="K116" i="44"/>
  <c r="L116" i="44"/>
  <c r="R116" i="44"/>
  <c r="L404" i="44"/>
  <c r="K404" i="44"/>
  <c r="R404" i="44"/>
  <c r="R233" i="44"/>
  <c r="L233" i="44"/>
  <c r="K233" i="44"/>
  <c r="L221" i="44"/>
  <c r="R221" i="44"/>
  <c r="K221" i="44"/>
  <c r="K139" i="44"/>
  <c r="R139" i="44"/>
  <c r="L139" i="44"/>
  <c r="R107" i="44"/>
  <c r="K107" i="44"/>
  <c r="L107" i="44"/>
  <c r="L383" i="44"/>
  <c r="K383" i="44"/>
  <c r="R383" i="44"/>
  <c r="AM86" i="14"/>
  <c r="AL86" i="14"/>
  <c r="C86" i="14"/>
  <c r="B86" i="14"/>
  <c r="AW151" i="14"/>
  <c r="AZ151" i="14" s="1"/>
  <c r="AM151" i="14"/>
  <c r="AL151" i="14"/>
  <c r="B151" i="14"/>
  <c r="C151" i="14"/>
  <c r="B146" i="14"/>
  <c r="C146" i="14"/>
  <c r="AL146" i="14"/>
  <c r="AM146" i="14"/>
  <c r="AL114" i="14"/>
  <c r="AM114" i="14"/>
  <c r="C114" i="14"/>
  <c r="B114" i="14"/>
  <c r="AW177" i="14"/>
  <c r="AZ177" i="14" s="1"/>
  <c r="C177" i="14"/>
  <c r="AM177" i="14"/>
  <c r="AL177" i="14"/>
  <c r="B177" i="14"/>
  <c r="AL11" i="14"/>
  <c r="B11" i="14"/>
  <c r="AW17" i="14"/>
  <c r="AZ17" i="14" s="1"/>
  <c r="AM10" i="14"/>
  <c r="C10" i="14"/>
  <c r="AL10" i="14"/>
  <c r="B10" i="14"/>
  <c r="AW176" i="14"/>
  <c r="AZ176" i="14" s="1"/>
  <c r="AW175" i="14"/>
  <c r="AZ175" i="14" s="1"/>
  <c r="AL116" i="14"/>
  <c r="C116" i="14"/>
  <c r="AM116" i="14"/>
  <c r="B116" i="14"/>
  <c r="AM41" i="14"/>
  <c r="C41" i="14"/>
  <c r="AX82" i="14"/>
  <c r="BA82" i="14" s="1"/>
  <c r="B82" i="14"/>
  <c r="AM82" i="14"/>
  <c r="C82" i="14"/>
  <c r="AL82" i="14"/>
  <c r="B147" i="14"/>
  <c r="C147" i="14"/>
  <c r="AL147" i="14"/>
  <c r="AM147" i="14"/>
  <c r="AM23" i="14"/>
  <c r="C23" i="14"/>
  <c r="B23" i="14"/>
  <c r="AL23" i="14"/>
  <c r="AX14" i="14"/>
  <c r="BA14" i="14" s="1"/>
  <c r="AM14" i="14"/>
  <c r="C14" i="14"/>
  <c r="AX106" i="14"/>
  <c r="BA106" i="14" s="1"/>
  <c r="C106" i="14"/>
  <c r="AM106" i="14"/>
  <c r="AL106" i="14"/>
  <c r="B106" i="14"/>
  <c r="AX83" i="14"/>
  <c r="C78" i="14"/>
  <c r="AM78" i="14"/>
  <c r="AW181" i="14"/>
  <c r="AZ181" i="14" s="1"/>
  <c r="AL181" i="14"/>
  <c r="B181" i="14"/>
  <c r="L370" i="44"/>
  <c r="R370" i="44"/>
  <c r="K370" i="44"/>
  <c r="L478" i="44"/>
  <c r="R478" i="44"/>
  <c r="K478" i="44"/>
  <c r="R475" i="44"/>
  <c r="L475" i="44"/>
  <c r="K475" i="44"/>
  <c r="K113" i="44"/>
  <c r="L113" i="44"/>
  <c r="R113" i="44"/>
  <c r="R533" i="44"/>
  <c r="L533" i="44"/>
  <c r="K533" i="44"/>
  <c r="L454" i="44"/>
  <c r="K454" i="44"/>
  <c r="R454" i="44"/>
  <c r="R559" i="44"/>
  <c r="L559" i="44"/>
  <c r="K559" i="44"/>
  <c r="R607" i="44"/>
  <c r="L607" i="44"/>
  <c r="K607" i="44"/>
  <c r="R90" i="44"/>
  <c r="K90" i="44"/>
  <c r="L90" i="44"/>
  <c r="AD10" i="6"/>
  <c r="AE10" i="6"/>
  <c r="AB10" i="6" s="1"/>
  <c r="C10" i="6" s="1"/>
  <c r="K415" i="44"/>
  <c r="R415" i="44"/>
  <c r="L415" i="44"/>
  <c r="R596" i="44"/>
  <c r="K596" i="44"/>
  <c r="L596" i="44"/>
  <c r="L211" i="44"/>
  <c r="R211" i="44"/>
  <c r="K211" i="44"/>
  <c r="R118" i="44"/>
  <c r="K118" i="44"/>
  <c r="L118" i="44"/>
  <c r="R405" i="44"/>
  <c r="K405" i="44"/>
  <c r="L405" i="44"/>
  <c r="R23" i="44"/>
  <c r="K23" i="44"/>
  <c r="L23" i="44"/>
  <c r="R309" i="44"/>
  <c r="K309" i="44"/>
  <c r="L309" i="44"/>
  <c r="L247" i="44"/>
  <c r="R247" i="44"/>
  <c r="K247" i="44"/>
  <c r="L413" i="44"/>
  <c r="R413" i="44"/>
  <c r="K413" i="44"/>
  <c r="L593" i="44"/>
  <c r="R593" i="44"/>
  <c r="K593" i="44"/>
  <c r="R598" i="44"/>
  <c r="L598" i="44"/>
  <c r="K598" i="44"/>
  <c r="L320" i="44"/>
  <c r="R320" i="44"/>
  <c r="K320" i="44"/>
  <c r="AE470" i="6"/>
  <c r="AB470" i="6" s="1"/>
  <c r="C470" i="6" s="1"/>
  <c r="AE41" i="6"/>
  <c r="AB41" i="6" s="1"/>
  <c r="C41" i="6" s="1"/>
  <c r="L5" i="44"/>
  <c r="R5" i="44"/>
  <c r="K5" i="44"/>
  <c r="L477" i="44"/>
  <c r="R477" i="44"/>
  <c r="K477" i="44"/>
  <c r="L537" i="44"/>
  <c r="K537" i="44"/>
  <c r="R537" i="44"/>
  <c r="AE269" i="6"/>
  <c r="AB269" i="6" s="1"/>
  <c r="C269" i="6" s="1"/>
  <c r="L80" i="44"/>
  <c r="K80" i="44"/>
  <c r="R80" i="44"/>
  <c r="K491" i="44"/>
  <c r="R491" i="44"/>
  <c r="L491" i="44"/>
  <c r="K442" i="44"/>
  <c r="L442" i="44"/>
  <c r="R442" i="44"/>
  <c r="AE367" i="6"/>
  <c r="AB367" i="6" s="1"/>
  <c r="C367" i="6" s="1"/>
  <c r="AE145" i="6"/>
  <c r="AB145" i="6" s="1"/>
  <c r="C145" i="6" s="1"/>
  <c r="L226" i="44"/>
  <c r="R226" i="44"/>
  <c r="K226" i="44"/>
  <c r="L418" i="44"/>
  <c r="R418" i="44"/>
  <c r="K418" i="44"/>
  <c r="R595" i="44"/>
  <c r="K595" i="44"/>
  <c r="L595" i="44"/>
  <c r="R321" i="44"/>
  <c r="L321" i="44"/>
  <c r="K321" i="44"/>
  <c r="AE114" i="6"/>
  <c r="AB114" i="6" s="1"/>
  <c r="C114" i="6" s="1"/>
  <c r="L587" i="44"/>
  <c r="K587" i="44"/>
  <c r="R587" i="44"/>
  <c r="R335" i="44"/>
  <c r="K335" i="44"/>
  <c r="L335" i="44"/>
  <c r="AM18" i="14"/>
  <c r="AL18" i="14"/>
  <c r="C18" i="14"/>
  <c r="B18" i="14"/>
  <c r="AW145" i="14"/>
  <c r="AZ145" i="14" s="1"/>
  <c r="AL145" i="14"/>
  <c r="B145" i="14"/>
  <c r="AL15" i="14"/>
  <c r="AM15" i="14"/>
  <c r="B15" i="14"/>
  <c r="C15" i="14"/>
  <c r="AL169" i="14"/>
  <c r="B169" i="14"/>
  <c r="C169" i="14"/>
  <c r="AM169" i="14"/>
  <c r="AX151" i="14"/>
  <c r="BA151" i="14" s="1"/>
  <c r="C170" i="14"/>
  <c r="AM170" i="14"/>
  <c r="B179" i="14"/>
  <c r="AL179" i="14"/>
  <c r="AM179" i="14"/>
  <c r="C179" i="14"/>
  <c r="AW141" i="14"/>
  <c r="AZ141" i="14" s="1"/>
  <c r="AL141" i="14"/>
  <c r="AM141" i="14"/>
  <c r="C141" i="14"/>
  <c r="B141" i="14"/>
  <c r="AL178" i="14"/>
  <c r="B178" i="14"/>
  <c r="AL55" i="14"/>
  <c r="C55" i="14"/>
  <c r="B55" i="14"/>
  <c r="AM55" i="14"/>
  <c r="AL115" i="14"/>
  <c r="AM115" i="14"/>
  <c r="B115" i="14"/>
  <c r="C115" i="14"/>
  <c r="AX112" i="14"/>
  <c r="BA112" i="14" s="1"/>
  <c r="AM112" i="14"/>
  <c r="B112" i="14"/>
  <c r="C112" i="14"/>
  <c r="AL112" i="14"/>
  <c r="AW12" i="14"/>
  <c r="C12" i="14"/>
  <c r="AX73" i="14"/>
  <c r="AL73" i="14"/>
  <c r="B73" i="14"/>
  <c r="AX76" i="14"/>
  <c r="BA76" i="14" s="1"/>
  <c r="C76" i="14"/>
  <c r="AM76" i="14"/>
  <c r="AX21" i="14"/>
  <c r="BA21" i="14" s="1"/>
  <c r="B21" i="14"/>
  <c r="AM21" i="14"/>
  <c r="C21" i="14"/>
  <c r="AL21" i="14"/>
  <c r="AX140" i="14"/>
  <c r="BA140" i="14" s="1"/>
  <c r="B140" i="14"/>
  <c r="C140" i="14"/>
  <c r="AL140" i="14"/>
  <c r="AM140" i="14"/>
  <c r="C172" i="14"/>
  <c r="AM172" i="14"/>
  <c r="AL9" i="14"/>
  <c r="B9" i="14"/>
  <c r="AM9" i="14"/>
  <c r="C9" i="14"/>
  <c r="AX10" i="14"/>
  <c r="B79" i="14"/>
  <c r="AL79" i="14"/>
  <c r="C79" i="14"/>
  <c r="AM79" i="14"/>
  <c r="AX74" i="14"/>
  <c r="BA74" i="14" s="1"/>
  <c r="B74" i="14"/>
  <c r="AM74" i="14"/>
  <c r="C74" i="14"/>
  <c r="AL74" i="14"/>
  <c r="AX46" i="14"/>
  <c r="BA46" i="14" s="1"/>
  <c r="AM46" i="14"/>
  <c r="AL46" i="14"/>
  <c r="B46" i="14"/>
  <c r="C46" i="14"/>
  <c r="B143" i="14"/>
  <c r="AL143" i="14"/>
  <c r="C143" i="14"/>
  <c r="AM143" i="14"/>
  <c r="C108" i="14"/>
  <c r="AM108" i="14"/>
  <c r="AL108" i="14"/>
  <c r="B108" i="14"/>
  <c r="AW44" i="14"/>
  <c r="AZ44" i="14" s="1"/>
  <c r="AM44" i="14"/>
  <c r="B44" i="14"/>
  <c r="AL44" i="14"/>
  <c r="C44" i="14"/>
  <c r="AW106" i="14"/>
  <c r="B144" i="14"/>
  <c r="AM144" i="14"/>
  <c r="AL144" i="14"/>
  <c r="C144" i="14"/>
  <c r="AX78" i="14"/>
  <c r="BA78" i="14" s="1"/>
  <c r="C50" i="14"/>
  <c r="AL50" i="14"/>
  <c r="B50" i="14"/>
  <c r="AM50" i="14"/>
  <c r="C43" i="14"/>
  <c r="AM43" i="14"/>
  <c r="R19" i="44"/>
  <c r="K19" i="44"/>
  <c r="L19" i="44"/>
  <c r="L81" i="44"/>
  <c r="K81" i="44"/>
  <c r="R81" i="44"/>
  <c r="L527" i="44"/>
  <c r="R527" i="44"/>
  <c r="K527" i="44"/>
  <c r="L173" i="44"/>
  <c r="K173" i="44"/>
  <c r="R173" i="44"/>
  <c r="L306" i="44"/>
  <c r="K306" i="44"/>
  <c r="R306" i="44"/>
  <c r="K293" i="44"/>
  <c r="L293" i="44"/>
  <c r="R293" i="44"/>
  <c r="R608" i="44"/>
  <c r="K608" i="44"/>
  <c r="L608" i="44"/>
  <c r="K214" i="44"/>
  <c r="R214" i="44"/>
  <c r="L214" i="44"/>
  <c r="R34" i="44"/>
  <c r="L34" i="44"/>
  <c r="K34" i="44"/>
  <c r="R95" i="44"/>
  <c r="L95" i="44"/>
  <c r="K95" i="44"/>
  <c r="Z341" i="6"/>
  <c r="AE341" i="6" s="1"/>
  <c r="AB341" i="6" s="1"/>
  <c r="C341" i="6" s="1"/>
  <c r="L586" i="44"/>
  <c r="K586" i="44"/>
  <c r="R586" i="44"/>
  <c r="K286" i="44"/>
  <c r="R286" i="44"/>
  <c r="L286" i="44"/>
  <c r="AE462" i="6"/>
  <c r="AB462" i="6" s="1"/>
  <c r="C462" i="6" s="1"/>
  <c r="AD462" i="6"/>
  <c r="R402" i="44"/>
  <c r="K402" i="44"/>
  <c r="L402" i="44"/>
  <c r="R82" i="44"/>
  <c r="L82" i="44"/>
  <c r="K82" i="44"/>
  <c r="L486" i="44"/>
  <c r="K486" i="44"/>
  <c r="R486" i="44"/>
  <c r="K394" i="44"/>
  <c r="R394" i="44"/>
  <c r="L394" i="44"/>
  <c r="L574" i="44"/>
  <c r="R574" i="44"/>
  <c r="K574" i="44"/>
  <c r="R426" i="44"/>
  <c r="L426" i="44"/>
  <c r="K426" i="44"/>
  <c r="L29" i="44"/>
  <c r="K29" i="44"/>
  <c r="R29" i="44"/>
  <c r="R89" i="44"/>
  <c r="K89" i="44"/>
  <c r="L89" i="44"/>
  <c r="R189" i="44"/>
  <c r="K189" i="44"/>
  <c r="L189" i="44"/>
  <c r="R473" i="44"/>
  <c r="K473" i="44"/>
  <c r="L473" i="44"/>
  <c r="AE52" i="6"/>
  <c r="AB52" i="6" s="1"/>
  <c r="C52" i="6" s="1"/>
  <c r="AD151" i="6"/>
  <c r="AA151" i="6" s="1"/>
  <c r="B151" i="6" s="1"/>
  <c r="L200" i="44"/>
  <c r="K200" i="44"/>
  <c r="R200" i="44"/>
  <c r="L617" i="44"/>
  <c r="K617" i="44"/>
  <c r="R617" i="44"/>
  <c r="K463" i="44"/>
  <c r="L463" i="44"/>
  <c r="R463" i="44"/>
  <c r="L416" i="44"/>
  <c r="R416" i="44"/>
  <c r="K416" i="44"/>
  <c r="L166" i="44"/>
  <c r="R166" i="44"/>
  <c r="K166" i="44"/>
  <c r="L191" i="44"/>
  <c r="K191" i="44"/>
  <c r="R191" i="44"/>
  <c r="Z171" i="6"/>
  <c r="K79" i="44"/>
  <c r="R79" i="44"/>
  <c r="L79" i="44"/>
  <c r="L489" i="44"/>
  <c r="K489" i="44"/>
  <c r="R489" i="44"/>
  <c r="L199" i="44"/>
  <c r="K199" i="44"/>
  <c r="R199" i="44"/>
  <c r="L270" i="44"/>
  <c r="K270" i="44"/>
  <c r="R270" i="44"/>
  <c r="L274" i="44"/>
  <c r="K274" i="44"/>
  <c r="R274" i="44"/>
  <c r="K622" i="44"/>
  <c r="L622" i="44"/>
  <c r="R622" i="44"/>
  <c r="R563" i="44"/>
  <c r="K563" i="44"/>
  <c r="L563" i="44"/>
  <c r="K509" i="44"/>
  <c r="R509" i="44"/>
  <c r="L509" i="44"/>
  <c r="R467" i="44"/>
  <c r="L467" i="44"/>
  <c r="K467" i="44"/>
  <c r="R71" i="44"/>
  <c r="K71" i="44"/>
  <c r="L71" i="44"/>
  <c r="R346" i="44"/>
  <c r="K346" i="44"/>
  <c r="L346" i="44"/>
  <c r="AE370" i="6"/>
  <c r="AB370" i="6" s="1"/>
  <c r="C370" i="6" s="1"/>
  <c r="Z334" i="6"/>
  <c r="AX16" i="14"/>
  <c r="AL16" i="14"/>
  <c r="B16" i="14"/>
  <c r="AX86" i="14"/>
  <c r="BA86" i="14" s="1"/>
  <c r="AX117" i="14"/>
  <c r="BA117" i="14" s="1"/>
  <c r="B117" i="14"/>
  <c r="AM117" i="14"/>
  <c r="C117" i="14"/>
  <c r="AL117" i="14"/>
  <c r="B150" i="14"/>
  <c r="AL150" i="14"/>
  <c r="AL84" i="14"/>
  <c r="B84" i="14"/>
  <c r="AW22" i="14"/>
  <c r="AZ22" i="14" s="1"/>
  <c r="AM22" i="14"/>
  <c r="AL22" i="14"/>
  <c r="C22" i="14"/>
  <c r="AM13" i="14"/>
  <c r="AL13" i="14"/>
  <c r="C13" i="14"/>
  <c r="B13" i="14"/>
  <c r="AL72" i="14"/>
  <c r="B72" i="14"/>
  <c r="AW171" i="14"/>
  <c r="AZ171" i="14" s="1"/>
  <c r="AM171" i="14"/>
  <c r="B171" i="14"/>
  <c r="C171" i="14"/>
  <c r="AL171" i="14"/>
  <c r="AX85" i="14"/>
  <c r="AW85" i="14"/>
  <c r="AZ85" i="14" s="1"/>
  <c r="AW80" i="14"/>
  <c r="C80" i="14"/>
  <c r="AM80" i="14"/>
  <c r="AM109" i="14"/>
  <c r="AL109" i="14"/>
  <c r="B109" i="14"/>
  <c r="C109" i="14"/>
  <c r="AX47" i="14"/>
  <c r="BA47" i="14" s="1"/>
  <c r="C47" i="14"/>
  <c r="AM47" i="14"/>
  <c r="AL47" i="14"/>
  <c r="B47" i="14"/>
  <c r="AW53" i="14"/>
  <c r="AZ53" i="14" s="1"/>
  <c r="B53" i="14"/>
  <c r="C53" i="14"/>
  <c r="AM53" i="14"/>
  <c r="AL53" i="14"/>
  <c r="AL17" i="14"/>
  <c r="C17" i="14"/>
  <c r="AM17" i="14"/>
  <c r="B17" i="14"/>
  <c r="AW118" i="14"/>
  <c r="AZ118" i="14" s="1"/>
  <c r="AL118" i="14"/>
  <c r="B118" i="14"/>
  <c r="AM118" i="14"/>
  <c r="C118" i="14"/>
  <c r="AX42" i="14"/>
  <c r="BA42" i="14" s="1"/>
  <c r="AL42" i="14"/>
  <c r="AM42" i="14"/>
  <c r="AL175" i="14"/>
  <c r="AM175" i="14"/>
  <c r="C175" i="14"/>
  <c r="B175" i="14"/>
  <c r="AW20" i="14"/>
  <c r="AZ20" i="14" s="1"/>
  <c r="B20" i="14"/>
  <c r="AL20" i="14"/>
  <c r="AW182" i="14"/>
  <c r="AZ182" i="14" s="1"/>
  <c r="C182" i="14"/>
  <c r="AL182" i="14"/>
  <c r="AM182" i="14"/>
  <c r="B182" i="14"/>
  <c r="AX110" i="14"/>
  <c r="BA110" i="14" s="1"/>
  <c r="C110" i="14"/>
  <c r="AL110" i="14"/>
  <c r="B110" i="14"/>
  <c r="AM110" i="14"/>
  <c r="AW51" i="14"/>
  <c r="AZ51" i="14" s="1"/>
  <c r="AL51" i="14"/>
  <c r="C51" i="14"/>
  <c r="B51" i="14"/>
  <c r="AM51" i="14"/>
  <c r="AX107" i="14"/>
  <c r="BA107" i="14" s="1"/>
  <c r="AM107" i="14"/>
  <c r="C107" i="14"/>
  <c r="AD331" i="6"/>
  <c r="AE331" i="6"/>
  <c r="AB331" i="6" s="1"/>
  <c r="C331" i="6" s="1"/>
  <c r="AE458" i="6"/>
  <c r="AB458" i="6" s="1"/>
  <c r="C458" i="6" s="1"/>
  <c r="AB181" i="6"/>
  <c r="C181" i="6" s="1"/>
  <c r="AZ43" i="14"/>
  <c r="AD491" i="6"/>
  <c r="AE491" i="6"/>
  <c r="AB491" i="6" s="1"/>
  <c r="C491" i="6" s="1"/>
  <c r="AA8" i="6"/>
  <c r="B8" i="6" s="1"/>
  <c r="AD433" i="6"/>
  <c r="AA433" i="6" s="1"/>
  <c r="B433" i="6" s="1"/>
  <c r="AE397" i="6"/>
  <c r="AB397" i="6" s="1"/>
  <c r="C397" i="6" s="1"/>
  <c r="AE107" i="6"/>
  <c r="AB107" i="6" s="1"/>
  <c r="C107" i="6" s="1"/>
  <c r="AE51" i="6"/>
  <c r="AB51" i="6" s="1"/>
  <c r="C51" i="6" s="1"/>
  <c r="AA72" i="6"/>
  <c r="B72" i="6" s="1"/>
  <c r="AD492" i="6"/>
  <c r="AE72" i="6"/>
  <c r="AE493" i="6"/>
  <c r="AD493" i="6"/>
  <c r="AD489" i="6"/>
  <c r="AE489" i="6"/>
  <c r="AB489" i="6" s="1"/>
  <c r="C489" i="6" s="1"/>
  <c r="AD201" i="6"/>
  <c r="AE201" i="6"/>
  <c r="AB201" i="6" s="1"/>
  <c r="C201" i="6" s="1"/>
  <c r="AB360" i="6"/>
  <c r="C360" i="6" s="1"/>
  <c r="AB493" i="6"/>
  <c r="C493" i="6" s="1"/>
  <c r="AA501" i="6"/>
  <c r="B501" i="6" s="1"/>
  <c r="BH176" i="14"/>
  <c r="BD176" i="14"/>
  <c r="BE176" i="14"/>
  <c r="BC176" i="14"/>
  <c r="BF176" i="14"/>
  <c r="BG176" i="14"/>
  <c r="BJ176" i="14"/>
  <c r="AB296" i="6"/>
  <c r="C296" i="6" s="1"/>
  <c r="AA298" i="6"/>
  <c r="B298" i="6" s="1"/>
  <c r="AA267" i="6"/>
  <c r="B267" i="6" s="1"/>
  <c r="BI40" i="14"/>
  <c r="BF40" i="14"/>
  <c r="BH40" i="14"/>
  <c r="BD40" i="14"/>
  <c r="AR40" i="14"/>
  <c r="AQ40" i="14" s="1"/>
  <c r="AP40" i="14" s="1"/>
  <c r="BE40" i="14"/>
  <c r="BC40" i="14"/>
  <c r="BJ40" i="14"/>
  <c r="BG40" i="14"/>
  <c r="AR176" i="14"/>
  <c r="AQ176" i="14" s="1"/>
  <c r="AP176" i="14" s="1"/>
  <c r="BE85" i="14"/>
  <c r="BC85" i="14"/>
  <c r="BI85" i="14"/>
  <c r="BJ83" i="14"/>
  <c r="AR83" i="14"/>
  <c r="AB232" i="6"/>
  <c r="C232" i="6" s="1"/>
  <c r="K251" i="6" s="1"/>
  <c r="L251" i="6" s="1"/>
  <c r="AB241" i="6"/>
  <c r="C241" i="6" s="1"/>
  <c r="AA233" i="6"/>
  <c r="B233" i="6" s="1"/>
  <c r="BE83" i="14"/>
  <c r="BJ85" i="14"/>
  <c r="BD83" i="14"/>
  <c r="BC83" i="14"/>
  <c r="BK75" i="14"/>
  <c r="BO75" i="14"/>
  <c r="BN75" i="14"/>
  <c r="BH83" i="14"/>
  <c r="BF83" i="14"/>
  <c r="BI83" i="14"/>
  <c r="BL75" i="14"/>
  <c r="AV75" i="14"/>
  <c r="AU75" i="14" s="1"/>
  <c r="AT75" i="14" s="1"/>
  <c r="BM75" i="14"/>
  <c r="BQ75" i="14"/>
  <c r="BR75" i="14"/>
  <c r="AR85" i="14"/>
  <c r="AQ85" i="14" s="1"/>
  <c r="AP85" i="14" s="1"/>
  <c r="AA457" i="6"/>
  <c r="B457" i="6" s="1"/>
  <c r="BH85" i="14"/>
  <c r="BG85" i="14"/>
  <c r="BD85" i="14"/>
  <c r="AA428" i="6"/>
  <c r="B428" i="6" s="1"/>
  <c r="AA181" i="6"/>
  <c r="B181" i="6" s="1"/>
  <c r="AA395" i="6"/>
  <c r="B395" i="6" s="1"/>
  <c r="V263" i="40"/>
  <c r="V228" i="40"/>
  <c r="V209" i="40"/>
  <c r="V262" i="40"/>
  <c r="V239" i="40"/>
  <c r="V249" i="40"/>
  <c r="V229" i="40"/>
  <c r="V230" i="40"/>
  <c r="V274" i="40"/>
  <c r="V278" i="40"/>
  <c r="V260" i="40"/>
  <c r="V204" i="40"/>
  <c r="V206" i="40"/>
  <c r="V198" i="40"/>
  <c r="V269" i="40"/>
  <c r="V256" i="40"/>
  <c r="V196" i="40"/>
  <c r="V275" i="40"/>
  <c r="V273" i="40"/>
  <c r="V248" i="40"/>
  <c r="V208" i="40"/>
  <c r="V253" i="40"/>
  <c r="V227" i="40"/>
  <c r="V219" i="40"/>
  <c r="V220" i="40"/>
  <c r="V245" i="40"/>
  <c r="V264" i="40"/>
  <c r="V240" i="40"/>
  <c r="V207" i="40"/>
  <c r="V251" i="40"/>
  <c r="V242" i="40"/>
  <c r="V234" i="40"/>
  <c r="V270" i="40"/>
  <c r="V272" i="40"/>
  <c r="V231" i="40"/>
  <c r="V250" i="40"/>
  <c r="V203" i="40"/>
  <c r="V212" i="40"/>
  <c r="V267" i="40"/>
  <c r="V223" i="40"/>
  <c r="V261" i="40"/>
  <c r="V202" i="40"/>
  <c r="V197" i="40"/>
  <c r="V271" i="40"/>
  <c r="V252" i="40"/>
  <c r="V241" i="40"/>
  <c r="V205" i="40"/>
  <c r="V201" i="40"/>
  <c r="T289" i="40"/>
  <c r="T311" i="40"/>
  <c r="U76" i="40"/>
  <c r="T250" i="40"/>
  <c r="U64" i="40"/>
  <c r="T207" i="40"/>
  <c r="U87" i="40"/>
  <c r="U52" i="40"/>
  <c r="U33" i="40"/>
  <c r="U84" i="40"/>
  <c r="T198" i="40"/>
  <c r="T252" i="40"/>
  <c r="T267" i="40"/>
  <c r="V311" i="40"/>
  <c r="U135" i="40"/>
  <c r="T256" i="40"/>
  <c r="U77" i="40"/>
  <c r="U18" i="40"/>
  <c r="T196" i="40"/>
  <c r="T242" i="40"/>
  <c r="U32" i="40"/>
  <c r="T275" i="40"/>
  <c r="T248" i="40"/>
  <c r="U85" i="40"/>
  <c r="U22" i="40"/>
  <c r="U11" i="40"/>
  <c r="U43" i="40"/>
  <c r="V333" i="40"/>
  <c r="U124" i="40"/>
  <c r="U157" i="40"/>
  <c r="U146" i="40"/>
  <c r="T333" i="40"/>
  <c r="T260" i="40"/>
  <c r="U75" i="40"/>
  <c r="T251" i="40"/>
  <c r="T228" i="40"/>
  <c r="T271" i="40"/>
  <c r="U61" i="40"/>
  <c r="U10" i="40"/>
  <c r="U17" i="40"/>
  <c r="T241" i="40"/>
  <c r="U15" i="40"/>
  <c r="T209" i="40"/>
  <c r="U65" i="40"/>
  <c r="T269" i="40"/>
  <c r="T223" i="40"/>
  <c r="V322" i="40"/>
  <c r="V344" i="40"/>
  <c r="V300" i="40"/>
  <c r="V289" i="40"/>
  <c r="T262" i="40"/>
  <c r="T253" i="40"/>
  <c r="T208" i="40"/>
  <c r="U19" i="40"/>
  <c r="T219" i="40"/>
  <c r="T206" i="40"/>
  <c r="U88" i="40"/>
  <c r="U20" i="40"/>
  <c r="U44" i="40"/>
  <c r="T272" i="40"/>
  <c r="T270" i="40"/>
  <c r="U62" i="40"/>
  <c r="U21" i="40"/>
  <c r="T234" i="40"/>
  <c r="U14" i="40"/>
  <c r="T300" i="40"/>
  <c r="U102" i="40"/>
  <c r="T278" i="40"/>
  <c r="T344" i="40"/>
  <c r="U73" i="40"/>
  <c r="T261" i="40"/>
  <c r="U69" i="40"/>
  <c r="U42" i="40"/>
  <c r="T203" i="40"/>
  <c r="T230" i="40"/>
  <c r="U40" i="40"/>
  <c r="T204" i="40"/>
  <c r="T273" i="40"/>
  <c r="U53" i="40"/>
  <c r="U55" i="40"/>
  <c r="U16" i="40"/>
  <c r="T245" i="40"/>
  <c r="U91" i="40"/>
  <c r="T263" i="40"/>
  <c r="U86" i="40"/>
  <c r="T197" i="40"/>
  <c r="U9" i="40"/>
  <c r="T229" i="40"/>
  <c r="T201" i="40"/>
  <c r="U80" i="40"/>
  <c r="T264" i="40"/>
  <c r="U74" i="40"/>
  <c r="U82" i="40"/>
  <c r="T274" i="40"/>
  <c r="T205" i="40"/>
  <c r="T240" i="40"/>
  <c r="U54" i="40"/>
  <c r="U41" i="40"/>
  <c r="T231" i="40"/>
  <c r="U47" i="40"/>
  <c r="U58" i="40"/>
  <c r="T212" i="40"/>
  <c r="U113" i="40"/>
  <c r="T322" i="40"/>
  <c r="T227" i="40"/>
  <c r="T220" i="40"/>
  <c r="U63" i="40"/>
  <c r="T202" i="40"/>
  <c r="T249" i="40"/>
  <c r="T239" i="40"/>
  <c r="U66" i="40"/>
  <c r="U83" i="40"/>
  <c r="U25" i="40"/>
  <c r="U36" i="40"/>
  <c r="L81" i="12"/>
  <c r="AD365" i="6" l="1"/>
  <c r="AE365" i="6"/>
  <c r="AB365" i="6" s="1"/>
  <c r="C365" i="6" s="1"/>
  <c r="AA240" i="6"/>
  <c r="B240" i="6" s="1"/>
  <c r="AE301" i="6"/>
  <c r="AB301" i="6" s="1"/>
  <c r="C301" i="6" s="1"/>
  <c r="AB246" i="6"/>
  <c r="C246" i="6" s="1"/>
  <c r="AD172" i="6"/>
  <c r="AE372" i="6"/>
  <c r="AA243" i="6"/>
  <c r="B243" i="6" s="1"/>
  <c r="AE172" i="6"/>
  <c r="AD210" i="6"/>
  <c r="AA210" i="6" s="1"/>
  <c r="B210" i="6" s="1"/>
  <c r="AE429" i="6"/>
  <c r="AD429" i="6"/>
  <c r="AA10" i="6"/>
  <c r="B10" i="6" s="1"/>
  <c r="K61" i="6"/>
  <c r="AE81" i="6"/>
  <c r="AB81" i="6" s="1"/>
  <c r="C81" i="6" s="1"/>
  <c r="AD81" i="6"/>
  <c r="AA238" i="6"/>
  <c r="B238" i="6" s="1"/>
  <c r="AB235" i="6"/>
  <c r="C235" i="6" s="1"/>
  <c r="AE328" i="6"/>
  <c r="AB328" i="6" s="1"/>
  <c r="C328" i="6" s="1"/>
  <c r="AE85" i="6"/>
  <c r="AD85" i="6"/>
  <c r="AA85" i="6" s="1"/>
  <c r="B85" i="6" s="1"/>
  <c r="AD141" i="6"/>
  <c r="AE141" i="6"/>
  <c r="AB141" i="6" s="1"/>
  <c r="C141" i="6" s="1"/>
  <c r="AA234" i="6"/>
  <c r="B234" i="6" s="1"/>
  <c r="AD309" i="6"/>
  <c r="AA309" i="6" s="1"/>
  <c r="B309" i="6" s="1"/>
  <c r="AE309" i="6"/>
  <c r="AD299" i="6"/>
  <c r="AD499" i="6"/>
  <c r="AA499" i="6" s="1"/>
  <c r="B499" i="6" s="1"/>
  <c r="AE496" i="6"/>
  <c r="AB496" i="6" s="1"/>
  <c r="C496" i="6" s="1"/>
  <c r="AD178" i="6"/>
  <c r="AA178" i="6" s="1"/>
  <c r="B178" i="6" s="1"/>
  <c r="AD148" i="6"/>
  <c r="AA148" i="6" s="1"/>
  <c r="B148" i="6" s="1"/>
  <c r="AE148" i="6"/>
  <c r="AE368" i="6"/>
  <c r="AB368" i="6" s="1"/>
  <c r="C368" i="6" s="1"/>
  <c r="AD108" i="6"/>
  <c r="AE108" i="6"/>
  <c r="AB108" i="6" s="1"/>
  <c r="C108" i="6" s="1"/>
  <c r="AE394" i="6"/>
  <c r="AB394" i="6" s="1"/>
  <c r="C394" i="6" s="1"/>
  <c r="AD394" i="6"/>
  <c r="AE208" i="6"/>
  <c r="AE340" i="6"/>
  <c r="AB340" i="6" s="1"/>
  <c r="C340" i="6" s="1"/>
  <c r="AD494" i="6"/>
  <c r="AE494" i="6"/>
  <c r="AB494" i="6" s="1"/>
  <c r="C494" i="6" s="1"/>
  <c r="AD86" i="6"/>
  <c r="AE86" i="6"/>
  <c r="AE490" i="6"/>
  <c r="AB490" i="6" s="1"/>
  <c r="C490" i="6" s="1"/>
  <c r="AD490" i="6"/>
  <c r="AA491" i="6" s="1"/>
  <c r="B491" i="6" s="1"/>
  <c r="AD461" i="6"/>
  <c r="AA460" i="6" s="1"/>
  <c r="B460" i="6" s="1"/>
  <c r="AE461" i="6"/>
  <c r="AB461" i="6" s="1"/>
  <c r="C461" i="6" s="1"/>
  <c r="AD200" i="6"/>
  <c r="AE200" i="6"/>
  <c r="AB200" i="6" s="1"/>
  <c r="C200" i="6" s="1"/>
  <c r="AE332" i="6"/>
  <c r="AD332" i="6"/>
  <c r="AD169" i="6"/>
  <c r="AE169" i="6"/>
  <c r="AB169" i="6" s="1"/>
  <c r="C169" i="6" s="1"/>
  <c r="AD267" i="6"/>
  <c r="AE267" i="6"/>
  <c r="BO173" i="14"/>
  <c r="BL173" i="14"/>
  <c r="BP173" i="14"/>
  <c r="BR173" i="14"/>
  <c r="BN173" i="14"/>
  <c r="BQ173" i="14"/>
  <c r="BK173" i="14"/>
  <c r="BM173" i="14"/>
  <c r="AV173" i="14"/>
  <c r="AU173" i="14" s="1"/>
  <c r="AT173" i="14" s="1"/>
  <c r="AD398" i="6"/>
  <c r="AE398" i="6"/>
  <c r="AB398" i="6" s="1"/>
  <c r="C398" i="6" s="1"/>
  <c r="AD406" i="6"/>
  <c r="AA406" i="6" s="1"/>
  <c r="B406" i="6" s="1"/>
  <c r="AE406" i="6"/>
  <c r="AA332" i="6"/>
  <c r="B332" i="6" s="1"/>
  <c r="AD402" i="6"/>
  <c r="AA402" i="6" s="1"/>
  <c r="B402" i="6" s="1"/>
  <c r="AE402" i="6"/>
  <c r="AB265" i="6"/>
  <c r="C265" i="6" s="1"/>
  <c r="AE265" i="6"/>
  <c r="AD265" i="6"/>
  <c r="AE337" i="6"/>
  <c r="AD337" i="6"/>
  <c r="AA337" i="6" s="1"/>
  <c r="B337" i="6" s="1"/>
  <c r="AE502" i="6"/>
  <c r="AD502" i="6"/>
  <c r="AA502" i="6" s="1"/>
  <c r="B502" i="6" s="1"/>
  <c r="BF52" i="14"/>
  <c r="AR52" i="14"/>
  <c r="AQ52" i="14" s="1"/>
  <c r="AP52" i="14" s="1"/>
  <c r="BC52" i="14"/>
  <c r="BD52" i="14"/>
  <c r="BJ52" i="14"/>
  <c r="BE52" i="14"/>
  <c r="BG52" i="14"/>
  <c r="AE329" i="6"/>
  <c r="AB329" i="6" s="1"/>
  <c r="C329" i="6" s="1"/>
  <c r="AD304" i="6"/>
  <c r="AE304" i="6"/>
  <c r="AD307" i="6"/>
  <c r="AA307" i="6" s="1"/>
  <c r="B307" i="6" s="1"/>
  <c r="AE307" i="6"/>
  <c r="AE364" i="6"/>
  <c r="AB364" i="6" s="1"/>
  <c r="C364" i="6" s="1"/>
  <c r="AD364" i="6"/>
  <c r="AD140" i="6"/>
  <c r="AA139" i="6" s="1"/>
  <c r="B139" i="6" s="1"/>
  <c r="AE140" i="6"/>
  <c r="AD393" i="6"/>
  <c r="AE393" i="6"/>
  <c r="AB393" i="6" s="1"/>
  <c r="C393" i="6" s="1"/>
  <c r="K63" i="6"/>
  <c r="L63" i="6" s="1"/>
  <c r="K60" i="6"/>
  <c r="AL173" i="14"/>
  <c r="BH173" i="14" s="1"/>
  <c r="B173" i="14"/>
  <c r="AA425" i="6"/>
  <c r="B425" i="6" s="1"/>
  <c r="AB464" i="6"/>
  <c r="C464" i="6" s="1"/>
  <c r="BI173" i="14"/>
  <c r="B41" i="14"/>
  <c r="E61" i="14" s="1"/>
  <c r="F61" i="14" s="1"/>
  <c r="B170" i="14"/>
  <c r="D191" i="14" s="1"/>
  <c r="AA430" i="6"/>
  <c r="B430" i="6" s="1"/>
  <c r="AA426" i="6"/>
  <c r="B426" i="6" s="1"/>
  <c r="K59" i="6"/>
  <c r="AE176" i="6"/>
  <c r="AB176" i="6" s="1"/>
  <c r="C176" i="6" s="1"/>
  <c r="AL19" i="14"/>
  <c r="BF19" i="14" s="1"/>
  <c r="AA427" i="6"/>
  <c r="B427" i="6" s="1"/>
  <c r="B172" i="14"/>
  <c r="K64" i="6"/>
  <c r="AA41" i="6"/>
  <c r="B41" i="6" s="1"/>
  <c r="AA42" i="6"/>
  <c r="B42" i="6" s="1"/>
  <c r="AA436" i="6"/>
  <c r="B436" i="6" s="1"/>
  <c r="K65" i="6"/>
  <c r="K66" i="6"/>
  <c r="B168" i="14"/>
  <c r="E190" i="14" s="1"/>
  <c r="G190" i="14" s="1"/>
  <c r="AA424" i="6"/>
  <c r="B424" i="6" s="1"/>
  <c r="E448" i="6" s="1"/>
  <c r="F448" i="6" s="1"/>
  <c r="AA429" i="6"/>
  <c r="B429" i="6" s="1"/>
  <c r="K62" i="6"/>
  <c r="AB468" i="6"/>
  <c r="C468" i="6" s="1"/>
  <c r="AM40" i="14"/>
  <c r="BP40" i="14" s="1"/>
  <c r="C40" i="14"/>
  <c r="L65" i="14" s="1"/>
  <c r="BE19" i="14"/>
  <c r="BJ19" i="14"/>
  <c r="BI19" i="14"/>
  <c r="BQ107" i="14"/>
  <c r="BO107" i="14"/>
  <c r="BP107" i="14"/>
  <c r="BR107" i="14"/>
  <c r="AV107" i="14"/>
  <c r="AU107" i="14" s="1"/>
  <c r="AT107" i="14" s="1"/>
  <c r="BK107" i="14"/>
  <c r="BN107" i="14"/>
  <c r="BL107" i="14"/>
  <c r="BM107" i="14"/>
  <c r="BP42" i="14"/>
  <c r="BN42" i="14"/>
  <c r="BL42" i="14"/>
  <c r="AV42" i="14"/>
  <c r="AU42" i="14" s="1"/>
  <c r="AT42" i="14" s="1"/>
  <c r="BM42" i="14"/>
  <c r="BR42" i="14"/>
  <c r="BO42" i="14"/>
  <c r="BQ42" i="14"/>
  <c r="BK42" i="14"/>
  <c r="AV118" i="14"/>
  <c r="AU118" i="14" s="1"/>
  <c r="AT118" i="14" s="1"/>
  <c r="BQ118" i="14"/>
  <c r="BM118" i="14"/>
  <c r="BK118" i="14"/>
  <c r="BR118" i="14"/>
  <c r="BP118" i="14"/>
  <c r="BN118" i="14"/>
  <c r="BL118" i="14"/>
  <c r="BO118" i="14"/>
  <c r="BF53" i="14"/>
  <c r="BJ53" i="14"/>
  <c r="BG53" i="14"/>
  <c r="BC53" i="14"/>
  <c r="BI53" i="14"/>
  <c r="AR53" i="14"/>
  <c r="AQ53" i="14" s="1"/>
  <c r="AP53" i="14" s="1"/>
  <c r="BH53" i="14"/>
  <c r="BD53" i="14"/>
  <c r="BE53" i="14"/>
  <c r="BC109" i="14"/>
  <c r="BH109" i="14"/>
  <c r="BE109" i="14"/>
  <c r="BI109" i="14"/>
  <c r="AR109" i="14"/>
  <c r="AQ109" i="14" s="1"/>
  <c r="AP109" i="14" s="1"/>
  <c r="BG109" i="14"/>
  <c r="BJ109" i="14"/>
  <c r="BD109" i="14"/>
  <c r="BF109" i="14"/>
  <c r="AZ80" i="14"/>
  <c r="AL80" i="14"/>
  <c r="BE13" i="14"/>
  <c r="BD13" i="14"/>
  <c r="BH13" i="14"/>
  <c r="BF13" i="14"/>
  <c r="BJ13" i="14"/>
  <c r="AR13" i="14"/>
  <c r="AQ13" i="14" s="1"/>
  <c r="AP13" i="14" s="1"/>
  <c r="BC13" i="14"/>
  <c r="BI13" i="14"/>
  <c r="BG13" i="14"/>
  <c r="BK22" i="14"/>
  <c r="BM22" i="14"/>
  <c r="AV22" i="14"/>
  <c r="AU22" i="14" s="1"/>
  <c r="AT22" i="14" s="1"/>
  <c r="BL22" i="14"/>
  <c r="BN22" i="14"/>
  <c r="BO22" i="14"/>
  <c r="BR22" i="14"/>
  <c r="BP22" i="14"/>
  <c r="BQ22" i="14"/>
  <c r="BC150" i="14"/>
  <c r="BJ150" i="14"/>
  <c r="AR150" i="14"/>
  <c r="AQ150" i="14" s="1"/>
  <c r="AP150" i="14" s="1"/>
  <c r="BD150" i="14"/>
  <c r="BG150" i="14"/>
  <c r="BE150" i="14"/>
  <c r="BH150" i="14"/>
  <c r="BI150" i="14"/>
  <c r="BF150" i="14"/>
  <c r="BN117" i="14"/>
  <c r="BO117" i="14"/>
  <c r="BP117" i="14"/>
  <c r="BR117" i="14"/>
  <c r="BQ117" i="14"/>
  <c r="BL117" i="14"/>
  <c r="BM117" i="14"/>
  <c r="AV117" i="14"/>
  <c r="AU117" i="14" s="1"/>
  <c r="AT117" i="14" s="1"/>
  <c r="BK117" i="14"/>
  <c r="BK144" i="14"/>
  <c r="BQ144" i="14"/>
  <c r="BN144" i="14"/>
  <c r="BP144" i="14"/>
  <c r="AV144" i="14"/>
  <c r="AU144" i="14" s="1"/>
  <c r="AT144" i="14" s="1"/>
  <c r="BO144" i="14"/>
  <c r="BM144" i="14"/>
  <c r="BL144" i="14"/>
  <c r="BR144" i="14"/>
  <c r="BH44" i="14"/>
  <c r="BE44" i="14"/>
  <c r="BC44" i="14"/>
  <c r="BJ44" i="14"/>
  <c r="BI44" i="14"/>
  <c r="BF44" i="14"/>
  <c r="BD44" i="14"/>
  <c r="BG44" i="14"/>
  <c r="AR44" i="14"/>
  <c r="AQ44" i="14" s="1"/>
  <c r="AP44" i="14" s="1"/>
  <c r="BQ143" i="14"/>
  <c r="AV143" i="14"/>
  <c r="AU143" i="14" s="1"/>
  <c r="AT143" i="14" s="1"/>
  <c r="BP143" i="14"/>
  <c r="BL143" i="14"/>
  <c r="BK143" i="14"/>
  <c r="BR143" i="14"/>
  <c r="BM143" i="14"/>
  <c r="BO143" i="14"/>
  <c r="BN143" i="14"/>
  <c r="BC79" i="14"/>
  <c r="BG79" i="14"/>
  <c r="AR79" i="14"/>
  <c r="AQ79" i="14" s="1"/>
  <c r="AP79" i="14" s="1"/>
  <c r="BF79" i="14"/>
  <c r="BI79" i="14"/>
  <c r="BE79" i="14"/>
  <c r="BJ79" i="14"/>
  <c r="BD79" i="14"/>
  <c r="BH79" i="14"/>
  <c r="BP9" i="14"/>
  <c r="BK9" i="14"/>
  <c r="AV9" i="14"/>
  <c r="AU9" i="14" s="1"/>
  <c r="AT9" i="14" s="1"/>
  <c r="BQ9" i="14"/>
  <c r="BR9" i="14"/>
  <c r="BN9" i="14"/>
  <c r="BM9" i="14"/>
  <c r="BO9" i="14"/>
  <c r="BL9" i="14"/>
  <c r="BL21" i="14"/>
  <c r="AV21" i="14"/>
  <c r="AU21" i="14" s="1"/>
  <c r="AT21" i="14" s="1"/>
  <c r="BR21" i="14"/>
  <c r="BP21" i="14"/>
  <c r="BO21" i="14"/>
  <c r="BK21" i="14"/>
  <c r="BQ21" i="14"/>
  <c r="BN21" i="14"/>
  <c r="BM21" i="14"/>
  <c r="BA73" i="14"/>
  <c r="AM73" i="14"/>
  <c r="BO55" i="14"/>
  <c r="BM55" i="14"/>
  <c r="BK55" i="14"/>
  <c r="BQ55" i="14"/>
  <c r="BP55" i="14"/>
  <c r="BL55" i="14"/>
  <c r="BN55" i="14"/>
  <c r="AV55" i="14"/>
  <c r="AU55" i="14" s="1"/>
  <c r="AT55" i="14" s="1"/>
  <c r="BR55" i="14"/>
  <c r="BM141" i="14"/>
  <c r="BP141" i="14"/>
  <c r="BN141" i="14"/>
  <c r="BR141" i="14"/>
  <c r="AV141" i="14"/>
  <c r="AU141" i="14" s="1"/>
  <c r="AT141" i="14" s="1"/>
  <c r="BQ141" i="14"/>
  <c r="BK141" i="14"/>
  <c r="BO141" i="14"/>
  <c r="BL141" i="14"/>
  <c r="BL179" i="14"/>
  <c r="AV179" i="14"/>
  <c r="AU179" i="14" s="1"/>
  <c r="AT179" i="14" s="1"/>
  <c r="BP179" i="14"/>
  <c r="BK179" i="14"/>
  <c r="BM179" i="14"/>
  <c r="BO179" i="14"/>
  <c r="BR179" i="14"/>
  <c r="BN179" i="14"/>
  <c r="BQ179" i="14"/>
  <c r="BL15" i="14"/>
  <c r="BP15" i="14"/>
  <c r="AV15" i="14"/>
  <c r="AU15" i="14" s="1"/>
  <c r="AT15" i="14" s="1"/>
  <c r="BO15" i="14"/>
  <c r="BM15" i="14"/>
  <c r="BR15" i="14"/>
  <c r="BN15" i="14"/>
  <c r="BQ15" i="14"/>
  <c r="BK15" i="14"/>
  <c r="BL18" i="14"/>
  <c r="BK18" i="14"/>
  <c r="BP18" i="14"/>
  <c r="BM18" i="14"/>
  <c r="BN18" i="14"/>
  <c r="BR18" i="14"/>
  <c r="BO18" i="14"/>
  <c r="AV18" i="14"/>
  <c r="AU18" i="14" s="1"/>
  <c r="AT18" i="14" s="1"/>
  <c r="BQ18" i="14"/>
  <c r="BK106" i="14"/>
  <c r="BN106" i="14"/>
  <c r="BO106" i="14"/>
  <c r="BL106" i="14"/>
  <c r="AV106" i="14"/>
  <c r="AU106" i="14" s="1"/>
  <c r="AT106" i="14" s="1"/>
  <c r="BP106" i="14"/>
  <c r="BM106" i="14"/>
  <c r="BQ106" i="14"/>
  <c r="BR106" i="14"/>
  <c r="BO14" i="14"/>
  <c r="BP14" i="14"/>
  <c r="BK14" i="14"/>
  <c r="BN14" i="14"/>
  <c r="BM14" i="14"/>
  <c r="BQ14" i="14"/>
  <c r="BL14" i="14"/>
  <c r="BR14" i="14"/>
  <c r="AV14" i="14"/>
  <c r="AU14" i="14" s="1"/>
  <c r="AT14" i="14" s="1"/>
  <c r="BQ82" i="14"/>
  <c r="BP82" i="14"/>
  <c r="BO82" i="14"/>
  <c r="BK82" i="14"/>
  <c r="AV82" i="14"/>
  <c r="AU82" i="14" s="1"/>
  <c r="AT82" i="14" s="1"/>
  <c r="BM82" i="14"/>
  <c r="BR82" i="14"/>
  <c r="BN82" i="14"/>
  <c r="BL82" i="14"/>
  <c r="BR41" i="14"/>
  <c r="BP41" i="14"/>
  <c r="AV41" i="14"/>
  <c r="AU41" i="14" s="1"/>
  <c r="AT41" i="14" s="1"/>
  <c r="BL41" i="14"/>
  <c r="BQ41" i="14"/>
  <c r="BK41" i="14"/>
  <c r="BO41" i="14"/>
  <c r="BM41" i="14"/>
  <c r="BN41" i="14"/>
  <c r="BC116" i="14"/>
  <c r="BG116" i="14"/>
  <c r="BJ116" i="14"/>
  <c r="AR116" i="14"/>
  <c r="AQ116" i="14" s="1"/>
  <c r="AP116" i="14" s="1"/>
  <c r="BF116" i="14"/>
  <c r="BD116" i="14"/>
  <c r="BE116" i="14"/>
  <c r="BI116" i="14"/>
  <c r="BH116" i="14"/>
  <c r="BG10" i="14"/>
  <c r="AR10" i="14"/>
  <c r="AQ10" i="14" s="1"/>
  <c r="AP10" i="14" s="1"/>
  <c r="BE10" i="14"/>
  <c r="BI10" i="14"/>
  <c r="BF10" i="14"/>
  <c r="BC10" i="14"/>
  <c r="BD10" i="14"/>
  <c r="BH10" i="14"/>
  <c r="BJ10" i="14"/>
  <c r="BN177" i="14"/>
  <c r="BQ177" i="14"/>
  <c r="BL177" i="14"/>
  <c r="BM177" i="14"/>
  <c r="BK177" i="14"/>
  <c r="BO177" i="14"/>
  <c r="BP177" i="14"/>
  <c r="AV177" i="14"/>
  <c r="AU177" i="14" s="1"/>
  <c r="AT177" i="14" s="1"/>
  <c r="BR177" i="14"/>
  <c r="BI146" i="14"/>
  <c r="BD146" i="14"/>
  <c r="AR146" i="14"/>
  <c r="AQ146" i="14" s="1"/>
  <c r="AP146" i="14" s="1"/>
  <c r="BE146" i="14"/>
  <c r="BG146" i="14"/>
  <c r="BH146" i="14"/>
  <c r="BJ146" i="14"/>
  <c r="BC146" i="14"/>
  <c r="BF146" i="14"/>
  <c r="BC149" i="14"/>
  <c r="BI149" i="14"/>
  <c r="AR149" i="14"/>
  <c r="AQ149" i="14" s="1"/>
  <c r="AP149" i="14" s="1"/>
  <c r="BD149" i="14"/>
  <c r="BF149" i="14"/>
  <c r="BJ149" i="14"/>
  <c r="BE149" i="14"/>
  <c r="BG149" i="14"/>
  <c r="BH149" i="14"/>
  <c r="BC49" i="14"/>
  <c r="BF49" i="14"/>
  <c r="AR49" i="14"/>
  <c r="AQ49" i="14" s="1"/>
  <c r="AP49" i="14" s="1"/>
  <c r="BE49" i="14"/>
  <c r="BD49" i="14"/>
  <c r="BH49" i="14"/>
  <c r="BJ49" i="14"/>
  <c r="BI49" i="14"/>
  <c r="BG49" i="14"/>
  <c r="BH136" i="14"/>
  <c r="BF136" i="14"/>
  <c r="BG136" i="14"/>
  <c r="BC136" i="14"/>
  <c r="BD136" i="14"/>
  <c r="AR136" i="14"/>
  <c r="AQ136" i="14" s="1"/>
  <c r="AP136" i="14" s="1"/>
  <c r="BE136" i="14"/>
  <c r="BJ136" i="14"/>
  <c r="BI136" i="14"/>
  <c r="BN142" i="14"/>
  <c r="AV142" i="14"/>
  <c r="AU142" i="14" s="1"/>
  <c r="AT142" i="14" s="1"/>
  <c r="BP142" i="14"/>
  <c r="BM142" i="14"/>
  <c r="BR142" i="14"/>
  <c r="BO142" i="14"/>
  <c r="BL142" i="14"/>
  <c r="BQ142" i="14"/>
  <c r="BK142" i="14"/>
  <c r="AV19" i="14"/>
  <c r="AU19" i="14" s="1"/>
  <c r="AT19" i="14" s="1"/>
  <c r="BN19" i="14"/>
  <c r="BK19" i="14"/>
  <c r="BL19" i="14"/>
  <c r="BR19" i="14"/>
  <c r="BP19" i="14"/>
  <c r="BM19" i="14"/>
  <c r="BQ19" i="14"/>
  <c r="BO19" i="14"/>
  <c r="AR148" i="14"/>
  <c r="AQ148" i="14" s="1"/>
  <c r="AP148" i="14" s="1"/>
  <c r="BC148" i="14"/>
  <c r="BD148" i="14"/>
  <c r="BF148" i="14"/>
  <c r="BG148" i="14"/>
  <c r="BJ148" i="14"/>
  <c r="BE148" i="14"/>
  <c r="BH148" i="14"/>
  <c r="BI148" i="14"/>
  <c r="AZ77" i="14"/>
  <c r="AL77" i="14"/>
  <c r="AL81" i="14"/>
  <c r="AL78" i="14"/>
  <c r="AL76" i="14"/>
  <c r="AL75" i="14"/>
  <c r="BH139" i="14"/>
  <c r="AR139" i="14"/>
  <c r="AQ139" i="14" s="1"/>
  <c r="AP139" i="14" s="1"/>
  <c r="BI139" i="14"/>
  <c r="BG139" i="14"/>
  <c r="BD139" i="14"/>
  <c r="BJ139" i="14"/>
  <c r="BE139" i="14"/>
  <c r="BF139" i="14"/>
  <c r="BC139" i="14"/>
  <c r="AR111" i="14"/>
  <c r="AQ111" i="14" s="1"/>
  <c r="AP111" i="14" s="1"/>
  <c r="BC111" i="14"/>
  <c r="BI111" i="14"/>
  <c r="BH111" i="14"/>
  <c r="BD111" i="14"/>
  <c r="BF111" i="14"/>
  <c r="BE111" i="14"/>
  <c r="BJ111" i="14"/>
  <c r="BG111" i="14"/>
  <c r="BP87" i="14"/>
  <c r="BK87" i="14"/>
  <c r="BQ87" i="14"/>
  <c r="BN87" i="14"/>
  <c r="BR87" i="14"/>
  <c r="BM87" i="14"/>
  <c r="BL87" i="14"/>
  <c r="BO87" i="14"/>
  <c r="AV87" i="14"/>
  <c r="AU87" i="14" s="1"/>
  <c r="AT87" i="14" s="1"/>
  <c r="BO52" i="14"/>
  <c r="BL52" i="14"/>
  <c r="BN52" i="14"/>
  <c r="BR52" i="14"/>
  <c r="BP52" i="14"/>
  <c r="BQ52" i="14"/>
  <c r="BM52" i="14"/>
  <c r="AV52" i="14"/>
  <c r="AU52" i="14" s="1"/>
  <c r="AT52" i="14" s="1"/>
  <c r="BK52" i="14"/>
  <c r="BO81" i="14"/>
  <c r="BL81" i="14"/>
  <c r="AV81" i="14"/>
  <c r="AU81" i="14" s="1"/>
  <c r="AT81" i="14" s="1"/>
  <c r="BK81" i="14"/>
  <c r="BR81" i="14"/>
  <c r="BP81" i="14"/>
  <c r="BN81" i="14"/>
  <c r="BQ81" i="14"/>
  <c r="BM81" i="14"/>
  <c r="AD205" i="6"/>
  <c r="AE205" i="6"/>
  <c r="AB205" i="6" s="1"/>
  <c r="C205" i="6" s="1"/>
  <c r="AL14" i="14"/>
  <c r="AL8" i="14"/>
  <c r="AM181" i="14"/>
  <c r="BL40" i="14"/>
  <c r="AL172" i="14"/>
  <c r="AL170" i="14"/>
  <c r="BC170" i="14" s="1"/>
  <c r="AL43" i="14"/>
  <c r="BI51" i="14"/>
  <c r="BC51" i="14"/>
  <c r="BF51" i="14"/>
  <c r="BG51" i="14"/>
  <c r="BH51" i="14"/>
  <c r="AR51" i="14"/>
  <c r="AQ51" i="14" s="1"/>
  <c r="AP51" i="14" s="1"/>
  <c r="BE51" i="14"/>
  <c r="BJ51" i="14"/>
  <c r="BD51" i="14"/>
  <c r="BJ110" i="14"/>
  <c r="BH110" i="14"/>
  <c r="AR110" i="14"/>
  <c r="AQ110" i="14" s="1"/>
  <c r="AP110" i="14" s="1"/>
  <c r="BF110" i="14"/>
  <c r="BE110" i="14"/>
  <c r="BI110" i="14"/>
  <c r="BC110" i="14"/>
  <c r="BG110" i="14"/>
  <c r="BD110" i="14"/>
  <c r="BO182" i="14"/>
  <c r="BM182" i="14"/>
  <c r="BP182" i="14"/>
  <c r="BR182" i="14"/>
  <c r="AV182" i="14"/>
  <c r="AU182" i="14" s="1"/>
  <c r="AT182" i="14" s="1"/>
  <c r="BQ182" i="14"/>
  <c r="BN182" i="14"/>
  <c r="BK182" i="14"/>
  <c r="BL182" i="14"/>
  <c r="BJ20" i="14"/>
  <c r="BH20" i="14"/>
  <c r="AR20" i="14"/>
  <c r="AQ20" i="14" s="1"/>
  <c r="AP20" i="14" s="1"/>
  <c r="BC20" i="14"/>
  <c r="BF20" i="14"/>
  <c r="BI20" i="14"/>
  <c r="BD20" i="14"/>
  <c r="BG20" i="14"/>
  <c r="BE20" i="14"/>
  <c r="BH42" i="14"/>
  <c r="BD42" i="14"/>
  <c r="AR42" i="14"/>
  <c r="AQ42" i="14" s="1"/>
  <c r="AP42" i="14" s="1"/>
  <c r="BG42" i="14"/>
  <c r="BC42" i="14"/>
  <c r="BE42" i="14"/>
  <c r="BI42" i="14"/>
  <c r="BF42" i="14"/>
  <c r="BJ42" i="14"/>
  <c r="BN17" i="14"/>
  <c r="BO17" i="14"/>
  <c r="BP17" i="14"/>
  <c r="AV17" i="14"/>
  <c r="AU17" i="14" s="1"/>
  <c r="AT17" i="14" s="1"/>
  <c r="BM17" i="14"/>
  <c r="BL17" i="14"/>
  <c r="BQ17" i="14"/>
  <c r="BK17" i="14"/>
  <c r="BR17" i="14"/>
  <c r="BR53" i="14"/>
  <c r="BP53" i="14"/>
  <c r="BQ53" i="14"/>
  <c r="BK53" i="14"/>
  <c r="BL53" i="14"/>
  <c r="BM53" i="14"/>
  <c r="BN53" i="14"/>
  <c r="BO53" i="14"/>
  <c r="AV53" i="14"/>
  <c r="AU53" i="14" s="1"/>
  <c r="AT53" i="14" s="1"/>
  <c r="BN109" i="14"/>
  <c r="BM109" i="14"/>
  <c r="BP109" i="14"/>
  <c r="BR109" i="14"/>
  <c r="BQ109" i="14"/>
  <c r="BK109" i="14"/>
  <c r="BO109" i="14"/>
  <c r="AV109" i="14"/>
  <c r="AU109" i="14" s="1"/>
  <c r="AT109" i="14" s="1"/>
  <c r="BL109" i="14"/>
  <c r="BC72" i="14"/>
  <c r="BF72" i="14"/>
  <c r="BE72" i="14"/>
  <c r="BD72" i="14"/>
  <c r="BG72" i="14"/>
  <c r="BH72" i="14"/>
  <c r="BJ72" i="14"/>
  <c r="AR72" i="14"/>
  <c r="AQ72" i="14" s="1"/>
  <c r="AP72" i="14" s="1"/>
  <c r="BI72" i="14"/>
  <c r="BP13" i="14"/>
  <c r="BO13" i="14"/>
  <c r="BR13" i="14"/>
  <c r="BQ13" i="14"/>
  <c r="AV13" i="14"/>
  <c r="AU13" i="14" s="1"/>
  <c r="AT13" i="14" s="1"/>
  <c r="BM13" i="14"/>
  <c r="BN13" i="14"/>
  <c r="BL13" i="14"/>
  <c r="BK13" i="14"/>
  <c r="BD16" i="14"/>
  <c r="BG16" i="14"/>
  <c r="BH16" i="14"/>
  <c r="BI16" i="14"/>
  <c r="BC16" i="14"/>
  <c r="BJ16" i="14"/>
  <c r="AR16" i="14"/>
  <c r="AQ16" i="14" s="1"/>
  <c r="AP16" i="14" s="1"/>
  <c r="BE16" i="14"/>
  <c r="BF16" i="14"/>
  <c r="AD341" i="6"/>
  <c r="AA341" i="6" s="1"/>
  <c r="B341" i="6" s="1"/>
  <c r="AL48" i="14"/>
  <c r="BL50" i="14"/>
  <c r="BR50" i="14"/>
  <c r="BN50" i="14"/>
  <c r="AV50" i="14"/>
  <c r="AU50" i="14" s="1"/>
  <c r="AT50" i="14" s="1"/>
  <c r="BQ50" i="14"/>
  <c r="BK50" i="14"/>
  <c r="BP50" i="14"/>
  <c r="BM50" i="14"/>
  <c r="BO50" i="14"/>
  <c r="BF108" i="14"/>
  <c r="BC108" i="14"/>
  <c r="BG108" i="14"/>
  <c r="BJ108" i="14"/>
  <c r="BH108" i="14"/>
  <c r="BI108" i="14"/>
  <c r="AR108" i="14"/>
  <c r="AQ108" i="14" s="1"/>
  <c r="AP108" i="14" s="1"/>
  <c r="BD108" i="14"/>
  <c r="BE108" i="14"/>
  <c r="BF74" i="14"/>
  <c r="AR74" i="14"/>
  <c r="AQ74" i="14" s="1"/>
  <c r="AP74" i="14" s="1"/>
  <c r="BD74" i="14"/>
  <c r="BG74" i="14"/>
  <c r="BE74" i="14"/>
  <c r="BH74" i="14"/>
  <c r="BI74" i="14"/>
  <c r="BC74" i="14"/>
  <c r="BJ74" i="14"/>
  <c r="AV140" i="14"/>
  <c r="AU140" i="14" s="1"/>
  <c r="AT140" i="14" s="1"/>
  <c r="BK140" i="14"/>
  <c r="BR140" i="14"/>
  <c r="BP140" i="14"/>
  <c r="BL140" i="14"/>
  <c r="BN140" i="14"/>
  <c r="BO140" i="14"/>
  <c r="BM140" i="14"/>
  <c r="BQ140" i="14"/>
  <c r="BC178" i="14"/>
  <c r="BD178" i="14"/>
  <c r="BE178" i="14"/>
  <c r="BF178" i="14"/>
  <c r="BG178" i="14"/>
  <c r="BJ178" i="14"/>
  <c r="AR178" i="14"/>
  <c r="AQ178" i="14" s="1"/>
  <c r="AP178" i="14" s="1"/>
  <c r="BH178" i="14"/>
  <c r="BI178" i="14"/>
  <c r="BI141" i="14"/>
  <c r="BJ141" i="14"/>
  <c r="BC141" i="14"/>
  <c r="BF141" i="14"/>
  <c r="BE141" i="14"/>
  <c r="BH141" i="14"/>
  <c r="BD141" i="14"/>
  <c r="BG141" i="14"/>
  <c r="AR141" i="14"/>
  <c r="AQ141" i="14" s="1"/>
  <c r="AP141" i="14" s="1"/>
  <c r="BD179" i="14"/>
  <c r="BF179" i="14"/>
  <c r="BC179" i="14"/>
  <c r="AR179" i="14"/>
  <c r="AQ179" i="14" s="1"/>
  <c r="AP179" i="14" s="1"/>
  <c r="BH179" i="14"/>
  <c r="BG179" i="14"/>
  <c r="BI179" i="14"/>
  <c r="BE179" i="14"/>
  <c r="BJ179" i="14"/>
  <c r="BE169" i="14"/>
  <c r="BH169" i="14"/>
  <c r="BC169" i="14"/>
  <c r="BI169" i="14"/>
  <c r="BG169" i="14"/>
  <c r="AR169" i="14"/>
  <c r="AQ169" i="14" s="1"/>
  <c r="AP169" i="14" s="1"/>
  <c r="BJ169" i="14"/>
  <c r="BF169" i="14"/>
  <c r="BD169" i="14"/>
  <c r="BE15" i="14"/>
  <c r="AR15" i="14"/>
  <c r="AQ15" i="14" s="1"/>
  <c r="AP15" i="14" s="1"/>
  <c r="BG15" i="14"/>
  <c r="BD15" i="14"/>
  <c r="BI15" i="14"/>
  <c r="BJ15" i="14"/>
  <c r="BC15" i="14"/>
  <c r="BH15" i="14"/>
  <c r="BF15" i="14"/>
  <c r="BC181" i="14"/>
  <c r="AR181" i="14"/>
  <c r="AQ181" i="14" s="1"/>
  <c r="AP181" i="14" s="1"/>
  <c r="BJ181" i="14"/>
  <c r="BH181" i="14"/>
  <c r="BG181" i="14"/>
  <c r="BF181" i="14"/>
  <c r="BI181" i="14"/>
  <c r="BE181" i="14"/>
  <c r="BD181" i="14"/>
  <c r="BA83" i="14"/>
  <c r="AM83" i="14"/>
  <c r="BN23" i="14"/>
  <c r="BQ23" i="14"/>
  <c r="AV23" i="14"/>
  <c r="AU23" i="14" s="1"/>
  <c r="AT23" i="14" s="1"/>
  <c r="BP23" i="14"/>
  <c r="BR23" i="14"/>
  <c r="BL23" i="14"/>
  <c r="BK23" i="14"/>
  <c r="BO23" i="14"/>
  <c r="BM23" i="14"/>
  <c r="BD11" i="14"/>
  <c r="AR11" i="14"/>
  <c r="AQ11" i="14" s="1"/>
  <c r="AP11" i="14" s="1"/>
  <c r="BF11" i="14"/>
  <c r="BG11" i="14"/>
  <c r="BH11" i="14"/>
  <c r="BC11" i="14"/>
  <c r="BI11" i="14"/>
  <c r="BJ11" i="14"/>
  <c r="BE11" i="14"/>
  <c r="BP114" i="14"/>
  <c r="BM114" i="14"/>
  <c r="BK114" i="14"/>
  <c r="BN114" i="14"/>
  <c r="BL114" i="14"/>
  <c r="BR114" i="14"/>
  <c r="BQ114" i="14"/>
  <c r="AV114" i="14"/>
  <c r="AU114" i="14" s="1"/>
  <c r="AT114" i="14" s="1"/>
  <c r="BO114" i="14"/>
  <c r="BE151" i="14"/>
  <c r="BC151" i="14"/>
  <c r="BF151" i="14"/>
  <c r="BH151" i="14"/>
  <c r="BI151" i="14"/>
  <c r="BD151" i="14"/>
  <c r="AR151" i="14"/>
  <c r="AQ151" i="14" s="1"/>
  <c r="AP151" i="14" s="1"/>
  <c r="BJ151" i="14"/>
  <c r="BG151" i="14"/>
  <c r="BP149" i="14"/>
  <c r="BQ149" i="14"/>
  <c r="BK149" i="14"/>
  <c r="BR149" i="14"/>
  <c r="BM149" i="14"/>
  <c r="BO149" i="14"/>
  <c r="AV149" i="14"/>
  <c r="AU149" i="14" s="1"/>
  <c r="AT149" i="14" s="1"/>
  <c r="BN149" i="14"/>
  <c r="BL149" i="14"/>
  <c r="BQ8" i="14"/>
  <c r="BP8" i="14"/>
  <c r="BR8" i="14"/>
  <c r="BK8" i="14"/>
  <c r="BL8" i="14"/>
  <c r="BO8" i="14"/>
  <c r="BM8" i="14"/>
  <c r="AV8" i="14"/>
  <c r="AU8" i="14" s="1"/>
  <c r="AT8" i="14" s="1"/>
  <c r="BN8" i="14"/>
  <c r="BG180" i="14"/>
  <c r="BI180" i="14"/>
  <c r="BF180" i="14"/>
  <c r="BC180" i="14"/>
  <c r="BE180" i="14"/>
  <c r="AR180" i="14"/>
  <c r="AQ180" i="14" s="1"/>
  <c r="AP180" i="14" s="1"/>
  <c r="BJ180" i="14"/>
  <c r="BH180" i="14"/>
  <c r="BD180" i="14"/>
  <c r="AL142" i="14"/>
  <c r="AZ142" i="14"/>
  <c r="B142" i="14" s="1"/>
  <c r="BH137" i="14"/>
  <c r="BI137" i="14"/>
  <c r="BG137" i="14"/>
  <c r="AR137" i="14"/>
  <c r="AQ137" i="14" s="1"/>
  <c r="AP137" i="14" s="1"/>
  <c r="BF137" i="14"/>
  <c r="BE137" i="14"/>
  <c r="BJ137" i="14"/>
  <c r="BC137" i="14"/>
  <c r="BD137" i="14"/>
  <c r="BR54" i="14"/>
  <c r="BM54" i="14"/>
  <c r="BK54" i="14"/>
  <c r="BL54" i="14"/>
  <c r="AV54" i="14"/>
  <c r="AU54" i="14" s="1"/>
  <c r="AT54" i="14" s="1"/>
  <c r="BN54" i="14"/>
  <c r="BP54" i="14"/>
  <c r="BQ54" i="14"/>
  <c r="BO54" i="14"/>
  <c r="BH104" i="14"/>
  <c r="BC104" i="14"/>
  <c r="BJ104" i="14"/>
  <c r="BE104" i="14"/>
  <c r="AR104" i="14"/>
  <c r="AQ104" i="14" s="1"/>
  <c r="AP104" i="14" s="1"/>
  <c r="BF104" i="14"/>
  <c r="BG104" i="14"/>
  <c r="BI104" i="14"/>
  <c r="BD104" i="14"/>
  <c r="AD117" i="6"/>
  <c r="C178" i="14"/>
  <c r="BR40" i="14"/>
  <c r="AL168" i="14"/>
  <c r="AL41" i="14"/>
  <c r="BK51" i="14"/>
  <c r="BM51" i="14"/>
  <c r="BL51" i="14"/>
  <c r="BP51" i="14"/>
  <c r="BN51" i="14"/>
  <c r="BO51" i="14"/>
  <c r="AV51" i="14"/>
  <c r="AU51" i="14" s="1"/>
  <c r="AT51" i="14" s="1"/>
  <c r="BR51" i="14"/>
  <c r="BQ51" i="14"/>
  <c r="BF182" i="14"/>
  <c r="BI182" i="14"/>
  <c r="BH182" i="14"/>
  <c r="AR182" i="14"/>
  <c r="AQ182" i="14" s="1"/>
  <c r="AP182" i="14" s="1"/>
  <c r="BD182" i="14"/>
  <c r="BC182" i="14"/>
  <c r="BE182" i="14"/>
  <c r="BG182" i="14"/>
  <c r="BJ182" i="14"/>
  <c r="BO175" i="14"/>
  <c r="AV175" i="14"/>
  <c r="AU175" i="14" s="1"/>
  <c r="AT175" i="14" s="1"/>
  <c r="BR175" i="14"/>
  <c r="BM175" i="14"/>
  <c r="BK175" i="14"/>
  <c r="BP175" i="14"/>
  <c r="BN175" i="14"/>
  <c r="BL175" i="14"/>
  <c r="BQ175" i="14"/>
  <c r="BJ118" i="14"/>
  <c r="BE118" i="14"/>
  <c r="BI118" i="14"/>
  <c r="AR118" i="14"/>
  <c r="AQ118" i="14" s="1"/>
  <c r="AP118" i="14" s="1"/>
  <c r="BF118" i="14"/>
  <c r="BC118" i="14"/>
  <c r="BG118" i="14"/>
  <c r="BD118" i="14"/>
  <c r="BH118" i="14"/>
  <c r="BG47" i="14"/>
  <c r="BC47" i="14"/>
  <c r="BE47" i="14"/>
  <c r="AR47" i="14"/>
  <c r="AQ47" i="14" s="1"/>
  <c r="AP47" i="14" s="1"/>
  <c r="BF47" i="14"/>
  <c r="BJ47" i="14"/>
  <c r="BD47" i="14"/>
  <c r="BI47" i="14"/>
  <c r="BH47" i="14"/>
  <c r="BR80" i="14"/>
  <c r="BN80" i="14"/>
  <c r="BK80" i="14"/>
  <c r="BM80" i="14"/>
  <c r="AV80" i="14"/>
  <c r="AU80" i="14" s="1"/>
  <c r="AT80" i="14" s="1"/>
  <c r="BL80" i="14"/>
  <c r="BQ80" i="14"/>
  <c r="BO80" i="14"/>
  <c r="BP80" i="14"/>
  <c r="BA85" i="14"/>
  <c r="AM85" i="14"/>
  <c r="BP171" i="14"/>
  <c r="BK171" i="14"/>
  <c r="BQ171" i="14"/>
  <c r="BO171" i="14"/>
  <c r="AV171" i="14"/>
  <c r="AU171" i="14" s="1"/>
  <c r="AT171" i="14" s="1"/>
  <c r="BL171" i="14"/>
  <c r="BN171" i="14"/>
  <c r="BM171" i="14"/>
  <c r="BR171" i="14"/>
  <c r="BC117" i="14"/>
  <c r="AR117" i="14"/>
  <c r="AQ117" i="14" s="1"/>
  <c r="AP117" i="14" s="1"/>
  <c r="BD117" i="14"/>
  <c r="BF117" i="14"/>
  <c r="BE117" i="14"/>
  <c r="BJ117" i="14"/>
  <c r="BI117" i="14"/>
  <c r="BG117" i="14"/>
  <c r="BH117" i="14"/>
  <c r="BA16" i="14"/>
  <c r="AM16" i="14"/>
  <c r="AD171" i="6"/>
  <c r="AE171" i="6"/>
  <c r="AZ106" i="14"/>
  <c r="B107" i="14" s="1"/>
  <c r="AL107" i="14"/>
  <c r="BL44" i="14"/>
  <c r="BQ44" i="14"/>
  <c r="BM44" i="14"/>
  <c r="BN44" i="14"/>
  <c r="BP44" i="14"/>
  <c r="BK44" i="14"/>
  <c r="AV44" i="14"/>
  <c r="AU44" i="14" s="1"/>
  <c r="AT44" i="14" s="1"/>
  <c r="BR44" i="14"/>
  <c r="BO44" i="14"/>
  <c r="BO108" i="14"/>
  <c r="BR108" i="14"/>
  <c r="BM108" i="14"/>
  <c r="BP108" i="14"/>
  <c r="BL108" i="14"/>
  <c r="BK108" i="14"/>
  <c r="BQ108" i="14"/>
  <c r="BN108" i="14"/>
  <c r="AV108" i="14"/>
  <c r="AU108" i="14" s="1"/>
  <c r="AT108" i="14" s="1"/>
  <c r="BI143" i="14"/>
  <c r="BC143" i="14"/>
  <c r="BH143" i="14"/>
  <c r="BF143" i="14"/>
  <c r="AR143" i="14"/>
  <c r="AQ143" i="14" s="1"/>
  <c r="AP143" i="14" s="1"/>
  <c r="BE143" i="14"/>
  <c r="BG143" i="14"/>
  <c r="BD143" i="14"/>
  <c r="BJ143" i="14"/>
  <c r="AR46" i="14"/>
  <c r="AQ46" i="14" s="1"/>
  <c r="AP46" i="14" s="1"/>
  <c r="BD46" i="14"/>
  <c r="BE46" i="14"/>
  <c r="BH46" i="14"/>
  <c r="BF46" i="14"/>
  <c r="BC46" i="14"/>
  <c r="BJ46" i="14"/>
  <c r="BG46" i="14"/>
  <c r="BI46" i="14"/>
  <c r="BQ79" i="14"/>
  <c r="BP79" i="14"/>
  <c r="BM79" i="14"/>
  <c r="BL79" i="14"/>
  <c r="BO79" i="14"/>
  <c r="AV79" i="14"/>
  <c r="AU79" i="14" s="1"/>
  <c r="AT79" i="14" s="1"/>
  <c r="BK79" i="14"/>
  <c r="BR79" i="14"/>
  <c r="BN79" i="14"/>
  <c r="BA10" i="14"/>
  <c r="AM11" i="14"/>
  <c r="BH9" i="14"/>
  <c r="BG9" i="14"/>
  <c r="BI9" i="14"/>
  <c r="BD9" i="14"/>
  <c r="AR9" i="14"/>
  <c r="AQ9" i="14" s="1"/>
  <c r="AP9" i="14" s="1"/>
  <c r="BE9" i="14"/>
  <c r="BC9" i="14"/>
  <c r="BJ9" i="14"/>
  <c r="BF9" i="14"/>
  <c r="BI140" i="14"/>
  <c r="BG140" i="14"/>
  <c r="BH140" i="14"/>
  <c r="BJ140" i="14"/>
  <c r="BE140" i="14"/>
  <c r="BD140" i="14"/>
  <c r="AR140" i="14"/>
  <c r="AQ140" i="14" s="1"/>
  <c r="AP140" i="14" s="1"/>
  <c r="BF140" i="14"/>
  <c r="BC140" i="14"/>
  <c r="AR21" i="14"/>
  <c r="AQ21" i="14" s="1"/>
  <c r="AP21" i="14" s="1"/>
  <c r="BJ21" i="14"/>
  <c r="BI21" i="14"/>
  <c r="BG21" i="14"/>
  <c r="BD21" i="14"/>
  <c r="BE21" i="14"/>
  <c r="BF21" i="14"/>
  <c r="BC21" i="14"/>
  <c r="BH21" i="14"/>
  <c r="AZ12" i="14"/>
  <c r="B14" i="14" s="1"/>
  <c r="AL12" i="14"/>
  <c r="BK112" i="14"/>
  <c r="AV112" i="14"/>
  <c r="AU112" i="14" s="1"/>
  <c r="AT112" i="14" s="1"/>
  <c r="BQ112" i="14"/>
  <c r="BL112" i="14"/>
  <c r="BO112" i="14"/>
  <c r="BP112" i="14"/>
  <c r="BM112" i="14"/>
  <c r="BN112" i="14"/>
  <c r="BR112" i="14"/>
  <c r="AV115" i="14"/>
  <c r="AU115" i="14" s="1"/>
  <c r="AT115" i="14" s="1"/>
  <c r="BP115" i="14"/>
  <c r="BN115" i="14"/>
  <c r="BO115" i="14"/>
  <c r="BQ115" i="14"/>
  <c r="BK115" i="14"/>
  <c r="BM115" i="14"/>
  <c r="BR115" i="14"/>
  <c r="BL115" i="14"/>
  <c r="BO169" i="14"/>
  <c r="BM169" i="14"/>
  <c r="BN169" i="14"/>
  <c r="BP169" i="14"/>
  <c r="BL169" i="14"/>
  <c r="BK169" i="14"/>
  <c r="AV169" i="14"/>
  <c r="AU169" i="14" s="1"/>
  <c r="AT169" i="14" s="1"/>
  <c r="BQ169" i="14"/>
  <c r="BR169" i="14"/>
  <c r="BJ23" i="14"/>
  <c r="BE23" i="14"/>
  <c r="AR23" i="14"/>
  <c r="AQ23" i="14" s="1"/>
  <c r="AP23" i="14" s="1"/>
  <c r="BD23" i="14"/>
  <c r="BC23" i="14"/>
  <c r="BI23" i="14"/>
  <c r="BH23" i="14"/>
  <c r="BG23" i="14"/>
  <c r="BF23" i="14"/>
  <c r="BR147" i="14"/>
  <c r="BP147" i="14"/>
  <c r="BQ147" i="14"/>
  <c r="BL147" i="14"/>
  <c r="AV147" i="14"/>
  <c r="AU147" i="14" s="1"/>
  <c r="AT147" i="14" s="1"/>
  <c r="BK147" i="14"/>
  <c r="BN147" i="14"/>
  <c r="BM147" i="14"/>
  <c r="BO147" i="14"/>
  <c r="AR82" i="14"/>
  <c r="AQ82" i="14" s="1"/>
  <c r="AP82" i="14" s="1"/>
  <c r="BD82" i="14"/>
  <c r="BJ82" i="14"/>
  <c r="BH82" i="14"/>
  <c r="BG82" i="14"/>
  <c r="BE82" i="14"/>
  <c r="BC82" i="14"/>
  <c r="BF82" i="14"/>
  <c r="BI82" i="14"/>
  <c r="AV116" i="14"/>
  <c r="AU116" i="14" s="1"/>
  <c r="AT116" i="14" s="1"/>
  <c r="BQ116" i="14"/>
  <c r="BK116" i="14"/>
  <c r="BP116" i="14"/>
  <c r="BM116" i="14"/>
  <c r="BL116" i="14"/>
  <c r="BN116" i="14"/>
  <c r="BR116" i="14"/>
  <c r="BO116" i="14"/>
  <c r="BO10" i="14"/>
  <c r="BM10" i="14"/>
  <c r="AV10" i="14"/>
  <c r="AU10" i="14" s="1"/>
  <c r="AT10" i="14" s="1"/>
  <c r="BN10" i="14"/>
  <c r="BR10" i="14"/>
  <c r="BK10" i="14"/>
  <c r="BL10" i="14"/>
  <c r="BP10" i="14"/>
  <c r="BQ10" i="14"/>
  <c r="BG114" i="14"/>
  <c r="BI114" i="14"/>
  <c r="BC114" i="14"/>
  <c r="BD114" i="14"/>
  <c r="BE114" i="14"/>
  <c r="BJ114" i="14"/>
  <c r="AR114" i="14"/>
  <c r="AQ114" i="14" s="1"/>
  <c r="AP114" i="14" s="1"/>
  <c r="BF114" i="14"/>
  <c r="BH114" i="14"/>
  <c r="BR151" i="14"/>
  <c r="BL151" i="14"/>
  <c r="BQ151" i="14"/>
  <c r="BK151" i="14"/>
  <c r="BN151" i="14"/>
  <c r="BP151" i="14"/>
  <c r="BO151" i="14"/>
  <c r="BM151" i="14"/>
  <c r="AV151" i="14"/>
  <c r="AU151" i="14" s="1"/>
  <c r="AT151" i="14" s="1"/>
  <c r="AR86" i="14"/>
  <c r="AQ86" i="14" s="1"/>
  <c r="AP86" i="14" s="1"/>
  <c r="BH86" i="14"/>
  <c r="BC86" i="14"/>
  <c r="BI86" i="14"/>
  <c r="BF86" i="14"/>
  <c r="BD86" i="14"/>
  <c r="BE86" i="14"/>
  <c r="BJ86" i="14"/>
  <c r="BG86" i="14"/>
  <c r="BR49" i="14"/>
  <c r="BM49" i="14"/>
  <c r="BL49" i="14"/>
  <c r="BQ49" i="14"/>
  <c r="AV49" i="14"/>
  <c r="AU49" i="14" s="1"/>
  <c r="AT49" i="14" s="1"/>
  <c r="BP49" i="14"/>
  <c r="BN49" i="14"/>
  <c r="BK49" i="14"/>
  <c r="BO49" i="14"/>
  <c r="BM48" i="14"/>
  <c r="BP48" i="14"/>
  <c r="AV48" i="14"/>
  <c r="AU48" i="14" s="1"/>
  <c r="AT48" i="14" s="1"/>
  <c r="BO48" i="14"/>
  <c r="BR48" i="14"/>
  <c r="BL48" i="14"/>
  <c r="BK48" i="14"/>
  <c r="BQ48" i="14"/>
  <c r="BN48" i="14"/>
  <c r="BK119" i="14"/>
  <c r="BO119" i="14"/>
  <c r="BP119" i="14"/>
  <c r="BM119" i="14"/>
  <c r="BL119" i="14"/>
  <c r="BN119" i="14"/>
  <c r="AV119" i="14"/>
  <c r="AU119" i="14" s="1"/>
  <c r="AT119" i="14" s="1"/>
  <c r="BR119" i="14"/>
  <c r="BQ119" i="14"/>
  <c r="BG113" i="14"/>
  <c r="BI113" i="14"/>
  <c r="AR113" i="14"/>
  <c r="AQ113" i="14" s="1"/>
  <c r="AP113" i="14" s="1"/>
  <c r="BE113" i="14"/>
  <c r="BD113" i="14"/>
  <c r="BF113" i="14"/>
  <c r="BJ113" i="14"/>
  <c r="BC113" i="14"/>
  <c r="BH113" i="14"/>
  <c r="BN148" i="14"/>
  <c r="AV148" i="14"/>
  <c r="AU148" i="14" s="1"/>
  <c r="AT148" i="14" s="1"/>
  <c r="BO148" i="14"/>
  <c r="BM148" i="14"/>
  <c r="BP148" i="14"/>
  <c r="BR148" i="14"/>
  <c r="BQ148" i="14"/>
  <c r="BL148" i="14"/>
  <c r="BK148" i="14"/>
  <c r="BO77" i="14"/>
  <c r="BK77" i="14"/>
  <c r="BL77" i="14"/>
  <c r="BR77" i="14"/>
  <c r="AV77" i="14"/>
  <c r="AU77" i="14" s="1"/>
  <c r="AT77" i="14" s="1"/>
  <c r="BN77" i="14"/>
  <c r="BQ77" i="14"/>
  <c r="BM77" i="14"/>
  <c r="BP77" i="14"/>
  <c r="BM45" i="14"/>
  <c r="BQ45" i="14"/>
  <c r="AV45" i="14"/>
  <c r="AU45" i="14" s="1"/>
  <c r="AT45" i="14" s="1"/>
  <c r="BN45" i="14"/>
  <c r="BL45" i="14"/>
  <c r="BP45" i="14"/>
  <c r="BK45" i="14"/>
  <c r="BO45" i="14"/>
  <c r="BR45" i="14"/>
  <c r="AV137" i="14"/>
  <c r="AU137" i="14" s="1"/>
  <c r="AT137" i="14" s="1"/>
  <c r="BO137" i="14"/>
  <c r="BP137" i="14"/>
  <c r="BK137" i="14"/>
  <c r="BL137" i="14"/>
  <c r="BR137" i="14"/>
  <c r="BM137" i="14"/>
  <c r="BN137" i="14"/>
  <c r="BQ137" i="14"/>
  <c r="AV104" i="14"/>
  <c r="AU104" i="14" s="1"/>
  <c r="AT104" i="14" s="1"/>
  <c r="BR104" i="14"/>
  <c r="BP104" i="14"/>
  <c r="BM104" i="14"/>
  <c r="BK104" i="14"/>
  <c r="BL104" i="14"/>
  <c r="BN104" i="14"/>
  <c r="BQ104" i="14"/>
  <c r="BO104" i="14"/>
  <c r="AM176" i="14"/>
  <c r="AM178" i="14"/>
  <c r="AM72" i="14"/>
  <c r="BE173" i="14"/>
  <c r="AL45" i="14"/>
  <c r="BM110" i="14"/>
  <c r="BO110" i="14"/>
  <c r="BN110" i="14"/>
  <c r="BQ110" i="14"/>
  <c r="BK110" i="14"/>
  <c r="BP110" i="14"/>
  <c r="AV110" i="14"/>
  <c r="AU110" i="14" s="1"/>
  <c r="AT110" i="14" s="1"/>
  <c r="BR110" i="14"/>
  <c r="BL110" i="14"/>
  <c r="BG175" i="14"/>
  <c r="BI175" i="14"/>
  <c r="BC175" i="14"/>
  <c r="BJ175" i="14"/>
  <c r="BF175" i="14"/>
  <c r="BH175" i="14"/>
  <c r="BE175" i="14"/>
  <c r="BD175" i="14"/>
  <c r="AR175" i="14"/>
  <c r="AQ175" i="14" s="1"/>
  <c r="AP175" i="14" s="1"/>
  <c r="BC17" i="14"/>
  <c r="AR17" i="14"/>
  <c r="AQ17" i="14" s="1"/>
  <c r="AP17" i="14" s="1"/>
  <c r="BJ17" i="14"/>
  <c r="BD17" i="14"/>
  <c r="BF17" i="14"/>
  <c r="BH17" i="14"/>
  <c r="BI17" i="14"/>
  <c r="BG17" i="14"/>
  <c r="BE17" i="14"/>
  <c r="BO47" i="14"/>
  <c r="BR47" i="14"/>
  <c r="BK47" i="14"/>
  <c r="BM47" i="14"/>
  <c r="BN47" i="14"/>
  <c r="BP47" i="14"/>
  <c r="AV47" i="14"/>
  <c r="AU47" i="14" s="1"/>
  <c r="AT47" i="14" s="1"/>
  <c r="BL47" i="14"/>
  <c r="BQ47" i="14"/>
  <c r="BF171" i="14"/>
  <c r="BD171" i="14"/>
  <c r="BH171" i="14"/>
  <c r="BI171" i="14"/>
  <c r="AR171" i="14"/>
  <c r="AQ171" i="14" s="1"/>
  <c r="AP171" i="14" s="1"/>
  <c r="BC171" i="14"/>
  <c r="BJ171" i="14"/>
  <c r="BG171" i="14"/>
  <c r="BE171" i="14"/>
  <c r="BC22" i="14"/>
  <c r="AR22" i="14"/>
  <c r="AQ22" i="14" s="1"/>
  <c r="AP22" i="14" s="1"/>
  <c r="BD22" i="14"/>
  <c r="BI22" i="14"/>
  <c r="BF22" i="14"/>
  <c r="BE22" i="14"/>
  <c r="BG22" i="14"/>
  <c r="BJ22" i="14"/>
  <c r="BH22" i="14"/>
  <c r="BD84" i="14"/>
  <c r="BF84" i="14"/>
  <c r="BJ84" i="14"/>
  <c r="BE84" i="14"/>
  <c r="BG84" i="14"/>
  <c r="BH84" i="14"/>
  <c r="BC84" i="14"/>
  <c r="BI84" i="14"/>
  <c r="AR84" i="14"/>
  <c r="AQ84" i="14" s="1"/>
  <c r="AP84" i="14" s="1"/>
  <c r="AE334" i="6"/>
  <c r="AD334" i="6"/>
  <c r="BK43" i="14"/>
  <c r="BL43" i="14"/>
  <c r="BO43" i="14"/>
  <c r="BR43" i="14"/>
  <c r="BN43" i="14"/>
  <c r="BP43" i="14"/>
  <c r="BQ43" i="14"/>
  <c r="BM43" i="14"/>
  <c r="AV43" i="14"/>
  <c r="AU43" i="14" s="1"/>
  <c r="AT43" i="14" s="1"/>
  <c r="BH50" i="14"/>
  <c r="BE50" i="14"/>
  <c r="BJ50" i="14"/>
  <c r="BC50" i="14"/>
  <c r="AR50" i="14"/>
  <c r="AQ50" i="14" s="1"/>
  <c r="AP50" i="14" s="1"/>
  <c r="BI50" i="14"/>
  <c r="BG50" i="14"/>
  <c r="BF50" i="14"/>
  <c r="BD50" i="14"/>
  <c r="BJ144" i="14"/>
  <c r="AR144" i="14"/>
  <c r="AQ144" i="14" s="1"/>
  <c r="AP144" i="14" s="1"/>
  <c r="BE144" i="14"/>
  <c r="BI144" i="14"/>
  <c r="BD144" i="14"/>
  <c r="BG144" i="14"/>
  <c r="BH144" i="14"/>
  <c r="BF144" i="14"/>
  <c r="BC144" i="14"/>
  <c r="BR46" i="14"/>
  <c r="AV46" i="14"/>
  <c r="AU46" i="14" s="1"/>
  <c r="AT46" i="14" s="1"/>
  <c r="BL46" i="14"/>
  <c r="BM46" i="14"/>
  <c r="BQ46" i="14"/>
  <c r="BO46" i="14"/>
  <c r="BK46" i="14"/>
  <c r="BP46" i="14"/>
  <c r="BN46" i="14"/>
  <c r="BM74" i="14"/>
  <c r="BQ74" i="14"/>
  <c r="BL74" i="14"/>
  <c r="AV74" i="14"/>
  <c r="AU74" i="14" s="1"/>
  <c r="AT74" i="14" s="1"/>
  <c r="BK74" i="14"/>
  <c r="BN74" i="14"/>
  <c r="BP74" i="14"/>
  <c r="BO74" i="14"/>
  <c r="BR74" i="14"/>
  <c r="BP172" i="14"/>
  <c r="BK172" i="14"/>
  <c r="BN172" i="14"/>
  <c r="BM172" i="14"/>
  <c r="AV172" i="14"/>
  <c r="AU172" i="14" s="1"/>
  <c r="AT172" i="14" s="1"/>
  <c r="BQ172" i="14"/>
  <c r="BO172" i="14"/>
  <c r="BL172" i="14"/>
  <c r="BR172" i="14"/>
  <c r="AV76" i="14"/>
  <c r="AU76" i="14" s="1"/>
  <c r="AT76" i="14" s="1"/>
  <c r="BP76" i="14"/>
  <c r="BL76" i="14"/>
  <c r="BR76" i="14"/>
  <c r="BK76" i="14"/>
  <c r="BM76" i="14"/>
  <c r="BO76" i="14"/>
  <c r="BN76" i="14"/>
  <c r="BQ76" i="14"/>
  <c r="BF73" i="14"/>
  <c r="BJ73" i="14"/>
  <c r="BI73" i="14"/>
  <c r="BG73" i="14"/>
  <c r="AR73" i="14"/>
  <c r="AQ73" i="14" s="1"/>
  <c r="AP73" i="14" s="1"/>
  <c r="BH73" i="14"/>
  <c r="BE73" i="14"/>
  <c r="BC73" i="14"/>
  <c r="BD73" i="14"/>
  <c r="AR112" i="14"/>
  <c r="AQ112" i="14" s="1"/>
  <c r="AP112" i="14" s="1"/>
  <c r="BD112" i="14"/>
  <c r="BE112" i="14"/>
  <c r="BH112" i="14"/>
  <c r="BI112" i="14"/>
  <c r="BC112" i="14"/>
  <c r="BF112" i="14"/>
  <c r="BJ112" i="14"/>
  <c r="BG112" i="14"/>
  <c r="BD115" i="14"/>
  <c r="BJ115" i="14"/>
  <c r="BI115" i="14"/>
  <c r="BC115" i="14"/>
  <c r="AR115" i="14"/>
  <c r="AQ115" i="14" s="1"/>
  <c r="AP115" i="14" s="1"/>
  <c r="BE115" i="14"/>
  <c r="BF115" i="14"/>
  <c r="BG115" i="14"/>
  <c r="BH115" i="14"/>
  <c r="BF55" i="14"/>
  <c r="BG55" i="14"/>
  <c r="BC55" i="14"/>
  <c r="BH55" i="14"/>
  <c r="BE55" i="14"/>
  <c r="BI55" i="14"/>
  <c r="BJ55" i="14"/>
  <c r="AR55" i="14"/>
  <c r="AQ55" i="14" s="1"/>
  <c r="AP55" i="14" s="1"/>
  <c r="BD55" i="14"/>
  <c r="BK170" i="14"/>
  <c r="BO170" i="14"/>
  <c r="AV170" i="14"/>
  <c r="AU170" i="14" s="1"/>
  <c r="AT170" i="14" s="1"/>
  <c r="BR170" i="14"/>
  <c r="BM170" i="14"/>
  <c r="BN170" i="14"/>
  <c r="BP170" i="14"/>
  <c r="BQ170" i="14"/>
  <c r="BL170" i="14"/>
  <c r="BE145" i="14"/>
  <c r="BF145" i="14"/>
  <c r="AR145" i="14"/>
  <c r="AQ145" i="14" s="1"/>
  <c r="AP145" i="14" s="1"/>
  <c r="BG145" i="14"/>
  <c r="BI145" i="14"/>
  <c r="BD145" i="14"/>
  <c r="BH145" i="14"/>
  <c r="BC145" i="14"/>
  <c r="BJ145" i="14"/>
  <c r="BD18" i="14"/>
  <c r="BF18" i="14"/>
  <c r="BJ18" i="14"/>
  <c r="BI18" i="14"/>
  <c r="BE18" i="14"/>
  <c r="AR18" i="14"/>
  <c r="AQ18" i="14" s="1"/>
  <c r="AP18" i="14" s="1"/>
  <c r="BC18" i="14"/>
  <c r="BG18" i="14"/>
  <c r="BH18" i="14"/>
  <c r="K29" i="6"/>
  <c r="K32" i="6"/>
  <c r="K28" i="6"/>
  <c r="K27" i="6"/>
  <c r="K30" i="6"/>
  <c r="K33" i="6"/>
  <c r="K31" i="6"/>
  <c r="K34" i="6"/>
  <c r="BM78" i="14"/>
  <c r="BP78" i="14"/>
  <c r="BK78" i="14"/>
  <c r="BR78" i="14"/>
  <c r="BQ78" i="14"/>
  <c r="AV78" i="14"/>
  <c r="AU78" i="14" s="1"/>
  <c r="AT78" i="14" s="1"/>
  <c r="BL78" i="14"/>
  <c r="BO78" i="14"/>
  <c r="BN78" i="14"/>
  <c r="BI106" i="14"/>
  <c r="BJ106" i="14"/>
  <c r="AR106" i="14"/>
  <c r="AQ106" i="14" s="1"/>
  <c r="AP106" i="14" s="1"/>
  <c r="BG106" i="14"/>
  <c r="BF106" i="14"/>
  <c r="BC106" i="14"/>
  <c r="BE106" i="14"/>
  <c r="BD106" i="14"/>
  <c r="BH106" i="14"/>
  <c r="BE147" i="14"/>
  <c r="BI147" i="14"/>
  <c r="BH147" i="14"/>
  <c r="BJ147" i="14"/>
  <c r="BC147" i="14"/>
  <c r="AR147" i="14"/>
  <c r="AQ147" i="14" s="1"/>
  <c r="AP147" i="14" s="1"/>
  <c r="BF147" i="14"/>
  <c r="BG147" i="14"/>
  <c r="BD147" i="14"/>
  <c r="BI177" i="14"/>
  <c r="BD177" i="14"/>
  <c r="BE177" i="14"/>
  <c r="BF177" i="14"/>
  <c r="BH177" i="14"/>
  <c r="AR177" i="14"/>
  <c r="AQ177" i="14" s="1"/>
  <c r="AP177" i="14" s="1"/>
  <c r="BC177" i="14"/>
  <c r="BJ177" i="14"/>
  <c r="BG177" i="14"/>
  <c r="BP146" i="14"/>
  <c r="BO146" i="14"/>
  <c r="BL146" i="14"/>
  <c r="BR146" i="14"/>
  <c r="BN146" i="14"/>
  <c r="BQ146" i="14"/>
  <c r="BK146" i="14"/>
  <c r="BM146" i="14"/>
  <c r="AV146" i="14"/>
  <c r="AU146" i="14" s="1"/>
  <c r="AT146" i="14" s="1"/>
  <c r="AV86" i="14"/>
  <c r="AU86" i="14" s="1"/>
  <c r="AT86" i="14" s="1"/>
  <c r="BR86" i="14"/>
  <c r="BO86" i="14"/>
  <c r="BL86" i="14"/>
  <c r="BK86" i="14"/>
  <c r="BP86" i="14"/>
  <c r="BM86" i="14"/>
  <c r="BN86" i="14"/>
  <c r="BQ86" i="14"/>
  <c r="AV136" i="14"/>
  <c r="AU136" i="14" s="1"/>
  <c r="AT136" i="14" s="1"/>
  <c r="BP136" i="14"/>
  <c r="BK136" i="14"/>
  <c r="BQ136" i="14"/>
  <c r="BR136" i="14"/>
  <c r="BM136" i="14"/>
  <c r="BL136" i="14"/>
  <c r="BO136" i="14"/>
  <c r="BN136" i="14"/>
  <c r="BC119" i="14"/>
  <c r="BG119" i="14"/>
  <c r="BE119" i="14"/>
  <c r="BH119" i="14"/>
  <c r="BI119" i="14"/>
  <c r="BF119" i="14"/>
  <c r="AR119" i="14"/>
  <c r="AQ119" i="14" s="1"/>
  <c r="AP119" i="14" s="1"/>
  <c r="BD119" i="14"/>
  <c r="BJ119" i="14"/>
  <c r="BQ180" i="14"/>
  <c r="BL180" i="14"/>
  <c r="BO180" i="14"/>
  <c r="BP180" i="14"/>
  <c r="AV180" i="14"/>
  <c r="AU180" i="14" s="1"/>
  <c r="AT180" i="14" s="1"/>
  <c r="BM180" i="14"/>
  <c r="BK180" i="14"/>
  <c r="BR180" i="14"/>
  <c r="BN180" i="14"/>
  <c r="AV113" i="14"/>
  <c r="AU113" i="14" s="1"/>
  <c r="AT113" i="14" s="1"/>
  <c r="BQ113" i="14"/>
  <c r="BO113" i="14"/>
  <c r="BL113" i="14"/>
  <c r="BN113" i="14"/>
  <c r="BR113" i="14"/>
  <c r="BK113" i="14"/>
  <c r="BM113" i="14"/>
  <c r="BP113" i="14"/>
  <c r="BN168" i="14"/>
  <c r="BL168" i="14"/>
  <c r="AV168" i="14"/>
  <c r="AU168" i="14" s="1"/>
  <c r="AT168" i="14" s="1"/>
  <c r="BR168" i="14"/>
  <c r="BQ168" i="14"/>
  <c r="BK168" i="14"/>
  <c r="BO168" i="14"/>
  <c r="BP168" i="14"/>
  <c r="BM168" i="14"/>
  <c r="BN139" i="14"/>
  <c r="BP139" i="14"/>
  <c r="BK139" i="14"/>
  <c r="AV139" i="14"/>
  <c r="AU139" i="14" s="1"/>
  <c r="AT139" i="14" s="1"/>
  <c r="BQ139" i="14"/>
  <c r="BO139" i="14"/>
  <c r="BL139" i="14"/>
  <c r="BR139" i="14"/>
  <c r="BM139" i="14"/>
  <c r="BN111" i="14"/>
  <c r="BK111" i="14"/>
  <c r="BO111" i="14"/>
  <c r="BP111" i="14"/>
  <c r="BM111" i="14"/>
  <c r="BL111" i="14"/>
  <c r="AV111" i="14"/>
  <c r="AU111" i="14" s="1"/>
  <c r="AT111" i="14" s="1"/>
  <c r="BQ111" i="14"/>
  <c r="BR111" i="14"/>
  <c r="BE87" i="14"/>
  <c r="AR87" i="14"/>
  <c r="AQ87" i="14" s="1"/>
  <c r="AP87" i="14" s="1"/>
  <c r="BG87" i="14"/>
  <c r="BJ87" i="14"/>
  <c r="BH87" i="14"/>
  <c r="BI87" i="14"/>
  <c r="BF87" i="14"/>
  <c r="BC87" i="14"/>
  <c r="BD87" i="14"/>
  <c r="AR54" i="14"/>
  <c r="AQ54" i="14" s="1"/>
  <c r="AP54" i="14" s="1"/>
  <c r="BJ54" i="14"/>
  <c r="BH54" i="14"/>
  <c r="BI54" i="14"/>
  <c r="BD54" i="14"/>
  <c r="BG54" i="14"/>
  <c r="BE54" i="14"/>
  <c r="BF54" i="14"/>
  <c r="BC54" i="14"/>
  <c r="BA150" i="14"/>
  <c r="C150" i="14" s="1"/>
  <c r="AM150" i="14"/>
  <c r="J126" i="14"/>
  <c r="J124" i="14"/>
  <c r="J130" i="14"/>
  <c r="J123" i="14"/>
  <c r="J127" i="14"/>
  <c r="L126" i="14"/>
  <c r="J128" i="14"/>
  <c r="L124" i="14"/>
  <c r="L125" i="14"/>
  <c r="L129" i="14"/>
  <c r="L127" i="14"/>
  <c r="L128" i="14"/>
  <c r="L130" i="14"/>
  <c r="J125" i="14"/>
  <c r="L123" i="14"/>
  <c r="J129" i="14"/>
  <c r="C176" i="14"/>
  <c r="L189" i="14" s="1"/>
  <c r="AM20" i="14"/>
  <c r="AM84" i="14"/>
  <c r="AB502" i="6"/>
  <c r="C502" i="6" s="1"/>
  <c r="B45" i="14"/>
  <c r="AB116" i="6"/>
  <c r="C116" i="6" s="1"/>
  <c r="K125" i="6" s="1"/>
  <c r="L125" i="6" s="1"/>
  <c r="AV40" i="14"/>
  <c r="AU40" i="14" s="1"/>
  <c r="AT40" i="14" s="1"/>
  <c r="J59" i="14" s="1"/>
  <c r="AB86" i="6"/>
  <c r="C86" i="6" s="1"/>
  <c r="AB497" i="6"/>
  <c r="C497" i="6" s="1"/>
  <c r="B48" i="14"/>
  <c r="B43" i="14"/>
  <c r="L61" i="6"/>
  <c r="P61" i="6"/>
  <c r="T61" i="6"/>
  <c r="E27" i="6"/>
  <c r="E29" i="6"/>
  <c r="E30" i="6"/>
  <c r="E34" i="6"/>
  <c r="E31" i="6"/>
  <c r="E33" i="6"/>
  <c r="E32" i="6"/>
  <c r="E28" i="6"/>
  <c r="AB85" i="6"/>
  <c r="C85" i="6" s="1"/>
  <c r="F190" i="14"/>
  <c r="BF170" i="14"/>
  <c r="AB73" i="6"/>
  <c r="C73" i="6" s="1"/>
  <c r="AB84" i="6"/>
  <c r="C84" i="6" s="1"/>
  <c r="BF168" i="14"/>
  <c r="G61" i="14"/>
  <c r="T251" i="6"/>
  <c r="P251" i="6"/>
  <c r="T64" i="6"/>
  <c r="N81" i="12"/>
  <c r="M81" i="12"/>
  <c r="K257" i="6"/>
  <c r="K258" i="6"/>
  <c r="K254" i="6"/>
  <c r="K256" i="6"/>
  <c r="K252" i="6"/>
  <c r="K253" i="6"/>
  <c r="K255" i="6"/>
  <c r="E252" i="6"/>
  <c r="E258" i="6"/>
  <c r="E257" i="6"/>
  <c r="E256" i="6"/>
  <c r="E254" i="6"/>
  <c r="E255" i="6"/>
  <c r="E251" i="6"/>
  <c r="E253" i="6"/>
  <c r="P66" i="6"/>
  <c r="P62" i="6"/>
  <c r="T66" i="6"/>
  <c r="L64" i="6"/>
  <c r="P65" i="6"/>
  <c r="T65" i="6"/>
  <c r="P60" i="6"/>
  <c r="L60" i="6"/>
  <c r="T62" i="6"/>
  <c r="P63" i="6"/>
  <c r="L59" i="6"/>
  <c r="T59" i="6"/>
  <c r="G448" i="6"/>
  <c r="E85" i="12"/>
  <c r="K220" i="12"/>
  <c r="K158" i="48"/>
  <c r="E84" i="12"/>
  <c r="L17" i="12"/>
  <c r="O20" i="12"/>
  <c r="L21" i="12"/>
  <c r="L6" i="12"/>
  <c r="L88" i="12"/>
  <c r="L237" i="12"/>
  <c r="L216" i="12"/>
  <c r="E81" i="12"/>
  <c r="L217" i="12"/>
  <c r="L214" i="12"/>
  <c r="L9" i="12"/>
  <c r="L22" i="12"/>
  <c r="L19" i="12"/>
  <c r="L7" i="12"/>
  <c r="J150" i="40" s="1"/>
  <c r="O22" i="12"/>
  <c r="K191" i="12"/>
  <c r="O81" i="12"/>
  <c r="M158" i="48" s="1"/>
  <c r="L219" i="12"/>
  <c r="L86" i="12"/>
  <c r="L213" i="12"/>
  <c r="J151" i="48"/>
  <c r="E11" i="12"/>
  <c r="C154" i="40" s="1"/>
  <c r="M154" i="48"/>
  <c r="K219" i="12"/>
  <c r="E82" i="12"/>
  <c r="J114" i="40"/>
  <c r="J152" i="40"/>
  <c r="L16" i="12"/>
  <c r="J148" i="48" s="1"/>
  <c r="K213" i="12"/>
  <c r="C162" i="48"/>
  <c r="D239" i="12"/>
  <c r="B107" i="40" s="1"/>
  <c r="K215" i="12"/>
  <c r="E8" i="12"/>
  <c r="J149" i="40"/>
  <c r="J117" i="40"/>
  <c r="E193" i="12"/>
  <c r="C94" i="49" s="1"/>
  <c r="E5" i="12"/>
  <c r="J120" i="40"/>
  <c r="L20" i="12"/>
  <c r="E6" i="12"/>
  <c r="J153" i="48"/>
  <c r="J165" i="48"/>
  <c r="E7" i="12"/>
  <c r="C150" i="40" s="1"/>
  <c r="L10" i="12"/>
  <c r="L15" i="12"/>
  <c r="L218" i="12"/>
  <c r="J119" i="40" s="1"/>
  <c r="E9" i="12"/>
  <c r="O17" i="12"/>
  <c r="L158" i="48"/>
  <c r="E88" i="12"/>
  <c r="J115" i="40"/>
  <c r="L197" i="12"/>
  <c r="J98" i="49" s="1"/>
  <c r="L87" i="12"/>
  <c r="J147" i="48"/>
  <c r="E87" i="12"/>
  <c r="C164" i="48" s="1"/>
  <c r="E86" i="12"/>
  <c r="L18" i="12"/>
  <c r="E10" i="12"/>
  <c r="C153" i="40" s="1"/>
  <c r="K216" i="12"/>
  <c r="L85" i="12"/>
  <c r="J162" i="48" s="1"/>
  <c r="J158" i="48"/>
  <c r="L4" i="12"/>
  <c r="J147" i="40" s="1"/>
  <c r="C149" i="40"/>
  <c r="J153" i="40"/>
  <c r="J154" i="48"/>
  <c r="E152" i="12"/>
  <c r="L215" i="12"/>
  <c r="L8" i="12"/>
  <c r="J151" i="40" s="1"/>
  <c r="O18" i="12"/>
  <c r="J152" i="48"/>
  <c r="K214" i="12"/>
  <c r="J105" i="40"/>
  <c r="L39" i="12"/>
  <c r="L82" i="12"/>
  <c r="E238" i="12"/>
  <c r="C106" i="40" s="1"/>
  <c r="E4" i="12"/>
  <c r="C147" i="40" s="1"/>
  <c r="K217" i="12"/>
  <c r="L84" i="12"/>
  <c r="J161" i="48" s="1"/>
  <c r="L5" i="12"/>
  <c r="J148" i="40" s="1"/>
  <c r="O21" i="12"/>
  <c r="M153" i="48" s="1"/>
  <c r="L11" i="12"/>
  <c r="J154" i="40" s="1"/>
  <c r="C159" i="48"/>
  <c r="J138" i="40"/>
  <c r="J116" i="40"/>
  <c r="J150" i="48"/>
  <c r="O15" i="12"/>
  <c r="L83" i="12"/>
  <c r="L220" i="12"/>
  <c r="J121" i="40" s="1"/>
  <c r="K218" i="12"/>
  <c r="C97" i="48"/>
  <c r="E83" i="12"/>
  <c r="J149" i="48"/>
  <c r="M17" i="12" l="1"/>
  <c r="N17" i="12"/>
  <c r="K380" i="6"/>
  <c r="K381" i="6"/>
  <c r="BE170" i="14"/>
  <c r="BI170" i="14"/>
  <c r="AB429" i="6"/>
  <c r="C429" i="6" s="1"/>
  <c r="AB438" i="6"/>
  <c r="C438" i="6" s="1"/>
  <c r="AB428" i="6"/>
  <c r="C428" i="6" s="1"/>
  <c r="AB435" i="6"/>
  <c r="C435" i="6" s="1"/>
  <c r="AB432" i="6"/>
  <c r="C432" i="6" s="1"/>
  <c r="AB437" i="6"/>
  <c r="C437" i="6" s="1"/>
  <c r="AB434" i="6"/>
  <c r="C434" i="6" s="1"/>
  <c r="AB372" i="6"/>
  <c r="C372" i="6" s="1"/>
  <c r="AA489" i="6"/>
  <c r="B489" i="6" s="1"/>
  <c r="E507" i="6" s="1"/>
  <c r="G507" i="6" s="1"/>
  <c r="AB371" i="6"/>
  <c r="C371" i="6" s="1"/>
  <c r="K382" i="6" s="1"/>
  <c r="AB369" i="6"/>
  <c r="C369" i="6" s="1"/>
  <c r="AB72" i="6"/>
  <c r="C72" i="6" s="1"/>
  <c r="K96" i="6" s="1"/>
  <c r="AA140" i="6"/>
  <c r="B140" i="6" s="1"/>
  <c r="E155" i="6" s="1"/>
  <c r="AA494" i="6"/>
  <c r="B494" i="6" s="1"/>
  <c r="AA490" i="6"/>
  <c r="B490" i="6" s="1"/>
  <c r="BD170" i="14"/>
  <c r="AB499" i="6"/>
  <c r="C499" i="6" s="1"/>
  <c r="K507" i="6" s="1"/>
  <c r="P507" i="6" s="1"/>
  <c r="AA492" i="6"/>
  <c r="B492" i="6" s="1"/>
  <c r="AA493" i="6"/>
  <c r="B493" i="6" s="1"/>
  <c r="BH170" i="14"/>
  <c r="AB467" i="6"/>
  <c r="C467" i="6" s="1"/>
  <c r="AB466" i="6"/>
  <c r="C466" i="6" s="1"/>
  <c r="AA203" i="6"/>
  <c r="B203" i="6" s="1"/>
  <c r="AB208" i="6"/>
  <c r="C208" i="6" s="1"/>
  <c r="K219" i="6" s="1"/>
  <c r="K379" i="6"/>
  <c r="L379" i="6" s="1"/>
  <c r="D192" i="14"/>
  <c r="AB501" i="6"/>
  <c r="C501" i="6" s="1"/>
  <c r="AB498" i="6"/>
  <c r="C498" i="6" s="1"/>
  <c r="BG173" i="14"/>
  <c r="BD173" i="14"/>
  <c r="BJ173" i="14"/>
  <c r="AB406" i="6"/>
  <c r="C406" i="6" s="1"/>
  <c r="AB402" i="6"/>
  <c r="C402" i="6" s="1"/>
  <c r="E449" i="6"/>
  <c r="AR170" i="14"/>
  <c r="AQ170" i="14" s="1"/>
  <c r="AP170" i="14" s="1"/>
  <c r="D187" i="14" s="1"/>
  <c r="AB488" i="6"/>
  <c r="C488" i="6" s="1"/>
  <c r="K509" i="6" s="1"/>
  <c r="L509" i="6" s="1"/>
  <c r="D194" i="14"/>
  <c r="BC173" i="14"/>
  <c r="BM40" i="14"/>
  <c r="E447" i="6"/>
  <c r="E445" i="6"/>
  <c r="F445" i="6" s="1"/>
  <c r="AB210" i="6"/>
  <c r="C210" i="6" s="1"/>
  <c r="AB500" i="6"/>
  <c r="C500" i="6" s="1"/>
  <c r="BN40" i="14"/>
  <c r="BF173" i="14"/>
  <c r="AR173" i="14"/>
  <c r="AQ173" i="14" s="1"/>
  <c r="AP173" i="14" s="1"/>
  <c r="D189" i="14" s="1"/>
  <c r="AB400" i="6"/>
  <c r="C400" i="6" s="1"/>
  <c r="AB307" i="6"/>
  <c r="C307" i="6" s="1"/>
  <c r="AB267" i="6"/>
  <c r="C267" i="6" s="1"/>
  <c r="K287" i="6" s="1"/>
  <c r="P287" i="6" s="1"/>
  <c r="BC19" i="14"/>
  <c r="AB404" i="6"/>
  <c r="C404" i="6" s="1"/>
  <c r="AB373" i="6"/>
  <c r="C373" i="6" s="1"/>
  <c r="AB401" i="6"/>
  <c r="C401" i="6" s="1"/>
  <c r="K413" i="6" s="1"/>
  <c r="P413" i="6" s="1"/>
  <c r="AB395" i="6"/>
  <c r="C395" i="6" s="1"/>
  <c r="K417" i="6" s="1"/>
  <c r="AB469" i="6"/>
  <c r="C469" i="6" s="1"/>
  <c r="AB457" i="6"/>
  <c r="C457" i="6" s="1"/>
  <c r="K477" i="6" s="1"/>
  <c r="AA496" i="6"/>
  <c r="B496" i="6" s="1"/>
  <c r="AA141" i="6"/>
  <c r="B141" i="6" s="1"/>
  <c r="AA393" i="6"/>
  <c r="B393" i="6" s="1"/>
  <c r="AA403" i="6"/>
  <c r="B403" i="6" s="1"/>
  <c r="AA396" i="6"/>
  <c r="B396" i="6" s="1"/>
  <c r="AA394" i="6"/>
  <c r="B394" i="6" s="1"/>
  <c r="AA392" i="6"/>
  <c r="B392" i="6" s="1"/>
  <c r="AA304" i="6"/>
  <c r="B304" i="6" s="1"/>
  <c r="AA300" i="6"/>
  <c r="B300" i="6" s="1"/>
  <c r="AA301" i="6"/>
  <c r="B301" i="6" s="1"/>
  <c r="AA297" i="6"/>
  <c r="B297" i="6" s="1"/>
  <c r="AA299" i="6"/>
  <c r="B299" i="6" s="1"/>
  <c r="AA296" i="6"/>
  <c r="B296" i="6" s="1"/>
  <c r="AA398" i="6"/>
  <c r="B398" i="6" s="1"/>
  <c r="AB140" i="6"/>
  <c r="C140" i="6" s="1"/>
  <c r="AB149" i="6"/>
  <c r="C149" i="6" s="1"/>
  <c r="AB148" i="6"/>
  <c r="C148" i="6" s="1"/>
  <c r="AA270" i="6"/>
  <c r="B270" i="6" s="1"/>
  <c r="AA276" i="6"/>
  <c r="B276" i="6" s="1"/>
  <c r="AA265" i="6"/>
  <c r="B265" i="6" s="1"/>
  <c r="AA275" i="6"/>
  <c r="B275" i="6" s="1"/>
  <c r="AA264" i="6"/>
  <c r="B264" i="6" s="1"/>
  <c r="AA365" i="6"/>
  <c r="B365" i="6" s="1"/>
  <c r="AA361" i="6"/>
  <c r="B361" i="6" s="1"/>
  <c r="AA360" i="6"/>
  <c r="B360" i="6" s="1"/>
  <c r="AA363" i="6"/>
  <c r="B363" i="6" s="1"/>
  <c r="AA364" i="6"/>
  <c r="B364" i="6" s="1"/>
  <c r="AB309" i="6"/>
  <c r="C309" i="6" s="1"/>
  <c r="AB305" i="6"/>
  <c r="C305" i="6" s="1"/>
  <c r="AB308" i="6"/>
  <c r="C308" i="6" s="1"/>
  <c r="AB304" i="6"/>
  <c r="C304" i="6" s="1"/>
  <c r="AB278" i="6"/>
  <c r="C278" i="6" s="1"/>
  <c r="AB273" i="6"/>
  <c r="C273" i="6" s="1"/>
  <c r="AB268" i="6"/>
  <c r="C268" i="6" s="1"/>
  <c r="AB272" i="6"/>
  <c r="C272" i="6" s="1"/>
  <c r="AA462" i="6"/>
  <c r="B462" i="6" s="1"/>
  <c r="AA456" i="6"/>
  <c r="B456" i="6" s="1"/>
  <c r="AA458" i="6"/>
  <c r="B458" i="6" s="1"/>
  <c r="AA465" i="6"/>
  <c r="B465" i="6" s="1"/>
  <c r="AA461" i="6"/>
  <c r="B461" i="6" s="1"/>
  <c r="AA459" i="6"/>
  <c r="B459" i="6" s="1"/>
  <c r="AA86" i="6"/>
  <c r="B86" i="6" s="1"/>
  <c r="AA77" i="6"/>
  <c r="B77" i="6" s="1"/>
  <c r="AA81" i="6"/>
  <c r="B81" i="6" s="1"/>
  <c r="AA74" i="6"/>
  <c r="B74" i="6" s="1"/>
  <c r="AA75" i="6"/>
  <c r="B75" i="6" s="1"/>
  <c r="AA76" i="6"/>
  <c r="B76" i="6" s="1"/>
  <c r="AA80" i="6"/>
  <c r="B80" i="6" s="1"/>
  <c r="AA78" i="6"/>
  <c r="B78" i="6" s="1"/>
  <c r="K222" i="6"/>
  <c r="P222" i="6" s="1"/>
  <c r="M19" i="12"/>
  <c r="N19" i="12"/>
  <c r="K512" i="6"/>
  <c r="L512" i="6" s="1"/>
  <c r="T63" i="6"/>
  <c r="C72" i="14"/>
  <c r="L94" i="14" s="1"/>
  <c r="E450" i="6"/>
  <c r="K475" i="6"/>
  <c r="P475" i="6" s="1"/>
  <c r="C20" i="14"/>
  <c r="AR172" i="14"/>
  <c r="AQ172" i="14" s="1"/>
  <c r="AP172" i="14" s="1"/>
  <c r="D188" i="14" s="1"/>
  <c r="L190" i="14"/>
  <c r="K416" i="6"/>
  <c r="L416" i="6" s="1"/>
  <c r="E443" i="6"/>
  <c r="K482" i="6"/>
  <c r="P482" i="6" s="1"/>
  <c r="K220" i="6"/>
  <c r="P220" i="6" s="1"/>
  <c r="K383" i="6"/>
  <c r="T383" i="6" s="1"/>
  <c r="K224" i="6"/>
  <c r="L224" i="6" s="1"/>
  <c r="E192" i="14"/>
  <c r="E194" i="14"/>
  <c r="E189" i="14"/>
  <c r="C11" i="14"/>
  <c r="L27" i="14" s="1"/>
  <c r="E157" i="6"/>
  <c r="H157" i="6" s="1"/>
  <c r="E444" i="6"/>
  <c r="E446" i="6"/>
  <c r="K226" i="6"/>
  <c r="T226" i="6" s="1"/>
  <c r="K384" i="6"/>
  <c r="L384" i="6" s="1"/>
  <c r="BI168" i="14"/>
  <c r="BE168" i="14"/>
  <c r="BG168" i="14"/>
  <c r="E188" i="14"/>
  <c r="G188" i="14" s="1"/>
  <c r="D193" i="14"/>
  <c r="AA206" i="6"/>
  <c r="B206" i="6" s="1"/>
  <c r="K480" i="6"/>
  <c r="L480" i="6" s="1"/>
  <c r="AR168" i="14"/>
  <c r="AQ168" i="14" s="1"/>
  <c r="AP168" i="14" s="1"/>
  <c r="D190" i="14" s="1"/>
  <c r="BH168" i="14"/>
  <c r="BC168" i="14"/>
  <c r="BC184" i="14" s="1"/>
  <c r="E191" i="14"/>
  <c r="H191" i="14" s="1"/>
  <c r="E193" i="14"/>
  <c r="BN56" i="14"/>
  <c r="M16" i="12"/>
  <c r="N16" i="12"/>
  <c r="J62" i="14"/>
  <c r="L59" i="14"/>
  <c r="T60" i="6"/>
  <c r="J66" i="14"/>
  <c r="J64" i="14"/>
  <c r="J60" i="14"/>
  <c r="J63" i="14"/>
  <c r="L66" i="14"/>
  <c r="Z66" i="14" s="1"/>
  <c r="L62" i="14"/>
  <c r="J65" i="14"/>
  <c r="G193" i="12"/>
  <c r="F193" i="12"/>
  <c r="L64" i="14"/>
  <c r="J61" i="14"/>
  <c r="L191" i="14"/>
  <c r="J190" i="14"/>
  <c r="H61" i="14"/>
  <c r="N15" i="12"/>
  <c r="M15" i="12"/>
  <c r="T65" i="14"/>
  <c r="Z65" i="14"/>
  <c r="J193" i="14"/>
  <c r="L194" i="14"/>
  <c r="J192" i="14"/>
  <c r="L60" i="14"/>
  <c r="L61" i="14"/>
  <c r="L63" i="14"/>
  <c r="T63" i="14" s="1"/>
  <c r="C85" i="14"/>
  <c r="P59" i="6"/>
  <c r="J191" i="14"/>
  <c r="G152" i="12"/>
  <c r="F152" i="12"/>
  <c r="F238" i="12"/>
  <c r="G238" i="12"/>
  <c r="M18" i="12"/>
  <c r="N18" i="12"/>
  <c r="M22" i="12"/>
  <c r="N22" i="12"/>
  <c r="N21" i="12"/>
  <c r="M21" i="12"/>
  <c r="N20" i="12"/>
  <c r="M20" i="12"/>
  <c r="AA201" i="6"/>
  <c r="B201" i="6" s="1"/>
  <c r="BD19" i="14"/>
  <c r="BH19" i="14"/>
  <c r="BQ40" i="14"/>
  <c r="BQ56" i="14" s="1"/>
  <c r="BK40" i="14"/>
  <c r="BK56" i="14" s="1"/>
  <c r="BO40" i="14"/>
  <c r="H448" i="6"/>
  <c r="H190" i="14"/>
  <c r="E61" i="6"/>
  <c r="BO56" i="14"/>
  <c r="L62" i="6"/>
  <c r="L66" i="6"/>
  <c r="E63" i="6"/>
  <c r="E59" i="6"/>
  <c r="E62" i="6"/>
  <c r="E66" i="6"/>
  <c r="E65" i="6"/>
  <c r="E64" i="6"/>
  <c r="E60" i="6"/>
  <c r="BG19" i="14"/>
  <c r="L65" i="6"/>
  <c r="P64" i="6"/>
  <c r="E187" i="14"/>
  <c r="N213" i="12"/>
  <c r="M213" i="12"/>
  <c r="N217" i="12"/>
  <c r="M217" i="12"/>
  <c r="N11" i="12"/>
  <c r="M11" i="12"/>
  <c r="M4" i="12"/>
  <c r="N4" i="12"/>
  <c r="M219" i="12"/>
  <c r="N219" i="12"/>
  <c r="N216" i="12"/>
  <c r="M216" i="12"/>
  <c r="M8" i="12"/>
  <c r="N8" i="12"/>
  <c r="N5" i="12"/>
  <c r="M5" i="12"/>
  <c r="M237" i="12"/>
  <c r="N237" i="12"/>
  <c r="M220" i="12"/>
  <c r="N220" i="12"/>
  <c r="N215" i="12"/>
  <c r="M215" i="12"/>
  <c r="N10" i="12"/>
  <c r="M10" i="12"/>
  <c r="N9" i="12"/>
  <c r="M9" i="12"/>
  <c r="M197" i="12"/>
  <c r="N197" i="12"/>
  <c r="M218" i="12"/>
  <c r="N218" i="12"/>
  <c r="N214" i="12"/>
  <c r="M214" i="12"/>
  <c r="N7" i="12"/>
  <c r="M7" i="12"/>
  <c r="M6" i="12"/>
  <c r="N6" i="12"/>
  <c r="L193" i="14"/>
  <c r="J194" i="14"/>
  <c r="L187" i="14"/>
  <c r="Z187" i="14" s="1"/>
  <c r="BK84" i="14"/>
  <c r="BL84" i="14"/>
  <c r="BO84" i="14"/>
  <c r="AV84" i="14"/>
  <c r="BN84" i="14"/>
  <c r="BQ84" i="14"/>
  <c r="BM84" i="14"/>
  <c r="BR84" i="14"/>
  <c r="BP84" i="14"/>
  <c r="N123" i="14"/>
  <c r="Z123" i="14"/>
  <c r="T123" i="14"/>
  <c r="T127" i="14"/>
  <c r="Z127" i="14"/>
  <c r="N127" i="14"/>
  <c r="J160" i="14"/>
  <c r="J158" i="14"/>
  <c r="L156" i="14"/>
  <c r="L161" i="14"/>
  <c r="L162" i="14"/>
  <c r="J162" i="14"/>
  <c r="J156" i="14"/>
  <c r="L155" i="14"/>
  <c r="J159" i="14"/>
  <c r="L159" i="14"/>
  <c r="L160" i="14"/>
  <c r="J161" i="14"/>
  <c r="L158" i="14"/>
  <c r="L157" i="14"/>
  <c r="J157" i="14"/>
  <c r="L34" i="6"/>
  <c r="T34" i="6"/>
  <c r="P34" i="6"/>
  <c r="L27" i="6"/>
  <c r="T27" i="6"/>
  <c r="P27" i="6"/>
  <c r="L192" i="14"/>
  <c r="BM176" i="14"/>
  <c r="BL176" i="14"/>
  <c r="BO176" i="14"/>
  <c r="AV176" i="14"/>
  <c r="AU176" i="14" s="1"/>
  <c r="AT176" i="14" s="1"/>
  <c r="J189" i="14" s="1"/>
  <c r="BP176" i="14"/>
  <c r="BN176" i="14"/>
  <c r="BK176" i="14"/>
  <c r="BR176" i="14"/>
  <c r="BQ176" i="14"/>
  <c r="BL120" i="14"/>
  <c r="BR120" i="14"/>
  <c r="AA171" i="6"/>
  <c r="B171" i="6" s="1"/>
  <c r="AA180" i="6"/>
  <c r="B180" i="6" s="1"/>
  <c r="AA174" i="6"/>
  <c r="B174" i="6" s="1"/>
  <c r="AA169" i="6"/>
  <c r="B169" i="6" s="1"/>
  <c r="AA173" i="6"/>
  <c r="B173" i="6" s="1"/>
  <c r="C83" i="14"/>
  <c r="BD43" i="14"/>
  <c r="BE43" i="14"/>
  <c r="BI43" i="14"/>
  <c r="BC43" i="14"/>
  <c r="BF43" i="14"/>
  <c r="BG43" i="14"/>
  <c r="AR43" i="14"/>
  <c r="AQ43" i="14" s="1"/>
  <c r="AP43" i="14" s="1"/>
  <c r="D62" i="14" s="1"/>
  <c r="BJ43" i="14"/>
  <c r="BH43" i="14"/>
  <c r="AR8" i="14"/>
  <c r="AQ8" i="14" s="1"/>
  <c r="AP8" i="14" s="1"/>
  <c r="BF8" i="14"/>
  <c r="BE8" i="14"/>
  <c r="BG8" i="14"/>
  <c r="BC8" i="14"/>
  <c r="BH8" i="14"/>
  <c r="BD8" i="14"/>
  <c r="BI8" i="14"/>
  <c r="BJ8" i="14"/>
  <c r="BC81" i="14"/>
  <c r="BI81" i="14"/>
  <c r="BH81" i="14"/>
  <c r="BJ81" i="14"/>
  <c r="BF81" i="14"/>
  <c r="BG81" i="14"/>
  <c r="BD81" i="14"/>
  <c r="AR81" i="14"/>
  <c r="AQ81" i="14" s="1"/>
  <c r="AP81" i="14" s="1"/>
  <c r="BE81" i="14"/>
  <c r="AR19" i="14"/>
  <c r="AQ19" i="14" s="1"/>
  <c r="AP19" i="14" s="1"/>
  <c r="N59" i="14"/>
  <c r="BQ20" i="14"/>
  <c r="BN20" i="14"/>
  <c r="BM20" i="14"/>
  <c r="BP20" i="14"/>
  <c r="BO20" i="14"/>
  <c r="BL20" i="14"/>
  <c r="BR20" i="14"/>
  <c r="BK20" i="14"/>
  <c r="AV20" i="14"/>
  <c r="N129" i="14"/>
  <c r="T129" i="14"/>
  <c r="Z129" i="14"/>
  <c r="N126" i="14"/>
  <c r="Z126" i="14"/>
  <c r="T126" i="14"/>
  <c r="T31" i="6"/>
  <c r="L31" i="6"/>
  <c r="P31" i="6"/>
  <c r="T28" i="6"/>
  <c r="P28" i="6"/>
  <c r="L28" i="6"/>
  <c r="BL72" i="14"/>
  <c r="BP72" i="14"/>
  <c r="BR72" i="14"/>
  <c r="AV72" i="14"/>
  <c r="AU72" i="14" s="1"/>
  <c r="AT72" i="14" s="1"/>
  <c r="J94" i="14" s="1"/>
  <c r="BK72" i="14"/>
  <c r="BO72" i="14"/>
  <c r="BQ72" i="14"/>
  <c r="BM72" i="14"/>
  <c r="BN72" i="14"/>
  <c r="BO120" i="14"/>
  <c r="BK120" i="14"/>
  <c r="BH12" i="14"/>
  <c r="BG12" i="14"/>
  <c r="BC12" i="14"/>
  <c r="BE12" i="14"/>
  <c r="BD12" i="14"/>
  <c r="AR12" i="14"/>
  <c r="AQ12" i="14" s="1"/>
  <c r="AP12" i="14" s="1"/>
  <c r="BI12" i="14"/>
  <c r="BF12" i="14"/>
  <c r="BJ12" i="14"/>
  <c r="BC107" i="14"/>
  <c r="BC120" i="14" s="1"/>
  <c r="BJ107" i="14"/>
  <c r="BJ120" i="14" s="1"/>
  <c r="BE107" i="14"/>
  <c r="BE120" i="14" s="1"/>
  <c r="BH107" i="14"/>
  <c r="BH120" i="14" s="1"/>
  <c r="AR107" i="14"/>
  <c r="AQ107" i="14" s="1"/>
  <c r="AP107" i="14" s="1"/>
  <c r="D123" i="14" s="1"/>
  <c r="BD107" i="14"/>
  <c r="BD120" i="14" s="1"/>
  <c r="BG107" i="14"/>
  <c r="BG120" i="14" s="1"/>
  <c r="BI107" i="14"/>
  <c r="BI120" i="14" s="1"/>
  <c r="BF107" i="14"/>
  <c r="BF120" i="14" s="1"/>
  <c r="BR16" i="14"/>
  <c r="BK16" i="14"/>
  <c r="AV16" i="14"/>
  <c r="AU16" i="14" s="1"/>
  <c r="AT16" i="14" s="1"/>
  <c r="BQ16" i="14"/>
  <c r="BL16" i="14"/>
  <c r="BM16" i="14"/>
  <c r="BO16" i="14"/>
  <c r="BP16" i="14"/>
  <c r="BN16" i="14"/>
  <c r="BR85" i="14"/>
  <c r="BQ85" i="14"/>
  <c r="BM85" i="14"/>
  <c r="BL85" i="14"/>
  <c r="AV85" i="14"/>
  <c r="AU85" i="14" s="1"/>
  <c r="AT85" i="14" s="1"/>
  <c r="BK85" i="14"/>
  <c r="BN85" i="14"/>
  <c r="BO85" i="14"/>
  <c r="BP85" i="14"/>
  <c r="BG41" i="14"/>
  <c r="BH41" i="14"/>
  <c r="BI41" i="14"/>
  <c r="BJ41" i="14"/>
  <c r="BD41" i="14"/>
  <c r="BC41" i="14"/>
  <c r="BF41" i="14"/>
  <c r="AR41" i="14"/>
  <c r="AQ41" i="14" s="1"/>
  <c r="AP41" i="14" s="1"/>
  <c r="D61" i="14" s="1"/>
  <c r="BE41" i="14"/>
  <c r="BG170" i="14"/>
  <c r="BJ170" i="14"/>
  <c r="BM56" i="14"/>
  <c r="BC14" i="14"/>
  <c r="BI14" i="14"/>
  <c r="AR14" i="14"/>
  <c r="AQ14" i="14" s="1"/>
  <c r="AP14" i="14" s="1"/>
  <c r="BH14" i="14"/>
  <c r="BJ14" i="14"/>
  <c r="BD14" i="14"/>
  <c r="BF14" i="14"/>
  <c r="BG14" i="14"/>
  <c r="BE14" i="14"/>
  <c r="BC75" i="14"/>
  <c r="AR75" i="14"/>
  <c r="AQ75" i="14" s="1"/>
  <c r="AP75" i="14" s="1"/>
  <c r="BJ75" i="14"/>
  <c r="BH75" i="14"/>
  <c r="BE75" i="14"/>
  <c r="BF75" i="14"/>
  <c r="BD75" i="14"/>
  <c r="BI75" i="14"/>
  <c r="BG75" i="14"/>
  <c r="BE77" i="14"/>
  <c r="AR77" i="14"/>
  <c r="AQ77" i="14" s="1"/>
  <c r="AP77" i="14" s="1"/>
  <c r="BC77" i="14"/>
  <c r="BI77" i="14"/>
  <c r="BG77" i="14"/>
  <c r="BD77" i="14"/>
  <c r="BJ77" i="14"/>
  <c r="BF77" i="14"/>
  <c r="BH77" i="14"/>
  <c r="T64" i="14"/>
  <c r="L188" i="14"/>
  <c r="Z189" i="14"/>
  <c r="N189" i="14"/>
  <c r="T189" i="14"/>
  <c r="N130" i="14"/>
  <c r="T130" i="14"/>
  <c r="Z130" i="14"/>
  <c r="T125" i="14"/>
  <c r="N125" i="14"/>
  <c r="Z125" i="14"/>
  <c r="L33" i="6"/>
  <c r="T33" i="6"/>
  <c r="P33" i="6"/>
  <c r="T32" i="6"/>
  <c r="P32" i="6"/>
  <c r="L32" i="6"/>
  <c r="AA331" i="6"/>
  <c r="B331" i="6" s="1"/>
  <c r="AA330" i="6"/>
  <c r="B330" i="6" s="1"/>
  <c r="AA340" i="6"/>
  <c r="B340" i="6" s="1"/>
  <c r="AA333" i="6"/>
  <c r="B333" i="6" s="1"/>
  <c r="AA329" i="6"/>
  <c r="B329" i="6" s="1"/>
  <c r="AA334" i="6"/>
  <c r="B334" i="6" s="1"/>
  <c r="BQ178" i="14"/>
  <c r="AV178" i="14"/>
  <c r="AU178" i="14" s="1"/>
  <c r="AT178" i="14" s="1"/>
  <c r="J188" i="14" s="1"/>
  <c r="BK178" i="14"/>
  <c r="BN178" i="14"/>
  <c r="BP178" i="14"/>
  <c r="BO178" i="14"/>
  <c r="BM178" i="14"/>
  <c r="BR178" i="14"/>
  <c r="BL178" i="14"/>
  <c r="BQ120" i="14"/>
  <c r="BM120" i="14"/>
  <c r="B19" i="14"/>
  <c r="B8" i="14"/>
  <c r="B12" i="14"/>
  <c r="BM11" i="14"/>
  <c r="BL11" i="14"/>
  <c r="BO11" i="14"/>
  <c r="BQ11" i="14"/>
  <c r="BP11" i="14"/>
  <c r="BR11" i="14"/>
  <c r="BR24" i="14" s="1"/>
  <c r="AV11" i="14"/>
  <c r="AU11" i="14" s="1"/>
  <c r="AT11" i="14" s="1"/>
  <c r="BK11" i="14"/>
  <c r="BN11" i="14"/>
  <c r="D125" i="14"/>
  <c r="D126" i="14"/>
  <c r="E130" i="14"/>
  <c r="D128" i="14"/>
  <c r="E123" i="14"/>
  <c r="E128" i="14"/>
  <c r="E129" i="14"/>
  <c r="D130" i="14"/>
  <c r="D124" i="14"/>
  <c r="E125" i="14"/>
  <c r="E127" i="14"/>
  <c r="E124" i="14"/>
  <c r="E126" i="14"/>
  <c r="D129" i="14"/>
  <c r="D127" i="14"/>
  <c r="C16" i="14"/>
  <c r="BJ168" i="14"/>
  <c r="BD168" i="14"/>
  <c r="AA117" i="6"/>
  <c r="B117" i="6" s="1"/>
  <c r="AA108" i="6"/>
  <c r="B108" i="6" s="1"/>
  <c r="E156" i="14"/>
  <c r="D161" i="14"/>
  <c r="E157" i="14"/>
  <c r="E160" i="14"/>
  <c r="E155" i="14"/>
  <c r="E161" i="14"/>
  <c r="D156" i="14"/>
  <c r="D157" i="14"/>
  <c r="E162" i="14"/>
  <c r="D160" i="14"/>
  <c r="D158" i="14"/>
  <c r="E159" i="14"/>
  <c r="E158" i="14"/>
  <c r="D162" i="14"/>
  <c r="D159" i="14"/>
  <c r="BI172" i="14"/>
  <c r="BE172" i="14"/>
  <c r="BE184" i="14" s="1"/>
  <c r="BD172" i="14"/>
  <c r="BH172" i="14"/>
  <c r="BH184" i="14" s="1"/>
  <c r="BF172" i="14"/>
  <c r="BC172" i="14"/>
  <c r="BG172" i="14"/>
  <c r="BJ172" i="14"/>
  <c r="BP56" i="14"/>
  <c r="BQ181" i="14"/>
  <c r="BN181" i="14"/>
  <c r="BO181" i="14"/>
  <c r="BP181" i="14"/>
  <c r="BR181" i="14"/>
  <c r="AV181" i="14"/>
  <c r="AU181" i="14" s="1"/>
  <c r="AT181" i="14" s="1"/>
  <c r="J187" i="14" s="1"/>
  <c r="BK181" i="14"/>
  <c r="BL181" i="14"/>
  <c r="BM181" i="14"/>
  <c r="BE76" i="14"/>
  <c r="BI76" i="14"/>
  <c r="BD76" i="14"/>
  <c r="AR76" i="14"/>
  <c r="BF76" i="14"/>
  <c r="BC76" i="14"/>
  <c r="BH76" i="14"/>
  <c r="BG76" i="14"/>
  <c r="BJ76" i="14"/>
  <c r="B77" i="14"/>
  <c r="B78" i="14"/>
  <c r="B75" i="14"/>
  <c r="B81" i="14"/>
  <c r="B76" i="14"/>
  <c r="BR73" i="14"/>
  <c r="BM73" i="14"/>
  <c r="BN73" i="14"/>
  <c r="BO73" i="14"/>
  <c r="BL73" i="14"/>
  <c r="BP73" i="14"/>
  <c r="BK73" i="14"/>
  <c r="BQ73" i="14"/>
  <c r="AV73" i="14"/>
  <c r="BG80" i="14"/>
  <c r="BF80" i="14"/>
  <c r="BH80" i="14"/>
  <c r="BD80" i="14"/>
  <c r="BE80" i="14"/>
  <c r="BJ80" i="14"/>
  <c r="AR80" i="14"/>
  <c r="AQ80" i="14" s="1"/>
  <c r="AP80" i="14" s="1"/>
  <c r="BC80" i="14"/>
  <c r="BI80" i="14"/>
  <c r="T60" i="14"/>
  <c r="T61" i="14"/>
  <c r="N65" i="14"/>
  <c r="N128" i="14"/>
  <c r="T128" i="14"/>
  <c r="Z128" i="14"/>
  <c r="N124" i="14"/>
  <c r="Z124" i="14"/>
  <c r="T124" i="14"/>
  <c r="BN150" i="14"/>
  <c r="BN152" i="14" s="1"/>
  <c r="BL150" i="14"/>
  <c r="BL152" i="14" s="1"/>
  <c r="BQ150" i="14"/>
  <c r="BQ152" i="14" s="1"/>
  <c r="BO150" i="14"/>
  <c r="BO152" i="14" s="1"/>
  <c r="BP150" i="14"/>
  <c r="BP152" i="14" s="1"/>
  <c r="BM150" i="14"/>
  <c r="BM152" i="14" s="1"/>
  <c r="BK150" i="14"/>
  <c r="BK152" i="14" s="1"/>
  <c r="BR150" i="14"/>
  <c r="BR152" i="14" s="1"/>
  <c r="AV150" i="14"/>
  <c r="AU150" i="14" s="1"/>
  <c r="AT150" i="14" s="1"/>
  <c r="J155" i="14" s="1"/>
  <c r="T30" i="6"/>
  <c r="L30" i="6"/>
  <c r="P30" i="6"/>
  <c r="T29" i="6"/>
  <c r="P29" i="6"/>
  <c r="L29" i="6"/>
  <c r="AB334" i="6"/>
  <c r="C334" i="6" s="1"/>
  <c r="AB332" i="6"/>
  <c r="C332" i="6" s="1"/>
  <c r="AB338" i="6"/>
  <c r="C338" i="6" s="1"/>
  <c r="AB337" i="6"/>
  <c r="C337" i="6" s="1"/>
  <c r="AB339" i="6"/>
  <c r="C339" i="6" s="1"/>
  <c r="BH45" i="14"/>
  <c r="BC45" i="14"/>
  <c r="BI45" i="14"/>
  <c r="AR45" i="14"/>
  <c r="AQ45" i="14" s="1"/>
  <c r="AP45" i="14" s="1"/>
  <c r="D60" i="14" s="1"/>
  <c r="BF45" i="14"/>
  <c r="BE45" i="14"/>
  <c r="BG45" i="14"/>
  <c r="BJ45" i="14"/>
  <c r="BD45" i="14"/>
  <c r="BN120" i="14"/>
  <c r="BP120" i="14"/>
  <c r="AB171" i="6"/>
  <c r="C171" i="6" s="1"/>
  <c r="AB172" i="6"/>
  <c r="C172" i="6" s="1"/>
  <c r="AB177" i="6"/>
  <c r="C177" i="6" s="1"/>
  <c r="BR56" i="14"/>
  <c r="BJ142" i="14"/>
  <c r="BJ152" i="14" s="1"/>
  <c r="AR142" i="14"/>
  <c r="AQ142" i="14" s="1"/>
  <c r="AP142" i="14" s="1"/>
  <c r="D155" i="14" s="1"/>
  <c r="BH142" i="14"/>
  <c r="BH152" i="14" s="1"/>
  <c r="BE142" i="14"/>
  <c r="BE152" i="14" s="1"/>
  <c r="BI142" i="14"/>
  <c r="BI152" i="14" s="1"/>
  <c r="BC142" i="14"/>
  <c r="BC152" i="14" s="1"/>
  <c r="BD142" i="14"/>
  <c r="BD152" i="14" s="1"/>
  <c r="BF142" i="14"/>
  <c r="BF152" i="14" s="1"/>
  <c r="BG142" i="14"/>
  <c r="BG152" i="14" s="1"/>
  <c r="BM83" i="14"/>
  <c r="BQ83" i="14"/>
  <c r="AV83" i="14"/>
  <c r="AU83" i="14" s="1"/>
  <c r="AT83" i="14" s="1"/>
  <c r="BR83" i="14"/>
  <c r="BP83" i="14"/>
  <c r="BK83" i="14"/>
  <c r="BL83" i="14"/>
  <c r="BO83" i="14"/>
  <c r="BN83" i="14"/>
  <c r="BH48" i="14"/>
  <c r="BF48" i="14"/>
  <c r="BD48" i="14"/>
  <c r="BI48" i="14"/>
  <c r="BJ48" i="14"/>
  <c r="AR48" i="14"/>
  <c r="AQ48" i="14" s="1"/>
  <c r="AP48" i="14" s="1"/>
  <c r="D59" i="14" s="1"/>
  <c r="BC48" i="14"/>
  <c r="BE48" i="14"/>
  <c r="BG48" i="14"/>
  <c r="BL56" i="14"/>
  <c r="C84" i="14"/>
  <c r="AA205" i="6"/>
  <c r="B205" i="6" s="1"/>
  <c r="AA200" i="6"/>
  <c r="B200" i="6" s="1"/>
  <c r="AA202" i="6"/>
  <c r="B202" i="6" s="1"/>
  <c r="AA204" i="6"/>
  <c r="B204" i="6" s="1"/>
  <c r="BD78" i="14"/>
  <c r="BE78" i="14"/>
  <c r="BJ78" i="14"/>
  <c r="BC78" i="14"/>
  <c r="BI78" i="14"/>
  <c r="BG78" i="14"/>
  <c r="BF78" i="14"/>
  <c r="AR78" i="14"/>
  <c r="BH78" i="14"/>
  <c r="C73" i="14"/>
  <c r="B80" i="14"/>
  <c r="N62" i="14"/>
  <c r="P125" i="6"/>
  <c r="K129" i="6"/>
  <c r="T129" i="6" s="1"/>
  <c r="K126" i="6"/>
  <c r="K124" i="6"/>
  <c r="L124" i="6" s="1"/>
  <c r="K513" i="6"/>
  <c r="P513" i="6" s="1"/>
  <c r="N191" i="14"/>
  <c r="K123" i="6"/>
  <c r="T123" i="6" s="1"/>
  <c r="K127" i="6"/>
  <c r="T127" i="6" s="1"/>
  <c r="K128" i="6"/>
  <c r="L128" i="6" s="1"/>
  <c r="K130" i="6"/>
  <c r="Z190" i="14"/>
  <c r="M39" i="12"/>
  <c r="N39" i="12"/>
  <c r="K510" i="6"/>
  <c r="P124" i="6"/>
  <c r="T125" i="6"/>
  <c r="F192" i="14"/>
  <c r="F507" i="6"/>
  <c r="T193" i="14"/>
  <c r="E62" i="14"/>
  <c r="E63" i="14"/>
  <c r="D65" i="14"/>
  <c r="E64" i="14"/>
  <c r="E59" i="14"/>
  <c r="D66" i="14"/>
  <c r="E65" i="14"/>
  <c r="D64" i="14"/>
  <c r="E66" i="14"/>
  <c r="D63" i="14"/>
  <c r="E60" i="14"/>
  <c r="G189" i="14"/>
  <c r="Z194" i="14"/>
  <c r="Z191" i="14"/>
  <c r="H194" i="14"/>
  <c r="G193" i="14"/>
  <c r="F7" i="12"/>
  <c r="G7" i="12"/>
  <c r="F6" i="12"/>
  <c r="G6" i="12"/>
  <c r="U4" i="12"/>
  <c r="G4" i="12"/>
  <c r="T4" i="12"/>
  <c r="F4" i="12"/>
  <c r="G5" i="12"/>
  <c r="F5" i="12"/>
  <c r="P17" i="12"/>
  <c r="S17" i="12"/>
  <c r="G9" i="12"/>
  <c r="F9" i="12"/>
  <c r="F10" i="12"/>
  <c r="G10" i="12"/>
  <c r="G8" i="12"/>
  <c r="F8" i="12"/>
  <c r="G11" i="12"/>
  <c r="F11" i="12"/>
  <c r="F30" i="6"/>
  <c r="H30" i="6"/>
  <c r="G30" i="6"/>
  <c r="E512" i="6"/>
  <c r="G512" i="6" s="1"/>
  <c r="F29" i="6"/>
  <c r="H29" i="6"/>
  <c r="G29" i="6"/>
  <c r="G27" i="6"/>
  <c r="H27" i="6"/>
  <c r="F27" i="6"/>
  <c r="E508" i="6"/>
  <c r="H508" i="6" s="1"/>
  <c r="G28" i="6"/>
  <c r="H28" i="6"/>
  <c r="F28" i="6"/>
  <c r="E513" i="6"/>
  <c r="F513" i="6" s="1"/>
  <c r="F32" i="6"/>
  <c r="H32" i="6"/>
  <c r="G32" i="6"/>
  <c r="F33" i="6"/>
  <c r="G33" i="6"/>
  <c r="H33" i="6"/>
  <c r="F31" i="6"/>
  <c r="H31" i="6"/>
  <c r="G31" i="6"/>
  <c r="G34" i="6"/>
  <c r="F34" i="6"/>
  <c r="H34" i="6"/>
  <c r="L130" i="6"/>
  <c r="P126" i="6"/>
  <c r="P384" i="6"/>
  <c r="P381" i="6"/>
  <c r="T381" i="6"/>
  <c r="L381" i="6"/>
  <c r="P383" i="6"/>
  <c r="L380" i="6"/>
  <c r="T509" i="6"/>
  <c r="P509" i="6"/>
  <c r="T512" i="6"/>
  <c r="P81" i="12"/>
  <c r="S20" i="12"/>
  <c r="P20" i="12"/>
  <c r="D345" i="48"/>
  <c r="E345" i="48"/>
  <c r="M83" i="12"/>
  <c r="N83" i="12"/>
  <c r="M82" i="12"/>
  <c r="N82" i="12"/>
  <c r="M86" i="12"/>
  <c r="N86" i="12"/>
  <c r="N84" i="12"/>
  <c r="M84" i="12"/>
  <c r="N85" i="12"/>
  <c r="M85" i="12"/>
  <c r="M88" i="12"/>
  <c r="N88" i="12"/>
  <c r="M87" i="12"/>
  <c r="N87" i="12"/>
  <c r="L253" i="6"/>
  <c r="P253" i="6"/>
  <c r="T253" i="6"/>
  <c r="T252" i="6"/>
  <c r="L252" i="6"/>
  <c r="P252" i="6"/>
  <c r="L256" i="6"/>
  <c r="T256" i="6"/>
  <c r="P256" i="6"/>
  <c r="T254" i="6"/>
  <c r="L254" i="6"/>
  <c r="P254" i="6"/>
  <c r="P255" i="6"/>
  <c r="T255" i="6"/>
  <c r="L255" i="6"/>
  <c r="L258" i="6"/>
  <c r="T258" i="6"/>
  <c r="P258" i="6"/>
  <c r="T257" i="6"/>
  <c r="L257" i="6"/>
  <c r="P257" i="6"/>
  <c r="G83" i="12"/>
  <c r="F83" i="12"/>
  <c r="F81" i="12"/>
  <c r="G81" i="12"/>
  <c r="U81" i="12"/>
  <c r="T81" i="12"/>
  <c r="G85" i="12"/>
  <c r="F85" i="12"/>
  <c r="F84" i="12"/>
  <c r="G84" i="12"/>
  <c r="F86" i="12"/>
  <c r="G86" i="12"/>
  <c r="F87" i="12"/>
  <c r="G87" i="12"/>
  <c r="F88" i="12"/>
  <c r="G88" i="12"/>
  <c r="F82" i="12"/>
  <c r="G82" i="12"/>
  <c r="H253" i="6"/>
  <c r="G253" i="6"/>
  <c r="F253" i="6"/>
  <c r="H251" i="6"/>
  <c r="G251" i="6"/>
  <c r="F251" i="6"/>
  <c r="G255" i="6"/>
  <c r="H255" i="6"/>
  <c r="F255" i="6"/>
  <c r="G254" i="6"/>
  <c r="F254" i="6"/>
  <c r="H254" i="6"/>
  <c r="H256" i="6"/>
  <c r="G256" i="6"/>
  <c r="F256" i="6"/>
  <c r="H257" i="6"/>
  <c r="F257" i="6"/>
  <c r="G257" i="6"/>
  <c r="G258" i="6"/>
  <c r="F258" i="6"/>
  <c r="H258" i="6"/>
  <c r="H252" i="6"/>
  <c r="G252" i="6"/>
  <c r="F252" i="6"/>
  <c r="F446" i="6"/>
  <c r="L220" i="6"/>
  <c r="P22" i="12"/>
  <c r="S22" i="12"/>
  <c r="H444" i="6"/>
  <c r="T482" i="6"/>
  <c r="H449" i="6"/>
  <c r="P21" i="12"/>
  <c r="S21" i="12"/>
  <c r="P226" i="6"/>
  <c r="H443" i="6"/>
  <c r="P18" i="12"/>
  <c r="S18" i="12"/>
  <c r="H447" i="6"/>
  <c r="G447" i="6"/>
  <c r="G446" i="6"/>
  <c r="F449" i="6"/>
  <c r="G450" i="6"/>
  <c r="G444" i="6"/>
  <c r="P15" i="12"/>
  <c r="S15" i="12"/>
  <c r="F450" i="6"/>
  <c r="F443" i="6"/>
  <c r="G157" i="6"/>
  <c r="F157" i="6"/>
  <c r="J29" i="14"/>
  <c r="T413" i="6"/>
  <c r="C160" i="48"/>
  <c r="I114" i="40"/>
  <c r="L239" i="12"/>
  <c r="L228" i="12"/>
  <c r="E229" i="12"/>
  <c r="E153" i="40"/>
  <c r="L43" i="12"/>
  <c r="H82" i="12"/>
  <c r="O39" i="12"/>
  <c r="D240" i="12"/>
  <c r="D94" i="49"/>
  <c r="E18" i="12"/>
  <c r="D227" i="12"/>
  <c r="D226" i="12"/>
  <c r="L38" i="12"/>
  <c r="D197" i="12"/>
  <c r="E149" i="40"/>
  <c r="E191" i="12"/>
  <c r="I118" i="40"/>
  <c r="J163" i="48"/>
  <c r="L70" i="12"/>
  <c r="L73" i="12"/>
  <c r="E150" i="12"/>
  <c r="E239" i="12"/>
  <c r="L148" i="48"/>
  <c r="K238" i="12"/>
  <c r="O197" i="12"/>
  <c r="M98" i="49" s="1"/>
  <c r="E19" i="12"/>
  <c r="E16" i="12"/>
  <c r="K153" i="40"/>
  <c r="L240" i="12"/>
  <c r="D228" i="12"/>
  <c r="J164" i="48"/>
  <c r="L229" i="12"/>
  <c r="E228" i="12"/>
  <c r="O213" i="12"/>
  <c r="E218" i="12"/>
  <c r="L138" i="40"/>
  <c r="H11" i="12"/>
  <c r="L115" i="40"/>
  <c r="E217" i="12"/>
  <c r="O41" i="12"/>
  <c r="H170" i="12"/>
  <c r="N147" i="48"/>
  <c r="K165" i="48"/>
  <c r="E195" i="12"/>
  <c r="H84" i="12"/>
  <c r="K138" i="40"/>
  <c r="F161" i="48"/>
  <c r="E147" i="40"/>
  <c r="O138" i="12"/>
  <c r="F159" i="48"/>
  <c r="O239" i="12"/>
  <c r="D164" i="48"/>
  <c r="C151" i="48"/>
  <c r="J107" i="40"/>
  <c r="C95" i="48"/>
  <c r="E169" i="12"/>
  <c r="E147" i="12"/>
  <c r="K193" i="12"/>
  <c r="I121" i="40"/>
  <c r="L180" i="12"/>
  <c r="O6" i="12"/>
  <c r="E225" i="12"/>
  <c r="E159" i="48"/>
  <c r="K117" i="40"/>
  <c r="D150" i="40"/>
  <c r="H81" i="12"/>
  <c r="O127" i="12"/>
  <c r="M116" i="50" s="1"/>
  <c r="E148" i="40"/>
  <c r="L160" i="48"/>
  <c r="E50" i="12"/>
  <c r="D191" i="12"/>
  <c r="K148" i="40"/>
  <c r="N158" i="48"/>
  <c r="K228" i="12"/>
  <c r="J159" i="48"/>
  <c r="K149" i="48"/>
  <c r="D242" i="12"/>
  <c r="D236" i="12"/>
  <c r="L128" i="12"/>
  <c r="O16" i="12"/>
  <c r="L196" i="12"/>
  <c r="L192" i="12"/>
  <c r="E21" i="12"/>
  <c r="K152" i="40"/>
  <c r="K237" i="12"/>
  <c r="L205" i="12"/>
  <c r="I92" i="49"/>
  <c r="K226" i="12"/>
  <c r="O218" i="12"/>
  <c r="C158" i="48"/>
  <c r="L230" i="12"/>
  <c r="J120" i="48" s="1"/>
  <c r="E215" i="12"/>
  <c r="E152" i="40"/>
  <c r="L150" i="40"/>
  <c r="D217" i="12"/>
  <c r="D196" i="12"/>
  <c r="D158" i="48"/>
  <c r="O88" i="12"/>
  <c r="D149" i="40"/>
  <c r="N154" i="48"/>
  <c r="E198" i="12"/>
  <c r="E174" i="12"/>
  <c r="H88" i="12"/>
  <c r="J103" i="48"/>
  <c r="C153" i="48"/>
  <c r="J97" i="49"/>
  <c r="C138" i="48"/>
  <c r="M150" i="48"/>
  <c r="E153" i="12"/>
  <c r="C98" i="48" s="1"/>
  <c r="L165" i="12"/>
  <c r="E237" i="12"/>
  <c r="C105" i="40" s="1"/>
  <c r="K150" i="48"/>
  <c r="K119" i="40"/>
  <c r="K116" i="40"/>
  <c r="L117" i="40"/>
  <c r="D165" i="48"/>
  <c r="E230" i="12"/>
  <c r="K196" i="12"/>
  <c r="L98" i="49"/>
  <c r="O4" i="12"/>
  <c r="M147" i="40" s="1"/>
  <c r="L151" i="40"/>
  <c r="O87" i="12"/>
  <c r="F154" i="40"/>
  <c r="L44" i="12"/>
  <c r="L41" i="12"/>
  <c r="N152" i="48"/>
  <c r="I115" i="40"/>
  <c r="L149" i="48"/>
  <c r="E149" i="12"/>
  <c r="K151" i="48"/>
  <c r="L141" i="12"/>
  <c r="J86" i="49" s="1"/>
  <c r="L129" i="12"/>
  <c r="K198" i="12"/>
  <c r="H193" i="12"/>
  <c r="F94" i="49" s="1"/>
  <c r="E97" i="48"/>
  <c r="D106" i="40"/>
  <c r="J118" i="40"/>
  <c r="K98" i="49"/>
  <c r="D194" i="12"/>
  <c r="D192" i="12"/>
  <c r="K121" i="40"/>
  <c r="O5" i="12"/>
  <c r="M148" i="40" s="1"/>
  <c r="K224" i="12"/>
  <c r="I116" i="40"/>
  <c r="L224" i="12"/>
  <c r="D219" i="12"/>
  <c r="H10" i="12"/>
  <c r="K161" i="48"/>
  <c r="H87" i="12"/>
  <c r="K120" i="40"/>
  <c r="K229" i="12"/>
  <c r="D230" i="12"/>
  <c r="E194" i="12"/>
  <c r="H151" i="12"/>
  <c r="H4" i="12"/>
  <c r="M140" i="40"/>
  <c r="D152" i="40"/>
  <c r="D160" i="48"/>
  <c r="M164" i="48"/>
  <c r="E151" i="40"/>
  <c r="H153" i="12"/>
  <c r="N153" i="48"/>
  <c r="C92" i="48"/>
  <c r="L126" i="12"/>
  <c r="L198" i="12"/>
  <c r="K154" i="48"/>
  <c r="O216" i="12"/>
  <c r="M117" i="40" s="1"/>
  <c r="O237" i="12"/>
  <c r="M105" i="40" s="1"/>
  <c r="K230" i="12"/>
  <c r="O37" i="12"/>
  <c r="M136" i="40" s="1"/>
  <c r="L231" i="12"/>
  <c r="H50" i="12"/>
  <c r="M148" i="48"/>
  <c r="L147" i="48"/>
  <c r="O215" i="12"/>
  <c r="E224" i="12"/>
  <c r="E154" i="40"/>
  <c r="E162" i="48"/>
  <c r="K182" i="12"/>
  <c r="F158" i="48"/>
  <c r="J158" i="40"/>
  <c r="I117" i="40"/>
  <c r="L127" i="12"/>
  <c r="D237" i="12"/>
  <c r="L151" i="48"/>
  <c r="L75" i="12"/>
  <c r="J163" i="40" s="1"/>
  <c r="L153" i="48"/>
  <c r="L152" i="48"/>
  <c r="K147" i="40"/>
  <c r="K115" i="40"/>
  <c r="D213" i="12"/>
  <c r="E197" i="12"/>
  <c r="C98" i="49" s="1"/>
  <c r="O165" i="12"/>
  <c r="D229" i="12"/>
  <c r="D162" i="48"/>
  <c r="C120" i="48"/>
  <c r="C163" i="48"/>
  <c r="D235" i="12"/>
  <c r="O19" i="12"/>
  <c r="L142" i="12"/>
  <c r="E242" i="12"/>
  <c r="C110" i="40" s="1"/>
  <c r="L160" i="12"/>
  <c r="J83" i="50" s="1"/>
  <c r="L194" i="12"/>
  <c r="K241" i="12"/>
  <c r="H238" i="12"/>
  <c r="E15" i="12"/>
  <c r="C147" i="48" s="1"/>
  <c r="K150" i="40"/>
  <c r="L236" i="12"/>
  <c r="L114" i="40"/>
  <c r="O9" i="12"/>
  <c r="J160" i="48"/>
  <c r="O219" i="12"/>
  <c r="E231" i="12"/>
  <c r="L169" i="12"/>
  <c r="J92" i="40" s="1"/>
  <c r="O83" i="12"/>
  <c r="M160" i="48" s="1"/>
  <c r="J99" i="49"/>
  <c r="L227" i="12"/>
  <c r="D231" i="12"/>
  <c r="H8" i="12"/>
  <c r="F151" i="40" s="1"/>
  <c r="K163" i="48"/>
  <c r="O235" i="12"/>
  <c r="E175" i="12"/>
  <c r="C98" i="40" s="1"/>
  <c r="O77" i="12"/>
  <c r="L31" i="12"/>
  <c r="N150" i="48"/>
  <c r="E160" i="48"/>
  <c r="M103" i="40"/>
  <c r="M152" i="40"/>
  <c r="C119" i="40"/>
  <c r="J87" i="49"/>
  <c r="C94" i="48"/>
  <c r="L174" i="12"/>
  <c r="J97" i="40" s="1"/>
  <c r="E148" i="12"/>
  <c r="K192" i="12"/>
  <c r="L193" i="12"/>
  <c r="E20" i="12"/>
  <c r="C152" i="48" s="1"/>
  <c r="J88" i="50"/>
  <c r="D218" i="12"/>
  <c r="L118" i="40"/>
  <c r="D215" i="12"/>
  <c r="C165" i="48"/>
  <c r="O8" i="12"/>
  <c r="M151" i="40" s="1"/>
  <c r="H239" i="12"/>
  <c r="F107" i="40" s="1"/>
  <c r="L164" i="48"/>
  <c r="O11" i="12"/>
  <c r="M154" i="40" s="1"/>
  <c r="O214" i="12"/>
  <c r="M115" i="40" s="1"/>
  <c r="O43" i="12"/>
  <c r="M142" i="40" s="1"/>
  <c r="J142" i="40"/>
  <c r="D159" i="48"/>
  <c r="C96" i="49"/>
  <c r="F147" i="40"/>
  <c r="C150" i="48"/>
  <c r="C152" i="40"/>
  <c r="M149" i="48"/>
  <c r="L171" i="12"/>
  <c r="J94" i="40" s="1"/>
  <c r="D241" i="12"/>
  <c r="E22" i="12"/>
  <c r="J95" i="49"/>
  <c r="L119" i="40"/>
  <c r="M147" i="48"/>
  <c r="E227" i="12"/>
  <c r="J117" i="50"/>
  <c r="E170" i="12"/>
  <c r="C93" i="40" s="1"/>
  <c r="E196" i="12"/>
  <c r="C95" i="49"/>
  <c r="C116" i="40"/>
  <c r="C93" i="48"/>
  <c r="C148" i="40"/>
  <c r="L96" i="12"/>
  <c r="J107" i="49" s="1"/>
  <c r="L138" i="12"/>
  <c r="J83" i="49" s="1"/>
  <c r="E48" i="12"/>
  <c r="L77" i="12"/>
  <c r="J165" i="40" s="1"/>
  <c r="E241" i="12"/>
  <c r="C109" i="40" s="1"/>
  <c r="K195" i="12"/>
  <c r="K147" i="48"/>
  <c r="D97" i="48"/>
  <c r="L154" i="48"/>
  <c r="L148" i="40"/>
  <c r="K227" i="12"/>
  <c r="E214" i="12"/>
  <c r="L147" i="40"/>
  <c r="K242" i="12"/>
  <c r="D214" i="12"/>
  <c r="K114" i="40"/>
  <c r="L121" i="40"/>
  <c r="O198" i="12"/>
  <c r="M99" i="49" s="1"/>
  <c r="D224" i="12"/>
  <c r="H9" i="12"/>
  <c r="F152" i="40" s="1"/>
  <c r="O129" i="12"/>
  <c r="M118" i="50" s="1"/>
  <c r="L159" i="48"/>
  <c r="L153" i="40"/>
  <c r="O10" i="12"/>
  <c r="M153" i="40" s="1"/>
  <c r="L40" i="12"/>
  <c r="J139" i="40" s="1"/>
  <c r="N149" i="48"/>
  <c r="J137" i="40"/>
  <c r="O85" i="12"/>
  <c r="E163" i="48"/>
  <c r="H242" i="12"/>
  <c r="F110" i="40" s="1"/>
  <c r="D163" i="48"/>
  <c r="J118" i="48"/>
  <c r="C118" i="48"/>
  <c r="C121" i="48"/>
  <c r="F106" i="40"/>
  <c r="C136" i="48"/>
  <c r="L158" i="12"/>
  <c r="J81" i="50" s="1"/>
  <c r="E236" i="12"/>
  <c r="C104" i="40" s="1"/>
  <c r="L195" i="12"/>
  <c r="H152" i="12"/>
  <c r="C161" i="48"/>
  <c r="K154" i="40"/>
  <c r="H85" i="12"/>
  <c r="F162" i="48" s="1"/>
  <c r="E220" i="12"/>
  <c r="C121" i="40" s="1"/>
  <c r="H7" i="12"/>
  <c r="F150" i="40" s="1"/>
  <c r="S81" i="12"/>
  <c r="E161" i="48"/>
  <c r="H86" i="12"/>
  <c r="M149" i="40"/>
  <c r="I120" i="40"/>
  <c r="L163" i="12"/>
  <c r="J86" i="50" s="1"/>
  <c r="K240" i="12"/>
  <c r="L116" i="40"/>
  <c r="K151" i="40"/>
  <c r="H5" i="12"/>
  <c r="F148" i="40" s="1"/>
  <c r="H147" i="12"/>
  <c r="E219" i="12"/>
  <c r="C120" i="40" s="1"/>
  <c r="E192" i="12"/>
  <c r="F153" i="40"/>
  <c r="C151" i="40"/>
  <c r="L238" i="12"/>
  <c r="J106" i="40" s="1"/>
  <c r="L71" i="12"/>
  <c r="L130" i="12"/>
  <c r="K194" i="12"/>
  <c r="E94" i="49"/>
  <c r="L242" i="12"/>
  <c r="J110" i="40" s="1"/>
  <c r="L150" i="48"/>
  <c r="K152" i="48"/>
  <c r="K231" i="12"/>
  <c r="E226" i="12"/>
  <c r="C116" i="48" s="1"/>
  <c r="J115" i="50"/>
  <c r="O217" i="12"/>
  <c r="M118" i="40" s="1"/>
  <c r="E216" i="12"/>
  <c r="K118" i="40"/>
  <c r="L152" i="40"/>
  <c r="O220" i="12"/>
  <c r="M121" i="40" s="1"/>
  <c r="L37" i="12"/>
  <c r="J136" i="40" s="1"/>
  <c r="D154" i="40"/>
  <c r="K164" i="48"/>
  <c r="H83" i="12"/>
  <c r="F160" i="48" s="1"/>
  <c r="J94" i="49"/>
  <c r="K236" i="12"/>
  <c r="L175" i="12"/>
  <c r="J98" i="40" s="1"/>
  <c r="D151" i="40"/>
  <c r="K160" i="48"/>
  <c r="K235" i="12"/>
  <c r="L161" i="48"/>
  <c r="O84" i="12"/>
  <c r="L163" i="48"/>
  <c r="E150" i="40"/>
  <c r="O174" i="12"/>
  <c r="M165" i="48"/>
  <c r="J143" i="40"/>
  <c r="O242" i="12"/>
  <c r="J108" i="40"/>
  <c r="M119" i="40"/>
  <c r="C154" i="48"/>
  <c r="J96" i="49"/>
  <c r="J159" i="40"/>
  <c r="C107" i="40"/>
  <c r="M151" i="48"/>
  <c r="L125" i="12"/>
  <c r="J114" i="50" s="1"/>
  <c r="E240" i="12"/>
  <c r="K148" i="48"/>
  <c r="K153" i="48"/>
  <c r="M152" i="48"/>
  <c r="D225" i="12"/>
  <c r="L225" i="12"/>
  <c r="L149" i="40"/>
  <c r="L42" i="12"/>
  <c r="O86" i="12"/>
  <c r="M163" i="48" s="1"/>
  <c r="L172" i="12"/>
  <c r="E158" i="48"/>
  <c r="E165" i="48"/>
  <c r="H148" i="12"/>
  <c r="D153" i="40"/>
  <c r="O82" i="12"/>
  <c r="D195" i="12"/>
  <c r="J121" i="48"/>
  <c r="C108" i="40"/>
  <c r="I119" i="40"/>
  <c r="E154" i="12"/>
  <c r="L191" i="12"/>
  <c r="J92" i="49" s="1"/>
  <c r="E17" i="12"/>
  <c r="L226" i="12"/>
  <c r="K225" i="12"/>
  <c r="L235" i="12"/>
  <c r="D216" i="12"/>
  <c r="E164" i="48"/>
  <c r="E151" i="12"/>
  <c r="L154" i="40"/>
  <c r="K205" i="12"/>
  <c r="D148" i="40"/>
  <c r="C115" i="48"/>
  <c r="D198" i="12"/>
  <c r="J117" i="48"/>
  <c r="H6" i="12"/>
  <c r="F149" i="40" s="1"/>
  <c r="L120" i="40"/>
  <c r="K149" i="40"/>
  <c r="O238" i="12"/>
  <c r="M106" i="40" s="1"/>
  <c r="E213" i="12"/>
  <c r="C114" i="40" s="1"/>
  <c r="O7" i="12"/>
  <c r="M150" i="40" s="1"/>
  <c r="J141" i="40"/>
  <c r="C96" i="48"/>
  <c r="K162" i="48"/>
  <c r="B92" i="49"/>
  <c r="C149" i="48"/>
  <c r="J95" i="40"/>
  <c r="L165" i="48"/>
  <c r="J93" i="49"/>
  <c r="J140" i="40"/>
  <c r="K159" i="48"/>
  <c r="C115" i="40"/>
  <c r="D220" i="12"/>
  <c r="D238" i="12"/>
  <c r="B106" i="40" s="1"/>
  <c r="K105" i="40"/>
  <c r="D161" i="48"/>
  <c r="C148" i="48"/>
  <c r="J119" i="50"/>
  <c r="J118" i="50"/>
  <c r="K197" i="12"/>
  <c r="D193" i="12"/>
  <c r="B94" i="49" s="1"/>
  <c r="K239" i="12"/>
  <c r="E235" i="12"/>
  <c r="C103" i="40" s="1"/>
  <c r="D147" i="40"/>
  <c r="J103" i="40"/>
  <c r="E106" i="40"/>
  <c r="L162" i="48"/>
  <c r="J161" i="40"/>
  <c r="L241" i="12"/>
  <c r="J109" i="40" s="1"/>
  <c r="O171" i="12"/>
  <c r="C119" i="48"/>
  <c r="C99" i="48"/>
  <c r="L105" i="40"/>
  <c r="C92" i="40"/>
  <c r="J116" i="50"/>
  <c r="F97" i="48"/>
  <c r="M127" i="12" l="1"/>
  <c r="N127" i="12"/>
  <c r="N126" i="12"/>
  <c r="M126" i="12"/>
  <c r="E336" i="48"/>
  <c r="D336" i="48"/>
  <c r="U149" i="48"/>
  <c r="U169" i="12"/>
  <c r="T169" i="12"/>
  <c r="F169" i="12"/>
  <c r="G169" i="12"/>
  <c r="H155" i="6"/>
  <c r="F155" i="6"/>
  <c r="G155" i="6"/>
  <c r="T96" i="6"/>
  <c r="P96" i="6"/>
  <c r="T382" i="6"/>
  <c r="P382" i="6"/>
  <c r="L382" i="6"/>
  <c r="P417" i="6"/>
  <c r="T417" i="6"/>
  <c r="L510" i="6"/>
  <c r="P510" i="6"/>
  <c r="T510" i="6"/>
  <c r="P477" i="6"/>
  <c r="T477" i="6"/>
  <c r="K514" i="6"/>
  <c r="T480" i="6"/>
  <c r="L383" i="6"/>
  <c r="K508" i="6"/>
  <c r="K476" i="6"/>
  <c r="K447" i="6"/>
  <c r="K448" i="6"/>
  <c r="K444" i="6"/>
  <c r="K449" i="6"/>
  <c r="K450" i="6"/>
  <c r="K443" i="6"/>
  <c r="K446" i="6"/>
  <c r="K445" i="6"/>
  <c r="T475" i="6"/>
  <c r="G508" i="6"/>
  <c r="T384" i="6"/>
  <c r="P416" i="6"/>
  <c r="L222" i="6"/>
  <c r="P512" i="6"/>
  <c r="E509" i="6"/>
  <c r="K511" i="6"/>
  <c r="K91" i="6"/>
  <c r="BI184" i="14"/>
  <c r="BN24" i="14"/>
  <c r="K221" i="6"/>
  <c r="J27" i="14"/>
  <c r="E156" i="6"/>
  <c r="G445" i="6"/>
  <c r="T379" i="6"/>
  <c r="T287" i="6"/>
  <c r="T513" i="6"/>
  <c r="P379" i="6"/>
  <c r="K386" i="6"/>
  <c r="E161" i="6"/>
  <c r="K95" i="6"/>
  <c r="L287" i="6"/>
  <c r="T224" i="6"/>
  <c r="P380" i="6"/>
  <c r="E510" i="6"/>
  <c r="BO24" i="14"/>
  <c r="K98" i="6"/>
  <c r="K225" i="6"/>
  <c r="K97" i="6"/>
  <c r="K92" i="6"/>
  <c r="E162" i="6"/>
  <c r="T380" i="6"/>
  <c r="K94" i="6"/>
  <c r="K93" i="6"/>
  <c r="H507" i="6"/>
  <c r="E514" i="6"/>
  <c r="G514" i="6" s="1"/>
  <c r="BF184" i="14"/>
  <c r="L31" i="14"/>
  <c r="E159" i="6"/>
  <c r="K385" i="6"/>
  <c r="E511" i="6"/>
  <c r="M125" i="12"/>
  <c r="N125" i="12"/>
  <c r="L219" i="6"/>
  <c r="P219" i="6"/>
  <c r="K223" i="6"/>
  <c r="T223" i="6" s="1"/>
  <c r="L507" i="6"/>
  <c r="F151" i="12"/>
  <c r="G151" i="12"/>
  <c r="M171" i="12"/>
  <c r="N171" i="12"/>
  <c r="G153" i="12"/>
  <c r="F153" i="12"/>
  <c r="F149" i="12"/>
  <c r="G149" i="12"/>
  <c r="M70" i="12"/>
  <c r="N70" i="12"/>
  <c r="F447" i="6"/>
  <c r="G449" i="6"/>
  <c r="H445" i="6"/>
  <c r="T219" i="6"/>
  <c r="N96" i="12"/>
  <c r="M96" i="12"/>
  <c r="L513" i="6"/>
  <c r="T507" i="6"/>
  <c r="K414" i="6"/>
  <c r="K411" i="6"/>
  <c r="K418" i="6"/>
  <c r="K412" i="6"/>
  <c r="K415" i="6"/>
  <c r="K478" i="6"/>
  <c r="K481" i="6"/>
  <c r="K479" i="6"/>
  <c r="E158" i="6"/>
  <c r="E160" i="6"/>
  <c r="L95" i="6"/>
  <c r="K285" i="6"/>
  <c r="K288" i="6"/>
  <c r="K290" i="6"/>
  <c r="K289" i="6"/>
  <c r="K283" i="6"/>
  <c r="K286" i="6"/>
  <c r="K284" i="6"/>
  <c r="E283" i="6"/>
  <c r="E290" i="6"/>
  <c r="E285" i="6"/>
  <c r="E288" i="6"/>
  <c r="E286" i="6"/>
  <c r="E284" i="6"/>
  <c r="E287" i="6"/>
  <c r="E289" i="6"/>
  <c r="E95" i="6"/>
  <c r="E93" i="6"/>
  <c r="E91" i="6"/>
  <c r="E94" i="6"/>
  <c r="E97" i="6"/>
  <c r="E98" i="6"/>
  <c r="E96" i="6"/>
  <c r="E92" i="6"/>
  <c r="E480" i="6"/>
  <c r="E482" i="6"/>
  <c r="E477" i="6"/>
  <c r="E475" i="6"/>
  <c r="E481" i="6"/>
  <c r="E478" i="6"/>
  <c r="E479" i="6"/>
  <c r="E476" i="6"/>
  <c r="E379" i="6"/>
  <c r="E382" i="6"/>
  <c r="E384" i="6"/>
  <c r="E383" i="6"/>
  <c r="E385" i="6"/>
  <c r="E381" i="6"/>
  <c r="E386" i="6"/>
  <c r="E380" i="6"/>
  <c r="E319" i="6"/>
  <c r="E315" i="6"/>
  <c r="E316" i="6"/>
  <c r="E321" i="6"/>
  <c r="E322" i="6"/>
  <c r="E320" i="6"/>
  <c r="E318" i="6"/>
  <c r="E317" i="6"/>
  <c r="K321" i="6"/>
  <c r="K317" i="6"/>
  <c r="K315" i="6"/>
  <c r="K318" i="6"/>
  <c r="K319" i="6"/>
  <c r="K322" i="6"/>
  <c r="K316" i="6"/>
  <c r="K320" i="6"/>
  <c r="K161" i="6"/>
  <c r="K157" i="6"/>
  <c r="K160" i="6"/>
  <c r="K158" i="6"/>
  <c r="K156" i="6"/>
  <c r="K155" i="6"/>
  <c r="K162" i="6"/>
  <c r="K159" i="6"/>
  <c r="E411" i="6"/>
  <c r="E418" i="6"/>
  <c r="E417" i="6"/>
  <c r="E416" i="6"/>
  <c r="E415" i="6"/>
  <c r="E412" i="6"/>
  <c r="E414" i="6"/>
  <c r="E413" i="6"/>
  <c r="M73" i="12"/>
  <c r="N73" i="12"/>
  <c r="F512" i="6"/>
  <c r="T222" i="6"/>
  <c r="N174" i="12"/>
  <c r="M174" i="12"/>
  <c r="P19" i="12"/>
  <c r="S19" i="12"/>
  <c r="E338" i="48"/>
  <c r="D338" i="48"/>
  <c r="V338" i="48" s="1"/>
  <c r="U151" i="48"/>
  <c r="G154" i="12"/>
  <c r="F154" i="12"/>
  <c r="M158" i="12"/>
  <c r="N158" i="12"/>
  <c r="M238" i="12"/>
  <c r="N238" i="12"/>
  <c r="M138" i="12"/>
  <c r="N138" i="12"/>
  <c r="G161" i="6"/>
  <c r="H450" i="6"/>
  <c r="L475" i="6"/>
  <c r="T190" i="14"/>
  <c r="N190" i="14"/>
  <c r="L413" i="6"/>
  <c r="P97" i="6"/>
  <c r="G241" i="12"/>
  <c r="F241" i="12"/>
  <c r="N160" i="12"/>
  <c r="M160" i="12"/>
  <c r="G50" i="12"/>
  <c r="F50" i="12"/>
  <c r="G237" i="12"/>
  <c r="F237" i="12"/>
  <c r="N129" i="12"/>
  <c r="M129" i="12"/>
  <c r="F239" i="12"/>
  <c r="G239" i="12"/>
  <c r="M163" i="12"/>
  <c r="N163" i="12"/>
  <c r="G236" i="12"/>
  <c r="F236" i="12"/>
  <c r="M130" i="12"/>
  <c r="N130" i="12"/>
  <c r="N77" i="12"/>
  <c r="M77" i="12"/>
  <c r="G242" i="12"/>
  <c r="F242" i="12"/>
  <c r="G147" i="12"/>
  <c r="U147" i="12"/>
  <c r="T147" i="12"/>
  <c r="F147" i="12"/>
  <c r="N128" i="12"/>
  <c r="M128" i="12"/>
  <c r="F150" i="12"/>
  <c r="G150" i="12"/>
  <c r="G240" i="12"/>
  <c r="F240" i="12"/>
  <c r="M71" i="12"/>
  <c r="N71" i="12"/>
  <c r="T48" i="12"/>
  <c r="G48" i="12"/>
  <c r="U48" i="12"/>
  <c r="F48" i="12"/>
  <c r="F148" i="12"/>
  <c r="G148" i="12"/>
  <c r="N142" i="12"/>
  <c r="M142" i="12"/>
  <c r="N75" i="12"/>
  <c r="M75" i="12"/>
  <c r="M165" i="12"/>
  <c r="N165" i="12"/>
  <c r="M141" i="12"/>
  <c r="N141" i="12"/>
  <c r="F193" i="14"/>
  <c r="H193" i="14"/>
  <c r="L477" i="6"/>
  <c r="F189" i="14"/>
  <c r="H189" i="14"/>
  <c r="T225" i="6"/>
  <c r="G191" i="14"/>
  <c r="F191" i="14"/>
  <c r="P480" i="6"/>
  <c r="F188" i="14"/>
  <c r="H188" i="14"/>
  <c r="L226" i="6"/>
  <c r="G194" i="14"/>
  <c r="F194" i="14"/>
  <c r="G443" i="6"/>
  <c r="H510" i="6"/>
  <c r="H446" i="6"/>
  <c r="L98" i="6"/>
  <c r="G192" i="14"/>
  <c r="H192" i="14"/>
  <c r="T220" i="6"/>
  <c r="P476" i="6"/>
  <c r="F444" i="6"/>
  <c r="L417" i="6"/>
  <c r="P224" i="6"/>
  <c r="L482" i="6"/>
  <c r="T416" i="6"/>
  <c r="P16" i="12"/>
  <c r="S16" i="12"/>
  <c r="E335" i="48"/>
  <c r="M191" i="12"/>
  <c r="N191" i="12"/>
  <c r="U148" i="48"/>
  <c r="D335" i="48"/>
  <c r="V335" i="48" s="1"/>
  <c r="J32" i="14"/>
  <c r="Z59" i="14"/>
  <c r="T59" i="14"/>
  <c r="M194" i="12"/>
  <c r="N194" i="12"/>
  <c r="N198" i="12"/>
  <c r="M198" i="12"/>
  <c r="L28" i="14"/>
  <c r="T62" i="14"/>
  <c r="Z62" i="14"/>
  <c r="T66" i="14"/>
  <c r="N66" i="14"/>
  <c r="I193" i="12"/>
  <c r="N196" i="12"/>
  <c r="M196" i="12"/>
  <c r="W94" i="49"/>
  <c r="M239" i="12"/>
  <c r="N239" i="12"/>
  <c r="L34" i="14"/>
  <c r="T34" i="14" s="1"/>
  <c r="BP24" i="14"/>
  <c r="BM24" i="14"/>
  <c r="Z64" i="14"/>
  <c r="N64" i="14"/>
  <c r="T191" i="14"/>
  <c r="M192" i="12"/>
  <c r="N192" i="12"/>
  <c r="P197" i="12"/>
  <c r="S197" i="12"/>
  <c r="M195" i="12"/>
  <c r="N195" i="12"/>
  <c r="M242" i="12"/>
  <c r="N242" i="12"/>
  <c r="U147" i="48"/>
  <c r="D334" i="48"/>
  <c r="V334" i="48" s="1"/>
  <c r="M193" i="12"/>
  <c r="N193" i="12"/>
  <c r="E334" i="48"/>
  <c r="L30" i="14"/>
  <c r="L29" i="14"/>
  <c r="N29" i="14" s="1"/>
  <c r="N60" i="14"/>
  <c r="Z60" i="14"/>
  <c r="N63" i="14"/>
  <c r="Z63" i="14"/>
  <c r="N194" i="14"/>
  <c r="T194" i="14"/>
  <c r="Z61" i="14"/>
  <c r="N61" i="14"/>
  <c r="F16" i="12"/>
  <c r="G16" i="12"/>
  <c r="F18" i="12"/>
  <c r="G18" i="12"/>
  <c r="I152" i="12"/>
  <c r="U152" i="48"/>
  <c r="D339" i="48"/>
  <c r="V339" i="48" s="1"/>
  <c r="E341" i="48"/>
  <c r="F20" i="12"/>
  <c r="G20" i="12"/>
  <c r="T15" i="12"/>
  <c r="F15" i="12"/>
  <c r="U15" i="12"/>
  <c r="G15" i="12"/>
  <c r="E339" i="48"/>
  <c r="D341" i="48"/>
  <c r="T341" i="48" s="1"/>
  <c r="U154" i="48"/>
  <c r="W106" i="40"/>
  <c r="G21" i="12"/>
  <c r="F21" i="12"/>
  <c r="F19" i="12"/>
  <c r="G19" i="12"/>
  <c r="F17" i="12"/>
  <c r="G17" i="12"/>
  <c r="D340" i="48"/>
  <c r="V340" i="48" s="1"/>
  <c r="U153" i="48"/>
  <c r="E337" i="48"/>
  <c r="W97" i="48"/>
  <c r="F235" i="12"/>
  <c r="U235" i="12"/>
  <c r="G235" i="12"/>
  <c r="T235" i="12"/>
  <c r="G22" i="12"/>
  <c r="F22" i="12"/>
  <c r="I238" i="12"/>
  <c r="E340" i="48"/>
  <c r="U150" i="48"/>
  <c r="D337" i="48"/>
  <c r="T337" i="48" s="1"/>
  <c r="J30" i="14"/>
  <c r="BJ184" i="14"/>
  <c r="BL24" i="14"/>
  <c r="AU20" i="14" s="1"/>
  <c r="AT20" i="14" s="1"/>
  <c r="J28" i="14" s="1"/>
  <c r="D93" i="14"/>
  <c r="D30" i="14"/>
  <c r="BI56" i="14"/>
  <c r="BE24" i="14"/>
  <c r="BQ184" i="14"/>
  <c r="G60" i="6"/>
  <c r="F60" i="6"/>
  <c r="H60" i="6"/>
  <c r="G62" i="6"/>
  <c r="H62" i="6"/>
  <c r="F62" i="6"/>
  <c r="BG184" i="14"/>
  <c r="D29" i="14"/>
  <c r="BK88" i="14"/>
  <c r="BH24" i="14"/>
  <c r="G64" i="6"/>
  <c r="F64" i="6"/>
  <c r="H64" i="6"/>
  <c r="G59" i="6"/>
  <c r="H59" i="6"/>
  <c r="F59" i="6"/>
  <c r="G65" i="6"/>
  <c r="H65" i="6"/>
  <c r="F65" i="6"/>
  <c r="H63" i="6"/>
  <c r="G63" i="6"/>
  <c r="F63" i="6"/>
  <c r="H61" i="6"/>
  <c r="G61" i="6"/>
  <c r="F61" i="6"/>
  <c r="J98" i="14"/>
  <c r="BD184" i="14"/>
  <c r="H187" i="14"/>
  <c r="F187" i="14"/>
  <c r="G187" i="14"/>
  <c r="G66" i="6"/>
  <c r="F66" i="6"/>
  <c r="H66" i="6"/>
  <c r="P214" i="12"/>
  <c r="S214" i="12"/>
  <c r="F230" i="12"/>
  <c r="G230" i="12"/>
  <c r="G217" i="12"/>
  <c r="F217" i="12"/>
  <c r="G219" i="12"/>
  <c r="F219" i="12"/>
  <c r="F220" i="12"/>
  <c r="G220" i="12"/>
  <c r="P10" i="12"/>
  <c r="S10" i="12"/>
  <c r="P11" i="12"/>
  <c r="S11" i="12"/>
  <c r="N227" i="12"/>
  <c r="M227" i="12"/>
  <c r="N231" i="12"/>
  <c r="M231" i="12"/>
  <c r="E337" i="40"/>
  <c r="E302" i="40"/>
  <c r="E340" i="40"/>
  <c r="E292" i="40"/>
  <c r="E338" i="40"/>
  <c r="D304" i="40"/>
  <c r="U117" i="40"/>
  <c r="D307" i="40"/>
  <c r="U120" i="40"/>
  <c r="P7" i="12"/>
  <c r="S7" i="12"/>
  <c r="G227" i="12"/>
  <c r="F227" i="12"/>
  <c r="F231" i="12"/>
  <c r="G231" i="12"/>
  <c r="U224" i="12"/>
  <c r="G224" i="12"/>
  <c r="T224" i="12"/>
  <c r="F224" i="12"/>
  <c r="G225" i="12"/>
  <c r="F225" i="12"/>
  <c r="F215" i="12"/>
  <c r="G215" i="12"/>
  <c r="F218" i="12"/>
  <c r="G218" i="12"/>
  <c r="P220" i="12"/>
  <c r="S220" i="12"/>
  <c r="P198" i="12"/>
  <c r="S198" i="12"/>
  <c r="P8" i="12"/>
  <c r="S8" i="12"/>
  <c r="P219" i="12"/>
  <c r="S219" i="12"/>
  <c r="P4" i="12"/>
  <c r="S4" i="12"/>
  <c r="M224" i="12"/>
  <c r="N224" i="12"/>
  <c r="N230" i="12"/>
  <c r="M230" i="12"/>
  <c r="P213" i="12"/>
  <c r="S213" i="12"/>
  <c r="M235" i="12"/>
  <c r="N235" i="12"/>
  <c r="E336" i="40"/>
  <c r="E339" i="40"/>
  <c r="E308" i="40"/>
  <c r="D292" i="40"/>
  <c r="U148" i="40"/>
  <c r="D335" i="40"/>
  <c r="E304" i="40"/>
  <c r="U154" i="40"/>
  <c r="D341" i="40"/>
  <c r="U118" i="40"/>
  <c r="D305" i="40"/>
  <c r="D301" i="40"/>
  <c r="U114" i="40"/>
  <c r="P6" i="12"/>
  <c r="S6" i="12"/>
  <c r="P218" i="12"/>
  <c r="S218" i="12"/>
  <c r="F228" i="12"/>
  <c r="G228" i="12"/>
  <c r="F229" i="12"/>
  <c r="G229" i="12"/>
  <c r="F216" i="12"/>
  <c r="G216" i="12"/>
  <c r="U213" i="12"/>
  <c r="F213" i="12"/>
  <c r="T213" i="12"/>
  <c r="G213" i="12"/>
  <c r="P9" i="12"/>
  <c r="S9" i="12"/>
  <c r="P215" i="12"/>
  <c r="S215" i="12"/>
  <c r="P237" i="12"/>
  <c r="P5" i="12"/>
  <c r="S5" i="12"/>
  <c r="N229" i="12"/>
  <c r="M229" i="12"/>
  <c r="N225" i="12"/>
  <c r="M225" i="12"/>
  <c r="P217" i="12"/>
  <c r="S217" i="12"/>
  <c r="U149" i="40"/>
  <c r="D336" i="40"/>
  <c r="E306" i="40"/>
  <c r="E285" i="49"/>
  <c r="U116" i="40"/>
  <c r="D303" i="40"/>
  <c r="U121" i="40"/>
  <c r="D308" i="40"/>
  <c r="U151" i="40"/>
  <c r="D338" i="40"/>
  <c r="E334" i="40"/>
  <c r="E341" i="40"/>
  <c r="E305" i="40"/>
  <c r="E301" i="40"/>
  <c r="N180" i="12"/>
  <c r="M180" i="12"/>
  <c r="N205" i="12"/>
  <c r="M205" i="12"/>
  <c r="G226" i="12"/>
  <c r="F226" i="12"/>
  <c r="G214" i="12"/>
  <c r="F214" i="12"/>
  <c r="N236" i="12"/>
  <c r="M236" i="12"/>
  <c r="P216" i="12"/>
  <c r="S216" i="12"/>
  <c r="M240" i="12"/>
  <c r="N240" i="12"/>
  <c r="M226" i="12"/>
  <c r="N226" i="12"/>
  <c r="N228" i="12"/>
  <c r="M228" i="12"/>
  <c r="M241" i="12"/>
  <c r="N241" i="12"/>
  <c r="U150" i="40"/>
  <c r="D337" i="40"/>
  <c r="U115" i="40"/>
  <c r="D302" i="40"/>
  <c r="D306" i="40"/>
  <c r="U119" i="40"/>
  <c r="D285" i="49"/>
  <c r="V285" i="49" s="1"/>
  <c r="U98" i="49"/>
  <c r="D339" i="40"/>
  <c r="U152" i="40"/>
  <c r="D340" i="40"/>
  <c r="U153" i="40"/>
  <c r="E303" i="40"/>
  <c r="E335" i="40"/>
  <c r="E307" i="40"/>
  <c r="D334" i="40"/>
  <c r="U147" i="40"/>
  <c r="N31" i="14"/>
  <c r="Z31" i="14"/>
  <c r="T31" i="14"/>
  <c r="P508" i="6"/>
  <c r="E219" i="6"/>
  <c r="E222" i="6"/>
  <c r="E225" i="6"/>
  <c r="E226" i="6"/>
  <c r="E220" i="6"/>
  <c r="E224" i="6"/>
  <c r="E221" i="6"/>
  <c r="E223" i="6"/>
  <c r="J31" i="14"/>
  <c r="L32" i="14"/>
  <c r="L33" i="14"/>
  <c r="L98" i="14"/>
  <c r="J97" i="14"/>
  <c r="H161" i="14"/>
  <c r="F161" i="14"/>
  <c r="G161" i="14"/>
  <c r="F127" i="14"/>
  <c r="H127" i="14"/>
  <c r="G127" i="14"/>
  <c r="H129" i="14"/>
  <c r="G129" i="14"/>
  <c r="F129" i="14"/>
  <c r="G130" i="14"/>
  <c r="H130" i="14"/>
  <c r="F130" i="14"/>
  <c r="BK24" i="14"/>
  <c r="BQ24" i="14"/>
  <c r="BI88" i="14"/>
  <c r="BH88" i="14"/>
  <c r="BE56" i="14"/>
  <c r="BD56" i="14"/>
  <c r="BG56" i="14"/>
  <c r="BM88" i="14"/>
  <c r="D92" i="14"/>
  <c r="BJ24" i="14"/>
  <c r="BC24" i="14"/>
  <c r="D28" i="14"/>
  <c r="E193" i="6"/>
  <c r="E189" i="6"/>
  <c r="E192" i="6"/>
  <c r="E190" i="6"/>
  <c r="E187" i="6"/>
  <c r="E194" i="6"/>
  <c r="E191" i="6"/>
  <c r="E188" i="6"/>
  <c r="BK184" i="14"/>
  <c r="BO184" i="14"/>
  <c r="T158" i="14"/>
  <c r="N158" i="14"/>
  <c r="Z158" i="14"/>
  <c r="N162" i="14"/>
  <c r="T162" i="14"/>
  <c r="Z162" i="14"/>
  <c r="K188" i="6"/>
  <c r="J33" i="14"/>
  <c r="J34" i="14"/>
  <c r="L93" i="14"/>
  <c r="L97" i="14"/>
  <c r="L96" i="14"/>
  <c r="E94" i="14"/>
  <c r="E97" i="14"/>
  <c r="E96" i="14"/>
  <c r="E95" i="14"/>
  <c r="D96" i="14"/>
  <c r="E92" i="14"/>
  <c r="D97" i="14"/>
  <c r="E91" i="14"/>
  <c r="D98" i="14"/>
  <c r="E98" i="14"/>
  <c r="E93" i="14"/>
  <c r="H158" i="14"/>
  <c r="G158" i="14"/>
  <c r="F158" i="14"/>
  <c r="G162" i="14"/>
  <c r="H162" i="14"/>
  <c r="F162" i="14"/>
  <c r="F155" i="14"/>
  <c r="H155" i="14"/>
  <c r="G155" i="14"/>
  <c r="F156" i="14"/>
  <c r="G156" i="14"/>
  <c r="H156" i="14"/>
  <c r="H125" i="14"/>
  <c r="F125" i="14"/>
  <c r="G125" i="14"/>
  <c r="F128" i="14"/>
  <c r="G128" i="14"/>
  <c r="H128" i="14"/>
  <c r="E28" i="14"/>
  <c r="E32" i="14"/>
  <c r="D33" i="14"/>
  <c r="D34" i="14"/>
  <c r="D32" i="14"/>
  <c r="E27" i="14"/>
  <c r="E31" i="14"/>
  <c r="D31" i="14"/>
  <c r="E30" i="14"/>
  <c r="E33" i="14"/>
  <c r="E34" i="14"/>
  <c r="E29" i="14"/>
  <c r="BD88" i="14"/>
  <c r="AQ83" i="14" s="1"/>
  <c r="AP83" i="14" s="1"/>
  <c r="BJ88" i="14"/>
  <c r="BJ56" i="14"/>
  <c r="J95" i="14"/>
  <c r="BQ88" i="14"/>
  <c r="BR88" i="14"/>
  <c r="BI24" i="14"/>
  <c r="BG24" i="14"/>
  <c r="BN184" i="14"/>
  <c r="BL184" i="14"/>
  <c r="N155" i="14"/>
  <c r="T155" i="14"/>
  <c r="Z155" i="14"/>
  <c r="Z161" i="14"/>
  <c r="T161" i="14"/>
  <c r="N161" i="14"/>
  <c r="N187" i="14"/>
  <c r="T187" i="14"/>
  <c r="K191" i="6"/>
  <c r="K193" i="6"/>
  <c r="K194" i="6"/>
  <c r="K187" i="6"/>
  <c r="K189" i="6"/>
  <c r="K190" i="6"/>
  <c r="K192" i="6"/>
  <c r="N28" i="14"/>
  <c r="Z28" i="14"/>
  <c r="T28" i="14"/>
  <c r="Z29" i="14"/>
  <c r="K354" i="6"/>
  <c r="K352" i="6"/>
  <c r="K349" i="6"/>
  <c r="K353" i="6"/>
  <c r="K350" i="6"/>
  <c r="K348" i="6"/>
  <c r="K347" i="6"/>
  <c r="K351" i="6"/>
  <c r="L92" i="14"/>
  <c r="L91" i="14"/>
  <c r="J96" i="14"/>
  <c r="H159" i="14"/>
  <c r="F159" i="14"/>
  <c r="G159" i="14"/>
  <c r="F160" i="14"/>
  <c r="G160" i="14"/>
  <c r="H160" i="14"/>
  <c r="G126" i="14"/>
  <c r="H126" i="14"/>
  <c r="F126" i="14"/>
  <c r="H123" i="14"/>
  <c r="F123" i="14"/>
  <c r="G123" i="14"/>
  <c r="BF88" i="14"/>
  <c r="BF56" i="14"/>
  <c r="BO88" i="14"/>
  <c r="BP88" i="14"/>
  <c r="D27" i="14"/>
  <c r="BD24" i="14"/>
  <c r="BP184" i="14"/>
  <c r="BM184" i="14"/>
  <c r="Z160" i="14"/>
  <c r="T160" i="14"/>
  <c r="N160" i="14"/>
  <c r="N156" i="14"/>
  <c r="Z156" i="14"/>
  <c r="T156" i="14"/>
  <c r="J91" i="14"/>
  <c r="N30" i="14"/>
  <c r="T30" i="14"/>
  <c r="Z30" i="14"/>
  <c r="Z34" i="14"/>
  <c r="T27" i="14"/>
  <c r="N27" i="14"/>
  <c r="Z27" i="14"/>
  <c r="L95" i="14"/>
  <c r="Z94" i="14"/>
  <c r="T94" i="14"/>
  <c r="N94" i="14"/>
  <c r="D91" i="14"/>
  <c r="H157" i="14"/>
  <c r="F157" i="14"/>
  <c r="G157" i="14"/>
  <c r="E130" i="6"/>
  <c r="E124" i="6"/>
  <c r="E125" i="6"/>
  <c r="E126" i="6"/>
  <c r="E128" i="6"/>
  <c r="E129" i="6"/>
  <c r="E127" i="6"/>
  <c r="E123" i="6"/>
  <c r="H124" i="14"/>
  <c r="F124" i="14"/>
  <c r="G124" i="14"/>
  <c r="E351" i="6"/>
  <c r="E349" i="6"/>
  <c r="E348" i="6"/>
  <c r="E347" i="6"/>
  <c r="E353" i="6"/>
  <c r="E354" i="6"/>
  <c r="E352" i="6"/>
  <c r="E350" i="6"/>
  <c r="Z188" i="14"/>
  <c r="N188" i="14"/>
  <c r="T188" i="14"/>
  <c r="BG88" i="14"/>
  <c r="BE88" i="14"/>
  <c r="BC88" i="14"/>
  <c r="BC56" i="14"/>
  <c r="BH56" i="14"/>
  <c r="BN88" i="14"/>
  <c r="BL88" i="14"/>
  <c r="BF24" i="14"/>
  <c r="BR184" i="14"/>
  <c r="T192" i="14"/>
  <c r="N192" i="14"/>
  <c r="Z192" i="14"/>
  <c r="N157" i="14"/>
  <c r="T157" i="14"/>
  <c r="Z157" i="14"/>
  <c r="T159" i="14"/>
  <c r="N159" i="14"/>
  <c r="Z159" i="14"/>
  <c r="N193" i="14"/>
  <c r="Z193" i="14"/>
  <c r="M175" i="12"/>
  <c r="N175" i="12"/>
  <c r="M38" i="12"/>
  <c r="N38" i="12"/>
  <c r="M44" i="12"/>
  <c r="N44" i="12"/>
  <c r="N43" i="12"/>
  <c r="M43" i="12"/>
  <c r="N40" i="12"/>
  <c r="M40" i="12"/>
  <c r="M42" i="12"/>
  <c r="N42" i="12"/>
  <c r="N41" i="12"/>
  <c r="M41" i="12"/>
  <c r="P238" i="12"/>
  <c r="S238" i="12"/>
  <c r="N37" i="12"/>
  <c r="M37" i="12"/>
  <c r="L96" i="6"/>
  <c r="T124" i="6"/>
  <c r="P511" i="6"/>
  <c r="F509" i="6"/>
  <c r="T130" i="6"/>
  <c r="P130" i="6"/>
  <c r="P129" i="6"/>
  <c r="L129" i="6"/>
  <c r="L126" i="6"/>
  <c r="T126" i="6"/>
  <c r="T511" i="6"/>
  <c r="P128" i="6"/>
  <c r="T128" i="6"/>
  <c r="L127" i="6"/>
  <c r="P127" i="6"/>
  <c r="L123" i="6"/>
  <c r="P123" i="6"/>
  <c r="P39" i="12"/>
  <c r="S39" i="12"/>
  <c r="M172" i="12"/>
  <c r="N172" i="12"/>
  <c r="E325" i="40"/>
  <c r="N31" i="12"/>
  <c r="M31" i="12"/>
  <c r="D325" i="40"/>
  <c r="U138" i="40"/>
  <c r="H513" i="6"/>
  <c r="L514" i="6"/>
  <c r="T514" i="6"/>
  <c r="P91" i="6"/>
  <c r="F511" i="6"/>
  <c r="H511" i="6"/>
  <c r="I239" i="12"/>
  <c r="R239" i="12"/>
  <c r="G195" i="12"/>
  <c r="F195" i="12"/>
  <c r="I242" i="12"/>
  <c r="R242" i="12"/>
  <c r="G198" i="12"/>
  <c r="F198" i="12"/>
  <c r="G194" i="12"/>
  <c r="F194" i="12"/>
  <c r="P239" i="12"/>
  <c r="S239" i="12"/>
  <c r="N169" i="12"/>
  <c r="M169" i="12"/>
  <c r="G197" i="12"/>
  <c r="F197" i="12"/>
  <c r="P242" i="12"/>
  <c r="S242" i="12"/>
  <c r="T191" i="12"/>
  <c r="F191" i="12"/>
  <c r="U191" i="12"/>
  <c r="G191" i="12"/>
  <c r="G196" i="12"/>
  <c r="F196" i="12"/>
  <c r="P235" i="12"/>
  <c r="G192" i="12"/>
  <c r="F192" i="12"/>
  <c r="G63" i="14"/>
  <c r="H63" i="14"/>
  <c r="F63" i="14"/>
  <c r="H66" i="14"/>
  <c r="F66" i="14"/>
  <c r="G66" i="14"/>
  <c r="F62" i="14"/>
  <c r="H62" i="14"/>
  <c r="G62" i="14"/>
  <c r="H65" i="14"/>
  <c r="F65" i="14"/>
  <c r="G65" i="14"/>
  <c r="G59" i="14"/>
  <c r="H59" i="14"/>
  <c r="F59" i="14"/>
  <c r="F64" i="14"/>
  <c r="G64" i="14"/>
  <c r="H64" i="14"/>
  <c r="G60" i="14"/>
  <c r="H60" i="14"/>
  <c r="F60" i="14"/>
  <c r="I10" i="12"/>
  <c r="R10" i="12"/>
  <c r="I4" i="12"/>
  <c r="I2" i="12"/>
  <c r="I7" i="12"/>
  <c r="R7" i="12"/>
  <c r="G175" i="12"/>
  <c r="F175" i="12"/>
  <c r="W151" i="40"/>
  <c r="T151" i="40"/>
  <c r="V151" i="40"/>
  <c r="I11" i="12"/>
  <c r="R11" i="12"/>
  <c r="I5" i="12"/>
  <c r="R5" i="12"/>
  <c r="I6" i="12"/>
  <c r="R6" i="12"/>
  <c r="V148" i="40"/>
  <c r="W148" i="40"/>
  <c r="T148" i="40"/>
  <c r="T149" i="40"/>
  <c r="V149" i="40"/>
  <c r="W149" i="40"/>
  <c r="F170" i="12"/>
  <c r="G170" i="12"/>
  <c r="T154" i="40"/>
  <c r="W154" i="40"/>
  <c r="V154" i="40"/>
  <c r="T153" i="40"/>
  <c r="V153" i="40"/>
  <c r="W153" i="40"/>
  <c r="I8" i="12"/>
  <c r="R8" i="12"/>
  <c r="I9" i="12"/>
  <c r="R9" i="12"/>
  <c r="F174" i="12"/>
  <c r="G174" i="12"/>
  <c r="W147" i="40"/>
  <c r="V152" i="40"/>
  <c r="W152" i="40"/>
  <c r="T152" i="40"/>
  <c r="V150" i="40"/>
  <c r="W150" i="40"/>
  <c r="T150" i="40"/>
  <c r="H509" i="6"/>
  <c r="G513" i="6"/>
  <c r="F508" i="6"/>
  <c r="G510" i="6"/>
  <c r="H512" i="6"/>
  <c r="P41" i="12"/>
  <c r="S41" i="12"/>
  <c r="P37" i="12"/>
  <c r="P43" i="12"/>
  <c r="S43" i="12"/>
  <c r="P129" i="12"/>
  <c r="P127" i="12"/>
  <c r="I170" i="12"/>
  <c r="P174" i="12"/>
  <c r="P171" i="12"/>
  <c r="T285" i="49"/>
  <c r="P87" i="12"/>
  <c r="S87" i="12"/>
  <c r="P83" i="12"/>
  <c r="D352" i="48"/>
  <c r="U165" i="48"/>
  <c r="E350" i="48"/>
  <c r="P84" i="12"/>
  <c r="S84" i="12"/>
  <c r="D350" i="48"/>
  <c r="U163" i="48"/>
  <c r="P88" i="12"/>
  <c r="S88" i="12"/>
  <c r="D349" i="48"/>
  <c r="U162" i="48"/>
  <c r="P86" i="12"/>
  <c r="S86" i="12"/>
  <c r="E349" i="48"/>
  <c r="E346" i="48"/>
  <c r="E351" i="48"/>
  <c r="D346" i="48"/>
  <c r="P85" i="12"/>
  <c r="S85" i="12"/>
  <c r="U164" i="48"/>
  <c r="D351" i="48"/>
  <c r="D348" i="48"/>
  <c r="E348" i="48"/>
  <c r="E347" i="48"/>
  <c r="P82" i="12"/>
  <c r="E352" i="48"/>
  <c r="D347" i="48"/>
  <c r="W162" i="48"/>
  <c r="I83" i="12"/>
  <c r="T164" i="48"/>
  <c r="W164" i="48"/>
  <c r="V164" i="48"/>
  <c r="I87" i="12"/>
  <c r="R87" i="12"/>
  <c r="I85" i="12"/>
  <c r="W159" i="48"/>
  <c r="I82" i="12"/>
  <c r="V163" i="48"/>
  <c r="W163" i="48"/>
  <c r="T163" i="48"/>
  <c r="I88" i="12"/>
  <c r="R88" i="12"/>
  <c r="I86" i="12"/>
  <c r="R86" i="12"/>
  <c r="W158" i="48"/>
  <c r="I84" i="12"/>
  <c r="I79" i="12"/>
  <c r="I81" i="12"/>
  <c r="H79" i="12"/>
  <c r="W165" i="48"/>
  <c r="V165" i="48"/>
  <c r="T165" i="48"/>
  <c r="W161" i="48"/>
  <c r="W160" i="48"/>
  <c r="T339" i="48"/>
  <c r="I148" i="12"/>
  <c r="P165" i="12"/>
  <c r="S165" i="12"/>
  <c r="I153" i="12"/>
  <c r="P77" i="12"/>
  <c r="S77" i="12"/>
  <c r="H145" i="12"/>
  <c r="I147" i="12"/>
  <c r="I145" i="12"/>
  <c r="I151" i="12"/>
  <c r="T334" i="48"/>
  <c r="T338" i="48"/>
  <c r="I50" i="12"/>
  <c r="V229" i="50"/>
  <c r="P138" i="12"/>
  <c r="I95" i="49"/>
  <c r="M83" i="49"/>
  <c r="R238" i="12"/>
  <c r="K115" i="50"/>
  <c r="B104" i="40"/>
  <c r="B118" i="48"/>
  <c r="O128" i="12"/>
  <c r="E49" i="12"/>
  <c r="E172" i="12"/>
  <c r="O74" i="12"/>
  <c r="L140" i="12"/>
  <c r="E53" i="12"/>
  <c r="E127" i="12"/>
  <c r="E96" i="12"/>
  <c r="L55" i="12"/>
  <c r="E126" i="12"/>
  <c r="E30" i="12"/>
  <c r="E136" i="12"/>
  <c r="D105" i="40"/>
  <c r="K163" i="40"/>
  <c r="E95" i="48"/>
  <c r="K185" i="12"/>
  <c r="K97" i="49"/>
  <c r="L110" i="40"/>
  <c r="D148" i="48"/>
  <c r="E151" i="48"/>
  <c r="E154" i="48"/>
  <c r="D121" i="40"/>
  <c r="D119" i="48"/>
  <c r="M88" i="50"/>
  <c r="H218" i="12"/>
  <c r="O183" i="12"/>
  <c r="K143" i="40"/>
  <c r="E95" i="49"/>
  <c r="R82" i="12"/>
  <c r="N150" i="40"/>
  <c r="E117" i="40"/>
  <c r="K118" i="48"/>
  <c r="E203" i="12"/>
  <c r="E39" i="12"/>
  <c r="G107" i="40"/>
  <c r="E97" i="40"/>
  <c r="G138" i="48"/>
  <c r="D120" i="40"/>
  <c r="S237" i="12"/>
  <c r="H217" i="12"/>
  <c r="E185" i="12"/>
  <c r="E118" i="12"/>
  <c r="K95" i="40"/>
  <c r="D97" i="40"/>
  <c r="E119" i="40"/>
  <c r="N148" i="40"/>
  <c r="E61" i="12"/>
  <c r="L63" i="12"/>
  <c r="D202" i="12"/>
  <c r="L136" i="40"/>
  <c r="G148" i="40"/>
  <c r="G164" i="48"/>
  <c r="C93" i="50"/>
  <c r="O160" i="12"/>
  <c r="K107" i="49"/>
  <c r="L98" i="12"/>
  <c r="L92" i="49"/>
  <c r="I105" i="40"/>
  <c r="N114" i="40"/>
  <c r="I114" i="48"/>
  <c r="C81" i="49"/>
  <c r="O163" i="12"/>
  <c r="H17" i="12"/>
  <c r="H175" i="12"/>
  <c r="G153" i="40"/>
  <c r="I107" i="40"/>
  <c r="C93" i="49"/>
  <c r="F93" i="48"/>
  <c r="I109" i="40"/>
  <c r="F92" i="48"/>
  <c r="B110" i="40"/>
  <c r="I106" i="40"/>
  <c r="L170" i="12"/>
  <c r="O130" i="12"/>
  <c r="L184" i="12"/>
  <c r="L94" i="40"/>
  <c r="L136" i="12"/>
  <c r="E103" i="12"/>
  <c r="E26" i="12"/>
  <c r="E142" i="12"/>
  <c r="E109" i="12"/>
  <c r="E32" i="12"/>
  <c r="E140" i="12"/>
  <c r="L106" i="40"/>
  <c r="E109" i="40"/>
  <c r="K87" i="49"/>
  <c r="D92" i="48"/>
  <c r="K86" i="50"/>
  <c r="L86" i="49"/>
  <c r="D108" i="40"/>
  <c r="K99" i="49"/>
  <c r="L187" i="12"/>
  <c r="L182" i="12"/>
  <c r="E150" i="48"/>
  <c r="G106" i="40"/>
  <c r="H21" i="12"/>
  <c r="K117" i="48"/>
  <c r="D117" i="40"/>
  <c r="E77" i="12"/>
  <c r="D187" i="12"/>
  <c r="O205" i="12"/>
  <c r="K136" i="40"/>
  <c r="H195" i="12"/>
  <c r="G158" i="48"/>
  <c r="D117" i="48"/>
  <c r="N105" i="40"/>
  <c r="L109" i="40"/>
  <c r="E209" i="12"/>
  <c r="E41" i="12"/>
  <c r="N107" i="40"/>
  <c r="G149" i="40"/>
  <c r="L121" i="48"/>
  <c r="L115" i="48"/>
  <c r="D203" i="12"/>
  <c r="E180" i="12"/>
  <c r="E120" i="12"/>
  <c r="D95" i="49"/>
  <c r="H171" i="12"/>
  <c r="N99" i="49"/>
  <c r="L119" i="48"/>
  <c r="E66" i="12"/>
  <c r="L61" i="12"/>
  <c r="J127" i="40" s="1"/>
  <c r="E44" i="12"/>
  <c r="H173" i="12"/>
  <c r="G93" i="40"/>
  <c r="N88" i="50"/>
  <c r="N116" i="50"/>
  <c r="F96" i="49"/>
  <c r="C99" i="50"/>
  <c r="J105" i="48"/>
  <c r="J85" i="49"/>
  <c r="J108" i="50"/>
  <c r="L97" i="12"/>
  <c r="O141" i="12"/>
  <c r="D147" i="48"/>
  <c r="N161" i="48"/>
  <c r="S129" i="12"/>
  <c r="G98" i="48"/>
  <c r="B121" i="48"/>
  <c r="L161" i="12"/>
  <c r="J84" i="50" s="1"/>
  <c r="K106" i="40"/>
  <c r="K96" i="49"/>
  <c r="D209" i="12"/>
  <c r="E208" i="12"/>
  <c r="H225" i="12"/>
  <c r="L206" i="12"/>
  <c r="C98" i="50"/>
  <c r="I98" i="49"/>
  <c r="I108" i="40"/>
  <c r="C97" i="49"/>
  <c r="M83" i="50"/>
  <c r="B120" i="48"/>
  <c r="C92" i="49"/>
  <c r="L159" i="12"/>
  <c r="O125" i="12"/>
  <c r="L33" i="12"/>
  <c r="E52" i="12"/>
  <c r="E94" i="48"/>
  <c r="L143" i="12"/>
  <c r="L164" i="12"/>
  <c r="E108" i="12"/>
  <c r="E31" i="12"/>
  <c r="E139" i="12"/>
  <c r="E105" i="12"/>
  <c r="E163" i="12"/>
  <c r="K83" i="50"/>
  <c r="L88" i="50"/>
  <c r="K117" i="50"/>
  <c r="K119" i="50"/>
  <c r="H172" i="12"/>
  <c r="K95" i="49"/>
  <c r="N98" i="49"/>
  <c r="O195" i="12"/>
  <c r="E147" i="48"/>
  <c r="K183" i="12"/>
  <c r="K209" i="12"/>
  <c r="S37" i="12"/>
  <c r="D114" i="40"/>
  <c r="E74" i="12"/>
  <c r="D184" i="12"/>
  <c r="H226" i="12"/>
  <c r="E98" i="40"/>
  <c r="R85" i="12"/>
  <c r="D115" i="48"/>
  <c r="J119" i="48"/>
  <c r="E70" i="12"/>
  <c r="E181" i="12"/>
  <c r="E114" i="12"/>
  <c r="H192" i="12"/>
  <c r="E93" i="40"/>
  <c r="G161" i="48"/>
  <c r="N83" i="49"/>
  <c r="F164" i="48"/>
  <c r="B93" i="49"/>
  <c r="E65" i="12"/>
  <c r="E186" i="12"/>
  <c r="O236" i="12"/>
  <c r="D98" i="49"/>
  <c r="D93" i="40"/>
  <c r="G159" i="48"/>
  <c r="R4" i="12"/>
  <c r="N147" i="40"/>
  <c r="K115" i="48"/>
  <c r="K186" i="12"/>
  <c r="O181" i="12"/>
  <c r="M104" i="48" s="1"/>
  <c r="E42" i="12"/>
  <c r="L95" i="40"/>
  <c r="G147" i="40"/>
  <c r="G90" i="48"/>
  <c r="G156" i="48"/>
  <c r="S83" i="12"/>
  <c r="C165" i="40"/>
  <c r="F149" i="48"/>
  <c r="M96" i="49"/>
  <c r="M86" i="49"/>
  <c r="C141" i="48"/>
  <c r="J87" i="50"/>
  <c r="K103" i="40"/>
  <c r="G110" i="40"/>
  <c r="C132" i="40"/>
  <c r="L158" i="40"/>
  <c r="O193" i="12"/>
  <c r="M94" i="49" s="1"/>
  <c r="L203" i="12"/>
  <c r="N117" i="40"/>
  <c r="E75" i="12"/>
  <c r="C163" i="40" s="1"/>
  <c r="C117" i="40"/>
  <c r="C109" i="48"/>
  <c r="C107" i="49"/>
  <c r="L115" i="50"/>
  <c r="E128" i="12"/>
  <c r="D138" i="48"/>
  <c r="N149" i="40"/>
  <c r="E118" i="40"/>
  <c r="N116" i="40"/>
  <c r="B121" i="40"/>
  <c r="F163" i="48"/>
  <c r="B109" i="40"/>
  <c r="B103" i="40"/>
  <c r="B120" i="40"/>
  <c r="B116" i="48"/>
  <c r="L151" i="12"/>
  <c r="O96" i="12"/>
  <c r="L76" i="12"/>
  <c r="L131" i="12"/>
  <c r="H149" i="12"/>
  <c r="L137" i="12"/>
  <c r="L94" i="12"/>
  <c r="J105" i="49" s="1"/>
  <c r="L105" i="12"/>
  <c r="J116" i="49" s="1"/>
  <c r="E160" i="12"/>
  <c r="C83" i="50" s="1"/>
  <c r="L99" i="12"/>
  <c r="J110" i="49" s="1"/>
  <c r="L106" i="12"/>
  <c r="J117" i="49" s="1"/>
  <c r="E164" i="12"/>
  <c r="C87" i="50" s="1"/>
  <c r="L161" i="40"/>
  <c r="K118" i="50"/>
  <c r="H241" i="12"/>
  <c r="F109" i="40" s="1"/>
  <c r="H240" i="12"/>
  <c r="L87" i="49"/>
  <c r="L181" i="12"/>
  <c r="L96" i="49"/>
  <c r="L94" i="49"/>
  <c r="D151" i="48"/>
  <c r="D183" i="12"/>
  <c r="F93" i="40"/>
  <c r="E117" i="48"/>
  <c r="N152" i="40"/>
  <c r="L209" i="12"/>
  <c r="E182" i="12"/>
  <c r="E38" i="12"/>
  <c r="N118" i="50"/>
  <c r="E116" i="40"/>
  <c r="J115" i="48"/>
  <c r="E71" i="12"/>
  <c r="D185" i="12"/>
  <c r="E117" i="12"/>
  <c r="D96" i="49"/>
  <c r="N136" i="40"/>
  <c r="C114" i="48"/>
  <c r="E115" i="40"/>
  <c r="E59" i="12"/>
  <c r="O230" i="12"/>
  <c r="O228" i="12"/>
  <c r="E96" i="49"/>
  <c r="B98" i="49"/>
  <c r="L114" i="48"/>
  <c r="L103" i="48"/>
  <c r="L207" i="12"/>
  <c r="O182" i="12"/>
  <c r="H214" i="12"/>
  <c r="E98" i="49"/>
  <c r="G145" i="40"/>
  <c r="M106" i="48"/>
  <c r="C131" i="40"/>
  <c r="F108" i="40"/>
  <c r="J96" i="50"/>
  <c r="L118" i="12"/>
  <c r="G152" i="40"/>
  <c r="C143" i="40"/>
  <c r="L103" i="12"/>
  <c r="L159" i="40"/>
  <c r="M114" i="40"/>
  <c r="N154" i="40"/>
  <c r="B97" i="49"/>
  <c r="S138" i="12"/>
  <c r="M107" i="40"/>
  <c r="E95" i="12"/>
  <c r="O196" i="12"/>
  <c r="M97" i="49" s="1"/>
  <c r="K139" i="40"/>
  <c r="N165" i="40"/>
  <c r="G160" i="48"/>
  <c r="I95" i="50"/>
  <c r="R152" i="12"/>
  <c r="B116" i="40"/>
  <c r="B119" i="48"/>
  <c r="I99" i="49"/>
  <c r="I118" i="48"/>
  <c r="B117" i="48"/>
  <c r="O142" i="12"/>
  <c r="L152" i="12"/>
  <c r="O175" i="12"/>
  <c r="L32" i="12"/>
  <c r="E173" i="12"/>
  <c r="K114" i="50"/>
  <c r="D96" i="48"/>
  <c r="L92" i="12"/>
  <c r="J103" i="49" s="1"/>
  <c r="L110" i="12"/>
  <c r="J121" i="49" s="1"/>
  <c r="E162" i="12"/>
  <c r="C85" i="50" s="1"/>
  <c r="L93" i="12"/>
  <c r="J104" i="49" s="1"/>
  <c r="L108" i="12"/>
  <c r="J119" i="49" s="1"/>
  <c r="E125" i="12"/>
  <c r="C114" i="50" s="1"/>
  <c r="K81" i="50"/>
  <c r="D107" i="40"/>
  <c r="O76" i="12"/>
  <c r="K159" i="40"/>
  <c r="E110" i="40"/>
  <c r="L83" i="50"/>
  <c r="K88" i="50"/>
  <c r="L95" i="49"/>
  <c r="O192" i="12"/>
  <c r="D150" i="48"/>
  <c r="E149" i="48"/>
  <c r="H18" i="12"/>
  <c r="E121" i="48"/>
  <c r="K119" i="48"/>
  <c r="H219" i="12"/>
  <c r="F120" i="40" s="1"/>
  <c r="K206" i="12"/>
  <c r="E43" i="12"/>
  <c r="C142" i="40" s="1"/>
  <c r="N138" i="40"/>
  <c r="N121" i="40"/>
  <c r="N118" i="40"/>
  <c r="K184" i="12"/>
  <c r="E183" i="12"/>
  <c r="C106" i="48" s="1"/>
  <c r="L98" i="40"/>
  <c r="E99" i="49"/>
  <c r="M119" i="50"/>
  <c r="D114" i="48"/>
  <c r="L108" i="40"/>
  <c r="O227" i="12"/>
  <c r="L59" i="12"/>
  <c r="K98" i="40"/>
  <c r="L92" i="40"/>
  <c r="N140" i="40"/>
  <c r="D118" i="40"/>
  <c r="K120" i="48"/>
  <c r="J95" i="50"/>
  <c r="E206" i="12"/>
  <c r="L120" i="12"/>
  <c r="J131" i="48" s="1"/>
  <c r="E116" i="12"/>
  <c r="E92" i="49"/>
  <c r="G151" i="40"/>
  <c r="S127" i="12"/>
  <c r="R170" i="12"/>
  <c r="M95" i="50"/>
  <c r="C127" i="40"/>
  <c r="J110" i="48"/>
  <c r="E116" i="48"/>
  <c r="J104" i="48"/>
  <c r="J81" i="49"/>
  <c r="F138" i="48"/>
  <c r="E158" i="12"/>
  <c r="N164" i="48"/>
  <c r="L141" i="40"/>
  <c r="O40" i="12"/>
  <c r="C128" i="48"/>
  <c r="J143" i="48"/>
  <c r="I96" i="49"/>
  <c r="E129" i="12"/>
  <c r="E93" i="48"/>
  <c r="E153" i="48"/>
  <c r="D99" i="49"/>
  <c r="K202" i="12"/>
  <c r="E37" i="12"/>
  <c r="C136" i="40" s="1"/>
  <c r="B117" i="40"/>
  <c r="B119" i="40"/>
  <c r="B114" i="40"/>
  <c r="I94" i="49"/>
  <c r="B108" i="40"/>
  <c r="L148" i="12"/>
  <c r="E171" i="12"/>
  <c r="L27" i="12"/>
  <c r="L74" i="12"/>
  <c r="J162" i="40" s="1"/>
  <c r="E98" i="48"/>
  <c r="E99" i="12"/>
  <c r="C110" i="49" s="1"/>
  <c r="L50" i="12"/>
  <c r="J138" i="48" s="1"/>
  <c r="E130" i="12"/>
  <c r="C119" i="50" s="1"/>
  <c r="E97" i="12"/>
  <c r="C108" i="49" s="1"/>
  <c r="L51" i="12"/>
  <c r="J139" i="48" s="1"/>
  <c r="E131" i="12"/>
  <c r="C120" i="50" s="1"/>
  <c r="K161" i="40"/>
  <c r="K83" i="49"/>
  <c r="E104" i="40"/>
  <c r="E138" i="48"/>
  <c r="D93" i="48"/>
  <c r="E92" i="48"/>
  <c r="L118" i="50"/>
  <c r="H237" i="12"/>
  <c r="L99" i="49"/>
  <c r="K93" i="49"/>
  <c r="E152" i="48"/>
  <c r="E103" i="40"/>
  <c r="H20" i="12"/>
  <c r="B99" i="49"/>
  <c r="E114" i="48"/>
  <c r="K103" i="48"/>
  <c r="H220" i="12"/>
  <c r="F121" i="40" s="1"/>
  <c r="L65" i="12"/>
  <c r="E115" i="12"/>
  <c r="O176" i="12"/>
  <c r="R193" i="12"/>
  <c r="K208" i="12"/>
  <c r="O224" i="12"/>
  <c r="M114" i="48" s="1"/>
  <c r="L139" i="40"/>
  <c r="E97" i="49"/>
  <c r="N165" i="48"/>
  <c r="I105" i="48"/>
  <c r="D119" i="40"/>
  <c r="L116" i="48"/>
  <c r="L60" i="12"/>
  <c r="L116" i="12"/>
  <c r="K142" i="40"/>
  <c r="K92" i="40"/>
  <c r="N153" i="40"/>
  <c r="E202" i="12"/>
  <c r="E121" i="12"/>
  <c r="L150" i="12"/>
  <c r="D104" i="40"/>
  <c r="L140" i="40"/>
  <c r="E76" i="12"/>
  <c r="C164" i="40" s="1"/>
  <c r="C158" i="40"/>
  <c r="C107" i="50"/>
  <c r="K180" i="12"/>
  <c r="L49" i="12"/>
  <c r="R83" i="12"/>
  <c r="E187" i="12"/>
  <c r="I115" i="48"/>
  <c r="M162" i="48"/>
  <c r="I93" i="49"/>
  <c r="B105" i="40"/>
  <c r="I97" i="49"/>
  <c r="M138" i="40"/>
  <c r="L153" i="12"/>
  <c r="L173" i="12"/>
  <c r="L132" i="12"/>
  <c r="E55" i="12"/>
  <c r="L114" i="50"/>
  <c r="K158" i="40"/>
  <c r="L162" i="12"/>
  <c r="E93" i="12"/>
  <c r="C104" i="49" s="1"/>
  <c r="L48" i="12"/>
  <c r="J136" i="48" s="1"/>
  <c r="E132" i="12"/>
  <c r="C121" i="50" s="1"/>
  <c r="E98" i="12"/>
  <c r="C109" i="49" s="1"/>
  <c r="L52" i="12"/>
  <c r="J140" i="48" s="1"/>
  <c r="E107" i="12"/>
  <c r="C118" i="49" s="1"/>
  <c r="O73" i="12"/>
  <c r="E99" i="48"/>
  <c r="L165" i="40"/>
  <c r="E105" i="40"/>
  <c r="L163" i="40"/>
  <c r="H150" i="12"/>
  <c r="O194" i="12"/>
  <c r="K110" i="40"/>
  <c r="D149" i="48"/>
  <c r="D204" i="12"/>
  <c r="H22" i="12"/>
  <c r="E115" i="48"/>
  <c r="L95" i="50"/>
  <c r="E64" i="12"/>
  <c r="L62" i="12"/>
  <c r="E119" i="12"/>
  <c r="G154" i="40"/>
  <c r="N160" i="48"/>
  <c r="N163" i="48"/>
  <c r="C118" i="40"/>
  <c r="N120" i="40"/>
  <c r="K95" i="50"/>
  <c r="D181" i="12"/>
  <c r="L66" i="12"/>
  <c r="J132" i="40" s="1"/>
  <c r="O173" i="12"/>
  <c r="G163" i="48"/>
  <c r="S174" i="12"/>
  <c r="N151" i="40"/>
  <c r="M94" i="40"/>
  <c r="L208" i="12"/>
  <c r="J98" i="50" s="1"/>
  <c r="L114" i="12"/>
  <c r="O38" i="12"/>
  <c r="R153" i="12"/>
  <c r="N97" i="40"/>
  <c r="L117" i="48"/>
  <c r="M86" i="50"/>
  <c r="L104" i="40"/>
  <c r="H227" i="12"/>
  <c r="H228" i="12"/>
  <c r="O226" i="12"/>
  <c r="M116" i="48" s="1"/>
  <c r="E93" i="49"/>
  <c r="N142" i="40"/>
  <c r="R84" i="12"/>
  <c r="C126" i="48"/>
  <c r="C138" i="40"/>
  <c r="J97" i="50"/>
  <c r="F115" i="40"/>
  <c r="F150" i="48"/>
  <c r="M95" i="49"/>
  <c r="J108" i="49"/>
  <c r="J114" i="49"/>
  <c r="C81" i="50"/>
  <c r="J109" i="49"/>
  <c r="C99" i="49"/>
  <c r="E51" i="12"/>
  <c r="C139" i="48" s="1"/>
  <c r="H154" i="12"/>
  <c r="H16" i="12"/>
  <c r="H191" i="12"/>
  <c r="F92" i="49" s="1"/>
  <c r="L115" i="12"/>
  <c r="O180" i="12"/>
  <c r="D186" i="12"/>
  <c r="F153" i="48"/>
  <c r="M162" i="40"/>
  <c r="O158" i="12"/>
  <c r="E94" i="12"/>
  <c r="K92" i="49"/>
  <c r="H213" i="12"/>
  <c r="F114" i="40" s="1"/>
  <c r="O42" i="12"/>
  <c r="F93" i="49"/>
  <c r="B115" i="48"/>
  <c r="B114" i="48"/>
  <c r="M97" i="40"/>
  <c r="K116" i="50"/>
  <c r="F165" i="48"/>
  <c r="H48" i="12"/>
  <c r="O172" i="12"/>
  <c r="L154" i="12"/>
  <c r="L26" i="12"/>
  <c r="E54" i="12"/>
  <c r="O126" i="12"/>
  <c r="E96" i="48"/>
  <c r="O70" i="12"/>
  <c r="E28" i="12"/>
  <c r="C105" i="50" s="1"/>
  <c r="E143" i="12"/>
  <c r="C88" i="49" s="1"/>
  <c r="E104" i="12"/>
  <c r="C115" i="49" s="1"/>
  <c r="E29" i="12"/>
  <c r="C106" i="50" s="1"/>
  <c r="E141" i="12"/>
  <c r="C86" i="49" s="1"/>
  <c r="E110" i="12"/>
  <c r="C121" i="49" s="1"/>
  <c r="L97" i="40"/>
  <c r="L81" i="50"/>
  <c r="K86" i="49"/>
  <c r="D95" i="48"/>
  <c r="L86" i="50"/>
  <c r="O71" i="12"/>
  <c r="G94" i="49"/>
  <c r="K94" i="49"/>
  <c r="D154" i="48"/>
  <c r="D182" i="12"/>
  <c r="G97" i="48"/>
  <c r="M161" i="48"/>
  <c r="D116" i="40"/>
  <c r="D115" i="40"/>
  <c r="E63" i="12"/>
  <c r="C129" i="40" s="1"/>
  <c r="L121" i="12"/>
  <c r="O240" i="12"/>
  <c r="H198" i="12"/>
  <c r="F99" i="49" s="1"/>
  <c r="G150" i="40"/>
  <c r="R148" i="12"/>
  <c r="G165" i="48"/>
  <c r="E120" i="40"/>
  <c r="J114" i="48"/>
  <c r="D116" i="48"/>
  <c r="E62" i="12"/>
  <c r="L64" i="12"/>
  <c r="K141" i="40"/>
  <c r="G93" i="48"/>
  <c r="M98" i="40"/>
  <c r="K114" i="48"/>
  <c r="O184" i="12"/>
  <c r="M107" i="48" s="1"/>
  <c r="E207" i="12"/>
  <c r="C97" i="50" s="1"/>
  <c r="K207" i="12"/>
  <c r="L137" i="40"/>
  <c r="D97" i="49"/>
  <c r="R147" i="12"/>
  <c r="K121" i="48"/>
  <c r="N119" i="40"/>
  <c r="B95" i="49"/>
  <c r="H231" i="12"/>
  <c r="D180" i="12"/>
  <c r="L142" i="40"/>
  <c r="N110" i="40"/>
  <c r="N162" i="48"/>
  <c r="F119" i="40"/>
  <c r="C130" i="48"/>
  <c r="C140" i="40"/>
  <c r="F115" i="48"/>
  <c r="F117" i="48"/>
  <c r="C127" i="48"/>
  <c r="F152" i="48"/>
  <c r="F95" i="48"/>
  <c r="J88" i="49"/>
  <c r="C117" i="50"/>
  <c r="C118" i="50"/>
  <c r="J137" i="48"/>
  <c r="J82" i="49"/>
  <c r="I103" i="40"/>
  <c r="L28" i="12"/>
  <c r="E165" i="12"/>
  <c r="C88" i="50" s="1"/>
  <c r="L117" i="50"/>
  <c r="H235" i="12"/>
  <c r="R151" i="12"/>
  <c r="H196" i="12"/>
  <c r="F97" i="49" s="1"/>
  <c r="C115" i="50"/>
  <c r="I116" i="48"/>
  <c r="E176" i="12"/>
  <c r="L139" i="12"/>
  <c r="J84" i="49" s="1"/>
  <c r="E120" i="48"/>
  <c r="E119" i="48"/>
  <c r="H230" i="12"/>
  <c r="L186" i="12"/>
  <c r="J109" i="48" s="1"/>
  <c r="J132" i="48"/>
  <c r="M110" i="40"/>
  <c r="B115" i="40"/>
  <c r="M87" i="49"/>
  <c r="L116" i="50"/>
  <c r="C97" i="40"/>
  <c r="D92" i="40"/>
  <c r="L147" i="12"/>
  <c r="L30" i="12"/>
  <c r="L29" i="12"/>
  <c r="D98" i="48"/>
  <c r="L107" i="49"/>
  <c r="E33" i="12"/>
  <c r="C110" i="50" s="1"/>
  <c r="E137" i="12"/>
  <c r="C82" i="49" s="1"/>
  <c r="E106" i="12"/>
  <c r="C117" i="49" s="1"/>
  <c r="E27" i="12"/>
  <c r="C104" i="50" s="1"/>
  <c r="E138" i="12"/>
  <c r="C83" i="49" s="1"/>
  <c r="L109" i="12"/>
  <c r="J120" i="49" s="1"/>
  <c r="K97" i="40"/>
  <c r="L83" i="49"/>
  <c r="E107" i="40"/>
  <c r="H236" i="12"/>
  <c r="E108" i="40"/>
  <c r="L119" i="50"/>
  <c r="N148" i="48"/>
  <c r="L97" i="49"/>
  <c r="L183" i="12"/>
  <c r="K181" i="12"/>
  <c r="H19" i="12"/>
  <c r="F151" i="48" s="1"/>
  <c r="D152" i="48"/>
  <c r="M120" i="40"/>
  <c r="K104" i="40"/>
  <c r="K187" i="12"/>
  <c r="L117" i="12"/>
  <c r="J128" i="48" s="1"/>
  <c r="O241" i="12"/>
  <c r="N103" i="40"/>
  <c r="R50" i="12"/>
  <c r="S171" i="12"/>
  <c r="E121" i="40"/>
  <c r="L120" i="48"/>
  <c r="J104" i="40"/>
  <c r="E60" i="12"/>
  <c r="L119" i="12"/>
  <c r="L143" i="40"/>
  <c r="H197" i="12"/>
  <c r="F98" i="49" s="1"/>
  <c r="F96" i="48"/>
  <c r="E73" i="12"/>
  <c r="C161" i="40" s="1"/>
  <c r="D208" i="12"/>
  <c r="H216" i="12"/>
  <c r="O44" i="12"/>
  <c r="M143" i="40" s="1"/>
  <c r="F98" i="48"/>
  <c r="E118" i="48"/>
  <c r="K109" i="40"/>
  <c r="H215" i="12"/>
  <c r="F116" i="40" s="1"/>
  <c r="O229" i="12"/>
  <c r="K140" i="40"/>
  <c r="H194" i="12"/>
  <c r="F95" i="49" s="1"/>
  <c r="G162" i="48"/>
  <c r="N94" i="40"/>
  <c r="C105" i="48"/>
  <c r="M108" i="40"/>
  <c r="C125" i="48"/>
  <c r="C108" i="48"/>
  <c r="F121" i="48"/>
  <c r="C132" i="48"/>
  <c r="F154" i="48"/>
  <c r="C105" i="49"/>
  <c r="C106" i="49"/>
  <c r="I110" i="40"/>
  <c r="L107" i="12"/>
  <c r="J118" i="49" s="1"/>
  <c r="K107" i="40"/>
  <c r="E205" i="12"/>
  <c r="C95" i="50" s="1"/>
  <c r="O231" i="12"/>
  <c r="E204" i="12"/>
  <c r="O225" i="12"/>
  <c r="M115" i="48" s="1"/>
  <c r="J131" i="40"/>
  <c r="C116" i="50"/>
  <c r="D94" i="48"/>
  <c r="E136" i="48"/>
  <c r="D103" i="40"/>
  <c r="M159" i="48"/>
  <c r="N159" i="48"/>
  <c r="I104" i="40"/>
  <c r="I117" i="48"/>
  <c r="M165" i="40"/>
  <c r="I120" i="48"/>
  <c r="B118" i="40"/>
  <c r="E92" i="40"/>
  <c r="O31" i="12"/>
  <c r="L176" i="12"/>
  <c r="L149" i="12"/>
  <c r="L72" i="12"/>
  <c r="O75" i="12"/>
  <c r="H169" i="12"/>
  <c r="K94" i="40"/>
  <c r="O169" i="12"/>
  <c r="E161" i="12"/>
  <c r="C84" i="50" s="1"/>
  <c r="L95" i="12"/>
  <c r="J106" i="49" s="1"/>
  <c r="L104" i="12"/>
  <c r="J115" i="49" s="1"/>
  <c r="E159" i="12"/>
  <c r="C82" i="50" s="1"/>
  <c r="E92" i="12"/>
  <c r="C103" i="49" s="1"/>
  <c r="L54" i="12"/>
  <c r="J142" i="48" s="1"/>
  <c r="N151" i="48"/>
  <c r="D99" i="48"/>
  <c r="K165" i="40"/>
  <c r="D109" i="40"/>
  <c r="D136" i="48"/>
  <c r="D110" i="40"/>
  <c r="O191" i="12"/>
  <c r="L107" i="40"/>
  <c r="L93" i="49"/>
  <c r="H15" i="12"/>
  <c r="E148" i="48"/>
  <c r="D153" i="48"/>
  <c r="N115" i="40"/>
  <c r="L103" i="40"/>
  <c r="J116" i="48"/>
  <c r="D207" i="12"/>
  <c r="H229" i="12"/>
  <c r="F119" i="48" s="1"/>
  <c r="K137" i="40"/>
  <c r="D93" i="49"/>
  <c r="R81" i="12"/>
  <c r="B96" i="49"/>
  <c r="I119" i="48"/>
  <c r="S235" i="12"/>
  <c r="K108" i="40"/>
  <c r="L204" i="12"/>
  <c r="L202" i="12"/>
  <c r="J92" i="50" s="1"/>
  <c r="K108" i="50"/>
  <c r="H174" i="12"/>
  <c r="S82" i="12"/>
  <c r="D120" i="48"/>
  <c r="D118" i="48"/>
  <c r="L185" i="12"/>
  <c r="H224" i="12"/>
  <c r="F114" i="48" s="1"/>
  <c r="E40" i="12"/>
  <c r="C139" i="40" s="1"/>
  <c r="L108" i="50"/>
  <c r="D98" i="40"/>
  <c r="C117" i="48"/>
  <c r="E114" i="40"/>
  <c r="E72" i="12"/>
  <c r="E184" i="12"/>
  <c r="O187" i="12"/>
  <c r="N106" i="40"/>
  <c r="D92" i="49"/>
  <c r="G92" i="48"/>
  <c r="G96" i="48"/>
  <c r="M141" i="40"/>
  <c r="J128" i="40"/>
  <c r="J94" i="50"/>
  <c r="F98" i="40"/>
  <c r="F117" i="40"/>
  <c r="C110" i="48"/>
  <c r="M93" i="49"/>
  <c r="M164" i="40"/>
  <c r="F99" i="48"/>
  <c r="C114" i="49"/>
  <c r="C103" i="50"/>
  <c r="C87" i="49"/>
  <c r="C120" i="49"/>
  <c r="C109" i="50"/>
  <c r="C85" i="49"/>
  <c r="I121" i="48"/>
  <c r="L53" i="12"/>
  <c r="J141" i="48" s="1"/>
  <c r="L118" i="48"/>
  <c r="K116" i="48"/>
  <c r="M116" i="40"/>
  <c r="D121" i="48"/>
  <c r="J129" i="40"/>
  <c r="F148" i="48"/>
  <c r="J106" i="48"/>
  <c r="J85" i="50"/>
  <c r="M161" i="40"/>
  <c r="C119" i="49"/>
  <c r="C116" i="49"/>
  <c r="C86" i="50"/>
  <c r="F94" i="48"/>
  <c r="C108" i="50"/>
  <c r="C84" i="49"/>
  <c r="M117" i="50"/>
  <c r="C137" i="48"/>
  <c r="J93" i="40"/>
  <c r="J107" i="48"/>
  <c r="J82" i="50"/>
  <c r="M114" i="50"/>
  <c r="J110" i="50"/>
  <c r="C140" i="48"/>
  <c r="J96" i="48"/>
  <c r="J164" i="40"/>
  <c r="J120" i="50"/>
  <c r="J109" i="50"/>
  <c r="C96" i="40"/>
  <c r="J93" i="48"/>
  <c r="J104" i="50"/>
  <c r="F105" i="40"/>
  <c r="J98" i="48"/>
  <c r="J96" i="40"/>
  <c r="J121" i="50"/>
  <c r="C143" i="48"/>
  <c r="M81" i="50"/>
  <c r="M95" i="40"/>
  <c r="J99" i="48"/>
  <c r="C142" i="48"/>
  <c r="M158" i="40"/>
  <c r="M159" i="40"/>
  <c r="J105" i="50"/>
  <c r="F103" i="40"/>
  <c r="C99" i="40"/>
  <c r="J92" i="48"/>
  <c r="J107" i="50"/>
  <c r="J106" i="50"/>
  <c r="F104" i="40"/>
  <c r="M108" i="50"/>
  <c r="J99" i="40"/>
  <c r="J160" i="40"/>
  <c r="F92" i="40"/>
  <c r="M92" i="40"/>
  <c r="M92" i="49"/>
  <c r="F147" i="48"/>
  <c r="H167" i="12" l="1"/>
  <c r="I169" i="12"/>
  <c r="I167" i="12"/>
  <c r="P75" i="12"/>
  <c r="S75" i="12"/>
  <c r="M72" i="12"/>
  <c r="N72" i="12"/>
  <c r="M149" i="12"/>
  <c r="N149" i="12"/>
  <c r="N176" i="12"/>
  <c r="M176" i="12"/>
  <c r="P31" i="12"/>
  <c r="S31" i="12"/>
  <c r="N29" i="12"/>
  <c r="M29" i="12"/>
  <c r="M30" i="12"/>
  <c r="N30" i="12"/>
  <c r="M147" i="12"/>
  <c r="N147" i="12"/>
  <c r="V92" i="40"/>
  <c r="W92" i="40"/>
  <c r="E303" i="50"/>
  <c r="F176" i="12"/>
  <c r="G176" i="12"/>
  <c r="N28" i="12"/>
  <c r="M28" i="12"/>
  <c r="P126" i="12"/>
  <c r="F54" i="12"/>
  <c r="G54" i="12"/>
  <c r="M26" i="12"/>
  <c r="N26" i="12"/>
  <c r="N154" i="12"/>
  <c r="M154" i="12"/>
  <c r="P172" i="12"/>
  <c r="I46" i="12"/>
  <c r="H46" i="12"/>
  <c r="I48" i="12"/>
  <c r="D303" i="50"/>
  <c r="P158" i="12"/>
  <c r="G55" i="12"/>
  <c r="F55" i="12"/>
  <c r="M132" i="12"/>
  <c r="N132" i="12"/>
  <c r="N173" i="12"/>
  <c r="M173" i="12"/>
  <c r="M153" i="12"/>
  <c r="N153" i="12"/>
  <c r="N150" i="12"/>
  <c r="M150" i="12"/>
  <c r="M27" i="12"/>
  <c r="N27" i="12"/>
  <c r="F171" i="12"/>
  <c r="G171" i="12"/>
  <c r="M148" i="12"/>
  <c r="N148" i="12"/>
  <c r="G173" i="12"/>
  <c r="F173" i="12"/>
  <c r="N32" i="12"/>
  <c r="M32" i="12"/>
  <c r="P175" i="12"/>
  <c r="M152" i="12"/>
  <c r="N152" i="12"/>
  <c r="P142" i="12"/>
  <c r="S142" i="12"/>
  <c r="N131" i="12"/>
  <c r="M131" i="12"/>
  <c r="M76" i="12"/>
  <c r="N76" i="12"/>
  <c r="P96" i="12"/>
  <c r="M151" i="12"/>
  <c r="N151" i="12"/>
  <c r="E302" i="50"/>
  <c r="F52" i="12"/>
  <c r="G52" i="12"/>
  <c r="M33" i="12"/>
  <c r="N33" i="12"/>
  <c r="P125" i="12"/>
  <c r="N159" i="12"/>
  <c r="M159" i="12"/>
  <c r="M184" i="12"/>
  <c r="N184" i="12"/>
  <c r="P130" i="12"/>
  <c r="S130" i="12"/>
  <c r="M170" i="12"/>
  <c r="N170" i="12"/>
  <c r="P163" i="12"/>
  <c r="S163" i="12"/>
  <c r="P160" i="12"/>
  <c r="F172" i="12"/>
  <c r="G172" i="12"/>
  <c r="G49" i="12"/>
  <c r="F49" i="12"/>
  <c r="P128" i="12"/>
  <c r="D302" i="50"/>
  <c r="L223" i="6"/>
  <c r="P221" i="6"/>
  <c r="T221" i="6"/>
  <c r="L445" i="6"/>
  <c r="T445" i="6"/>
  <c r="P445" i="6"/>
  <c r="T340" i="48"/>
  <c r="P94" i="6"/>
  <c r="T94" i="6"/>
  <c r="L94" i="6"/>
  <c r="T95" i="6"/>
  <c r="P95" i="6"/>
  <c r="T443" i="6"/>
  <c r="L443" i="6"/>
  <c r="P443" i="6"/>
  <c r="F514" i="6"/>
  <c r="H514" i="6"/>
  <c r="P93" i="6"/>
  <c r="T93" i="6"/>
  <c r="P514" i="6"/>
  <c r="H161" i="6"/>
  <c r="F161" i="6"/>
  <c r="T91" i="6"/>
  <c r="L91" i="6"/>
  <c r="P450" i="6"/>
  <c r="L450" i="6"/>
  <c r="T450" i="6"/>
  <c r="F162" i="6"/>
  <c r="H162" i="6"/>
  <c r="G162" i="6"/>
  <c r="T386" i="6"/>
  <c r="P386" i="6"/>
  <c r="L386" i="6"/>
  <c r="L511" i="6"/>
  <c r="L449" i="6"/>
  <c r="P449" i="6"/>
  <c r="T449" i="6"/>
  <c r="L446" i="6"/>
  <c r="T446" i="6"/>
  <c r="P446" i="6"/>
  <c r="V337" i="48"/>
  <c r="L221" i="6"/>
  <c r="L92" i="6"/>
  <c r="T92" i="6"/>
  <c r="P92" i="6"/>
  <c r="G509" i="6"/>
  <c r="P444" i="6"/>
  <c r="L444" i="6"/>
  <c r="T444" i="6"/>
  <c r="T335" i="48"/>
  <c r="G511" i="6"/>
  <c r="T97" i="6"/>
  <c r="L97" i="6"/>
  <c r="P448" i="6"/>
  <c r="L448" i="6"/>
  <c r="T448" i="6"/>
  <c r="P223" i="6"/>
  <c r="T385" i="6"/>
  <c r="L385" i="6"/>
  <c r="P385" i="6"/>
  <c r="L225" i="6"/>
  <c r="P225" i="6"/>
  <c r="P447" i="6"/>
  <c r="L447" i="6"/>
  <c r="T447" i="6"/>
  <c r="G159" i="6"/>
  <c r="H159" i="6"/>
  <c r="F159" i="6"/>
  <c r="T98" i="6"/>
  <c r="P98" i="6"/>
  <c r="T476" i="6"/>
  <c r="L476" i="6"/>
  <c r="T336" i="48"/>
  <c r="V336" i="48"/>
  <c r="L508" i="6"/>
  <c r="T508" i="6"/>
  <c r="L93" i="6"/>
  <c r="F510" i="6"/>
  <c r="F156" i="6"/>
  <c r="H156" i="6"/>
  <c r="G156" i="6"/>
  <c r="E301" i="50"/>
  <c r="N74" i="12"/>
  <c r="M74" i="12"/>
  <c r="D301" i="50"/>
  <c r="N34" i="14"/>
  <c r="T29" i="14"/>
  <c r="V341" i="48"/>
  <c r="N23" i="54"/>
  <c r="V23" i="54" s="1"/>
  <c r="P70" i="12"/>
  <c r="D345" i="40"/>
  <c r="W96" i="48"/>
  <c r="I149" i="12"/>
  <c r="E281" i="40"/>
  <c r="P74" i="12"/>
  <c r="S74" i="12"/>
  <c r="W94" i="48"/>
  <c r="D281" i="40"/>
  <c r="E345" i="40"/>
  <c r="W98" i="48"/>
  <c r="P169" i="12"/>
  <c r="D294" i="49"/>
  <c r="E294" i="49"/>
  <c r="M137" i="12"/>
  <c r="N137" i="12"/>
  <c r="N143" i="12"/>
  <c r="M143" i="12"/>
  <c r="N136" i="12"/>
  <c r="M136" i="12"/>
  <c r="M140" i="12"/>
  <c r="N140" i="12"/>
  <c r="N139" i="12"/>
  <c r="M139" i="12"/>
  <c r="T412" i="6"/>
  <c r="P412" i="6"/>
  <c r="L412" i="6"/>
  <c r="P418" i="6"/>
  <c r="L418" i="6"/>
  <c r="T418" i="6"/>
  <c r="L411" i="6"/>
  <c r="P411" i="6"/>
  <c r="T411" i="6"/>
  <c r="T415" i="6"/>
  <c r="L415" i="6"/>
  <c r="P415" i="6"/>
  <c r="P414" i="6"/>
  <c r="L414" i="6"/>
  <c r="T414" i="6"/>
  <c r="M164" i="12"/>
  <c r="N164" i="12"/>
  <c r="G53" i="12"/>
  <c r="F53" i="12"/>
  <c r="M161" i="12"/>
  <c r="N161" i="12"/>
  <c r="G51" i="12"/>
  <c r="F51" i="12"/>
  <c r="M162" i="12"/>
  <c r="N162" i="12"/>
  <c r="L481" i="6"/>
  <c r="P481" i="6"/>
  <c r="T481" i="6"/>
  <c r="H160" i="6"/>
  <c r="G160" i="6"/>
  <c r="F160" i="6"/>
  <c r="P478" i="6"/>
  <c r="T478" i="6"/>
  <c r="L478" i="6"/>
  <c r="F158" i="6"/>
  <c r="H158" i="6"/>
  <c r="G158" i="6"/>
  <c r="P479" i="6"/>
  <c r="L479" i="6"/>
  <c r="T479" i="6"/>
  <c r="G140" i="12"/>
  <c r="F140" i="12"/>
  <c r="F136" i="12"/>
  <c r="T136" i="12"/>
  <c r="G136" i="12"/>
  <c r="U136" i="12"/>
  <c r="M49" i="12"/>
  <c r="N49" i="12"/>
  <c r="M54" i="12"/>
  <c r="N54" i="12"/>
  <c r="M107" i="12"/>
  <c r="N107" i="12"/>
  <c r="M109" i="12"/>
  <c r="N109" i="12"/>
  <c r="G110" i="12"/>
  <c r="F110" i="12"/>
  <c r="G107" i="12"/>
  <c r="F107" i="12"/>
  <c r="G131" i="12"/>
  <c r="F131" i="12"/>
  <c r="T125" i="12"/>
  <c r="G125" i="12"/>
  <c r="F125" i="12"/>
  <c r="U125" i="12"/>
  <c r="F164" i="12"/>
  <c r="G164" i="12"/>
  <c r="G163" i="12"/>
  <c r="F163" i="12"/>
  <c r="G32" i="12"/>
  <c r="F32" i="12"/>
  <c r="F30" i="12"/>
  <c r="G30" i="12"/>
  <c r="G95" i="12"/>
  <c r="F95" i="12"/>
  <c r="T92" i="12"/>
  <c r="U92" i="12"/>
  <c r="F92" i="12"/>
  <c r="G92" i="12"/>
  <c r="M98" i="12"/>
  <c r="N98" i="12"/>
  <c r="G138" i="12"/>
  <c r="F138" i="12"/>
  <c r="G141" i="12"/>
  <c r="F141" i="12"/>
  <c r="N52" i="12"/>
  <c r="M52" i="12"/>
  <c r="N51" i="12"/>
  <c r="M51" i="12"/>
  <c r="M108" i="12"/>
  <c r="N108" i="12"/>
  <c r="M106" i="12"/>
  <c r="N106" i="12"/>
  <c r="G105" i="12"/>
  <c r="F105" i="12"/>
  <c r="F109" i="12"/>
  <c r="G109" i="12"/>
  <c r="F126" i="12"/>
  <c r="G126" i="12"/>
  <c r="F129" i="12"/>
  <c r="G129" i="12"/>
  <c r="G159" i="12"/>
  <c r="F159" i="12"/>
  <c r="T158" i="12"/>
  <c r="U158" i="12"/>
  <c r="F158" i="12"/>
  <c r="G158" i="12"/>
  <c r="F27" i="12"/>
  <c r="G27" i="12"/>
  <c r="F29" i="12"/>
  <c r="G29" i="12"/>
  <c r="G98" i="12"/>
  <c r="F98" i="12"/>
  <c r="F97" i="12"/>
  <c r="G97" i="12"/>
  <c r="M93" i="12"/>
  <c r="N93" i="12"/>
  <c r="N99" i="12"/>
  <c r="M99" i="12"/>
  <c r="F139" i="12"/>
  <c r="G139" i="12"/>
  <c r="F142" i="12"/>
  <c r="G142" i="12"/>
  <c r="M55" i="12"/>
  <c r="N55" i="12"/>
  <c r="N53" i="12"/>
  <c r="M53" i="12"/>
  <c r="N104" i="12"/>
  <c r="M104" i="12"/>
  <c r="M103" i="12"/>
  <c r="N103" i="12"/>
  <c r="G106" i="12"/>
  <c r="F106" i="12"/>
  <c r="G104" i="12"/>
  <c r="F104" i="12"/>
  <c r="F132" i="12"/>
  <c r="G132" i="12"/>
  <c r="F130" i="12"/>
  <c r="G130" i="12"/>
  <c r="F162" i="12"/>
  <c r="G162" i="12"/>
  <c r="G160" i="12"/>
  <c r="F160" i="12"/>
  <c r="F31" i="12"/>
  <c r="G31" i="12"/>
  <c r="G26" i="12"/>
  <c r="U26" i="12"/>
  <c r="T26" i="12"/>
  <c r="F26" i="12"/>
  <c r="G96" i="12"/>
  <c r="F96" i="12"/>
  <c r="F94" i="12"/>
  <c r="G94" i="12"/>
  <c r="N95" i="12"/>
  <c r="M95" i="12"/>
  <c r="N97" i="12"/>
  <c r="M97" i="12"/>
  <c r="G137" i="12"/>
  <c r="F137" i="12"/>
  <c r="G143" i="12"/>
  <c r="F143" i="12"/>
  <c r="M48" i="12"/>
  <c r="N48" i="12"/>
  <c r="M50" i="12"/>
  <c r="N50" i="12"/>
  <c r="M110" i="12"/>
  <c r="N110" i="12"/>
  <c r="M105" i="12"/>
  <c r="N105" i="12"/>
  <c r="G108" i="12"/>
  <c r="F108" i="12"/>
  <c r="U103" i="12"/>
  <c r="F103" i="12"/>
  <c r="T103" i="12"/>
  <c r="G103" i="12"/>
  <c r="F127" i="12"/>
  <c r="G127" i="12"/>
  <c r="F128" i="12"/>
  <c r="G128" i="12"/>
  <c r="G161" i="12"/>
  <c r="F161" i="12"/>
  <c r="G165" i="12"/>
  <c r="F165" i="12"/>
  <c r="F33" i="12"/>
  <c r="G33" i="12"/>
  <c r="G28" i="12"/>
  <c r="F28" i="12"/>
  <c r="G93" i="12"/>
  <c r="F93" i="12"/>
  <c r="F99" i="12"/>
  <c r="G99" i="12"/>
  <c r="N92" i="12"/>
  <c r="M92" i="12"/>
  <c r="M94" i="12"/>
  <c r="N94" i="12"/>
  <c r="F415" i="6"/>
  <c r="G415" i="6"/>
  <c r="H415" i="6"/>
  <c r="F411" i="6"/>
  <c r="G411" i="6"/>
  <c r="H411" i="6"/>
  <c r="P156" i="6"/>
  <c r="L156" i="6"/>
  <c r="T156" i="6"/>
  <c r="T161" i="6"/>
  <c r="P161" i="6"/>
  <c r="L161" i="6"/>
  <c r="L319" i="6"/>
  <c r="T319" i="6"/>
  <c r="P319" i="6"/>
  <c r="T321" i="6"/>
  <c r="P321" i="6"/>
  <c r="L321" i="6"/>
  <c r="F322" i="6"/>
  <c r="G322" i="6"/>
  <c r="H322" i="6"/>
  <c r="H319" i="6"/>
  <c r="F319" i="6"/>
  <c r="G319" i="6"/>
  <c r="H385" i="6"/>
  <c r="F385" i="6"/>
  <c r="G385" i="6"/>
  <c r="H379" i="6"/>
  <c r="G379" i="6"/>
  <c r="F379" i="6"/>
  <c r="H481" i="6"/>
  <c r="G481" i="6"/>
  <c r="F481" i="6"/>
  <c r="F480" i="6"/>
  <c r="H480" i="6"/>
  <c r="G480" i="6"/>
  <c r="H97" i="6"/>
  <c r="G97" i="6"/>
  <c r="F97" i="6"/>
  <c r="F95" i="6"/>
  <c r="G95" i="6"/>
  <c r="H95" i="6"/>
  <c r="G286" i="6"/>
  <c r="H286" i="6"/>
  <c r="F286" i="6"/>
  <c r="F283" i="6"/>
  <c r="G283" i="6"/>
  <c r="H283" i="6"/>
  <c r="T289" i="6"/>
  <c r="P289" i="6"/>
  <c r="L289" i="6"/>
  <c r="F413" i="6"/>
  <c r="G413" i="6"/>
  <c r="H413" i="6"/>
  <c r="G416" i="6"/>
  <c r="F416" i="6"/>
  <c r="H416" i="6"/>
  <c r="L159" i="6"/>
  <c r="T159" i="6"/>
  <c r="P159" i="6"/>
  <c r="T158" i="6"/>
  <c r="P158" i="6"/>
  <c r="L158" i="6"/>
  <c r="T320" i="6"/>
  <c r="P320" i="6"/>
  <c r="L320" i="6"/>
  <c r="P318" i="6"/>
  <c r="T318" i="6"/>
  <c r="L318" i="6"/>
  <c r="F317" i="6"/>
  <c r="G317" i="6"/>
  <c r="H317" i="6"/>
  <c r="G321" i="6"/>
  <c r="F321" i="6"/>
  <c r="H321" i="6"/>
  <c r="F380" i="6"/>
  <c r="H380" i="6"/>
  <c r="G380" i="6"/>
  <c r="F383" i="6"/>
  <c r="H383" i="6"/>
  <c r="G383" i="6"/>
  <c r="F476" i="6"/>
  <c r="G476" i="6"/>
  <c r="H476" i="6"/>
  <c r="H475" i="6"/>
  <c r="G475" i="6"/>
  <c r="F475" i="6"/>
  <c r="G92" i="6"/>
  <c r="F92" i="6"/>
  <c r="H92" i="6"/>
  <c r="F94" i="6"/>
  <c r="H94" i="6"/>
  <c r="G94" i="6"/>
  <c r="H289" i="6"/>
  <c r="G289" i="6"/>
  <c r="F289" i="6"/>
  <c r="H288" i="6"/>
  <c r="F288" i="6"/>
  <c r="G288" i="6"/>
  <c r="L284" i="6"/>
  <c r="T284" i="6"/>
  <c r="P284" i="6"/>
  <c r="T290" i="6"/>
  <c r="P290" i="6"/>
  <c r="L290" i="6"/>
  <c r="F414" i="6"/>
  <c r="G414" i="6"/>
  <c r="H414" i="6"/>
  <c r="H417" i="6"/>
  <c r="G417" i="6"/>
  <c r="F417" i="6"/>
  <c r="L162" i="6"/>
  <c r="P162" i="6"/>
  <c r="T162" i="6"/>
  <c r="P160" i="6"/>
  <c r="L160" i="6"/>
  <c r="T160" i="6"/>
  <c r="L316" i="6"/>
  <c r="T316" i="6"/>
  <c r="P316" i="6"/>
  <c r="P315" i="6"/>
  <c r="T315" i="6"/>
  <c r="L315" i="6"/>
  <c r="H318" i="6"/>
  <c r="G318" i="6"/>
  <c r="F318" i="6"/>
  <c r="H316" i="6"/>
  <c r="F316" i="6"/>
  <c r="G316" i="6"/>
  <c r="F386" i="6"/>
  <c r="H386" i="6"/>
  <c r="G386" i="6"/>
  <c r="G384" i="6"/>
  <c r="H384" i="6"/>
  <c r="F384" i="6"/>
  <c r="H479" i="6"/>
  <c r="F479" i="6"/>
  <c r="G479" i="6"/>
  <c r="F477" i="6"/>
  <c r="G477" i="6"/>
  <c r="H477" i="6"/>
  <c r="G96" i="6"/>
  <c r="H96" i="6"/>
  <c r="F96" i="6"/>
  <c r="H91" i="6"/>
  <c r="F91" i="6"/>
  <c r="G91" i="6"/>
  <c r="G287" i="6"/>
  <c r="H287" i="6"/>
  <c r="F287" i="6"/>
  <c r="H285" i="6"/>
  <c r="F285" i="6"/>
  <c r="G285" i="6"/>
  <c r="T286" i="6"/>
  <c r="L286" i="6"/>
  <c r="P286" i="6"/>
  <c r="L288" i="6"/>
  <c r="T288" i="6"/>
  <c r="P288" i="6"/>
  <c r="G412" i="6"/>
  <c r="H412" i="6"/>
  <c r="F412" i="6"/>
  <c r="G418" i="6"/>
  <c r="F418" i="6"/>
  <c r="H418" i="6"/>
  <c r="L155" i="6"/>
  <c r="P155" i="6"/>
  <c r="T155" i="6"/>
  <c r="T157" i="6"/>
  <c r="L157" i="6"/>
  <c r="P157" i="6"/>
  <c r="L322" i="6"/>
  <c r="T322" i="6"/>
  <c r="P322" i="6"/>
  <c r="L317" i="6"/>
  <c r="P317" i="6"/>
  <c r="T317" i="6"/>
  <c r="H320" i="6"/>
  <c r="G320" i="6"/>
  <c r="F320" i="6"/>
  <c r="G315" i="6"/>
  <c r="H315" i="6"/>
  <c r="F315" i="6"/>
  <c r="G381" i="6"/>
  <c r="H381" i="6"/>
  <c r="F381" i="6"/>
  <c r="H382" i="6"/>
  <c r="F382" i="6"/>
  <c r="G382" i="6"/>
  <c r="G478" i="6"/>
  <c r="F478" i="6"/>
  <c r="H478" i="6"/>
  <c r="F482" i="6"/>
  <c r="H482" i="6"/>
  <c r="G482" i="6"/>
  <c r="F98" i="6"/>
  <c r="G98" i="6"/>
  <c r="H98" i="6"/>
  <c r="G93" i="6"/>
  <c r="F93" i="6"/>
  <c r="H93" i="6"/>
  <c r="F284" i="6"/>
  <c r="H284" i="6"/>
  <c r="G284" i="6"/>
  <c r="F290" i="6"/>
  <c r="G290" i="6"/>
  <c r="H290" i="6"/>
  <c r="L283" i="6"/>
  <c r="P283" i="6"/>
  <c r="T283" i="6"/>
  <c r="T285" i="6"/>
  <c r="P285" i="6"/>
  <c r="L285" i="6"/>
  <c r="P73" i="12"/>
  <c r="S73" i="12"/>
  <c r="U161" i="40"/>
  <c r="D348" i="40"/>
  <c r="T348" i="40" s="1"/>
  <c r="E348" i="40"/>
  <c r="D284" i="40"/>
  <c r="E284" i="40"/>
  <c r="U106" i="40"/>
  <c r="D293" i="40"/>
  <c r="T99" i="48"/>
  <c r="V99" i="48"/>
  <c r="W99" i="48"/>
  <c r="I154" i="12"/>
  <c r="R154" i="12"/>
  <c r="E270" i="49"/>
  <c r="E268" i="50"/>
  <c r="D270" i="49"/>
  <c r="D268" i="50"/>
  <c r="E293" i="40"/>
  <c r="P71" i="12"/>
  <c r="I150" i="12"/>
  <c r="I237" i="12"/>
  <c r="U88" i="50"/>
  <c r="D275" i="50"/>
  <c r="T275" i="50" s="1"/>
  <c r="E274" i="49"/>
  <c r="W108" i="40"/>
  <c r="T108" i="40"/>
  <c r="V108" i="40"/>
  <c r="W110" i="40"/>
  <c r="T110" i="40"/>
  <c r="V110" i="40"/>
  <c r="E306" i="50"/>
  <c r="E273" i="50"/>
  <c r="E305" i="50"/>
  <c r="E270" i="50"/>
  <c r="I240" i="12"/>
  <c r="R240" i="12"/>
  <c r="I172" i="12"/>
  <c r="E273" i="49"/>
  <c r="U163" i="40"/>
  <c r="D350" i="40"/>
  <c r="V350" i="40" s="1"/>
  <c r="W136" i="48"/>
  <c r="E346" i="40"/>
  <c r="V95" i="48"/>
  <c r="W95" i="48"/>
  <c r="D306" i="50"/>
  <c r="T306" i="50" s="1"/>
  <c r="U119" i="50"/>
  <c r="U86" i="50"/>
  <c r="D273" i="50"/>
  <c r="T273" i="50" s="1"/>
  <c r="W105" i="40"/>
  <c r="W138" i="48"/>
  <c r="V109" i="40"/>
  <c r="T109" i="40"/>
  <c r="W109" i="40"/>
  <c r="P141" i="12"/>
  <c r="I236" i="12"/>
  <c r="D273" i="49"/>
  <c r="E350" i="40"/>
  <c r="W93" i="48"/>
  <c r="V93" i="48"/>
  <c r="D346" i="40"/>
  <c r="D304" i="50"/>
  <c r="V96" i="48"/>
  <c r="W92" i="48"/>
  <c r="V92" i="48"/>
  <c r="V97" i="48"/>
  <c r="V94" i="48"/>
  <c r="V98" i="48"/>
  <c r="U165" i="40"/>
  <c r="D352" i="40"/>
  <c r="V352" i="40" s="1"/>
  <c r="W104" i="40"/>
  <c r="P76" i="12"/>
  <c r="S76" i="12"/>
  <c r="I241" i="12"/>
  <c r="R241" i="12"/>
  <c r="E275" i="50"/>
  <c r="D274" i="49"/>
  <c r="V274" i="49" s="1"/>
  <c r="U87" i="49"/>
  <c r="E304" i="50"/>
  <c r="E352" i="40"/>
  <c r="W107" i="40"/>
  <c r="T107" i="40"/>
  <c r="V107" i="40"/>
  <c r="D305" i="50"/>
  <c r="D270" i="50"/>
  <c r="D279" i="49"/>
  <c r="P191" i="12"/>
  <c r="E279" i="49"/>
  <c r="P194" i="12"/>
  <c r="S194" i="12"/>
  <c r="E286" i="49"/>
  <c r="E282" i="49"/>
  <c r="M181" i="12"/>
  <c r="N181" i="12"/>
  <c r="D282" i="49"/>
  <c r="U95" i="49"/>
  <c r="U99" i="49"/>
  <c r="D286" i="49"/>
  <c r="M187" i="12"/>
  <c r="N187" i="12"/>
  <c r="D284" i="49"/>
  <c r="U97" i="49"/>
  <c r="P196" i="12"/>
  <c r="S196" i="12"/>
  <c r="E294" i="40"/>
  <c r="D294" i="40"/>
  <c r="U107" i="40"/>
  <c r="E284" i="49"/>
  <c r="Z94" i="49"/>
  <c r="E281" i="49"/>
  <c r="P195" i="12"/>
  <c r="S195" i="12"/>
  <c r="N182" i="12"/>
  <c r="M182" i="12"/>
  <c r="E297" i="40"/>
  <c r="U96" i="49"/>
  <c r="D283" i="49"/>
  <c r="E280" i="49"/>
  <c r="P193" i="12"/>
  <c r="S193" i="12"/>
  <c r="M183" i="12"/>
  <c r="N183" i="12"/>
  <c r="U94" i="49"/>
  <c r="D281" i="49"/>
  <c r="D297" i="40"/>
  <c r="U110" i="40"/>
  <c r="D280" i="49"/>
  <c r="U93" i="49"/>
  <c r="P192" i="12"/>
  <c r="S192" i="12"/>
  <c r="E283" i="49"/>
  <c r="I21" i="12"/>
  <c r="R21" i="12"/>
  <c r="W103" i="40"/>
  <c r="T153" i="48"/>
  <c r="W153" i="48"/>
  <c r="V153" i="48"/>
  <c r="W147" i="48"/>
  <c r="T152" i="48"/>
  <c r="V152" i="48"/>
  <c r="W152" i="48"/>
  <c r="Z97" i="48"/>
  <c r="I22" i="12"/>
  <c r="R22" i="12"/>
  <c r="I20" i="12"/>
  <c r="R20" i="12"/>
  <c r="I18" i="12"/>
  <c r="R18" i="12"/>
  <c r="Z106" i="40"/>
  <c r="I233" i="12"/>
  <c r="I235" i="12"/>
  <c r="H233" i="12"/>
  <c r="I19" i="12"/>
  <c r="R19" i="12"/>
  <c r="V151" i="48"/>
  <c r="T151" i="48"/>
  <c r="W151" i="48"/>
  <c r="V148" i="48"/>
  <c r="T148" i="48"/>
  <c r="W148" i="48"/>
  <c r="I17" i="12"/>
  <c r="R17" i="12"/>
  <c r="I15" i="12"/>
  <c r="H13" i="12"/>
  <c r="I13" i="12"/>
  <c r="I16" i="12"/>
  <c r="R16" i="12"/>
  <c r="W154" i="48"/>
  <c r="V154" i="48"/>
  <c r="T154" i="48"/>
  <c r="T149" i="48"/>
  <c r="W149" i="48"/>
  <c r="V149" i="48"/>
  <c r="V150" i="48"/>
  <c r="W150" i="48"/>
  <c r="T150" i="48"/>
  <c r="P226" i="12"/>
  <c r="S226" i="12"/>
  <c r="F121" i="12"/>
  <c r="G121" i="12"/>
  <c r="F116" i="12"/>
  <c r="G116" i="12"/>
  <c r="I214" i="12"/>
  <c r="R214" i="12"/>
  <c r="G42" i="12"/>
  <c r="F42" i="12"/>
  <c r="F44" i="12"/>
  <c r="G44" i="12"/>
  <c r="M206" i="12"/>
  <c r="N206" i="12"/>
  <c r="P187" i="12"/>
  <c r="S187" i="12"/>
  <c r="P225" i="12"/>
  <c r="S225" i="12"/>
  <c r="P229" i="12"/>
  <c r="S229" i="12"/>
  <c r="I228" i="12"/>
  <c r="R228" i="12"/>
  <c r="M118" i="12"/>
  <c r="N118" i="12"/>
  <c r="M120" i="12"/>
  <c r="N120" i="12"/>
  <c r="P182" i="12"/>
  <c r="P181" i="12"/>
  <c r="N61" i="12"/>
  <c r="M61" i="12"/>
  <c r="N63" i="12"/>
  <c r="M63" i="12"/>
  <c r="F187" i="12"/>
  <c r="G187" i="12"/>
  <c r="G184" i="12"/>
  <c r="F184" i="12"/>
  <c r="I215" i="12"/>
  <c r="R215" i="12"/>
  <c r="I231" i="12"/>
  <c r="R231" i="12"/>
  <c r="I227" i="12"/>
  <c r="R227" i="12"/>
  <c r="F202" i="12"/>
  <c r="T202" i="12"/>
  <c r="G202" i="12"/>
  <c r="U202" i="12"/>
  <c r="F206" i="12"/>
  <c r="G206" i="12"/>
  <c r="N207" i="12"/>
  <c r="M207" i="12"/>
  <c r="G66" i="12"/>
  <c r="F66" i="12"/>
  <c r="G61" i="12"/>
  <c r="F61" i="12"/>
  <c r="N186" i="12"/>
  <c r="M186" i="12"/>
  <c r="G72" i="12"/>
  <c r="F72" i="12"/>
  <c r="G76" i="12"/>
  <c r="F76" i="12"/>
  <c r="D296" i="40"/>
  <c r="U109" i="40"/>
  <c r="E291" i="40"/>
  <c r="E290" i="48"/>
  <c r="D302" i="48"/>
  <c r="U115" i="48"/>
  <c r="E306" i="48"/>
  <c r="D290" i="40"/>
  <c r="U120" i="48"/>
  <c r="D307" i="48"/>
  <c r="E301" i="48"/>
  <c r="V121" i="48"/>
  <c r="T121" i="48"/>
  <c r="W121" i="48"/>
  <c r="D308" i="48"/>
  <c r="U121" i="48"/>
  <c r="E304" i="48"/>
  <c r="T118" i="40"/>
  <c r="W118" i="40"/>
  <c r="V118" i="40"/>
  <c r="P228" i="12"/>
  <c r="S228" i="12"/>
  <c r="P236" i="12"/>
  <c r="F120" i="12"/>
  <c r="G120" i="12"/>
  <c r="G118" i="12"/>
  <c r="F118" i="12"/>
  <c r="T37" i="12"/>
  <c r="U37" i="12"/>
  <c r="F37" i="12"/>
  <c r="G37" i="12"/>
  <c r="F40" i="12"/>
  <c r="G40" i="12"/>
  <c r="P180" i="12"/>
  <c r="I216" i="12"/>
  <c r="R216" i="12"/>
  <c r="M114" i="12"/>
  <c r="N114" i="12"/>
  <c r="M116" i="12"/>
  <c r="N116" i="12"/>
  <c r="N59" i="12"/>
  <c r="M59" i="12"/>
  <c r="P230" i="12"/>
  <c r="S230" i="12"/>
  <c r="G186" i="12"/>
  <c r="F186" i="12"/>
  <c r="U180" i="12"/>
  <c r="G180" i="12"/>
  <c r="F180" i="12"/>
  <c r="T180" i="12"/>
  <c r="F185" i="12"/>
  <c r="G185" i="12"/>
  <c r="I225" i="12"/>
  <c r="R225" i="12"/>
  <c r="I224" i="12"/>
  <c r="H222" i="12"/>
  <c r="I222" i="12"/>
  <c r="G204" i="12"/>
  <c r="F204" i="12"/>
  <c r="G207" i="12"/>
  <c r="F207" i="12"/>
  <c r="M208" i="12"/>
  <c r="N208" i="12"/>
  <c r="N60" i="12"/>
  <c r="M60" i="12"/>
  <c r="P227" i="12"/>
  <c r="S227" i="12"/>
  <c r="G59" i="12"/>
  <c r="U59" i="12"/>
  <c r="F59" i="12"/>
  <c r="T59" i="12"/>
  <c r="G65" i="12"/>
  <c r="F65" i="12"/>
  <c r="I217" i="12"/>
  <c r="R217" i="12"/>
  <c r="I230" i="12"/>
  <c r="R230" i="12"/>
  <c r="M185" i="12"/>
  <c r="N185" i="12"/>
  <c r="G75" i="12"/>
  <c r="F75" i="12"/>
  <c r="F73" i="12"/>
  <c r="G73" i="12"/>
  <c r="P184" i="12"/>
  <c r="S184" i="12"/>
  <c r="E303" i="48"/>
  <c r="E295" i="40"/>
  <c r="E302" i="48"/>
  <c r="V118" i="48"/>
  <c r="T118" i="48"/>
  <c r="W118" i="48"/>
  <c r="D301" i="48"/>
  <c r="V119" i="40"/>
  <c r="W119" i="40"/>
  <c r="T119" i="40"/>
  <c r="W114" i="48"/>
  <c r="E308" i="48"/>
  <c r="V120" i="40"/>
  <c r="T120" i="40"/>
  <c r="W120" i="40"/>
  <c r="W120" i="48"/>
  <c r="T120" i="48"/>
  <c r="V120" i="48"/>
  <c r="G117" i="12"/>
  <c r="F117" i="12"/>
  <c r="U114" i="12"/>
  <c r="F114" i="12"/>
  <c r="G114" i="12"/>
  <c r="T114" i="12"/>
  <c r="G41" i="12"/>
  <c r="F41" i="12"/>
  <c r="G39" i="12"/>
  <c r="F39" i="12"/>
  <c r="N202" i="12"/>
  <c r="M202" i="12"/>
  <c r="M115" i="12"/>
  <c r="N115" i="12"/>
  <c r="N119" i="12"/>
  <c r="M119" i="12"/>
  <c r="M64" i="12"/>
  <c r="N64" i="12"/>
  <c r="M66" i="12"/>
  <c r="N66" i="12"/>
  <c r="P224" i="12"/>
  <c r="G183" i="12"/>
  <c r="F183" i="12"/>
  <c r="G181" i="12"/>
  <c r="F181" i="12"/>
  <c r="G209" i="12"/>
  <c r="F209" i="12"/>
  <c r="F203" i="12"/>
  <c r="G203" i="12"/>
  <c r="F208" i="12"/>
  <c r="G208" i="12"/>
  <c r="M204" i="12"/>
  <c r="N204" i="12"/>
  <c r="P231" i="12"/>
  <c r="S231" i="12"/>
  <c r="G60" i="12"/>
  <c r="F60" i="12"/>
  <c r="F62" i="12"/>
  <c r="G62" i="12"/>
  <c r="G71" i="12"/>
  <c r="F71" i="12"/>
  <c r="G70" i="12"/>
  <c r="F70" i="12"/>
  <c r="T70" i="12"/>
  <c r="U70" i="12"/>
  <c r="E296" i="40"/>
  <c r="U118" i="48"/>
  <c r="D305" i="48"/>
  <c r="D303" i="48"/>
  <c r="U116" i="48"/>
  <c r="U108" i="40"/>
  <c r="D295" i="40"/>
  <c r="W116" i="48"/>
  <c r="V116" i="48"/>
  <c r="T116" i="48"/>
  <c r="D282" i="50"/>
  <c r="E307" i="48"/>
  <c r="W115" i="48"/>
  <c r="T115" i="48"/>
  <c r="V115" i="48"/>
  <c r="T117" i="48"/>
  <c r="V117" i="48"/>
  <c r="W117" i="48"/>
  <c r="P241" i="12"/>
  <c r="S241" i="12"/>
  <c r="P240" i="12"/>
  <c r="S240" i="12"/>
  <c r="F119" i="12"/>
  <c r="G119" i="12"/>
  <c r="F115" i="12"/>
  <c r="G115" i="12"/>
  <c r="G43" i="12"/>
  <c r="F43" i="12"/>
  <c r="G38" i="12"/>
  <c r="F38" i="12"/>
  <c r="I226" i="12"/>
  <c r="R226" i="12"/>
  <c r="P205" i="12"/>
  <c r="P183" i="12"/>
  <c r="S183" i="12"/>
  <c r="I213" i="12"/>
  <c r="I211" i="12"/>
  <c r="H211" i="12"/>
  <c r="I229" i="12"/>
  <c r="R229" i="12"/>
  <c r="N203" i="12"/>
  <c r="M203" i="12"/>
  <c r="M117" i="12"/>
  <c r="N117" i="12"/>
  <c r="M121" i="12"/>
  <c r="N121" i="12"/>
  <c r="M62" i="12"/>
  <c r="N62" i="12"/>
  <c r="M65" i="12"/>
  <c r="N65" i="12"/>
  <c r="G182" i="12"/>
  <c r="F182" i="12"/>
  <c r="I218" i="12"/>
  <c r="R218" i="12"/>
  <c r="G205" i="12"/>
  <c r="F205" i="12"/>
  <c r="F63" i="12"/>
  <c r="G63" i="12"/>
  <c r="F64" i="12"/>
  <c r="G64" i="12"/>
  <c r="I220" i="12"/>
  <c r="R220" i="12"/>
  <c r="I219" i="12"/>
  <c r="R219" i="12"/>
  <c r="M209" i="12"/>
  <c r="N209" i="12"/>
  <c r="F74" i="12"/>
  <c r="G74" i="12"/>
  <c r="F77" i="12"/>
  <c r="G77" i="12"/>
  <c r="E305" i="48"/>
  <c r="D291" i="40"/>
  <c r="T115" i="40"/>
  <c r="W115" i="40"/>
  <c r="V115" i="40"/>
  <c r="E282" i="50"/>
  <c r="D290" i="48"/>
  <c r="U119" i="48"/>
  <c r="D306" i="48"/>
  <c r="W114" i="40"/>
  <c r="V117" i="40"/>
  <c r="W117" i="40"/>
  <c r="T117" i="40"/>
  <c r="W119" i="48"/>
  <c r="T119" i="48"/>
  <c r="V119" i="48"/>
  <c r="E290" i="40"/>
  <c r="T116" i="40"/>
  <c r="W116" i="40"/>
  <c r="V116" i="40"/>
  <c r="D304" i="48"/>
  <c r="U117" i="48"/>
  <c r="T121" i="40"/>
  <c r="V121" i="40"/>
  <c r="W121" i="40"/>
  <c r="AU73" i="14"/>
  <c r="AT73" i="14" s="1"/>
  <c r="J92" i="14" s="1"/>
  <c r="AU84" i="14"/>
  <c r="AT84" i="14" s="1"/>
  <c r="J93" i="14" s="1"/>
  <c r="F354" i="6"/>
  <c r="H354" i="6"/>
  <c r="G354" i="6"/>
  <c r="H349" i="6"/>
  <c r="F349" i="6"/>
  <c r="G349" i="6"/>
  <c r="H128" i="6"/>
  <c r="F128" i="6"/>
  <c r="G128" i="6"/>
  <c r="H130" i="6"/>
  <c r="G130" i="6"/>
  <c r="F130" i="6"/>
  <c r="N95" i="14"/>
  <c r="T95" i="14"/>
  <c r="Z95" i="14"/>
  <c r="AQ76" i="14"/>
  <c r="AP76" i="14" s="1"/>
  <c r="D94" i="14" s="1"/>
  <c r="AQ78" i="14"/>
  <c r="AP78" i="14" s="1"/>
  <c r="D95" i="14" s="1"/>
  <c r="L351" i="6"/>
  <c r="P351" i="6"/>
  <c r="T351" i="6"/>
  <c r="L353" i="6"/>
  <c r="P353" i="6"/>
  <c r="T353" i="6"/>
  <c r="P189" i="6"/>
  <c r="T189" i="6"/>
  <c r="L189" i="6"/>
  <c r="T191" i="6"/>
  <c r="L191" i="6"/>
  <c r="P191" i="6"/>
  <c r="G34" i="14"/>
  <c r="F34" i="14"/>
  <c r="H34" i="14"/>
  <c r="F31" i="14"/>
  <c r="G31" i="14"/>
  <c r="H31" i="14"/>
  <c r="H91" i="14"/>
  <c r="F91" i="14"/>
  <c r="G91" i="14"/>
  <c r="H95" i="14"/>
  <c r="G95" i="14"/>
  <c r="F95" i="14"/>
  <c r="N96" i="14"/>
  <c r="T96" i="14"/>
  <c r="Z96" i="14"/>
  <c r="H194" i="6"/>
  <c r="G194" i="6"/>
  <c r="F194" i="6"/>
  <c r="H189" i="6"/>
  <c r="F189" i="6"/>
  <c r="G189" i="6"/>
  <c r="Z33" i="14"/>
  <c r="T33" i="14"/>
  <c r="N33" i="14"/>
  <c r="H221" i="6"/>
  <c r="F221" i="6"/>
  <c r="G221" i="6"/>
  <c r="G225" i="6"/>
  <c r="H225" i="6"/>
  <c r="F225" i="6"/>
  <c r="T339" i="40"/>
  <c r="V339" i="40"/>
  <c r="T337" i="40"/>
  <c r="V337" i="40"/>
  <c r="T338" i="40"/>
  <c r="V338" i="40"/>
  <c r="T305" i="40"/>
  <c r="V305" i="40"/>
  <c r="T304" i="40"/>
  <c r="V304" i="40"/>
  <c r="N22" i="54"/>
  <c r="V22" i="54" s="1"/>
  <c r="H353" i="6"/>
  <c r="F353" i="6"/>
  <c r="G353" i="6"/>
  <c r="G351" i="6"/>
  <c r="F351" i="6"/>
  <c r="H351" i="6"/>
  <c r="F123" i="6"/>
  <c r="G123" i="6"/>
  <c r="H123" i="6"/>
  <c r="G126" i="6"/>
  <c r="H126" i="6"/>
  <c r="F126" i="6"/>
  <c r="P347" i="6"/>
  <c r="L347" i="6"/>
  <c r="T347" i="6"/>
  <c r="T349" i="6"/>
  <c r="P349" i="6"/>
  <c r="L349" i="6"/>
  <c r="P187" i="6"/>
  <c r="T187" i="6"/>
  <c r="L187" i="6"/>
  <c r="G33" i="14"/>
  <c r="F33" i="14"/>
  <c r="H33" i="14"/>
  <c r="H27" i="14"/>
  <c r="G27" i="14"/>
  <c r="F27" i="14"/>
  <c r="H32" i="14"/>
  <c r="F32" i="14"/>
  <c r="G32" i="14"/>
  <c r="G93" i="14"/>
  <c r="H93" i="14"/>
  <c r="F93" i="14"/>
  <c r="F96" i="14"/>
  <c r="G96" i="14"/>
  <c r="H96" i="14"/>
  <c r="Z97" i="14"/>
  <c r="T97" i="14"/>
  <c r="N97" i="14"/>
  <c r="T188" i="6"/>
  <c r="P188" i="6"/>
  <c r="L188" i="6"/>
  <c r="H187" i="6"/>
  <c r="G187" i="6"/>
  <c r="F187" i="6"/>
  <c r="G193" i="6"/>
  <c r="F193" i="6"/>
  <c r="H193" i="6"/>
  <c r="T32" i="14"/>
  <c r="N32" i="14"/>
  <c r="Z32" i="14"/>
  <c r="F224" i="6"/>
  <c r="G224" i="6"/>
  <c r="H224" i="6"/>
  <c r="H222" i="6"/>
  <c r="F222" i="6"/>
  <c r="G222" i="6"/>
  <c r="V306" i="40"/>
  <c r="T306" i="40"/>
  <c r="T308" i="40"/>
  <c r="V308" i="40"/>
  <c r="T336" i="40"/>
  <c r="V336" i="40"/>
  <c r="G350" i="6"/>
  <c r="H350" i="6"/>
  <c r="F350" i="6"/>
  <c r="H347" i="6"/>
  <c r="F347" i="6"/>
  <c r="G347" i="6"/>
  <c r="G127" i="6"/>
  <c r="F127" i="6"/>
  <c r="H127" i="6"/>
  <c r="F125" i="6"/>
  <c r="G125" i="6"/>
  <c r="H125" i="6"/>
  <c r="N91" i="14"/>
  <c r="T91" i="14"/>
  <c r="Z91" i="14"/>
  <c r="T348" i="6"/>
  <c r="L348" i="6"/>
  <c r="P348" i="6"/>
  <c r="P352" i="6"/>
  <c r="T352" i="6"/>
  <c r="L352" i="6"/>
  <c r="T192" i="6"/>
  <c r="P192" i="6"/>
  <c r="L192" i="6"/>
  <c r="P194" i="6"/>
  <c r="T194" i="6"/>
  <c r="L194" i="6"/>
  <c r="G30" i="14"/>
  <c r="H30" i="14"/>
  <c r="F30" i="14"/>
  <c r="G28" i="14"/>
  <c r="F28" i="14"/>
  <c r="H28" i="14"/>
  <c r="G98" i="14"/>
  <c r="H98" i="14"/>
  <c r="F98" i="14"/>
  <c r="G92" i="14"/>
  <c r="H92" i="14"/>
  <c r="F92" i="14"/>
  <c r="F97" i="14"/>
  <c r="G97" i="14"/>
  <c r="H97" i="14"/>
  <c r="Z93" i="14"/>
  <c r="T93" i="14"/>
  <c r="N93" i="14"/>
  <c r="H188" i="6"/>
  <c r="F188" i="6"/>
  <c r="G188" i="6"/>
  <c r="G190" i="6"/>
  <c r="F190" i="6"/>
  <c r="H190" i="6"/>
  <c r="F220" i="6"/>
  <c r="H220" i="6"/>
  <c r="G220" i="6"/>
  <c r="F219" i="6"/>
  <c r="G219" i="6"/>
  <c r="H219" i="6"/>
  <c r="T340" i="40"/>
  <c r="V340" i="40"/>
  <c r="T302" i="40"/>
  <c r="V302" i="40"/>
  <c r="V341" i="40"/>
  <c r="T341" i="40"/>
  <c r="T307" i="40"/>
  <c r="V307" i="40"/>
  <c r="F352" i="6"/>
  <c r="H352" i="6"/>
  <c r="G352" i="6"/>
  <c r="G348" i="6"/>
  <c r="H348" i="6"/>
  <c r="F348" i="6"/>
  <c r="F129" i="6"/>
  <c r="H129" i="6"/>
  <c r="G129" i="6"/>
  <c r="G124" i="6"/>
  <c r="H124" i="6"/>
  <c r="F124" i="6"/>
  <c r="N92" i="14"/>
  <c r="Z92" i="14"/>
  <c r="T92" i="14"/>
  <c r="L350" i="6"/>
  <c r="T350" i="6"/>
  <c r="P350" i="6"/>
  <c r="T354" i="6"/>
  <c r="P354" i="6"/>
  <c r="L354" i="6"/>
  <c r="P190" i="6"/>
  <c r="T190" i="6"/>
  <c r="L190" i="6"/>
  <c r="T193" i="6"/>
  <c r="P193" i="6"/>
  <c r="L193" i="6"/>
  <c r="F29" i="14"/>
  <c r="G29" i="14"/>
  <c r="H29" i="14"/>
  <c r="F94" i="14"/>
  <c r="G94" i="14"/>
  <c r="H94" i="14"/>
  <c r="H191" i="6"/>
  <c r="F191" i="6"/>
  <c r="G191" i="6"/>
  <c r="G192" i="6"/>
  <c r="F192" i="6"/>
  <c r="H192" i="6"/>
  <c r="Z98" i="14"/>
  <c r="N98" i="14"/>
  <c r="T98" i="14"/>
  <c r="G223" i="6"/>
  <c r="F223" i="6"/>
  <c r="H223" i="6"/>
  <c r="H226" i="6"/>
  <c r="G226" i="6"/>
  <c r="F226" i="6"/>
  <c r="T334" i="40"/>
  <c r="V334" i="40"/>
  <c r="V303" i="40"/>
  <c r="T303" i="40"/>
  <c r="V301" i="40"/>
  <c r="T301" i="40"/>
  <c r="V335" i="40"/>
  <c r="T335" i="40"/>
  <c r="E323" i="40"/>
  <c r="E328" i="40"/>
  <c r="E330" i="40"/>
  <c r="D323" i="40"/>
  <c r="P42" i="12"/>
  <c r="S42" i="12"/>
  <c r="P44" i="12"/>
  <c r="S44" i="12"/>
  <c r="U141" i="40"/>
  <c r="D328" i="40"/>
  <c r="U143" i="40"/>
  <c r="D330" i="40"/>
  <c r="E324" i="40"/>
  <c r="P173" i="12"/>
  <c r="D326" i="40"/>
  <c r="U139" i="40"/>
  <c r="P40" i="12"/>
  <c r="S40" i="12"/>
  <c r="P38" i="12"/>
  <c r="S38" i="12"/>
  <c r="E326" i="40"/>
  <c r="D324" i="40"/>
  <c r="U137" i="40"/>
  <c r="U140" i="40"/>
  <c r="D327" i="40"/>
  <c r="U142" i="40"/>
  <c r="D329" i="40"/>
  <c r="V329" i="40" s="1"/>
  <c r="E285" i="40"/>
  <c r="E327" i="40"/>
  <c r="E329" i="40"/>
  <c r="D285" i="40"/>
  <c r="P176" i="12"/>
  <c r="S176" i="12"/>
  <c r="E282" i="40"/>
  <c r="D282" i="40"/>
  <c r="I175" i="12"/>
  <c r="I173" i="12"/>
  <c r="D295" i="50"/>
  <c r="U108" i="50"/>
  <c r="E295" i="50"/>
  <c r="V325" i="40"/>
  <c r="T325" i="40"/>
  <c r="I196" i="12"/>
  <c r="R196" i="12"/>
  <c r="I197" i="12"/>
  <c r="R197" i="12"/>
  <c r="I195" i="12"/>
  <c r="R195" i="12"/>
  <c r="W92" i="49"/>
  <c r="T97" i="49"/>
  <c r="V97" i="49"/>
  <c r="W97" i="49"/>
  <c r="V99" i="49"/>
  <c r="W99" i="49"/>
  <c r="T99" i="49"/>
  <c r="I194" i="12"/>
  <c r="W93" i="49"/>
  <c r="D279" i="40"/>
  <c r="I191" i="12"/>
  <c r="H189" i="12"/>
  <c r="I189" i="12"/>
  <c r="E279" i="40"/>
  <c r="V96" i="49"/>
  <c r="T96" i="49"/>
  <c r="W96" i="49"/>
  <c r="Z110" i="40"/>
  <c r="I192" i="12"/>
  <c r="I198" i="12"/>
  <c r="R198" i="12"/>
  <c r="W98" i="49"/>
  <c r="T98" i="49"/>
  <c r="V98" i="49"/>
  <c r="W95" i="49"/>
  <c r="Z107" i="40"/>
  <c r="Z152" i="40"/>
  <c r="Z150" i="40"/>
  <c r="Z151" i="40"/>
  <c r="W93" i="40"/>
  <c r="V93" i="40"/>
  <c r="Z149" i="40"/>
  <c r="Z154" i="40"/>
  <c r="Z145" i="40"/>
  <c r="I171" i="12"/>
  <c r="Z147" i="40"/>
  <c r="W97" i="40"/>
  <c r="I174" i="12"/>
  <c r="Z148" i="40"/>
  <c r="W98" i="40"/>
  <c r="Z153" i="40"/>
  <c r="V306" i="50"/>
  <c r="Z93" i="40"/>
  <c r="T349" i="48"/>
  <c r="V349" i="48"/>
  <c r="V352" i="48"/>
  <c r="T352" i="48"/>
  <c r="T351" i="48"/>
  <c r="V351" i="48"/>
  <c r="T350" i="48"/>
  <c r="V350" i="48"/>
  <c r="Z159" i="48"/>
  <c r="Z160" i="48"/>
  <c r="Z163" i="48"/>
  <c r="Z162" i="48"/>
  <c r="Z165" i="48"/>
  <c r="Z158" i="48"/>
  <c r="Z164" i="48"/>
  <c r="Z156" i="48"/>
  <c r="Z161" i="48"/>
  <c r="Z93" i="48"/>
  <c r="V273" i="50"/>
  <c r="Z98" i="48"/>
  <c r="T352" i="40"/>
  <c r="T350" i="40"/>
  <c r="Z90" i="48"/>
  <c r="Z92" i="48"/>
  <c r="Z96" i="48"/>
  <c r="T30" i="48"/>
  <c r="T55" i="48"/>
  <c r="Z138" i="48"/>
  <c r="T54" i="48"/>
  <c r="T53" i="48"/>
  <c r="T85" i="40"/>
  <c r="U42" i="50"/>
  <c r="T229" i="50"/>
  <c r="T274" i="49"/>
  <c r="T73" i="49"/>
  <c r="M99" i="40"/>
  <c r="S191" i="12"/>
  <c r="J94" i="48"/>
  <c r="S70" i="12"/>
  <c r="K99" i="48"/>
  <c r="B109" i="48"/>
  <c r="K98" i="48"/>
  <c r="D96" i="40"/>
  <c r="B108" i="48"/>
  <c r="L96" i="48"/>
  <c r="L110" i="50"/>
  <c r="N119" i="50"/>
  <c r="D95" i="40"/>
  <c r="O32" i="12"/>
  <c r="O170" i="12"/>
  <c r="N92" i="40"/>
  <c r="O162" i="12"/>
  <c r="L136" i="48"/>
  <c r="E83" i="49"/>
  <c r="H104" i="12"/>
  <c r="D119" i="49"/>
  <c r="E84" i="49"/>
  <c r="H126" i="12"/>
  <c r="N93" i="49"/>
  <c r="D131" i="48"/>
  <c r="C130" i="40"/>
  <c r="M118" i="48"/>
  <c r="E105" i="48"/>
  <c r="R147" i="40"/>
  <c r="H38" i="12"/>
  <c r="S169" i="12"/>
  <c r="K94" i="48"/>
  <c r="L106" i="50"/>
  <c r="D99" i="40"/>
  <c r="M115" i="50"/>
  <c r="M137" i="40"/>
  <c r="L98" i="48"/>
  <c r="C94" i="40"/>
  <c r="L109" i="50"/>
  <c r="B106" i="48"/>
  <c r="N114" i="50"/>
  <c r="R172" i="12"/>
  <c r="O149" i="12"/>
  <c r="H176" i="12"/>
  <c r="H55" i="12"/>
  <c r="O151" i="12"/>
  <c r="K82" i="49"/>
  <c r="K85" i="49"/>
  <c r="E139" i="48"/>
  <c r="D87" i="50"/>
  <c r="D87" i="49"/>
  <c r="K121" i="49"/>
  <c r="H138" i="12"/>
  <c r="O92" i="12"/>
  <c r="L140" i="48"/>
  <c r="E119" i="50"/>
  <c r="D110" i="50"/>
  <c r="H132" i="12"/>
  <c r="E86" i="50"/>
  <c r="L104" i="49"/>
  <c r="D117" i="50"/>
  <c r="H129" i="12"/>
  <c r="E107" i="50"/>
  <c r="K143" i="48"/>
  <c r="E117" i="50"/>
  <c r="H158" i="12"/>
  <c r="O105" i="12"/>
  <c r="G104" i="40"/>
  <c r="K105" i="48"/>
  <c r="G145" i="48"/>
  <c r="L129" i="40"/>
  <c r="E129" i="48"/>
  <c r="N117" i="48"/>
  <c r="C126" i="40"/>
  <c r="G121" i="40"/>
  <c r="H37" i="12"/>
  <c r="H205" i="12"/>
  <c r="E132" i="48"/>
  <c r="N104" i="40"/>
  <c r="C94" i="50"/>
  <c r="D140" i="40"/>
  <c r="C159" i="40"/>
  <c r="D129" i="40"/>
  <c r="H61" i="12"/>
  <c r="N139" i="40"/>
  <c r="L131" i="48"/>
  <c r="N118" i="48"/>
  <c r="C125" i="40"/>
  <c r="D99" i="50"/>
  <c r="L93" i="50"/>
  <c r="O61" i="12"/>
  <c r="O121" i="12"/>
  <c r="G118" i="48"/>
  <c r="R92" i="48"/>
  <c r="G120" i="48"/>
  <c r="L94" i="50"/>
  <c r="H121" i="12"/>
  <c r="H41" i="12"/>
  <c r="F136" i="40"/>
  <c r="F127" i="40"/>
  <c r="F121" i="50"/>
  <c r="E105" i="50"/>
  <c r="O49" i="12"/>
  <c r="F99" i="40"/>
  <c r="L94" i="48"/>
  <c r="K106" i="50"/>
  <c r="N115" i="50"/>
  <c r="S172" i="12"/>
  <c r="B94" i="50"/>
  <c r="D94" i="40"/>
  <c r="K109" i="50"/>
  <c r="R149" i="12"/>
  <c r="S125" i="12"/>
  <c r="K93" i="40"/>
  <c r="E95" i="40"/>
  <c r="L85" i="49"/>
  <c r="O137" i="12"/>
  <c r="H53" i="12"/>
  <c r="E109" i="50"/>
  <c r="L143" i="48"/>
  <c r="L116" i="49"/>
  <c r="H27" i="12"/>
  <c r="D85" i="49"/>
  <c r="K139" i="48"/>
  <c r="E83" i="50"/>
  <c r="D105" i="50"/>
  <c r="H31" i="12"/>
  <c r="D107" i="50"/>
  <c r="D84" i="49"/>
  <c r="E88" i="50"/>
  <c r="H159" i="12"/>
  <c r="L109" i="49"/>
  <c r="K141" i="48"/>
  <c r="D88" i="50"/>
  <c r="H97" i="12"/>
  <c r="H127" i="12"/>
  <c r="G109" i="40"/>
  <c r="L106" i="48"/>
  <c r="G101" i="40"/>
  <c r="E110" i="48"/>
  <c r="D139" i="40"/>
  <c r="E131" i="40"/>
  <c r="C128" i="40"/>
  <c r="J99" i="50"/>
  <c r="H180" i="12"/>
  <c r="H74" i="12"/>
  <c r="E141" i="40"/>
  <c r="E131" i="48"/>
  <c r="E97" i="50"/>
  <c r="J126" i="48"/>
  <c r="E158" i="40"/>
  <c r="D130" i="40"/>
  <c r="H118" i="12"/>
  <c r="N143" i="40"/>
  <c r="S182" i="12"/>
  <c r="S236" i="12"/>
  <c r="F120" i="48"/>
  <c r="K94" i="50"/>
  <c r="L128" i="48"/>
  <c r="H66" i="12"/>
  <c r="O62" i="12"/>
  <c r="L129" i="48"/>
  <c r="C131" i="48"/>
  <c r="L108" i="48"/>
  <c r="D159" i="40"/>
  <c r="H44" i="12"/>
  <c r="H183" i="12"/>
  <c r="F129" i="48"/>
  <c r="F118" i="50"/>
  <c r="F116" i="50"/>
  <c r="D119" i="50"/>
  <c r="L117" i="49"/>
  <c r="K104" i="48"/>
  <c r="G92" i="40"/>
  <c r="E99" i="40"/>
  <c r="S126" i="12"/>
  <c r="N95" i="40"/>
  <c r="R150" i="12"/>
  <c r="I103" i="48"/>
  <c r="E94" i="40"/>
  <c r="L120" i="50"/>
  <c r="I109" i="48"/>
  <c r="L82" i="50"/>
  <c r="L93" i="40"/>
  <c r="E137" i="48"/>
  <c r="O28" i="12"/>
  <c r="O132" i="12"/>
  <c r="H52" i="12"/>
  <c r="O143" i="12"/>
  <c r="O136" i="12"/>
  <c r="O161" i="12"/>
  <c r="E106" i="49"/>
  <c r="L114" i="49"/>
  <c r="D116" i="50"/>
  <c r="H98" i="12"/>
  <c r="L142" i="48"/>
  <c r="D116" i="49"/>
  <c r="E103" i="50"/>
  <c r="E110" i="49"/>
  <c r="H94" i="12"/>
  <c r="K109" i="49"/>
  <c r="L141" i="48"/>
  <c r="E110" i="50"/>
  <c r="H29" i="12"/>
  <c r="E86" i="49"/>
  <c r="K114" i="49"/>
  <c r="D104" i="49"/>
  <c r="O93" i="12"/>
  <c r="H28" i="12"/>
  <c r="N92" i="49"/>
  <c r="N96" i="49"/>
  <c r="G148" i="48"/>
  <c r="D107" i="48"/>
  <c r="N103" i="48"/>
  <c r="G118" i="40"/>
  <c r="B104" i="48"/>
  <c r="C162" i="40"/>
  <c r="O208" i="12"/>
  <c r="N96" i="40"/>
  <c r="E143" i="40"/>
  <c r="D129" i="48"/>
  <c r="L98" i="50"/>
  <c r="J130" i="48"/>
  <c r="R191" i="12"/>
  <c r="K99" i="50"/>
  <c r="H75" i="12"/>
  <c r="G97" i="49"/>
  <c r="K127" i="40"/>
  <c r="E136" i="40"/>
  <c r="K108" i="48"/>
  <c r="N121" i="48"/>
  <c r="K131" i="40"/>
  <c r="H40" i="12"/>
  <c r="H64" i="12"/>
  <c r="N104" i="48"/>
  <c r="C129" i="48"/>
  <c r="N107" i="48"/>
  <c r="N109" i="40"/>
  <c r="H72" i="12"/>
  <c r="H181" i="12"/>
  <c r="F163" i="40"/>
  <c r="F106" i="48"/>
  <c r="F108" i="50"/>
  <c r="G121" i="48"/>
  <c r="N115" i="48"/>
  <c r="K126" i="40"/>
  <c r="N108" i="40"/>
  <c r="O202" i="12"/>
  <c r="C107" i="48"/>
  <c r="D126" i="40"/>
  <c r="O114" i="12"/>
  <c r="M125" i="48" s="1"/>
  <c r="D110" i="48"/>
  <c r="D130" i="48"/>
  <c r="H71" i="12"/>
  <c r="M92" i="50"/>
  <c r="F104" i="48"/>
  <c r="F82" i="50"/>
  <c r="F115" i="50"/>
  <c r="E82" i="50"/>
  <c r="K140" i="48"/>
  <c r="L105" i="49"/>
  <c r="O53" i="12"/>
  <c r="D132" i="48"/>
  <c r="M96" i="40"/>
  <c r="G90" i="40"/>
  <c r="L99" i="40"/>
  <c r="K107" i="50"/>
  <c r="R235" i="12"/>
  <c r="F136" i="48"/>
  <c r="J95" i="48"/>
  <c r="K93" i="48"/>
  <c r="N98" i="40"/>
  <c r="K120" i="50"/>
  <c r="B107" i="48"/>
  <c r="O27" i="12"/>
  <c r="O152" i="12"/>
  <c r="H49" i="12"/>
  <c r="O140" i="12"/>
  <c r="K87" i="50"/>
  <c r="K84" i="50"/>
  <c r="D103" i="49"/>
  <c r="D115" i="49"/>
  <c r="E84" i="50"/>
  <c r="O55" i="12"/>
  <c r="K120" i="49"/>
  <c r="D115" i="50"/>
  <c r="E107" i="49"/>
  <c r="K105" i="49"/>
  <c r="H128" i="12"/>
  <c r="D83" i="49"/>
  <c r="K115" i="49"/>
  <c r="E104" i="49"/>
  <c r="H139" i="12"/>
  <c r="K119" i="49"/>
  <c r="E115" i="49"/>
  <c r="L103" i="49"/>
  <c r="H142" i="12"/>
  <c r="N161" i="40"/>
  <c r="N95" i="49"/>
  <c r="N94" i="49"/>
  <c r="R194" i="12"/>
  <c r="J125" i="48"/>
  <c r="D161" i="40"/>
  <c r="E130" i="48"/>
  <c r="K203" i="12"/>
  <c r="H117" i="12"/>
  <c r="F128" i="48" s="1"/>
  <c r="G96" i="40"/>
  <c r="D136" i="40"/>
  <c r="J130" i="40"/>
  <c r="D162" i="40"/>
  <c r="G96" i="49"/>
  <c r="G117" i="40"/>
  <c r="D163" i="40"/>
  <c r="D105" i="48"/>
  <c r="N137" i="40"/>
  <c r="M103" i="48"/>
  <c r="S173" i="12"/>
  <c r="H76" i="12"/>
  <c r="F105" i="50"/>
  <c r="L106" i="49"/>
  <c r="H93" i="12"/>
  <c r="H106" i="12"/>
  <c r="G99" i="48"/>
  <c r="R169" i="12"/>
  <c r="R92" i="40" s="1"/>
  <c r="K99" i="40"/>
  <c r="L107" i="50"/>
  <c r="L105" i="50"/>
  <c r="D142" i="48"/>
  <c r="G134" i="48"/>
  <c r="E143" i="48"/>
  <c r="L95" i="48"/>
  <c r="L93" i="48"/>
  <c r="S175" i="12"/>
  <c r="I99" i="50"/>
  <c r="K82" i="50"/>
  <c r="N86" i="50"/>
  <c r="D137" i="48"/>
  <c r="O29" i="12"/>
  <c r="H54" i="12"/>
  <c r="O33" i="12"/>
  <c r="L82" i="49"/>
  <c r="E141" i="48"/>
  <c r="D139" i="48"/>
  <c r="D86" i="49"/>
  <c r="O103" i="12"/>
  <c r="D121" i="49"/>
  <c r="H140" i="12"/>
  <c r="D117" i="49"/>
  <c r="D85" i="50"/>
  <c r="G154" i="48"/>
  <c r="F96" i="40"/>
  <c r="M163" i="40"/>
  <c r="N108" i="50"/>
  <c r="K92" i="48"/>
  <c r="E142" i="48"/>
  <c r="D143" i="48"/>
  <c r="K95" i="48"/>
  <c r="J97" i="48"/>
  <c r="K164" i="40"/>
  <c r="I106" i="48"/>
  <c r="B99" i="50"/>
  <c r="S128" i="12"/>
  <c r="O131" i="12"/>
  <c r="L81" i="49"/>
  <c r="L84" i="50"/>
  <c r="K85" i="50"/>
  <c r="L139" i="48"/>
  <c r="E85" i="50"/>
  <c r="D110" i="49"/>
  <c r="H130" i="12"/>
  <c r="F119" i="50" s="1"/>
  <c r="E120" i="50"/>
  <c r="D81" i="50"/>
  <c r="D88" i="49"/>
  <c r="H164" i="12"/>
  <c r="H99" i="12"/>
  <c r="K117" i="49"/>
  <c r="E121" i="50"/>
  <c r="O109" i="12"/>
  <c r="M120" i="49" s="1"/>
  <c r="H162" i="12"/>
  <c r="E120" i="49"/>
  <c r="D108" i="50"/>
  <c r="H110" i="12"/>
  <c r="H160" i="12"/>
  <c r="N159" i="40"/>
  <c r="L104" i="48"/>
  <c r="G150" i="48"/>
  <c r="E127" i="48"/>
  <c r="E96" i="50"/>
  <c r="J125" i="40"/>
  <c r="E128" i="48"/>
  <c r="F116" i="48"/>
  <c r="O206" i="12"/>
  <c r="O66" i="12"/>
  <c r="G95" i="49"/>
  <c r="K131" i="48"/>
  <c r="S180" i="12"/>
  <c r="D131" i="40"/>
  <c r="S224" i="12"/>
  <c r="E137" i="40"/>
  <c r="K204" i="12"/>
  <c r="O204" i="12"/>
  <c r="R158" i="48"/>
  <c r="G117" i="48"/>
  <c r="L127" i="48"/>
  <c r="L92" i="50"/>
  <c r="E159" i="40"/>
  <c r="E129" i="40"/>
  <c r="O185" i="12"/>
  <c r="M108" i="48" s="1"/>
  <c r="G98" i="49"/>
  <c r="E92" i="50"/>
  <c r="G115" i="48"/>
  <c r="K92" i="50"/>
  <c r="N95" i="50"/>
  <c r="O59" i="12"/>
  <c r="H43" i="12"/>
  <c r="M94" i="50"/>
  <c r="M132" i="48"/>
  <c r="F83" i="49"/>
  <c r="F106" i="50"/>
  <c r="M137" i="48"/>
  <c r="F81" i="50"/>
  <c r="M82" i="49"/>
  <c r="M96" i="48"/>
  <c r="N163" i="40"/>
  <c r="L92" i="48"/>
  <c r="K105" i="50"/>
  <c r="J103" i="50"/>
  <c r="R48" i="12"/>
  <c r="I92" i="50"/>
  <c r="K97" i="48"/>
  <c r="L164" i="40"/>
  <c r="D140" i="48"/>
  <c r="S141" i="12"/>
  <c r="N83" i="50"/>
  <c r="N117" i="50"/>
  <c r="O30" i="12"/>
  <c r="O26" i="12"/>
  <c r="O159" i="12"/>
  <c r="L162" i="40"/>
  <c r="L84" i="49"/>
  <c r="L85" i="50"/>
  <c r="E85" i="49"/>
  <c r="L119" i="49"/>
  <c r="E108" i="50"/>
  <c r="K103" i="49"/>
  <c r="O95" i="12"/>
  <c r="E114" i="50"/>
  <c r="D106" i="50"/>
  <c r="K138" i="48"/>
  <c r="H163" i="12"/>
  <c r="O94" i="12"/>
  <c r="D120" i="49"/>
  <c r="D83" i="50"/>
  <c r="H125" i="12"/>
  <c r="O48" i="12"/>
  <c r="D118" i="50"/>
  <c r="D105" i="49"/>
  <c r="H131" i="12"/>
  <c r="H26" i="12"/>
  <c r="G95" i="40"/>
  <c r="K110" i="48"/>
  <c r="G103" i="40"/>
  <c r="C141" i="40"/>
  <c r="E127" i="40"/>
  <c r="M120" i="48"/>
  <c r="D125" i="48"/>
  <c r="S205" i="12"/>
  <c r="O120" i="12"/>
  <c r="H203" i="12"/>
  <c r="N141" i="40"/>
  <c r="N105" i="48"/>
  <c r="K125" i="48"/>
  <c r="J108" i="48"/>
  <c r="C104" i="48"/>
  <c r="G116" i="48"/>
  <c r="H116" i="12"/>
  <c r="H62" i="12"/>
  <c r="N116" i="48"/>
  <c r="C96" i="50"/>
  <c r="K125" i="40"/>
  <c r="K126" i="48"/>
  <c r="D158" i="40"/>
  <c r="E130" i="40"/>
  <c r="H73" i="12"/>
  <c r="G99" i="49"/>
  <c r="D96" i="50"/>
  <c r="G112" i="48"/>
  <c r="L126" i="48"/>
  <c r="G114" i="40"/>
  <c r="H186" i="12"/>
  <c r="F109" i="48" s="1"/>
  <c r="O209" i="12"/>
  <c r="F162" i="40"/>
  <c r="F128" i="40"/>
  <c r="F130" i="40"/>
  <c r="F142" i="40"/>
  <c r="F117" i="50"/>
  <c r="F121" i="49"/>
  <c r="F108" i="49"/>
  <c r="B97" i="50"/>
  <c r="L160" i="40"/>
  <c r="I104" i="48"/>
  <c r="B105" i="48"/>
  <c r="S158" i="12"/>
  <c r="L96" i="40"/>
  <c r="K104" i="50"/>
  <c r="I96" i="50"/>
  <c r="N87" i="49"/>
  <c r="S96" i="12"/>
  <c r="K110" i="50"/>
  <c r="K107" i="48"/>
  <c r="I108" i="48"/>
  <c r="N162" i="40"/>
  <c r="K81" i="49"/>
  <c r="O164" i="12"/>
  <c r="L118" i="49"/>
  <c r="E104" i="50"/>
  <c r="K108" i="49"/>
  <c r="O107" i="12"/>
  <c r="H103" i="12"/>
  <c r="D106" i="49"/>
  <c r="L115" i="49"/>
  <c r="D114" i="49"/>
  <c r="O99" i="12"/>
  <c r="L120" i="49"/>
  <c r="E81" i="50"/>
  <c r="E82" i="49"/>
  <c r="O108" i="12"/>
  <c r="K118" i="49"/>
  <c r="E108" i="49"/>
  <c r="K136" i="48"/>
  <c r="H141" i="12"/>
  <c r="H143" i="12"/>
  <c r="N164" i="40"/>
  <c r="L105" i="48"/>
  <c r="G152" i="48"/>
  <c r="N119" i="48"/>
  <c r="R171" i="12"/>
  <c r="R224" i="12"/>
  <c r="N114" i="48"/>
  <c r="L128" i="40"/>
  <c r="H206" i="12"/>
  <c r="H115" i="12"/>
  <c r="G90" i="49"/>
  <c r="D92" i="50"/>
  <c r="N120" i="48"/>
  <c r="R192" i="12"/>
  <c r="M121" i="48"/>
  <c r="K128" i="48"/>
  <c r="H187" i="12"/>
  <c r="H182" i="12"/>
  <c r="M110" i="48"/>
  <c r="C160" i="40"/>
  <c r="E108" i="48"/>
  <c r="L132" i="40"/>
  <c r="D142" i="40"/>
  <c r="E162" i="40"/>
  <c r="O115" i="12"/>
  <c r="K96" i="50"/>
  <c r="L109" i="48"/>
  <c r="M117" i="48"/>
  <c r="D106" i="48"/>
  <c r="K128" i="40"/>
  <c r="H207" i="12"/>
  <c r="F96" i="50"/>
  <c r="F110" i="48"/>
  <c r="F105" i="48"/>
  <c r="F164" i="40"/>
  <c r="M143" i="48"/>
  <c r="F110" i="49"/>
  <c r="F117" i="49"/>
  <c r="F87" i="49"/>
  <c r="G108" i="40"/>
  <c r="L126" i="40"/>
  <c r="O65" i="12"/>
  <c r="G114" i="48"/>
  <c r="E125" i="48"/>
  <c r="O207" i="12"/>
  <c r="K129" i="48"/>
  <c r="E104" i="48"/>
  <c r="D206" i="12"/>
  <c r="M119" i="48"/>
  <c r="R15" i="12"/>
  <c r="R236" i="12"/>
  <c r="F97" i="40"/>
  <c r="S71" i="12"/>
  <c r="L99" i="48"/>
  <c r="N81" i="50"/>
  <c r="K96" i="40"/>
  <c r="L104" i="50"/>
  <c r="E96" i="40"/>
  <c r="K96" i="48"/>
  <c r="L107" i="48"/>
  <c r="C95" i="40"/>
  <c r="O72" i="12"/>
  <c r="O154" i="12"/>
  <c r="O150" i="12"/>
  <c r="G94" i="48"/>
  <c r="K84" i="49"/>
  <c r="H51" i="12"/>
  <c r="F139" i="48" s="1"/>
  <c r="E121" i="49"/>
  <c r="D109" i="49"/>
  <c r="E88" i="49"/>
  <c r="H107" i="12"/>
  <c r="H165" i="12"/>
  <c r="E103" i="49"/>
  <c r="E117" i="49"/>
  <c r="E116" i="50"/>
  <c r="O104" i="12"/>
  <c r="D120" i="50"/>
  <c r="E106" i="50"/>
  <c r="L138" i="48"/>
  <c r="O106" i="12"/>
  <c r="E118" i="49"/>
  <c r="L110" i="49"/>
  <c r="K116" i="49"/>
  <c r="O51" i="12"/>
  <c r="M139" i="48" s="1"/>
  <c r="O50" i="12"/>
  <c r="G105" i="40"/>
  <c r="K106" i="48"/>
  <c r="G151" i="48"/>
  <c r="M105" i="48"/>
  <c r="M104" i="40"/>
  <c r="K98" i="50"/>
  <c r="D93" i="50"/>
  <c r="G119" i="40"/>
  <c r="O186" i="12"/>
  <c r="O117" i="12"/>
  <c r="M128" i="48" s="1"/>
  <c r="R136" i="48"/>
  <c r="D127" i="40"/>
  <c r="E103" i="48"/>
  <c r="D128" i="48"/>
  <c r="E126" i="40"/>
  <c r="L132" i="48"/>
  <c r="H202" i="12"/>
  <c r="H63" i="12"/>
  <c r="F118" i="48"/>
  <c r="E164" i="40"/>
  <c r="E94" i="50"/>
  <c r="E106" i="48"/>
  <c r="D137" i="40"/>
  <c r="E165" i="40"/>
  <c r="O119" i="12"/>
  <c r="N110" i="48"/>
  <c r="E160" i="40"/>
  <c r="E125" i="40"/>
  <c r="D104" i="48"/>
  <c r="L131" i="40"/>
  <c r="O60" i="12"/>
  <c r="M109" i="48"/>
  <c r="F92" i="50"/>
  <c r="F129" i="40"/>
  <c r="M103" i="49"/>
  <c r="M141" i="48"/>
  <c r="M84" i="50"/>
  <c r="K88" i="49"/>
  <c r="D118" i="49"/>
  <c r="K110" i="49"/>
  <c r="H30" i="12"/>
  <c r="H33" i="12"/>
  <c r="D121" i="50"/>
  <c r="D84" i="50"/>
  <c r="D114" i="50"/>
  <c r="D108" i="49"/>
  <c r="H105" i="12"/>
  <c r="D86" i="50"/>
  <c r="E114" i="49"/>
  <c r="O110" i="12"/>
  <c r="M121" i="49" s="1"/>
  <c r="G149" i="48"/>
  <c r="S181" i="12"/>
  <c r="E98" i="50"/>
  <c r="H120" i="12"/>
  <c r="R173" i="12"/>
  <c r="D128" i="40"/>
  <c r="H77" i="12"/>
  <c r="D97" i="50"/>
  <c r="R213" i="12"/>
  <c r="M82" i="50"/>
  <c r="K103" i="50"/>
  <c r="K121" i="50"/>
  <c r="L97" i="48"/>
  <c r="K142" i="48"/>
  <c r="N86" i="49"/>
  <c r="H60" i="12"/>
  <c r="F126" i="40" s="1"/>
  <c r="O203" i="12"/>
  <c r="D98" i="50"/>
  <c r="M125" i="40"/>
  <c r="F83" i="50"/>
  <c r="H184" i="12"/>
  <c r="M93" i="40"/>
  <c r="L103" i="50"/>
  <c r="L121" i="50"/>
  <c r="E116" i="49"/>
  <c r="L121" i="49"/>
  <c r="H161" i="12"/>
  <c r="N97" i="49"/>
  <c r="R174" i="12"/>
  <c r="G93" i="49"/>
  <c r="K132" i="40"/>
  <c r="G94" i="40"/>
  <c r="E128" i="40"/>
  <c r="E107" i="48"/>
  <c r="E126" i="48"/>
  <c r="F126" i="48"/>
  <c r="F159" i="40"/>
  <c r="F127" i="48"/>
  <c r="M110" i="49"/>
  <c r="F84" i="49"/>
  <c r="O52" i="12"/>
  <c r="M140" i="48" s="1"/>
  <c r="G92" i="49"/>
  <c r="D141" i="40"/>
  <c r="K93" i="50"/>
  <c r="H109" i="12"/>
  <c r="F120" i="49" s="1"/>
  <c r="J129" i="48"/>
  <c r="M97" i="50"/>
  <c r="M116" i="49"/>
  <c r="K162" i="40"/>
  <c r="D143" i="40"/>
  <c r="N106" i="48"/>
  <c r="O116" i="12"/>
  <c r="M127" i="48" s="1"/>
  <c r="M87" i="50"/>
  <c r="K127" i="48"/>
  <c r="F132" i="40"/>
  <c r="B92" i="50"/>
  <c r="H96" i="12"/>
  <c r="E118" i="50"/>
  <c r="E119" i="49"/>
  <c r="L137" i="48"/>
  <c r="L110" i="48"/>
  <c r="E140" i="40"/>
  <c r="G98" i="40"/>
  <c r="E99" i="50"/>
  <c r="G115" i="40"/>
  <c r="M109" i="40"/>
  <c r="K97" i="50"/>
  <c r="G119" i="48"/>
  <c r="F88" i="49"/>
  <c r="D138" i="40"/>
  <c r="D126" i="48"/>
  <c r="M138" i="48"/>
  <c r="C137" i="40"/>
  <c r="G116" i="40"/>
  <c r="D164" i="40"/>
  <c r="M118" i="49"/>
  <c r="D81" i="49"/>
  <c r="G112" i="40"/>
  <c r="G120" i="40"/>
  <c r="F105" i="49"/>
  <c r="L88" i="49"/>
  <c r="D205" i="12"/>
  <c r="H65" i="12"/>
  <c r="F131" i="40" s="1"/>
  <c r="E87" i="50"/>
  <c r="D103" i="48"/>
  <c r="B98" i="50"/>
  <c r="E140" i="48"/>
  <c r="D103" i="50"/>
  <c r="D104" i="50"/>
  <c r="G147" i="48"/>
  <c r="E93" i="50"/>
  <c r="D132" i="40"/>
  <c r="E109" i="49"/>
  <c r="E142" i="40"/>
  <c r="D95" i="50"/>
  <c r="F115" i="49"/>
  <c r="L108" i="49"/>
  <c r="L127" i="40"/>
  <c r="L97" i="50"/>
  <c r="H108" i="12"/>
  <c r="F119" i="49" s="1"/>
  <c r="C103" i="48"/>
  <c r="M105" i="49"/>
  <c r="H39" i="12"/>
  <c r="I110" i="48"/>
  <c r="M139" i="40"/>
  <c r="O147" i="12"/>
  <c r="O153" i="12"/>
  <c r="O148" i="12"/>
  <c r="E105" i="49"/>
  <c r="G153" i="48"/>
  <c r="E95" i="50"/>
  <c r="F85" i="50"/>
  <c r="H136" i="12"/>
  <c r="E109" i="48"/>
  <c r="K109" i="48"/>
  <c r="M88" i="49"/>
  <c r="N107" i="49"/>
  <c r="L87" i="50"/>
  <c r="H70" i="12"/>
  <c r="F158" i="40" s="1"/>
  <c r="I107" i="48"/>
  <c r="O63" i="12"/>
  <c r="R237" i="12"/>
  <c r="O118" i="12"/>
  <c r="M129" i="48" s="1"/>
  <c r="M81" i="49"/>
  <c r="N158" i="40"/>
  <c r="O54" i="12"/>
  <c r="M142" i="48" s="1"/>
  <c r="K137" i="48"/>
  <c r="D82" i="49"/>
  <c r="L96" i="50"/>
  <c r="K132" i="48"/>
  <c r="K129" i="40"/>
  <c r="J93" i="50"/>
  <c r="E132" i="40"/>
  <c r="L99" i="50"/>
  <c r="D94" i="50"/>
  <c r="H185" i="12"/>
  <c r="F104" i="50"/>
  <c r="F120" i="50"/>
  <c r="M85" i="50"/>
  <c r="H32" i="12"/>
  <c r="E139" i="40"/>
  <c r="D165" i="40"/>
  <c r="H59" i="12"/>
  <c r="F125" i="40" s="1"/>
  <c r="H204" i="12"/>
  <c r="M93" i="50"/>
  <c r="F104" i="49"/>
  <c r="I97" i="50"/>
  <c r="I98" i="50"/>
  <c r="S160" i="12"/>
  <c r="D82" i="50"/>
  <c r="F118" i="40"/>
  <c r="F86" i="49"/>
  <c r="B93" i="50"/>
  <c r="L125" i="40"/>
  <c r="K160" i="40"/>
  <c r="B103" i="48"/>
  <c r="G136" i="48"/>
  <c r="O139" i="12"/>
  <c r="O97" i="12"/>
  <c r="M108" i="49" s="1"/>
  <c r="E115" i="50"/>
  <c r="C92" i="50"/>
  <c r="H42" i="12"/>
  <c r="L125" i="48"/>
  <c r="J126" i="40"/>
  <c r="F109" i="49"/>
  <c r="F141" i="48"/>
  <c r="M107" i="49"/>
  <c r="O98" i="12"/>
  <c r="M109" i="49" s="1"/>
  <c r="H114" i="12"/>
  <c r="F125" i="48" s="1"/>
  <c r="M114" i="49"/>
  <c r="D160" i="40"/>
  <c r="M126" i="48"/>
  <c r="B110" i="48"/>
  <c r="D141" i="48"/>
  <c r="D109" i="50"/>
  <c r="K106" i="49"/>
  <c r="H137" i="12"/>
  <c r="J127" i="48"/>
  <c r="O64" i="12"/>
  <c r="M130" i="40" s="1"/>
  <c r="D125" i="40"/>
  <c r="H209" i="12"/>
  <c r="F99" i="50" s="1"/>
  <c r="R175" i="12"/>
  <c r="N99" i="40"/>
  <c r="K130" i="48"/>
  <c r="M131" i="48"/>
  <c r="F132" i="48"/>
  <c r="F88" i="50"/>
  <c r="E81" i="49"/>
  <c r="K104" i="49"/>
  <c r="H95" i="12"/>
  <c r="G95" i="48"/>
  <c r="D109" i="48"/>
  <c r="H208" i="12"/>
  <c r="E163" i="40"/>
  <c r="H119" i="12"/>
  <c r="F130" i="48" s="1"/>
  <c r="L130" i="48"/>
  <c r="G97" i="40"/>
  <c r="L130" i="40"/>
  <c r="F107" i="48"/>
  <c r="F160" i="40"/>
  <c r="F110" i="50"/>
  <c r="M104" i="49"/>
  <c r="E87" i="49"/>
  <c r="H92" i="12"/>
  <c r="D108" i="48"/>
  <c r="E161" i="40"/>
  <c r="K130" i="40"/>
  <c r="D127" i="48"/>
  <c r="F131" i="48"/>
  <c r="F116" i="49"/>
  <c r="D107" i="49"/>
  <c r="E138" i="40"/>
  <c r="M119" i="49"/>
  <c r="M109" i="50"/>
  <c r="F143" i="48"/>
  <c r="M105" i="50"/>
  <c r="M121" i="50"/>
  <c r="F140" i="48"/>
  <c r="M104" i="50"/>
  <c r="F137" i="48"/>
  <c r="M85" i="49"/>
  <c r="M106" i="50"/>
  <c r="F142" i="48"/>
  <c r="M110" i="50"/>
  <c r="F85" i="49"/>
  <c r="F87" i="50"/>
  <c r="M107" i="50"/>
  <c r="M103" i="50"/>
  <c r="M106" i="49"/>
  <c r="F86" i="50"/>
  <c r="F114" i="50"/>
  <c r="M136" i="48"/>
  <c r="F103" i="50"/>
  <c r="F114" i="49"/>
  <c r="M160" i="40"/>
  <c r="M99" i="48"/>
  <c r="F118" i="49"/>
  <c r="M115" i="49"/>
  <c r="M117" i="49"/>
  <c r="F107" i="50"/>
  <c r="F84" i="50"/>
  <c r="F107" i="49"/>
  <c r="M92" i="48"/>
  <c r="M93" i="48"/>
  <c r="F81" i="49"/>
  <c r="F109" i="50"/>
  <c r="M84" i="49"/>
  <c r="F82" i="49"/>
  <c r="F106" i="49"/>
  <c r="F103" i="49"/>
  <c r="Z136" i="48" l="1"/>
  <c r="D347" i="40"/>
  <c r="U160" i="40"/>
  <c r="P148" i="12"/>
  <c r="P153" i="12"/>
  <c r="S153" i="12"/>
  <c r="P147" i="12"/>
  <c r="E308" i="50"/>
  <c r="E290" i="50"/>
  <c r="E284" i="48"/>
  <c r="U121" i="50"/>
  <c r="D308" i="50"/>
  <c r="D290" i="50"/>
  <c r="P150" i="12"/>
  <c r="P154" i="12"/>
  <c r="S154" i="12"/>
  <c r="P72" i="12"/>
  <c r="S72" i="12"/>
  <c r="E294" i="48"/>
  <c r="D283" i="48"/>
  <c r="E291" i="50"/>
  <c r="D283" i="40"/>
  <c r="E286" i="48"/>
  <c r="U107" i="48"/>
  <c r="D294" i="48"/>
  <c r="U110" i="50"/>
  <c r="D297" i="50"/>
  <c r="D291" i="50"/>
  <c r="E283" i="40"/>
  <c r="E347" i="40"/>
  <c r="P159" i="12"/>
  <c r="P26" i="12"/>
  <c r="P30" i="12"/>
  <c r="V140" i="48"/>
  <c r="W140" i="48"/>
  <c r="T140" i="48"/>
  <c r="E351" i="40"/>
  <c r="D284" i="48"/>
  <c r="D292" i="50"/>
  <c r="E279" i="48"/>
  <c r="P131" i="12"/>
  <c r="S131" i="12"/>
  <c r="D351" i="40"/>
  <c r="U164" i="40"/>
  <c r="D282" i="48"/>
  <c r="W143" i="48"/>
  <c r="T143" i="48"/>
  <c r="V143" i="48"/>
  <c r="D279" i="48"/>
  <c r="U92" i="48"/>
  <c r="P33" i="12"/>
  <c r="S33" i="12"/>
  <c r="I54" i="12"/>
  <c r="R54" i="12"/>
  <c r="P29" i="12"/>
  <c r="W137" i="48"/>
  <c r="D269" i="50"/>
  <c r="E280" i="48"/>
  <c r="E282" i="48"/>
  <c r="Z134" i="48"/>
  <c r="T142" i="48"/>
  <c r="W142" i="48"/>
  <c r="V142" i="48"/>
  <c r="E292" i="50"/>
  <c r="E294" i="50"/>
  <c r="D286" i="40"/>
  <c r="U99" i="40"/>
  <c r="I49" i="12"/>
  <c r="P152" i="12"/>
  <c r="P27" i="12"/>
  <c r="D307" i="50"/>
  <c r="U120" i="50"/>
  <c r="D280" i="48"/>
  <c r="D294" i="50"/>
  <c r="E286" i="40"/>
  <c r="Z90" i="40"/>
  <c r="I52" i="12"/>
  <c r="R52" i="12"/>
  <c r="P132" i="12"/>
  <c r="S132" i="12"/>
  <c r="P28" i="12"/>
  <c r="E280" i="40"/>
  <c r="E269" i="50"/>
  <c r="E307" i="50"/>
  <c r="Z92" i="40"/>
  <c r="D280" i="40"/>
  <c r="U109" i="50"/>
  <c r="D296" i="50"/>
  <c r="V105" i="40"/>
  <c r="V97" i="40"/>
  <c r="V114" i="40"/>
  <c r="V106" i="40"/>
  <c r="V94" i="40"/>
  <c r="V103" i="40"/>
  <c r="W94" i="40"/>
  <c r="V104" i="40"/>
  <c r="V98" i="40"/>
  <c r="D293" i="50"/>
  <c r="E281" i="48"/>
  <c r="P151" i="12"/>
  <c r="I55" i="12"/>
  <c r="R55" i="12"/>
  <c r="I176" i="12"/>
  <c r="R176" i="12"/>
  <c r="P149" i="12"/>
  <c r="E296" i="50"/>
  <c r="E285" i="48"/>
  <c r="W99" i="40"/>
  <c r="V99" i="40"/>
  <c r="T99" i="40"/>
  <c r="E293" i="50"/>
  <c r="D281" i="48"/>
  <c r="P170" i="12"/>
  <c r="P32" i="12"/>
  <c r="S32" i="12"/>
  <c r="W95" i="40"/>
  <c r="V95" i="40"/>
  <c r="E297" i="50"/>
  <c r="E283" i="48"/>
  <c r="V96" i="40"/>
  <c r="W96" i="40"/>
  <c r="D285" i="48"/>
  <c r="U98" i="48"/>
  <c r="D286" i="48"/>
  <c r="U99" i="48"/>
  <c r="V295" i="50"/>
  <c r="T295" i="50"/>
  <c r="N20" i="54"/>
  <c r="V20" i="54" s="1"/>
  <c r="T1" i="12"/>
  <c r="N17" i="54" s="1"/>
  <c r="U162" i="40"/>
  <c r="D349" i="40"/>
  <c r="E349" i="40"/>
  <c r="V348" i="40"/>
  <c r="V275" i="50"/>
  <c r="N18" i="54"/>
  <c r="V18" i="54" s="1"/>
  <c r="Z94" i="48"/>
  <c r="P136" i="12"/>
  <c r="P137" i="12"/>
  <c r="D272" i="49"/>
  <c r="D275" i="49"/>
  <c r="U88" i="49"/>
  <c r="D271" i="49"/>
  <c r="D268" i="49"/>
  <c r="T86" i="49" s="1"/>
  <c r="E275" i="49"/>
  <c r="P139" i="12"/>
  <c r="E271" i="49"/>
  <c r="E268" i="49"/>
  <c r="E269" i="49"/>
  <c r="P140" i="12"/>
  <c r="P143" i="12"/>
  <c r="S143" i="12"/>
  <c r="E272" i="49"/>
  <c r="D269" i="49"/>
  <c r="D272" i="50"/>
  <c r="V139" i="48"/>
  <c r="W139" i="48"/>
  <c r="T139" i="48"/>
  <c r="D271" i="50"/>
  <c r="V272" i="50" s="1"/>
  <c r="P161" i="12"/>
  <c r="I53" i="12"/>
  <c r="R53" i="12"/>
  <c r="P162" i="12"/>
  <c r="I51" i="12"/>
  <c r="R51" i="12"/>
  <c r="P164" i="12"/>
  <c r="S164" i="12"/>
  <c r="T141" i="48"/>
  <c r="W141" i="48"/>
  <c r="V141" i="48"/>
  <c r="E274" i="50"/>
  <c r="E272" i="50"/>
  <c r="E271" i="50"/>
  <c r="D274" i="50"/>
  <c r="U87" i="50"/>
  <c r="I28" i="12"/>
  <c r="I127" i="12"/>
  <c r="P105" i="12"/>
  <c r="P110" i="12"/>
  <c r="S110" i="12"/>
  <c r="P50" i="12"/>
  <c r="S50" i="12"/>
  <c r="I143" i="12"/>
  <c r="R143" i="12"/>
  <c r="I137" i="12"/>
  <c r="I96" i="12"/>
  <c r="I24" i="12"/>
  <c r="I26" i="12"/>
  <c r="H24" i="12"/>
  <c r="I160" i="12"/>
  <c r="P53" i="12"/>
  <c r="S53" i="12"/>
  <c r="I142" i="12"/>
  <c r="R142" i="12"/>
  <c r="P93" i="12"/>
  <c r="I97" i="12"/>
  <c r="R97" i="12"/>
  <c r="I158" i="12"/>
  <c r="I156" i="12"/>
  <c r="H156" i="12"/>
  <c r="I126" i="12"/>
  <c r="P51" i="12"/>
  <c r="S51" i="12"/>
  <c r="I141" i="12"/>
  <c r="P98" i="12"/>
  <c r="S98" i="12"/>
  <c r="I32" i="12"/>
  <c r="I131" i="12"/>
  <c r="R131" i="12"/>
  <c r="I110" i="12"/>
  <c r="R110" i="12"/>
  <c r="P49" i="12"/>
  <c r="E290" i="49"/>
  <c r="W104" i="49"/>
  <c r="V104" i="49"/>
  <c r="W88" i="50"/>
  <c r="T88" i="50"/>
  <c r="V88" i="50"/>
  <c r="D303" i="49"/>
  <c r="D323" i="48"/>
  <c r="V82" i="49"/>
  <c r="W82" i="49"/>
  <c r="E295" i="49"/>
  <c r="W105" i="49"/>
  <c r="V105" i="49"/>
  <c r="W108" i="50"/>
  <c r="W85" i="50"/>
  <c r="V85" i="50"/>
  <c r="D301" i="49"/>
  <c r="D328" i="48"/>
  <c r="U141" i="48"/>
  <c r="D330" i="48"/>
  <c r="U143" i="48"/>
  <c r="E297" i="49"/>
  <c r="W104" i="50"/>
  <c r="W118" i="50"/>
  <c r="E304" i="49"/>
  <c r="U119" i="49"/>
  <c r="D306" i="49"/>
  <c r="E296" i="49"/>
  <c r="W86" i="50"/>
  <c r="V86" i="50"/>
  <c r="D305" i="49"/>
  <c r="E324" i="48"/>
  <c r="I161" i="12"/>
  <c r="P48" i="12"/>
  <c r="I162" i="12"/>
  <c r="I106" i="12"/>
  <c r="I139" i="12"/>
  <c r="I29" i="12"/>
  <c r="I159" i="12"/>
  <c r="I129" i="12"/>
  <c r="I105" i="12"/>
  <c r="P106" i="12"/>
  <c r="P108" i="12"/>
  <c r="S108" i="12"/>
  <c r="I92" i="12"/>
  <c r="H90" i="12"/>
  <c r="I90" i="12"/>
  <c r="I95" i="12"/>
  <c r="H123" i="12"/>
  <c r="I125" i="12"/>
  <c r="I123" i="12"/>
  <c r="P109" i="12"/>
  <c r="S109" i="12"/>
  <c r="E292" i="49"/>
  <c r="W117" i="50"/>
  <c r="V119" i="49"/>
  <c r="W119" i="49"/>
  <c r="T119" i="49"/>
  <c r="E325" i="48"/>
  <c r="D293" i="49"/>
  <c r="W107" i="49"/>
  <c r="V107" i="49"/>
  <c r="W83" i="50"/>
  <c r="V83" i="50"/>
  <c r="W117" i="49"/>
  <c r="V117" i="49"/>
  <c r="D302" i="49"/>
  <c r="E328" i="48"/>
  <c r="V84" i="49"/>
  <c r="W84" i="49"/>
  <c r="E291" i="49"/>
  <c r="T108" i="49"/>
  <c r="V108" i="49"/>
  <c r="W108" i="49"/>
  <c r="V82" i="50"/>
  <c r="W82" i="50"/>
  <c r="V120" i="49"/>
  <c r="T120" i="49"/>
  <c r="W120" i="49"/>
  <c r="D304" i="49"/>
  <c r="D327" i="48"/>
  <c r="U140" i="48"/>
  <c r="W83" i="49"/>
  <c r="V83" i="49"/>
  <c r="U109" i="49"/>
  <c r="D296" i="49"/>
  <c r="W107" i="50"/>
  <c r="W114" i="50"/>
  <c r="T120" i="50"/>
  <c r="W120" i="50"/>
  <c r="V120" i="50"/>
  <c r="E307" i="49"/>
  <c r="D324" i="48"/>
  <c r="W81" i="49"/>
  <c r="V81" i="49"/>
  <c r="V224" i="49"/>
  <c r="V202" i="49"/>
  <c r="V213" i="49"/>
  <c r="V124" i="49"/>
  <c r="V217" i="49"/>
  <c r="V125" i="49"/>
  <c r="V216" i="49"/>
  <c r="V95" i="49"/>
  <c r="V215" i="49"/>
  <c r="V129" i="49"/>
  <c r="V128" i="49"/>
  <c r="V127" i="49"/>
  <c r="V192" i="49"/>
  <c r="V126" i="49"/>
  <c r="V191" i="49"/>
  <c r="V92" i="49"/>
  <c r="V247" i="49"/>
  <c r="V228" i="49"/>
  <c r="V246" i="49"/>
  <c r="V227" i="49"/>
  <c r="V94" i="49"/>
  <c r="V194" i="49"/>
  <c r="V193" i="49"/>
  <c r="V218" i="49"/>
  <c r="V214" i="49"/>
  <c r="V226" i="49"/>
  <c r="V225" i="49"/>
  <c r="V93" i="49"/>
  <c r="V279" i="49"/>
  <c r="V269" i="49"/>
  <c r="V257" i="49"/>
  <c r="V271" i="49"/>
  <c r="P94" i="12"/>
  <c r="I99" i="12"/>
  <c r="R99" i="12"/>
  <c r="I93" i="12"/>
  <c r="I128" i="12"/>
  <c r="I94" i="12"/>
  <c r="I31" i="12"/>
  <c r="I132" i="12"/>
  <c r="R132" i="12"/>
  <c r="I104" i="12"/>
  <c r="P104" i="12"/>
  <c r="P99" i="12"/>
  <c r="S99" i="12"/>
  <c r="I109" i="12"/>
  <c r="R109" i="12"/>
  <c r="P52" i="12"/>
  <c r="S52" i="12"/>
  <c r="I163" i="12"/>
  <c r="I164" i="12"/>
  <c r="I140" i="12"/>
  <c r="D292" i="49"/>
  <c r="W105" i="50"/>
  <c r="V110" i="50"/>
  <c r="W110" i="50"/>
  <c r="T110" i="50"/>
  <c r="V84" i="50"/>
  <c r="W84" i="50"/>
  <c r="W114" i="49"/>
  <c r="V114" i="49"/>
  <c r="E308" i="49"/>
  <c r="U138" i="48"/>
  <c r="D325" i="48"/>
  <c r="W88" i="49"/>
  <c r="V88" i="49"/>
  <c r="T88" i="49"/>
  <c r="E293" i="49"/>
  <c r="T121" i="50"/>
  <c r="W121" i="50"/>
  <c r="V121" i="50"/>
  <c r="E302" i="49"/>
  <c r="D291" i="49"/>
  <c r="W106" i="50"/>
  <c r="V81" i="50"/>
  <c r="W81" i="50"/>
  <c r="W115" i="50"/>
  <c r="W116" i="49"/>
  <c r="V116" i="49"/>
  <c r="U139" i="48"/>
  <c r="D326" i="48"/>
  <c r="E327" i="48"/>
  <c r="W106" i="49"/>
  <c r="V106" i="49"/>
  <c r="W109" i="50"/>
  <c r="W121" i="49"/>
  <c r="V121" i="49"/>
  <c r="T121" i="49"/>
  <c r="U120" i="49"/>
  <c r="D307" i="49"/>
  <c r="E329" i="48"/>
  <c r="W85" i="49"/>
  <c r="V85" i="49"/>
  <c r="P92" i="12"/>
  <c r="I33" i="12"/>
  <c r="R33" i="12"/>
  <c r="I165" i="12"/>
  <c r="R165" i="12"/>
  <c r="H101" i="12"/>
  <c r="I101" i="12"/>
  <c r="I103" i="12"/>
  <c r="I108" i="12"/>
  <c r="R108" i="12"/>
  <c r="P97" i="12"/>
  <c r="S97" i="12"/>
  <c r="P95" i="12"/>
  <c r="I130" i="12"/>
  <c r="R130" i="12"/>
  <c r="P103" i="12"/>
  <c r="P55" i="12"/>
  <c r="S55" i="12"/>
  <c r="I98" i="12"/>
  <c r="R98" i="12"/>
  <c r="I27" i="12"/>
  <c r="I138" i="12"/>
  <c r="I30" i="12"/>
  <c r="I107" i="12"/>
  <c r="P107" i="12"/>
  <c r="P54" i="12"/>
  <c r="S54" i="12"/>
  <c r="I134" i="12"/>
  <c r="H134" i="12"/>
  <c r="I136" i="12"/>
  <c r="D290" i="49"/>
  <c r="W110" i="49"/>
  <c r="T110" i="49"/>
  <c r="V110" i="49"/>
  <c r="W116" i="50"/>
  <c r="E303" i="49"/>
  <c r="U121" i="49"/>
  <c r="D308" i="49"/>
  <c r="E323" i="48"/>
  <c r="D295" i="49"/>
  <c r="U108" i="49"/>
  <c r="W103" i="50"/>
  <c r="W119" i="50"/>
  <c r="T119" i="50"/>
  <c r="V119" i="50"/>
  <c r="W115" i="49"/>
  <c r="V115" i="49"/>
  <c r="E301" i="49"/>
  <c r="E330" i="48"/>
  <c r="V87" i="49"/>
  <c r="W87" i="49"/>
  <c r="T87" i="49"/>
  <c r="U110" i="49"/>
  <c r="D297" i="49"/>
  <c r="W109" i="49"/>
  <c r="V109" i="49"/>
  <c r="T109" i="49"/>
  <c r="E306" i="49"/>
  <c r="E326" i="48"/>
  <c r="V86" i="49"/>
  <c r="W86" i="49"/>
  <c r="W103" i="49"/>
  <c r="V103" i="49"/>
  <c r="V87" i="50"/>
  <c r="W87" i="50"/>
  <c r="W118" i="49"/>
  <c r="V118" i="49"/>
  <c r="E305" i="49"/>
  <c r="U142" i="48"/>
  <c r="D329" i="48"/>
  <c r="N21" i="54"/>
  <c r="V21" i="54" s="1"/>
  <c r="Z99" i="48"/>
  <c r="T293" i="40"/>
  <c r="V293" i="40"/>
  <c r="Z109" i="40"/>
  <c r="Z104" i="40"/>
  <c r="Z108" i="40"/>
  <c r="Z105" i="40"/>
  <c r="Z95" i="48"/>
  <c r="Z95" i="40"/>
  <c r="E291" i="48"/>
  <c r="D291" i="48"/>
  <c r="T282" i="49"/>
  <c r="V282" i="49"/>
  <c r="T286" i="49"/>
  <c r="V286" i="49"/>
  <c r="E297" i="48"/>
  <c r="U110" i="48"/>
  <c r="D297" i="48"/>
  <c r="T294" i="40"/>
  <c r="V294" i="40"/>
  <c r="T284" i="49"/>
  <c r="V284" i="49"/>
  <c r="E293" i="48"/>
  <c r="D292" i="48"/>
  <c r="D293" i="48"/>
  <c r="U106" i="48"/>
  <c r="E292" i="48"/>
  <c r="V281" i="49"/>
  <c r="T281" i="49"/>
  <c r="T280" i="49"/>
  <c r="V280" i="49"/>
  <c r="T297" i="40"/>
  <c r="V297" i="40"/>
  <c r="T283" i="49"/>
  <c r="V283" i="49"/>
  <c r="Z148" i="48"/>
  <c r="Z101" i="40"/>
  <c r="Z145" i="48"/>
  <c r="Z149" i="48"/>
  <c r="Z151" i="48"/>
  <c r="Z152" i="48"/>
  <c r="Z153" i="48"/>
  <c r="Z147" i="48"/>
  <c r="Z103" i="40"/>
  <c r="Z150" i="48"/>
  <c r="Z154" i="48"/>
  <c r="P209" i="12"/>
  <c r="S209" i="12"/>
  <c r="I43" i="12"/>
  <c r="R43" i="12"/>
  <c r="I70" i="12"/>
  <c r="H68" i="12"/>
  <c r="I68" i="12"/>
  <c r="I71" i="12"/>
  <c r="I181" i="12"/>
  <c r="I183" i="12"/>
  <c r="I41" i="12"/>
  <c r="R41" i="12"/>
  <c r="I65" i="12"/>
  <c r="R65" i="12"/>
  <c r="P60" i="12"/>
  <c r="I207" i="12"/>
  <c r="I204" i="12"/>
  <c r="I185" i="12"/>
  <c r="R185" i="12"/>
  <c r="I186" i="12"/>
  <c r="R186" i="12"/>
  <c r="P59" i="12"/>
  <c r="P116" i="12"/>
  <c r="I76" i="12"/>
  <c r="R76" i="12"/>
  <c r="I72" i="12"/>
  <c r="I44" i="12"/>
  <c r="R44" i="12"/>
  <c r="I121" i="12"/>
  <c r="R121" i="12"/>
  <c r="W95" i="50"/>
  <c r="V95" i="50"/>
  <c r="E318" i="40"/>
  <c r="U128" i="40"/>
  <c r="D315" i="40"/>
  <c r="D280" i="50"/>
  <c r="Z119" i="48"/>
  <c r="Z114" i="40"/>
  <c r="W130" i="48"/>
  <c r="V130" i="48"/>
  <c r="W159" i="40"/>
  <c r="V159" i="40"/>
  <c r="E281" i="50"/>
  <c r="T98" i="50"/>
  <c r="W98" i="50"/>
  <c r="V98" i="50"/>
  <c r="W104" i="48"/>
  <c r="V104" i="48"/>
  <c r="W106" i="48"/>
  <c r="V106" i="48"/>
  <c r="E317" i="40"/>
  <c r="D317" i="48"/>
  <c r="U130" i="48"/>
  <c r="E313" i="48"/>
  <c r="D279" i="50"/>
  <c r="E295" i="48"/>
  <c r="Z120" i="48"/>
  <c r="W94" i="50"/>
  <c r="V94" i="50"/>
  <c r="Z112" i="48"/>
  <c r="Z115" i="48"/>
  <c r="W164" i="40"/>
  <c r="V164" i="40"/>
  <c r="E296" i="48"/>
  <c r="T132" i="40"/>
  <c r="W132" i="40"/>
  <c r="V132" i="40"/>
  <c r="U97" i="50"/>
  <c r="D284" i="50"/>
  <c r="W96" i="50"/>
  <c r="V96" i="50"/>
  <c r="W110" i="48"/>
  <c r="V110" i="48"/>
  <c r="T110" i="48"/>
  <c r="E316" i="48"/>
  <c r="Z118" i="48"/>
  <c r="D283" i="50"/>
  <c r="W127" i="48"/>
  <c r="V127" i="48"/>
  <c r="I64" i="12"/>
  <c r="R64" i="12"/>
  <c r="P62" i="12"/>
  <c r="S62" i="12"/>
  <c r="P121" i="12"/>
  <c r="S121" i="12"/>
  <c r="I38" i="12"/>
  <c r="R38" i="12"/>
  <c r="P119" i="12"/>
  <c r="S119" i="12"/>
  <c r="P115" i="12"/>
  <c r="I39" i="12"/>
  <c r="R39" i="12"/>
  <c r="H112" i="12"/>
  <c r="I112" i="12"/>
  <c r="I114" i="12"/>
  <c r="I73" i="12"/>
  <c r="P185" i="12"/>
  <c r="S185" i="12"/>
  <c r="I59" i="12"/>
  <c r="H57" i="12"/>
  <c r="I57" i="12"/>
  <c r="P114" i="12"/>
  <c r="I40" i="12"/>
  <c r="R40" i="12"/>
  <c r="I66" i="12"/>
  <c r="R66" i="12"/>
  <c r="P61" i="12"/>
  <c r="S61" i="12"/>
  <c r="E286" i="50"/>
  <c r="Z120" i="40"/>
  <c r="W105" i="48"/>
  <c r="V105" i="48"/>
  <c r="D318" i="40"/>
  <c r="U131" i="40"/>
  <c r="E315" i="48"/>
  <c r="E280" i="50"/>
  <c r="V137" i="40"/>
  <c r="T137" i="40"/>
  <c r="W137" i="40"/>
  <c r="V142" i="40"/>
  <c r="W142" i="40"/>
  <c r="T142" i="40"/>
  <c r="V126" i="48"/>
  <c r="W126" i="48"/>
  <c r="W158" i="40"/>
  <c r="V158" i="40"/>
  <c r="W126" i="40"/>
  <c r="V126" i="40"/>
  <c r="D281" i="50"/>
  <c r="W99" i="50"/>
  <c r="T99" i="50"/>
  <c r="V99" i="50"/>
  <c r="E319" i="40"/>
  <c r="U130" i="40"/>
  <c r="D317" i="40"/>
  <c r="E317" i="48"/>
  <c r="D313" i="48"/>
  <c r="E279" i="50"/>
  <c r="W163" i="40"/>
  <c r="V163" i="40"/>
  <c r="U108" i="48"/>
  <c r="D295" i="48"/>
  <c r="W97" i="50"/>
  <c r="V97" i="50"/>
  <c r="W103" i="48"/>
  <c r="V257" i="48"/>
  <c r="V224" i="48"/>
  <c r="V162" i="48"/>
  <c r="V161" i="48"/>
  <c r="V193" i="48"/>
  <c r="V235" i="48"/>
  <c r="V216" i="48"/>
  <c r="V218" i="48"/>
  <c r="V270" i="48"/>
  <c r="V160" i="48"/>
  <c r="V196" i="48"/>
  <c r="V192" i="48"/>
  <c r="V236" i="48"/>
  <c r="V215" i="48"/>
  <c r="V213" i="48"/>
  <c r="V259" i="48"/>
  <c r="V225" i="48"/>
  <c r="V227" i="48"/>
  <c r="V159" i="48"/>
  <c r="V195" i="48"/>
  <c r="V191" i="48"/>
  <c r="V103" i="48"/>
  <c r="V217" i="48"/>
  <c r="V214" i="48"/>
  <c r="V269" i="48"/>
  <c r="V258" i="48"/>
  <c r="V226" i="48"/>
  <c r="V158" i="48"/>
  <c r="V194" i="48"/>
  <c r="V237" i="48"/>
  <c r="V138" i="48"/>
  <c r="V137" i="48"/>
  <c r="V268" i="48"/>
  <c r="V147" i="48"/>
  <c r="V136" i="48"/>
  <c r="V283" i="48"/>
  <c r="V281" i="48"/>
  <c r="V284" i="48"/>
  <c r="V282" i="48"/>
  <c r="V114" i="48"/>
  <c r="V280" i="48"/>
  <c r="D312" i="40"/>
  <c r="E314" i="48"/>
  <c r="E312" i="48"/>
  <c r="Z117" i="40"/>
  <c r="E284" i="50"/>
  <c r="Z117" i="48"/>
  <c r="Z116" i="40"/>
  <c r="U127" i="40"/>
  <c r="D314" i="40"/>
  <c r="E318" i="48"/>
  <c r="U129" i="48"/>
  <c r="D316" i="48"/>
  <c r="T141" i="40"/>
  <c r="V141" i="40"/>
  <c r="W141" i="40"/>
  <c r="Z115" i="40"/>
  <c r="I77" i="12"/>
  <c r="R77" i="12"/>
  <c r="I63" i="12"/>
  <c r="I182" i="12"/>
  <c r="P203" i="12"/>
  <c r="I119" i="12"/>
  <c r="I62" i="12"/>
  <c r="P204" i="12"/>
  <c r="I209" i="12"/>
  <c r="R209" i="12"/>
  <c r="P202" i="12"/>
  <c r="I75" i="12"/>
  <c r="I118" i="12"/>
  <c r="I61" i="12"/>
  <c r="P207" i="12"/>
  <c r="S207" i="12"/>
  <c r="H200" i="12"/>
  <c r="I202" i="12"/>
  <c r="I200" i="12"/>
  <c r="I187" i="12"/>
  <c r="R187" i="12"/>
  <c r="P118" i="12"/>
  <c r="S118" i="12"/>
  <c r="I116" i="12"/>
  <c r="T165" i="40"/>
  <c r="W165" i="40"/>
  <c r="V165" i="40"/>
  <c r="W162" i="40"/>
  <c r="V162" i="40"/>
  <c r="U99" i="50"/>
  <c r="D286" i="50"/>
  <c r="V130" i="40"/>
  <c r="W130" i="40"/>
  <c r="T130" i="40"/>
  <c r="W129" i="40"/>
  <c r="V129" i="40"/>
  <c r="E319" i="48"/>
  <c r="D315" i="48"/>
  <c r="Z116" i="48"/>
  <c r="W128" i="40"/>
  <c r="V128" i="40"/>
  <c r="U132" i="40"/>
  <c r="D319" i="40"/>
  <c r="T140" i="40"/>
  <c r="W140" i="40"/>
  <c r="V140" i="40"/>
  <c r="V128" i="48"/>
  <c r="W128" i="48"/>
  <c r="V131" i="40"/>
  <c r="T131" i="40"/>
  <c r="W131" i="40"/>
  <c r="W125" i="40"/>
  <c r="V259" i="40"/>
  <c r="V236" i="40"/>
  <c r="V194" i="40"/>
  <c r="V215" i="40"/>
  <c r="V192" i="40"/>
  <c r="V279" i="40"/>
  <c r="V285" i="40"/>
  <c r="V283" i="40"/>
  <c r="V247" i="40"/>
  <c r="V268" i="40"/>
  <c r="V226" i="40"/>
  <c r="V235" i="40"/>
  <c r="V225" i="40"/>
  <c r="V258" i="40"/>
  <c r="V291" i="40"/>
  <c r="V282" i="40"/>
  <c r="V213" i="40"/>
  <c r="V257" i="40"/>
  <c r="V218" i="40"/>
  <c r="V237" i="40"/>
  <c r="V195" i="40"/>
  <c r="V125" i="40"/>
  <c r="V193" i="40"/>
  <c r="V246" i="40"/>
  <c r="V292" i="40"/>
  <c r="V281" i="40"/>
  <c r="V191" i="40"/>
  <c r="V147" i="40"/>
  <c r="V238" i="40"/>
  <c r="V217" i="40"/>
  <c r="V216" i="40"/>
  <c r="V224" i="40"/>
  <c r="V214" i="40"/>
  <c r="V290" i="40"/>
  <c r="V280" i="40"/>
  <c r="V284" i="40"/>
  <c r="D313" i="40"/>
  <c r="E285" i="50"/>
  <c r="Z114" i="48"/>
  <c r="E312" i="40"/>
  <c r="D314" i="48"/>
  <c r="D312" i="48"/>
  <c r="W136" i="40"/>
  <c r="V136" i="40"/>
  <c r="V129" i="48"/>
  <c r="W129" i="48"/>
  <c r="W127" i="40"/>
  <c r="V127" i="40"/>
  <c r="W92" i="50"/>
  <c r="V127" i="50"/>
  <c r="V116" i="50"/>
  <c r="V251" i="50"/>
  <c r="V203" i="50"/>
  <c r="V194" i="50"/>
  <c r="V228" i="50"/>
  <c r="V224" i="50"/>
  <c r="V216" i="50"/>
  <c r="V214" i="50"/>
  <c r="V259" i="50"/>
  <c r="V107" i="50"/>
  <c r="V130" i="50"/>
  <c r="V126" i="50"/>
  <c r="V115" i="50"/>
  <c r="V250" i="50"/>
  <c r="V246" i="50"/>
  <c r="V92" i="50"/>
  <c r="V202" i="50"/>
  <c r="V197" i="50"/>
  <c r="V193" i="50"/>
  <c r="V227" i="50"/>
  <c r="V104" i="50"/>
  <c r="V260" i="50"/>
  <c r="V258" i="50"/>
  <c r="V257" i="50"/>
  <c r="V108" i="50"/>
  <c r="V129" i="50"/>
  <c r="V125" i="50"/>
  <c r="V118" i="50"/>
  <c r="V114" i="50"/>
  <c r="V249" i="50"/>
  <c r="V248" i="50"/>
  <c r="V205" i="50"/>
  <c r="V196" i="50"/>
  <c r="V192" i="50"/>
  <c r="V235" i="50"/>
  <c r="V226" i="50"/>
  <c r="V103" i="50"/>
  <c r="V215" i="50"/>
  <c r="V213" i="50"/>
  <c r="V124" i="50"/>
  <c r="V105" i="50"/>
  <c r="V128" i="50"/>
  <c r="V117" i="50"/>
  <c r="V247" i="50"/>
  <c r="V204" i="50"/>
  <c r="V195" i="50"/>
  <c r="V191" i="50"/>
  <c r="V225" i="50"/>
  <c r="V109" i="50"/>
  <c r="V106" i="50"/>
  <c r="V218" i="50"/>
  <c r="V217" i="50"/>
  <c r="V270" i="50"/>
  <c r="V268" i="50"/>
  <c r="V269" i="50"/>
  <c r="U129" i="40"/>
  <c r="D316" i="40"/>
  <c r="E314" i="40"/>
  <c r="U131" i="48"/>
  <c r="D318" i="48"/>
  <c r="I74" i="12"/>
  <c r="I205" i="12"/>
  <c r="P65" i="12"/>
  <c r="S65" i="12"/>
  <c r="P117" i="12"/>
  <c r="I115" i="12"/>
  <c r="I60" i="12"/>
  <c r="I208" i="12"/>
  <c r="R208" i="12"/>
  <c r="I203" i="12"/>
  <c r="P66" i="12"/>
  <c r="S66" i="12"/>
  <c r="P64" i="12"/>
  <c r="S64" i="12"/>
  <c r="I117" i="12"/>
  <c r="P208" i="12"/>
  <c r="S208" i="12"/>
  <c r="I178" i="12"/>
  <c r="I180" i="12"/>
  <c r="H178" i="12"/>
  <c r="I37" i="12"/>
  <c r="I35" i="12"/>
  <c r="H35" i="12"/>
  <c r="I120" i="12"/>
  <c r="R120" i="12"/>
  <c r="P186" i="12"/>
  <c r="S186" i="12"/>
  <c r="I206" i="12"/>
  <c r="I184" i="12"/>
  <c r="R184" i="12"/>
  <c r="P63" i="12"/>
  <c r="S63" i="12"/>
  <c r="P120" i="12"/>
  <c r="S120" i="12"/>
  <c r="P206" i="12"/>
  <c r="S206" i="12"/>
  <c r="I42" i="12"/>
  <c r="R42" i="12"/>
  <c r="Z121" i="40"/>
  <c r="Z119" i="40"/>
  <c r="E315" i="40"/>
  <c r="U132" i="48"/>
  <c r="D319" i="48"/>
  <c r="Z112" i="40"/>
  <c r="W93" i="50"/>
  <c r="V93" i="50"/>
  <c r="V138" i="40"/>
  <c r="W138" i="40"/>
  <c r="T138" i="40"/>
  <c r="V125" i="48"/>
  <c r="W125" i="48"/>
  <c r="W161" i="40"/>
  <c r="V161" i="40"/>
  <c r="Z118" i="40"/>
  <c r="E313" i="40"/>
  <c r="D285" i="50"/>
  <c r="U98" i="50"/>
  <c r="T108" i="48"/>
  <c r="W108" i="48"/>
  <c r="V108" i="48"/>
  <c r="W109" i="48"/>
  <c r="T109" i="48"/>
  <c r="V109" i="48"/>
  <c r="T139" i="40"/>
  <c r="V139" i="40"/>
  <c r="W139" i="40"/>
  <c r="W131" i="48"/>
  <c r="V131" i="48"/>
  <c r="T131" i="48"/>
  <c r="W160" i="40"/>
  <c r="V160" i="40"/>
  <c r="U109" i="48"/>
  <c r="D296" i="48"/>
  <c r="Z121" i="48"/>
  <c r="V107" i="48"/>
  <c r="T107" i="48"/>
  <c r="W107" i="48"/>
  <c r="E316" i="40"/>
  <c r="E283" i="50"/>
  <c r="W143" i="40"/>
  <c r="T143" i="40"/>
  <c r="V143" i="40"/>
  <c r="W132" i="48"/>
  <c r="V132" i="48"/>
  <c r="T132" i="48"/>
  <c r="T329" i="40"/>
  <c r="V297" i="48"/>
  <c r="T297" i="48"/>
  <c r="T294" i="48"/>
  <c r="V294" i="48"/>
  <c r="T293" i="48"/>
  <c r="V293" i="48"/>
  <c r="T307" i="48"/>
  <c r="V307" i="48"/>
  <c r="T304" i="48"/>
  <c r="V304" i="48"/>
  <c r="N19" i="54"/>
  <c r="V19" i="54" s="1"/>
  <c r="V306" i="48"/>
  <c r="T306" i="48"/>
  <c r="T303" i="48"/>
  <c r="V303" i="48"/>
  <c r="T302" i="48"/>
  <c r="V302" i="48"/>
  <c r="V296" i="40"/>
  <c r="T296" i="40"/>
  <c r="T295" i="40"/>
  <c r="V295" i="40"/>
  <c r="V305" i="48"/>
  <c r="T305" i="48"/>
  <c r="U1" i="12"/>
  <c r="D33" i="5" s="1"/>
  <c r="D34" i="5" s="1"/>
  <c r="D35" i="5" s="1"/>
  <c r="T12" i="54" s="1"/>
  <c r="V308" i="48"/>
  <c r="T308" i="48"/>
  <c r="T326" i="40"/>
  <c r="V326" i="40"/>
  <c r="V324" i="40"/>
  <c r="T324" i="40"/>
  <c r="V330" i="40"/>
  <c r="T330" i="40"/>
  <c r="V328" i="40"/>
  <c r="T328" i="40"/>
  <c r="V327" i="40"/>
  <c r="T327" i="40"/>
  <c r="Z96" i="40"/>
  <c r="Z98" i="40"/>
  <c r="Z95" i="49"/>
  <c r="Z90" i="49"/>
  <c r="Z99" i="49"/>
  <c r="Z96" i="49"/>
  <c r="Z93" i="49"/>
  <c r="Z92" i="49"/>
  <c r="Z98" i="49"/>
  <c r="Z97" i="49"/>
  <c r="Z97" i="40"/>
  <c r="Z94" i="40"/>
  <c r="R92" i="12"/>
  <c r="N98" i="48"/>
  <c r="F95" i="40"/>
  <c r="N82" i="50"/>
  <c r="S29" i="12"/>
  <c r="S27" i="12"/>
  <c r="R94" i="12"/>
  <c r="S92" i="12"/>
  <c r="F94" i="40"/>
  <c r="N109" i="50"/>
  <c r="G85" i="49"/>
  <c r="N114" i="49"/>
  <c r="R114" i="12"/>
  <c r="N128" i="48"/>
  <c r="R182" i="12"/>
  <c r="R103" i="12"/>
  <c r="S105" i="12"/>
  <c r="R95" i="12"/>
  <c r="R105" i="12"/>
  <c r="S159" i="12"/>
  <c r="I94" i="50"/>
  <c r="R106" i="12"/>
  <c r="S161" i="12"/>
  <c r="R127" i="12"/>
  <c r="R138" i="12"/>
  <c r="N84" i="49"/>
  <c r="G86" i="49"/>
  <c r="N103" i="49"/>
  <c r="G85" i="50"/>
  <c r="N116" i="49"/>
  <c r="G115" i="49"/>
  <c r="G79" i="50"/>
  <c r="G118" i="49"/>
  <c r="G130" i="40"/>
  <c r="R202" i="12"/>
  <c r="G158" i="40"/>
  <c r="N108" i="48"/>
  <c r="F95" i="50"/>
  <c r="G131" i="40"/>
  <c r="G139" i="40"/>
  <c r="R115" i="12"/>
  <c r="M132" i="40"/>
  <c r="G143" i="40"/>
  <c r="G130" i="48"/>
  <c r="G141" i="40"/>
  <c r="N85" i="49"/>
  <c r="G107" i="49"/>
  <c r="G109" i="50"/>
  <c r="G137" i="40"/>
  <c r="R74" i="12"/>
  <c r="G123" i="40"/>
  <c r="S60" i="12"/>
  <c r="G98" i="50"/>
  <c r="N128" i="40"/>
  <c r="R114" i="48"/>
  <c r="G104" i="50"/>
  <c r="N108" i="49"/>
  <c r="R60" i="12"/>
  <c r="N125" i="40"/>
  <c r="M96" i="50"/>
  <c r="N97" i="50"/>
  <c r="R125" i="12"/>
  <c r="N138" i="48"/>
  <c r="M128" i="40"/>
  <c r="S94" i="12"/>
  <c r="S162" i="12"/>
  <c r="G121" i="50"/>
  <c r="G132" i="48"/>
  <c r="N125" i="48"/>
  <c r="R137" i="12"/>
  <c r="N92" i="48"/>
  <c r="R30" i="12"/>
  <c r="N103" i="50"/>
  <c r="R160" i="12"/>
  <c r="R93" i="12"/>
  <c r="S136" i="12"/>
  <c r="R159" i="12"/>
  <c r="N96" i="48"/>
  <c r="G120" i="50"/>
  <c r="G119" i="49"/>
  <c r="G82" i="50"/>
  <c r="G120" i="49"/>
  <c r="G79" i="49"/>
  <c r="G159" i="40"/>
  <c r="N131" i="40"/>
  <c r="M127" i="40"/>
  <c r="N98" i="50"/>
  <c r="N94" i="50"/>
  <c r="N85" i="50"/>
  <c r="G112" i="50"/>
  <c r="R181" i="12"/>
  <c r="G93" i="50"/>
  <c r="F138" i="40"/>
  <c r="N99" i="48"/>
  <c r="G162" i="40"/>
  <c r="R28" i="12"/>
  <c r="G106" i="49"/>
  <c r="R61" i="12"/>
  <c r="S139" i="12"/>
  <c r="S147" i="12"/>
  <c r="S106" i="12"/>
  <c r="S26" i="12"/>
  <c r="R162" i="12"/>
  <c r="I93" i="50"/>
  <c r="G140" i="48"/>
  <c r="R31" i="12"/>
  <c r="S151" i="12"/>
  <c r="N82" i="49"/>
  <c r="N137" i="48"/>
  <c r="N106" i="49"/>
  <c r="N119" i="49"/>
  <c r="G83" i="50"/>
  <c r="G86" i="50"/>
  <c r="G84" i="50"/>
  <c r="M99" i="50"/>
  <c r="G138" i="40"/>
  <c r="M131" i="40"/>
  <c r="G106" i="48"/>
  <c r="F139" i="40"/>
  <c r="G126" i="48"/>
  <c r="F94" i="50"/>
  <c r="R114" i="40"/>
  <c r="R203" i="12"/>
  <c r="G134" i="40"/>
  <c r="F137" i="40"/>
  <c r="N92" i="50"/>
  <c r="G116" i="49"/>
  <c r="R207" i="12"/>
  <c r="R63" i="12"/>
  <c r="G141" i="48"/>
  <c r="G97" i="50"/>
  <c r="R72" i="12"/>
  <c r="G125" i="40"/>
  <c r="G119" i="50"/>
  <c r="N109" i="48"/>
  <c r="M130" i="48"/>
  <c r="R205" i="12"/>
  <c r="B95" i="50"/>
  <c r="S104" i="12"/>
  <c r="N107" i="50"/>
  <c r="R164" i="12"/>
  <c r="R139" i="12"/>
  <c r="M95" i="48"/>
  <c r="R27" i="12"/>
  <c r="G143" i="48"/>
  <c r="N88" i="49"/>
  <c r="N136" i="48"/>
  <c r="N143" i="48"/>
  <c r="G101" i="49"/>
  <c r="G81" i="50"/>
  <c r="G112" i="49"/>
  <c r="G84" i="49"/>
  <c r="R70" i="12"/>
  <c r="R158" i="40" s="1"/>
  <c r="G125" i="48"/>
  <c r="S117" i="12"/>
  <c r="N126" i="40"/>
  <c r="G129" i="40"/>
  <c r="F98" i="50"/>
  <c r="G108" i="48"/>
  <c r="F165" i="40"/>
  <c r="N130" i="40"/>
  <c r="R206" i="12"/>
  <c r="N130" i="48"/>
  <c r="G129" i="48"/>
  <c r="G106" i="50"/>
  <c r="N139" i="48"/>
  <c r="R73" i="12"/>
  <c r="N93" i="50"/>
  <c r="M98" i="50"/>
  <c r="R141" i="12"/>
  <c r="N121" i="49"/>
  <c r="G104" i="48"/>
  <c r="G142" i="48"/>
  <c r="G88" i="49"/>
  <c r="G96" i="50"/>
  <c r="R96" i="12"/>
  <c r="R107" i="12"/>
  <c r="S30" i="12"/>
  <c r="M120" i="50"/>
  <c r="R140" i="12"/>
  <c r="R128" i="12"/>
  <c r="R103" i="40"/>
  <c r="N121" i="50"/>
  <c r="S137" i="12"/>
  <c r="S28" i="12"/>
  <c r="G104" i="49"/>
  <c r="G163" i="40"/>
  <c r="N94" i="48"/>
  <c r="N87" i="50"/>
  <c r="G127" i="40"/>
  <c r="R161" i="12"/>
  <c r="N95" i="48"/>
  <c r="R147" i="48"/>
  <c r="R26" i="12"/>
  <c r="N120" i="50"/>
  <c r="S103" i="12"/>
  <c r="S140" i="12"/>
  <c r="G99" i="40"/>
  <c r="N84" i="50"/>
  <c r="N117" i="49"/>
  <c r="N118" i="49"/>
  <c r="N105" i="49"/>
  <c r="G121" i="49"/>
  <c r="G109" i="49"/>
  <c r="G103" i="49"/>
  <c r="G140" i="40"/>
  <c r="S114" i="12"/>
  <c r="F93" i="50"/>
  <c r="F108" i="48"/>
  <c r="G128" i="40"/>
  <c r="R117" i="12"/>
  <c r="G164" i="40"/>
  <c r="S203" i="12"/>
  <c r="G101" i="48"/>
  <c r="G142" i="40"/>
  <c r="G123" i="48"/>
  <c r="G90" i="50"/>
  <c r="G114" i="50"/>
  <c r="G117" i="49"/>
  <c r="G108" i="50"/>
  <c r="M126" i="40"/>
  <c r="N132" i="40"/>
  <c r="S116" i="12"/>
  <c r="F103" i="48"/>
  <c r="R62" i="12"/>
  <c r="G161" i="40"/>
  <c r="R136" i="12"/>
  <c r="S49" i="12"/>
  <c r="R104" i="12"/>
  <c r="G110" i="50"/>
  <c r="R75" i="12"/>
  <c r="R204" i="12"/>
  <c r="R32" i="12"/>
  <c r="S150" i="12"/>
  <c r="B96" i="50"/>
  <c r="S48" i="12"/>
  <c r="N110" i="50"/>
  <c r="G137" i="48"/>
  <c r="N105" i="50"/>
  <c r="R126" i="12"/>
  <c r="G139" i="48"/>
  <c r="G116" i="50"/>
  <c r="G117" i="50"/>
  <c r="G107" i="50"/>
  <c r="G132" i="40"/>
  <c r="G99" i="50"/>
  <c r="F143" i="40"/>
  <c r="G136" i="40"/>
  <c r="G156" i="40"/>
  <c r="N129" i="48"/>
  <c r="R49" i="12"/>
  <c r="M94" i="48"/>
  <c r="N115" i="49"/>
  <c r="R180" i="12"/>
  <c r="F140" i="40"/>
  <c r="S148" i="12"/>
  <c r="N160" i="40"/>
  <c r="S107" i="12"/>
  <c r="R163" i="12"/>
  <c r="M97" i="48"/>
  <c r="S152" i="12"/>
  <c r="S93" i="12"/>
  <c r="R158" i="12"/>
  <c r="S149" i="12"/>
  <c r="N93" i="40"/>
  <c r="G105" i="50"/>
  <c r="N110" i="49"/>
  <c r="G87" i="49"/>
  <c r="G83" i="49"/>
  <c r="N120" i="49"/>
  <c r="G101" i="50"/>
  <c r="G88" i="50"/>
  <c r="G109" i="48"/>
  <c r="S204" i="12"/>
  <c r="G107" i="48"/>
  <c r="N132" i="48"/>
  <c r="G110" i="48"/>
  <c r="N131" i="48"/>
  <c r="S115" i="12"/>
  <c r="G92" i="50"/>
  <c r="M129" i="40"/>
  <c r="F97" i="50"/>
  <c r="N127" i="40"/>
  <c r="G126" i="40"/>
  <c r="G115" i="50"/>
  <c r="G110" i="49"/>
  <c r="G114" i="49"/>
  <c r="S202" i="12"/>
  <c r="G127" i="48"/>
  <c r="F161" i="40"/>
  <c r="F141" i="40"/>
  <c r="G94" i="50"/>
  <c r="G103" i="48"/>
  <c r="N81" i="49"/>
  <c r="N109" i="49"/>
  <c r="G105" i="49"/>
  <c r="G160" i="40"/>
  <c r="N99" i="50"/>
  <c r="R183" i="12"/>
  <c r="G95" i="50"/>
  <c r="G105" i="48"/>
  <c r="N129" i="40"/>
  <c r="N97" i="48"/>
  <c r="R119" i="12"/>
  <c r="M98" i="48"/>
  <c r="S95" i="12"/>
  <c r="N106" i="50"/>
  <c r="N104" i="50"/>
  <c r="R29" i="12"/>
  <c r="R129" i="12"/>
  <c r="S170" i="12"/>
  <c r="G103" i="50"/>
  <c r="N140" i="48"/>
  <c r="N142" i="48"/>
  <c r="N141" i="48"/>
  <c r="N127" i="48"/>
  <c r="N96" i="50"/>
  <c r="N126" i="48"/>
  <c r="R71" i="12"/>
  <c r="R116" i="12"/>
  <c r="G165" i="40"/>
  <c r="G108" i="49"/>
  <c r="G81" i="49"/>
  <c r="N104" i="49"/>
  <c r="R118" i="12"/>
  <c r="R92" i="49"/>
  <c r="R59" i="12"/>
  <c r="S59" i="12"/>
  <c r="G118" i="50"/>
  <c r="G128" i="48"/>
  <c r="G131" i="48"/>
  <c r="N93" i="48"/>
  <c r="G82" i="49"/>
  <c r="G87" i="50"/>
  <c r="R37" i="12"/>
  <c r="R136" i="40" s="1"/>
  <c r="Z137" i="48" l="1"/>
  <c r="Z99" i="40"/>
  <c r="Z142" i="48"/>
  <c r="Z143" i="48"/>
  <c r="Z140" i="48"/>
  <c r="V351" i="40"/>
  <c r="T351" i="40"/>
  <c r="V271" i="50"/>
  <c r="V286" i="40"/>
  <c r="T286" i="40"/>
  <c r="T308" i="50"/>
  <c r="V308" i="50"/>
  <c r="V273" i="49"/>
  <c r="V286" i="48"/>
  <c r="T286" i="48"/>
  <c r="T285" i="48"/>
  <c r="V285" i="48"/>
  <c r="T296" i="50"/>
  <c r="V296" i="50"/>
  <c r="V290" i="48"/>
  <c r="T118" i="49"/>
  <c r="V270" i="49"/>
  <c r="V272" i="49"/>
  <c r="T301" i="50"/>
  <c r="T347" i="40"/>
  <c r="V347" i="40"/>
  <c r="V268" i="49"/>
  <c r="V282" i="50"/>
  <c r="V279" i="48"/>
  <c r="T279" i="48"/>
  <c r="V292" i="48"/>
  <c r="V297" i="50"/>
  <c r="T297" i="50"/>
  <c r="V307" i="50"/>
  <c r="T307" i="50"/>
  <c r="V291" i="48"/>
  <c r="V349" i="40"/>
  <c r="T349" i="40"/>
  <c r="T15" i="49"/>
  <c r="T116" i="49"/>
  <c r="T104" i="49"/>
  <c r="V275" i="49"/>
  <c r="T275" i="49"/>
  <c r="Z141" i="48"/>
  <c r="Z139" i="48"/>
  <c r="T274" i="50"/>
  <c r="V274" i="50"/>
  <c r="Z79" i="49"/>
  <c r="Z118" i="49"/>
  <c r="Z114" i="49"/>
  <c r="Z88" i="50"/>
  <c r="Z87" i="50"/>
  <c r="Z108" i="50"/>
  <c r="Z103" i="49"/>
  <c r="Z116" i="49"/>
  <c r="Z84" i="49"/>
  <c r="Z84" i="50"/>
  <c r="Z109" i="50"/>
  <c r="Z79" i="50"/>
  <c r="Z101" i="50"/>
  <c r="Z88" i="49"/>
  <c r="Z107" i="50"/>
  <c r="Z109" i="49"/>
  <c r="Z112" i="49"/>
  <c r="Z86" i="50"/>
  <c r="Z120" i="49"/>
  <c r="Z115" i="49"/>
  <c r="Z105" i="49"/>
  <c r="Z110" i="49"/>
  <c r="Z106" i="49"/>
  <c r="Z118" i="50"/>
  <c r="Z117" i="49"/>
  <c r="Z121" i="49"/>
  <c r="Z81" i="50"/>
  <c r="Z83" i="50"/>
  <c r="Z107" i="49"/>
  <c r="Z81" i="49"/>
  <c r="Z83" i="49"/>
  <c r="Z119" i="50"/>
  <c r="Z110" i="50"/>
  <c r="Z117" i="50"/>
  <c r="Z112" i="50"/>
  <c r="Z101" i="49"/>
  <c r="Z82" i="50"/>
  <c r="Z85" i="50"/>
  <c r="Z115" i="50"/>
  <c r="Z87" i="49"/>
  <c r="Z82" i="49"/>
  <c r="Z116" i="50"/>
  <c r="Z104" i="50"/>
  <c r="Z119" i="49"/>
  <c r="Z85" i="49"/>
  <c r="Z121" i="50"/>
  <c r="Z104" i="49"/>
  <c r="Z114" i="50"/>
  <c r="Z106" i="50"/>
  <c r="Z120" i="50"/>
  <c r="Z86" i="49"/>
  <c r="Z108" i="49"/>
  <c r="Z103" i="50"/>
  <c r="Z105" i="50"/>
  <c r="T297" i="49"/>
  <c r="V297" i="49"/>
  <c r="U103" i="49"/>
  <c r="T85" i="49"/>
  <c r="V307" i="49"/>
  <c r="T307" i="49"/>
  <c r="T291" i="49"/>
  <c r="V291" i="49"/>
  <c r="T114" i="49"/>
  <c r="T268" i="49"/>
  <c r="T26" i="49"/>
  <c r="T215" i="49"/>
  <c r="T224" i="49"/>
  <c r="T5" i="49"/>
  <c r="T294" i="49"/>
  <c r="U84" i="49"/>
  <c r="T29" i="49"/>
  <c r="T39" i="49"/>
  <c r="T7" i="49"/>
  <c r="T269" i="49"/>
  <c r="T72" i="49"/>
  <c r="T30" i="49"/>
  <c r="T41" i="49"/>
  <c r="T192" i="49"/>
  <c r="U60" i="49"/>
  <c r="T31" i="49"/>
  <c r="T226" i="49"/>
  <c r="T9" i="49"/>
  <c r="T202" i="49"/>
  <c r="T62" i="49"/>
  <c r="U59" i="49"/>
  <c r="V296" i="49"/>
  <c r="T296" i="49"/>
  <c r="V304" i="49"/>
  <c r="T304" i="49"/>
  <c r="T117" i="49"/>
  <c r="U106" i="49"/>
  <c r="V328" i="48"/>
  <c r="T328" i="48"/>
  <c r="T329" i="48"/>
  <c r="V329" i="48"/>
  <c r="T103" i="49"/>
  <c r="V308" i="49"/>
  <c r="T308" i="49"/>
  <c r="V290" i="49"/>
  <c r="T290" i="49"/>
  <c r="V325" i="48"/>
  <c r="T325" i="48"/>
  <c r="U105" i="49"/>
  <c r="T218" i="49"/>
  <c r="T27" i="49"/>
  <c r="U26" i="49"/>
  <c r="T225" i="49"/>
  <c r="U4" i="49"/>
  <c r="T63" i="49"/>
  <c r="T213" i="49"/>
  <c r="T70" i="49"/>
  <c r="U27" i="49"/>
  <c r="U38" i="49"/>
  <c r="U5" i="49"/>
  <c r="U107" i="49"/>
  <c r="T81" i="49"/>
  <c r="T214" i="49"/>
  <c r="U39" i="49"/>
  <c r="U15" i="49"/>
  <c r="T128" i="49"/>
  <c r="T216" i="49"/>
  <c r="T228" i="49"/>
  <c r="U6" i="49"/>
  <c r="T6" i="49"/>
  <c r="T94" i="49"/>
  <c r="T247" i="49"/>
  <c r="T125" i="49"/>
  <c r="T107" i="49"/>
  <c r="T293" i="49"/>
  <c r="V293" i="49"/>
  <c r="U114" i="49"/>
  <c r="T106" i="49"/>
  <c r="V326" i="48"/>
  <c r="T326" i="48"/>
  <c r="V292" i="49"/>
  <c r="T292" i="49"/>
  <c r="U82" i="49"/>
  <c r="T28" i="49"/>
  <c r="T217" i="49"/>
  <c r="U41" i="49"/>
  <c r="U7" i="49"/>
  <c r="U83" i="49"/>
  <c r="U81" i="49"/>
  <c r="U28" i="49"/>
  <c r="U40" i="49"/>
  <c r="T194" i="49"/>
  <c r="T246" i="49"/>
  <c r="T124" i="49"/>
  <c r="U29" i="49"/>
  <c r="T227" i="49"/>
  <c r="T93" i="49"/>
  <c r="T37" i="49"/>
  <c r="T257" i="49"/>
  <c r="T95" i="49"/>
  <c r="T191" i="49"/>
  <c r="T279" i="49"/>
  <c r="T126" i="49"/>
  <c r="T129" i="49"/>
  <c r="T83" i="49"/>
  <c r="V327" i="48"/>
  <c r="T327" i="48"/>
  <c r="T84" i="49"/>
  <c r="U115" i="49"/>
  <c r="U118" i="49"/>
  <c r="V330" i="48"/>
  <c r="T330" i="48"/>
  <c r="V301" i="49"/>
  <c r="T301" i="49"/>
  <c r="T105" i="49"/>
  <c r="T82" i="49"/>
  <c r="U116" i="49"/>
  <c r="T48" i="50"/>
  <c r="T115" i="49"/>
  <c r="V295" i="49"/>
  <c r="T295" i="49"/>
  <c r="U104" i="49"/>
  <c r="U85" i="49"/>
  <c r="T32" i="49"/>
  <c r="T38" i="49"/>
  <c r="U70" i="49"/>
  <c r="U92" i="49"/>
  <c r="T71" i="49"/>
  <c r="T273" i="49"/>
  <c r="U30" i="49"/>
  <c r="U37" i="49"/>
  <c r="T92" i="49"/>
  <c r="T127" i="49"/>
  <c r="T271" i="49"/>
  <c r="T272" i="49"/>
  <c r="U31" i="49"/>
  <c r="T8" i="49"/>
  <c r="T59" i="49"/>
  <c r="U86" i="49"/>
  <c r="T40" i="49"/>
  <c r="T4" i="49"/>
  <c r="T60" i="49"/>
  <c r="T193" i="49"/>
  <c r="V294" i="49"/>
  <c r="T270" i="49"/>
  <c r="T61" i="49"/>
  <c r="U117" i="49"/>
  <c r="T302" i="49"/>
  <c r="V302" i="49"/>
  <c r="T305" i="49"/>
  <c r="V305" i="49"/>
  <c r="V306" i="49"/>
  <c r="T306" i="49"/>
  <c r="V303" i="49"/>
  <c r="T303" i="49"/>
  <c r="T60" i="40"/>
  <c r="T105" i="48"/>
  <c r="U93" i="50"/>
  <c r="T158" i="40"/>
  <c r="T130" i="48"/>
  <c r="T59" i="40"/>
  <c r="Z141" i="40"/>
  <c r="Z103" i="48"/>
  <c r="Z126" i="40"/>
  <c r="Z162" i="40"/>
  <c r="Z90" i="50"/>
  <c r="Z129" i="48"/>
  <c r="Z130" i="48"/>
  <c r="Z105" i="48"/>
  <c r="Z165" i="40"/>
  <c r="Z125" i="40"/>
  <c r="Z161" i="40"/>
  <c r="Z123" i="48"/>
  <c r="Z143" i="40"/>
  <c r="Z94" i="50"/>
  <c r="Z104" i="48"/>
  <c r="Z156" i="40"/>
  <c r="Z142" i="40"/>
  <c r="Z134" i="40"/>
  <c r="Z96" i="50"/>
  <c r="Z131" i="48"/>
  <c r="Z136" i="40"/>
  <c r="Z101" i="48"/>
  <c r="Z98" i="50"/>
  <c r="Z95" i="50"/>
  <c r="Z92" i="50"/>
  <c r="I15" i="5"/>
  <c r="J15" i="5" s="1"/>
  <c r="I17" i="5"/>
  <c r="J17" i="5" s="1"/>
  <c r="I18" i="5"/>
  <c r="J18" i="5" s="1"/>
  <c r="I19" i="5"/>
  <c r="J19" i="5" s="1"/>
  <c r="Z139" i="40"/>
  <c r="Z164" i="40"/>
  <c r="Z108" i="48"/>
  <c r="Z131" i="40"/>
  <c r="I13" i="5"/>
  <c r="J13" i="5" s="1"/>
  <c r="Z93" i="50"/>
  <c r="Z126" i="48"/>
  <c r="Z127" i="48"/>
  <c r="Z110" i="48"/>
  <c r="Z127" i="40"/>
  <c r="Z163" i="40"/>
  <c r="Z99" i="50"/>
  <c r="Z128" i="40"/>
  <c r="Z129" i="40"/>
  <c r="Z123" i="40"/>
  <c r="Z132" i="48"/>
  <c r="Z106" i="48"/>
  <c r="Z159" i="40"/>
  <c r="Z158" i="40"/>
  <c r="Z107" i="48"/>
  <c r="Z128" i="48"/>
  <c r="I14" i="5"/>
  <c r="J14" i="5" s="1"/>
  <c r="Z132" i="40"/>
  <c r="Z125" i="48"/>
  <c r="Z138" i="40"/>
  <c r="Z137" i="40"/>
  <c r="Z130" i="40"/>
  <c r="Z160" i="40"/>
  <c r="Z109" i="48"/>
  <c r="Z97" i="50"/>
  <c r="Z140" i="40"/>
  <c r="I16" i="5"/>
  <c r="J16" i="5" s="1"/>
  <c r="V316" i="40"/>
  <c r="T316" i="40"/>
  <c r="T71" i="50"/>
  <c r="T72" i="50"/>
  <c r="T105" i="50"/>
  <c r="T108" i="50"/>
  <c r="T227" i="50"/>
  <c r="T194" i="50"/>
  <c r="T204" i="50"/>
  <c r="T269" i="50"/>
  <c r="T251" i="50"/>
  <c r="U118" i="50"/>
  <c r="U72" i="50"/>
  <c r="T74" i="50"/>
  <c r="V291" i="50"/>
  <c r="U37" i="50"/>
  <c r="T4" i="50"/>
  <c r="U8" i="50"/>
  <c r="T19" i="50"/>
  <c r="T60" i="50"/>
  <c r="U64" i="50"/>
  <c r="V302" i="50"/>
  <c r="T291" i="50"/>
  <c r="U71" i="50"/>
  <c r="T103" i="50"/>
  <c r="T37" i="50"/>
  <c r="U41" i="50"/>
  <c r="T191" i="50"/>
  <c r="T18" i="50"/>
  <c r="T271" i="50"/>
  <c r="T246" i="50"/>
  <c r="T117" i="50"/>
  <c r="U116" i="50"/>
  <c r="T70" i="50"/>
  <c r="T124" i="50"/>
  <c r="T104" i="50"/>
  <c r="U107" i="50"/>
  <c r="U40" i="50"/>
  <c r="T196" i="50"/>
  <c r="U18" i="50"/>
  <c r="U59" i="50"/>
  <c r="T250" i="50"/>
  <c r="T304" i="50"/>
  <c r="T129" i="50"/>
  <c r="T127" i="40"/>
  <c r="U125" i="48"/>
  <c r="V313" i="40"/>
  <c r="T313" i="40"/>
  <c r="T216" i="40"/>
  <c r="U50" i="40"/>
  <c r="T5" i="40"/>
  <c r="T105" i="40"/>
  <c r="U37" i="40"/>
  <c r="T258" i="40"/>
  <c r="T283" i="40"/>
  <c r="U7" i="40"/>
  <c r="T218" i="40"/>
  <c r="T29" i="40"/>
  <c r="T147" i="40"/>
  <c r="T247" i="40"/>
  <c r="T8" i="40"/>
  <c r="T104" i="40"/>
  <c r="T41" i="40"/>
  <c r="T71" i="40"/>
  <c r="T96" i="40"/>
  <c r="U94" i="40"/>
  <c r="T182" i="40"/>
  <c r="T32" i="40"/>
  <c r="T50" i="40"/>
  <c r="U48" i="40"/>
  <c r="T81" i="40"/>
  <c r="T191" i="40"/>
  <c r="U105" i="40"/>
  <c r="T70" i="40"/>
  <c r="U92" i="40"/>
  <c r="U96" i="40"/>
  <c r="U30" i="40"/>
  <c r="V323" i="40"/>
  <c r="T114" i="40"/>
  <c r="T15" i="40"/>
  <c r="T224" i="40"/>
  <c r="U71" i="40"/>
  <c r="T173" i="40"/>
  <c r="T128" i="40"/>
  <c r="U128" i="48"/>
  <c r="T129" i="40"/>
  <c r="V324" i="48"/>
  <c r="U27" i="48"/>
  <c r="T81" i="48"/>
  <c r="T147" i="48"/>
  <c r="U96" i="48"/>
  <c r="U7" i="48"/>
  <c r="T161" i="48"/>
  <c r="T39" i="48"/>
  <c r="T71" i="48"/>
  <c r="T171" i="48"/>
  <c r="T323" i="48"/>
  <c r="T138" i="48"/>
  <c r="U49" i="48"/>
  <c r="T94" i="48"/>
  <c r="T114" i="48"/>
  <c r="U8" i="48"/>
  <c r="V347" i="48"/>
  <c r="T225" i="48"/>
  <c r="T181" i="48"/>
  <c r="U26" i="48"/>
  <c r="T82" i="48"/>
  <c r="U48" i="48"/>
  <c r="U28" i="48"/>
  <c r="T281" i="48"/>
  <c r="T7" i="48"/>
  <c r="T15" i="48"/>
  <c r="T37" i="48"/>
  <c r="T40" i="48"/>
  <c r="T173" i="48"/>
  <c r="U136" i="48"/>
  <c r="U31" i="48"/>
  <c r="T215" i="48"/>
  <c r="T86" i="48"/>
  <c r="T95" i="48"/>
  <c r="T301" i="48"/>
  <c r="T192" i="48"/>
  <c r="T160" i="48"/>
  <c r="U159" i="48"/>
  <c r="T16" i="48"/>
  <c r="T170" i="48"/>
  <c r="T163" i="40"/>
  <c r="V313" i="48"/>
  <c r="T313" i="48"/>
  <c r="U94" i="50"/>
  <c r="T126" i="48"/>
  <c r="T127" i="48"/>
  <c r="T283" i="50"/>
  <c r="V283" i="50"/>
  <c r="T164" i="40"/>
  <c r="T94" i="50"/>
  <c r="T125" i="48"/>
  <c r="R12" i="54"/>
  <c r="T160" i="40"/>
  <c r="T161" i="40"/>
  <c r="T318" i="48"/>
  <c r="V318" i="48"/>
  <c r="T213" i="50"/>
  <c r="U28" i="50"/>
  <c r="T109" i="50"/>
  <c r="T39" i="50"/>
  <c r="T7" i="50"/>
  <c r="U9" i="50"/>
  <c r="T81" i="50"/>
  <c r="T272" i="50"/>
  <c r="T62" i="50"/>
  <c r="V305" i="50"/>
  <c r="T130" i="50"/>
  <c r="T217" i="50"/>
  <c r="T290" i="50"/>
  <c r="T292" i="50"/>
  <c r="T226" i="50"/>
  <c r="T8" i="50"/>
  <c r="T197" i="50"/>
  <c r="T92" i="50"/>
  <c r="U83" i="50"/>
  <c r="T63" i="50"/>
  <c r="T115" i="50"/>
  <c r="U115" i="50"/>
  <c r="T257" i="50"/>
  <c r="T258" i="50"/>
  <c r="V292" i="50"/>
  <c r="T41" i="50"/>
  <c r="T235" i="50"/>
  <c r="U6" i="50"/>
  <c r="T203" i="50"/>
  <c r="V290" i="50"/>
  <c r="U60" i="50"/>
  <c r="V304" i="50"/>
  <c r="T125" i="50"/>
  <c r="T259" i="50"/>
  <c r="U31" i="50"/>
  <c r="U29" i="50"/>
  <c r="T38" i="50"/>
  <c r="T6" i="50"/>
  <c r="T15" i="50"/>
  <c r="T84" i="50"/>
  <c r="U82" i="50"/>
  <c r="T61" i="50"/>
  <c r="T114" i="50"/>
  <c r="T136" i="40"/>
  <c r="V312" i="48"/>
  <c r="T312" i="48"/>
  <c r="T48" i="40"/>
  <c r="T82" i="40"/>
  <c r="T235" i="40"/>
  <c r="T9" i="40"/>
  <c r="U103" i="40"/>
  <c r="U39" i="40"/>
  <c r="T93" i="40"/>
  <c r="T285" i="40"/>
  <c r="U27" i="40"/>
  <c r="U136" i="40"/>
  <c r="T236" i="40"/>
  <c r="U81" i="40"/>
  <c r="U5" i="40"/>
  <c r="T290" i="40"/>
  <c r="T225" i="40"/>
  <c r="T72" i="40"/>
  <c r="T280" i="40"/>
  <c r="U97" i="40"/>
  <c r="T194" i="40"/>
  <c r="T26" i="40"/>
  <c r="T51" i="40"/>
  <c r="T238" i="40"/>
  <c r="V345" i="40"/>
  <c r="T195" i="40"/>
  <c r="T40" i="40"/>
  <c r="T74" i="40"/>
  <c r="U93" i="40"/>
  <c r="T49" i="40"/>
  <c r="U29" i="40"/>
  <c r="T6" i="40"/>
  <c r="T106" i="40"/>
  <c r="T346" i="40"/>
  <c r="T94" i="40"/>
  <c r="T284" i="40"/>
  <c r="V319" i="40"/>
  <c r="T319" i="40"/>
  <c r="T315" i="48"/>
  <c r="V315" i="48"/>
  <c r="V286" i="50"/>
  <c r="T286" i="50"/>
  <c r="T314" i="40"/>
  <c r="V314" i="40"/>
  <c r="U125" i="40"/>
  <c r="V323" i="48"/>
  <c r="T269" i="48"/>
  <c r="T292" i="48"/>
  <c r="T29" i="48"/>
  <c r="T282" i="48"/>
  <c r="V301" i="48"/>
  <c r="T196" i="48"/>
  <c r="T348" i="48"/>
  <c r="T224" i="48"/>
  <c r="T258" i="48"/>
  <c r="T180" i="48"/>
  <c r="T59" i="48"/>
  <c r="T270" i="48"/>
  <c r="T236" i="48"/>
  <c r="T97" i="48"/>
  <c r="T6" i="48"/>
  <c r="U9" i="48"/>
  <c r="U160" i="48"/>
  <c r="T72" i="48"/>
  <c r="T48" i="48"/>
  <c r="T217" i="48"/>
  <c r="T27" i="48"/>
  <c r="T237" i="48"/>
  <c r="T268" i="48"/>
  <c r="U94" i="48"/>
  <c r="T191" i="48"/>
  <c r="T159" i="48"/>
  <c r="T42" i="48"/>
  <c r="T257" i="48"/>
  <c r="T182" i="48"/>
  <c r="T51" i="48"/>
  <c r="U83" i="48"/>
  <c r="T235" i="48"/>
  <c r="T83" i="48"/>
  <c r="T280" i="48"/>
  <c r="T193" i="48"/>
  <c r="V345" i="48"/>
  <c r="T38" i="48"/>
  <c r="T70" i="48"/>
  <c r="T183" i="48"/>
  <c r="T295" i="48"/>
  <c r="V295" i="48"/>
  <c r="V281" i="50"/>
  <c r="T281" i="50"/>
  <c r="T318" i="40"/>
  <c r="V318" i="40"/>
  <c r="T284" i="50"/>
  <c r="V284" i="50"/>
  <c r="U92" i="50"/>
  <c r="V317" i="48"/>
  <c r="T317" i="48"/>
  <c r="V285" i="50"/>
  <c r="T285" i="50"/>
  <c r="T93" i="50"/>
  <c r="T319" i="48"/>
  <c r="V319" i="48"/>
  <c r="T293" i="50"/>
  <c r="T32" i="50"/>
  <c r="T215" i="50"/>
  <c r="V294" i="50"/>
  <c r="T43" i="50"/>
  <c r="T10" i="50"/>
  <c r="T16" i="50"/>
  <c r="T83" i="50"/>
  <c r="T248" i="50"/>
  <c r="T303" i="50"/>
  <c r="T214" i="50"/>
  <c r="U103" i="50"/>
  <c r="T294" i="50"/>
  <c r="T228" i="50"/>
  <c r="U4" i="50"/>
  <c r="T17" i="50"/>
  <c r="T82" i="50"/>
  <c r="U61" i="50"/>
  <c r="T305" i="50"/>
  <c r="T127" i="50"/>
  <c r="T218" i="50"/>
  <c r="T216" i="50"/>
  <c r="U104" i="50"/>
  <c r="T224" i="50"/>
  <c r="T5" i="50"/>
  <c r="T195" i="50"/>
  <c r="T205" i="50"/>
  <c r="T270" i="50"/>
  <c r="T64" i="50"/>
  <c r="V301" i="50"/>
  <c r="T128" i="50"/>
  <c r="T31" i="50"/>
  <c r="T26" i="50"/>
  <c r="T106" i="50"/>
  <c r="T42" i="50"/>
  <c r="T192" i="50"/>
  <c r="U15" i="50"/>
  <c r="T86" i="50"/>
  <c r="U84" i="50"/>
  <c r="T247" i="50"/>
  <c r="T116" i="50"/>
  <c r="U117" i="50"/>
  <c r="T129" i="48"/>
  <c r="U127" i="48"/>
  <c r="T179" i="40"/>
  <c r="T28" i="40"/>
  <c r="U59" i="40"/>
  <c r="T192" i="40"/>
  <c r="T38" i="40"/>
  <c r="V346" i="40"/>
  <c r="T97" i="40"/>
  <c r="T169" i="40"/>
  <c r="T31" i="40"/>
  <c r="T53" i="40"/>
  <c r="T237" i="40"/>
  <c r="T345" i="40"/>
  <c r="U8" i="40"/>
  <c r="T292" i="40"/>
  <c r="T226" i="40"/>
  <c r="T259" i="40"/>
  <c r="T282" i="40"/>
  <c r="U31" i="40"/>
  <c r="T84" i="40"/>
  <c r="T213" i="40"/>
  <c r="T246" i="40"/>
  <c r="T7" i="40"/>
  <c r="T103" i="40"/>
  <c r="T43" i="40"/>
  <c r="U72" i="40"/>
  <c r="T171" i="40"/>
  <c r="T217" i="40"/>
  <c r="T125" i="40"/>
  <c r="U49" i="40"/>
  <c r="U4" i="40"/>
  <c r="T291" i="40"/>
  <c r="T257" i="40"/>
  <c r="T279" i="40"/>
  <c r="U95" i="40"/>
  <c r="V316" i="48"/>
  <c r="T316" i="48"/>
  <c r="T312" i="40"/>
  <c r="V312" i="40"/>
  <c r="T50" i="48"/>
  <c r="T84" i="48"/>
  <c r="T85" i="48"/>
  <c r="T92" i="48"/>
  <c r="T284" i="48"/>
  <c r="T9" i="48"/>
  <c r="T19" i="48"/>
  <c r="T346" i="48"/>
  <c r="T227" i="48"/>
  <c r="U72" i="48"/>
  <c r="T216" i="48"/>
  <c r="T218" i="48"/>
  <c r="T28" i="48"/>
  <c r="T283" i="48"/>
  <c r="T10" i="48"/>
  <c r="T20" i="48"/>
  <c r="T41" i="48"/>
  <c r="U71" i="48"/>
  <c r="T49" i="48"/>
  <c r="U30" i="48"/>
  <c r="T31" i="48"/>
  <c r="U82" i="48"/>
  <c r="T96" i="48"/>
  <c r="U114" i="48"/>
  <c r="U6" i="48"/>
  <c r="T345" i="48"/>
  <c r="U39" i="48"/>
  <c r="T73" i="48"/>
  <c r="T324" i="48"/>
  <c r="T179" i="48"/>
  <c r="U103" i="48"/>
  <c r="U50" i="48"/>
  <c r="T26" i="48"/>
  <c r="U93" i="48"/>
  <c r="T4" i="48"/>
  <c r="T194" i="48"/>
  <c r="V348" i="48"/>
  <c r="U37" i="48"/>
  <c r="U70" i="48"/>
  <c r="T97" i="50"/>
  <c r="V317" i="40"/>
  <c r="T317" i="40"/>
  <c r="I20" i="5"/>
  <c r="J20" i="5" s="1"/>
  <c r="T96" i="50"/>
  <c r="V279" i="50"/>
  <c r="T279" i="50"/>
  <c r="T104" i="48"/>
  <c r="T159" i="40"/>
  <c r="V280" i="50"/>
  <c r="T280" i="50"/>
  <c r="T95" i="50"/>
  <c r="T296" i="48"/>
  <c r="V296" i="48"/>
  <c r="T30" i="50"/>
  <c r="U70" i="50"/>
  <c r="T73" i="50"/>
  <c r="U105" i="50"/>
  <c r="T225" i="50"/>
  <c r="U5" i="50"/>
  <c r="T202" i="50"/>
  <c r="T87" i="50"/>
  <c r="U85" i="50"/>
  <c r="U62" i="50"/>
  <c r="U114" i="50"/>
  <c r="U26" i="50"/>
  <c r="T260" i="50"/>
  <c r="T28" i="50"/>
  <c r="T40" i="50"/>
  <c r="U48" i="50"/>
  <c r="T193" i="50"/>
  <c r="U16" i="50"/>
  <c r="T85" i="50"/>
  <c r="T59" i="50"/>
  <c r="T249" i="50"/>
  <c r="V303" i="50"/>
  <c r="U30" i="50"/>
  <c r="U27" i="50"/>
  <c r="T29" i="50"/>
  <c r="U106" i="50"/>
  <c r="U39" i="50"/>
  <c r="T9" i="50"/>
  <c r="U10" i="50"/>
  <c r="T268" i="50"/>
  <c r="U95" i="50"/>
  <c r="U63" i="50"/>
  <c r="T302" i="50"/>
  <c r="V293" i="50"/>
  <c r="U73" i="50"/>
  <c r="T27" i="50"/>
  <c r="T107" i="50"/>
  <c r="U38" i="50"/>
  <c r="U7" i="50"/>
  <c r="U17" i="50"/>
  <c r="U81" i="50"/>
  <c r="T282" i="50"/>
  <c r="T65" i="50"/>
  <c r="T118" i="50"/>
  <c r="T126" i="50"/>
  <c r="T314" i="48"/>
  <c r="V314" i="48"/>
  <c r="U126" i="40"/>
  <c r="T214" i="40"/>
  <c r="U26" i="40"/>
  <c r="U158" i="40"/>
  <c r="U6" i="40"/>
  <c r="T42" i="40"/>
  <c r="U70" i="40"/>
  <c r="T98" i="40"/>
  <c r="U98" i="40"/>
  <c r="T180" i="40"/>
  <c r="T30" i="40"/>
  <c r="T83" i="40"/>
  <c r="U51" i="40"/>
  <c r="T4" i="40"/>
  <c r="T16" i="40"/>
  <c r="T37" i="40"/>
  <c r="U159" i="40"/>
  <c r="T92" i="40"/>
  <c r="T172" i="40"/>
  <c r="T215" i="40"/>
  <c r="T323" i="40"/>
  <c r="U28" i="40"/>
  <c r="T268" i="40"/>
  <c r="T10" i="40"/>
  <c r="U104" i="40"/>
  <c r="U38" i="40"/>
  <c r="T95" i="40"/>
  <c r="T281" i="40"/>
  <c r="T181" i="40"/>
  <c r="T27" i="40"/>
  <c r="T52" i="40"/>
  <c r="U60" i="40"/>
  <c r="T193" i="40"/>
  <c r="T39" i="40"/>
  <c r="T73" i="40"/>
  <c r="T170" i="40"/>
  <c r="T128" i="48"/>
  <c r="T162" i="40"/>
  <c r="T136" i="48"/>
  <c r="U137" i="48"/>
  <c r="T32" i="48"/>
  <c r="U81" i="48"/>
  <c r="T98" i="48"/>
  <c r="U4" i="48"/>
  <c r="T158" i="48"/>
  <c r="T162" i="48"/>
  <c r="U38" i="48"/>
  <c r="U161" i="48"/>
  <c r="T137" i="48"/>
  <c r="T214" i="48"/>
  <c r="U105" i="48"/>
  <c r="T290" i="48"/>
  <c r="U97" i="48"/>
  <c r="U5" i="48"/>
  <c r="U158" i="48"/>
  <c r="T226" i="48"/>
  <c r="T172" i="48"/>
  <c r="U29" i="48"/>
  <c r="T291" i="48"/>
  <c r="T87" i="48"/>
  <c r="U104" i="48"/>
  <c r="T5" i="48"/>
  <c r="T195" i="48"/>
  <c r="T347" i="48"/>
  <c r="T18" i="48"/>
  <c r="T169" i="48"/>
  <c r="T52" i="48"/>
  <c r="T213" i="48"/>
  <c r="T103" i="48"/>
  <c r="T168" i="48"/>
  <c r="T93" i="48"/>
  <c r="U95" i="48"/>
  <c r="T8" i="48"/>
  <c r="T17" i="48"/>
  <c r="V346" i="48"/>
  <c r="U40" i="48"/>
  <c r="T259" i="48"/>
  <c r="U126" i="48"/>
  <c r="T126" i="40"/>
  <c r="U96" i="50"/>
  <c r="T106" i="48"/>
  <c r="V315" i="40"/>
  <c r="T315" i="40"/>
  <c r="R125" i="40"/>
  <c r="R125" i="48"/>
  <c r="R81" i="50"/>
  <c r="R103" i="49"/>
  <c r="R103" i="48"/>
  <c r="R81" i="49"/>
  <c r="R103" i="50"/>
  <c r="R114" i="50"/>
  <c r="R92" i="50"/>
  <c r="R114" i="49"/>
  <c r="R1" i="49" l="1"/>
  <c r="R8" i="54" s="1"/>
  <c r="T8" i="54" s="1"/>
  <c r="R1" i="48"/>
  <c r="R6" i="54" s="1"/>
  <c r="T6" i="54" s="1"/>
  <c r="R1" i="40"/>
  <c r="R4" i="54" s="1"/>
  <c r="T4" i="54" s="1"/>
  <c r="R1" i="50"/>
  <c r="R10" i="54" s="1"/>
  <c r="T10" i="54" s="1"/>
  <c r="L18" i="5"/>
  <c r="K18" i="5"/>
  <c r="L13" i="5"/>
  <c r="K13" i="5"/>
  <c r="L17" i="5"/>
  <c r="K17" i="5"/>
  <c r="L14" i="5"/>
  <c r="K14" i="5"/>
  <c r="L15" i="5"/>
  <c r="K15" i="5"/>
  <c r="L20" i="5"/>
  <c r="A20" i="5" s="1"/>
  <c r="K20" i="5"/>
  <c r="L16" i="5"/>
  <c r="K16" i="5"/>
  <c r="L19" i="5"/>
  <c r="K19" i="5"/>
  <c r="A16" i="5" l="1"/>
  <c r="A19" i="5"/>
  <c r="A14" i="5"/>
  <c r="A13" i="5"/>
  <c r="A15" i="5"/>
  <c r="A17" i="5"/>
  <c r="A18" i="5"/>
  <c r="D29" i="5" l="1"/>
  <c r="B26" i="5"/>
  <c r="D26" i="5"/>
  <c r="D28" i="5"/>
  <c r="C26" i="5"/>
  <c r="B23" i="5"/>
  <c r="B30" i="5"/>
  <c r="B29" i="5"/>
  <c r="B25" i="5"/>
  <c r="D30" i="5"/>
  <c r="D23" i="5"/>
  <c r="D24" i="5"/>
  <c r="D25" i="5"/>
  <c r="C23" i="5"/>
  <c r="B27" i="5"/>
  <c r="C25" i="5"/>
  <c r="C28" i="5"/>
  <c r="B24" i="5"/>
  <c r="C27" i="5"/>
  <c r="C24" i="5"/>
  <c r="B28" i="5"/>
  <c r="C29" i="5"/>
  <c r="D27" i="5"/>
  <c r="C30" i="5"/>
  <c r="G27" i="5" l="1"/>
  <c r="F27" i="5"/>
  <c r="H27" i="5" s="1"/>
  <c r="E30" i="5"/>
  <c r="J30" i="5"/>
  <c r="F23" i="5"/>
  <c r="H23" i="5" s="1"/>
  <c r="G23" i="5"/>
  <c r="R17" i="5"/>
  <c r="S17" i="5" s="1"/>
  <c r="E27" i="5" s="1"/>
  <c r="R19" i="5"/>
  <c r="S19" i="5" s="1"/>
  <c r="E29" i="5" s="1"/>
  <c r="R14" i="5"/>
  <c r="S14" i="5" s="1"/>
  <c r="E24" i="5" s="1"/>
  <c r="R16" i="5"/>
  <c r="S16" i="5" s="1"/>
  <c r="E26" i="5" s="1"/>
  <c r="R20" i="5"/>
  <c r="R13" i="5"/>
  <c r="S13" i="5" s="1"/>
  <c r="E23" i="5" s="1"/>
  <c r="R15" i="5"/>
  <c r="S15" i="5" s="1"/>
  <c r="E25" i="5" s="1"/>
  <c r="R18" i="5"/>
  <c r="S18" i="5" s="1"/>
  <c r="E28" i="5" s="1"/>
  <c r="F28" i="5"/>
  <c r="H28" i="5" s="1"/>
  <c r="G28" i="5"/>
  <c r="F26" i="5"/>
  <c r="H26" i="5" s="1"/>
  <c r="G26" i="5"/>
  <c r="F30" i="5"/>
  <c r="H30" i="5" s="1"/>
  <c r="G30" i="5"/>
  <c r="I30" i="5" s="1"/>
  <c r="F24" i="5"/>
  <c r="H24" i="5" s="1"/>
  <c r="G24" i="5"/>
  <c r="G25" i="5"/>
  <c r="F25" i="5"/>
  <c r="H25" i="5" s="1"/>
  <c r="G29" i="5"/>
  <c r="F29" i="5"/>
  <c r="H29" i="5" s="1"/>
  <c r="I27" i="5" l="1"/>
  <c r="M27" i="5" s="1"/>
  <c r="I24" i="5"/>
  <c r="M24" i="5" s="1"/>
  <c r="I28" i="5"/>
  <c r="M28" i="5" s="1"/>
  <c r="M30" i="5"/>
  <c r="I26" i="5"/>
  <c r="M26" i="5" s="1"/>
  <c r="I25" i="5"/>
  <c r="M25" i="5" s="1"/>
  <c r="I23" i="5"/>
  <c r="M23" i="5" s="1"/>
  <c r="I29" i="5"/>
  <c r="M29" i="5" s="1"/>
  <c r="J28" i="5" l="1"/>
  <c r="J23" i="5"/>
  <c r="J24" i="5"/>
  <c r="J25" i="5"/>
  <c r="J26" i="5"/>
  <c r="J27" i="5"/>
  <c r="J29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SAF</author>
  </authors>
  <commentList>
    <comment ref="M5" authorId="0" shapeId="0" xr:uid="{00000000-0006-0000-0100-000001000000}">
      <text>
        <r>
          <rPr>
            <sz val="9"/>
            <color rgb="FF000000"/>
            <rFont val="Tahoma"/>
            <family val="2"/>
          </rPr>
          <t xml:space="preserve">Sprint Hurdles
</t>
        </r>
        <r>
          <rPr>
            <sz val="9"/>
            <color rgb="FF000000"/>
            <rFont val="Tahoma"/>
            <family val="2"/>
          </rPr>
          <t xml:space="preserve">70mH U13G
</t>
        </r>
        <r>
          <rPr>
            <sz val="9"/>
            <color rgb="FF000000"/>
            <rFont val="Tahoma"/>
            <family val="2"/>
          </rPr>
          <t xml:space="preserve">75mH U13B
</t>
        </r>
        <r>
          <rPr>
            <sz val="9"/>
            <color rgb="FF000000"/>
            <rFont val="Tahoma"/>
            <family val="2"/>
          </rPr>
          <t xml:space="preserve">75mH U15G
</t>
        </r>
        <r>
          <rPr>
            <sz val="9"/>
            <color rgb="FF000000"/>
            <rFont val="Tahoma"/>
            <family val="2"/>
          </rPr>
          <t>80mH U15B</t>
        </r>
      </text>
    </comment>
    <comment ref="M6" authorId="0" shapeId="0" xr:uid="{00000000-0006-0000-0100-000002000000}">
      <text>
        <r>
          <rPr>
            <sz val="9"/>
            <color rgb="FF000000"/>
            <rFont val="Tahoma"/>
            <family val="2"/>
          </rPr>
          <t xml:space="preserve">150m U13G
</t>
        </r>
        <r>
          <rPr>
            <sz val="9"/>
            <color rgb="FF000000"/>
            <rFont val="Tahoma"/>
            <family val="2"/>
          </rPr>
          <t xml:space="preserve">200m U13B
</t>
        </r>
        <r>
          <rPr>
            <sz val="9"/>
            <color rgb="FF000000"/>
            <rFont val="Tahoma"/>
            <family val="2"/>
          </rPr>
          <t xml:space="preserve">200m U15G
</t>
        </r>
        <r>
          <rPr>
            <sz val="9"/>
            <color rgb="FF000000"/>
            <rFont val="Tahoma"/>
            <family val="2"/>
          </rPr>
          <t>200m U15B</t>
        </r>
      </text>
    </comment>
    <comment ref="M7" authorId="0" shapeId="0" xr:uid="{00000000-0006-0000-0100-000003000000}">
      <text>
        <r>
          <rPr>
            <sz val="9"/>
            <color rgb="FF000000"/>
            <rFont val="Tahoma"/>
            <family val="2"/>
          </rPr>
          <t xml:space="preserve">Match
</t>
        </r>
        <r>
          <rPr>
            <sz val="9"/>
            <color rgb="FF000000"/>
            <rFont val="Tahoma"/>
            <family val="2"/>
          </rPr>
          <t xml:space="preserve">75m U13G
</t>
        </r>
        <r>
          <rPr>
            <sz val="9"/>
            <color rgb="FF000000"/>
            <rFont val="Tahoma"/>
            <family val="2"/>
          </rPr>
          <t xml:space="preserve">100m U13B
</t>
        </r>
        <r>
          <rPr>
            <sz val="9"/>
            <color rgb="FF000000"/>
            <rFont val="Tahoma"/>
            <family val="2"/>
          </rPr>
          <t xml:space="preserve">100m U15G
</t>
        </r>
        <r>
          <rPr>
            <sz val="9"/>
            <color rgb="FF000000"/>
            <rFont val="Tahoma"/>
            <family val="2"/>
          </rPr>
          <t xml:space="preserve">100m U15B
</t>
        </r>
      </text>
    </comment>
    <comment ref="M8" authorId="0" shapeId="0" xr:uid="{00000000-0006-0000-0100-000004000000}">
      <text>
        <r>
          <rPr>
            <sz val="9"/>
            <color rgb="FF000000"/>
            <rFont val="Tahoma"/>
            <family val="2"/>
          </rPr>
          <t xml:space="preserve">Non Scoring
</t>
        </r>
        <r>
          <rPr>
            <sz val="9"/>
            <color rgb="FF000000"/>
            <rFont val="Tahoma"/>
            <family val="2"/>
          </rPr>
          <t xml:space="preserve">75m U13G
</t>
        </r>
        <r>
          <rPr>
            <sz val="9"/>
            <color rgb="FF000000"/>
            <rFont val="Tahoma"/>
            <family val="2"/>
          </rPr>
          <t xml:space="preserve">100m U13B
</t>
        </r>
        <r>
          <rPr>
            <sz val="9"/>
            <color rgb="FF000000"/>
            <rFont val="Tahoma"/>
            <family val="2"/>
          </rPr>
          <t xml:space="preserve">100m U15G
</t>
        </r>
        <r>
          <rPr>
            <sz val="9"/>
            <color rgb="FF000000"/>
            <rFont val="Tahoma"/>
            <family val="2"/>
          </rPr>
          <t xml:space="preserve">100m U15B
</t>
        </r>
      </text>
    </comment>
    <comment ref="M9" authorId="0" shapeId="0" xr:uid="{00000000-0006-0000-0100-000005000000}">
      <text>
        <r>
          <rPr>
            <sz val="9"/>
            <color rgb="FF000000"/>
            <rFont val="Tahoma"/>
            <family val="2"/>
          </rPr>
          <t xml:space="preserve">300m U15G
</t>
        </r>
        <r>
          <rPr>
            <sz val="9"/>
            <color rgb="FF000000"/>
            <rFont val="Tahoma"/>
            <family val="2"/>
          </rPr>
          <t xml:space="preserve">300m U15B
</t>
        </r>
        <r>
          <rPr>
            <sz val="9"/>
            <color rgb="FF000000"/>
            <rFont val="Tahoma"/>
            <family val="2"/>
          </rPr>
          <t xml:space="preserve">800m U13G
</t>
        </r>
        <r>
          <rPr>
            <sz val="9"/>
            <color rgb="FF000000"/>
            <rFont val="Tahoma"/>
            <family val="2"/>
          </rPr>
          <t xml:space="preserve">800m U13B
</t>
        </r>
      </text>
    </comment>
    <comment ref="M10" authorId="0" shapeId="0" xr:uid="{00000000-0006-0000-0100-000006000000}">
      <text>
        <r>
          <rPr>
            <sz val="9"/>
            <color rgb="FF000000"/>
            <rFont val="Tahoma"/>
            <family val="2"/>
          </rPr>
          <t xml:space="preserve">800m U15G
</t>
        </r>
        <r>
          <rPr>
            <sz val="9"/>
            <color rgb="FF000000"/>
            <rFont val="Tahoma"/>
            <family val="2"/>
          </rPr>
          <t xml:space="preserve">800m U15B
</t>
        </r>
        <r>
          <rPr>
            <sz val="9"/>
            <color rgb="FF000000"/>
            <rFont val="Tahoma"/>
            <family val="2"/>
          </rPr>
          <t xml:space="preserve">800m U13G NS
</t>
        </r>
        <r>
          <rPr>
            <sz val="9"/>
            <color rgb="FF000000"/>
            <rFont val="Tahoma"/>
            <family val="2"/>
          </rPr>
          <t>800m U13B ND</t>
        </r>
      </text>
    </comment>
    <comment ref="M11" authorId="0" shapeId="0" xr:uid="{00000000-0006-0000-0100-000007000000}">
      <text>
        <r>
          <rPr>
            <sz val="9"/>
            <color rgb="FF000000"/>
            <rFont val="Tahoma"/>
            <family val="2"/>
          </rPr>
          <t xml:space="preserve">800m U15G NS
</t>
        </r>
        <r>
          <rPr>
            <sz val="9"/>
            <color rgb="FF000000"/>
            <rFont val="Tahoma"/>
            <family val="2"/>
          </rPr>
          <t xml:space="preserve">800m U15B NS
</t>
        </r>
      </text>
    </comment>
    <comment ref="M13" authorId="0" shapeId="0" xr:uid="{00000000-0006-0000-0100-000008000000}">
      <text>
        <r>
          <rPr>
            <sz val="9"/>
            <color indexed="81"/>
            <rFont val="Tahoma"/>
            <family val="2"/>
          </rPr>
          <t>1200m U13G
1500m U13B
1500m U15G
1500m U15B</t>
        </r>
      </text>
    </comment>
    <comment ref="M15" authorId="0" shapeId="0" xr:uid="{00000000-0006-0000-0100-000009000000}">
      <text>
        <r>
          <rPr>
            <sz val="9"/>
            <color indexed="81"/>
            <rFont val="Tahoma"/>
            <family val="2"/>
          </rPr>
          <t>4 x 100m Relays
U13 Girls
U13 Boys
U15 Girls
U15 Boys</t>
        </r>
      </text>
    </comment>
    <comment ref="M16" authorId="0" shapeId="0" xr:uid="{00000000-0006-0000-0100-00000A000000}">
      <text>
        <r>
          <rPr>
            <sz val="9"/>
            <color rgb="FF000000"/>
            <rFont val="Tahoma"/>
            <family val="2"/>
          </rPr>
          <t xml:space="preserve">4 x 300m Relays
</t>
        </r>
        <r>
          <rPr>
            <sz val="9"/>
            <color rgb="FF000000"/>
            <rFont val="Tahoma"/>
            <family val="2"/>
          </rPr>
          <t xml:space="preserve">U15 Girls
</t>
        </r>
        <r>
          <rPr>
            <sz val="9"/>
            <color rgb="FF000000"/>
            <rFont val="Tahoma"/>
            <family val="2"/>
          </rPr>
          <t>U15 Boys</t>
        </r>
      </text>
    </comment>
    <comment ref="M18" authorId="0" shapeId="0" xr:uid="{00000000-0006-0000-0100-00000B000000}">
      <text>
        <r>
          <rPr>
            <sz val="9"/>
            <color rgb="FF000000"/>
            <rFont val="Tahoma"/>
            <family val="2"/>
          </rPr>
          <t xml:space="preserve">Hammer U15B
</t>
        </r>
        <r>
          <rPr>
            <sz val="9"/>
            <color rgb="FF000000"/>
            <rFont val="Tahoma"/>
            <family val="2"/>
          </rPr>
          <t xml:space="preserve">Hammer U15G
</t>
        </r>
        <r>
          <rPr>
            <sz val="9"/>
            <color rgb="FF000000"/>
            <rFont val="Tahoma"/>
            <family val="2"/>
          </rPr>
          <t xml:space="preserve">Shot U13G
</t>
        </r>
        <r>
          <rPr>
            <sz val="9"/>
            <color rgb="FF000000"/>
            <rFont val="Tahoma"/>
            <family val="2"/>
          </rPr>
          <t xml:space="preserve">Discus U15B
</t>
        </r>
      </text>
    </comment>
    <comment ref="M19" authorId="0" shapeId="0" xr:uid="{00000000-0006-0000-0100-00000C000000}">
      <text>
        <r>
          <rPr>
            <sz val="9"/>
            <color indexed="81"/>
            <rFont val="Tahoma"/>
            <family val="2"/>
          </rPr>
          <t xml:space="preserve">Discus U15G
Shot U15B
Javelin U15B
Javelin U15G
</t>
        </r>
      </text>
    </comment>
    <comment ref="M20" authorId="0" shapeId="0" xr:uid="{00000000-0006-0000-0100-00000D000000}">
      <text>
        <r>
          <rPr>
            <sz val="9"/>
            <color rgb="FF000000"/>
            <rFont val="Tahoma"/>
            <family val="2"/>
          </rPr>
          <t xml:space="preserve">Shot U13B
</t>
        </r>
        <r>
          <rPr>
            <sz val="9"/>
            <color rgb="FF000000"/>
            <rFont val="Tahoma"/>
            <family val="2"/>
          </rPr>
          <t xml:space="preserve">Javelin U13B
</t>
        </r>
        <r>
          <rPr>
            <sz val="9"/>
            <color rgb="FF000000"/>
            <rFont val="Tahoma"/>
            <family val="2"/>
          </rPr>
          <t xml:space="preserve">Shot U15G
</t>
        </r>
        <r>
          <rPr>
            <sz val="9"/>
            <color rgb="FF000000"/>
            <rFont val="Tahoma"/>
            <family val="2"/>
          </rPr>
          <t xml:space="preserve">Javelin U13G
</t>
        </r>
      </text>
    </comment>
    <comment ref="M21" authorId="0" shapeId="0" xr:uid="{00000000-0006-0000-0100-00000E000000}">
      <text>
        <r>
          <rPr>
            <sz val="9"/>
            <color indexed="81"/>
            <rFont val="Tahoma"/>
            <family val="2"/>
          </rPr>
          <t xml:space="preserve">Long Jump U13B
Long Jump U15G
Long Jump U13G
Long Jump U15B
</t>
        </r>
      </text>
    </comment>
    <comment ref="M22" authorId="0" shapeId="0" xr:uid="{00000000-0006-0000-0100-00000F000000}">
      <text>
        <r>
          <rPr>
            <sz val="9"/>
            <color indexed="81"/>
            <rFont val="Tahoma"/>
            <family val="2"/>
          </rPr>
          <t xml:space="preserve">High Jump U15G
High Jump U13B
High Jump U13G
Pole Vault U15B
</t>
        </r>
      </text>
    </comment>
    <comment ref="M23" authorId="0" shapeId="0" xr:uid="{00000000-0006-0000-0100-000010000000}">
      <text>
        <r>
          <rPr>
            <sz val="9"/>
            <color indexed="81"/>
            <rFont val="Tahoma"/>
            <family val="2"/>
          </rPr>
          <t xml:space="preserve">Pole Vault U15G
High Jump U15B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nection" type="4" refreshedVersion="0" background="1" saveData="1">
    <webPr url="https://athletics-uk.org/ukydl/declarations/download_lower_decs.asp?fixtureID=207&amp;matchno=1" htmlTables="1" htmlFormat="all"/>
  </connection>
  <connection id="2" xr16:uid="{00000000-0015-0000-FFFF-FFFF01000000}" name="Connection1" type="4" refreshedVersion="7" background="1" saveData="1">
    <webPr sourceData="1" parsePre="1" consecutive="1" xl2000="1" url="https://athletics-uk.org/ukydl/declarations/download_lower_decs.asp?fixtureID=221&amp;matchno=2"/>
  </connection>
  <connection id="3" xr16:uid="{00000000-0015-0000-FFFF-FFFF02000000}" name="Connection10" type="4" refreshedVersion="7" background="1" saveData="1">
    <webPr sourceData="1" parsePre="1" consecutive="1" xl2000="1" url="https://athletics-uk.org/ukydl/declarations/download_lower_decs.asp?fixtureID=231&amp;matchno=1"/>
  </connection>
  <connection id="4" xr16:uid="{00000000-0015-0000-FFFF-FFFF03000000}" name="Connection11" type="4" refreshedVersion="7" background="1" saveData="1">
    <webPr sourceData="1" parsePre="1" consecutive="1" xl2000="1" url="https://athletics-uk.org/ukydl/declarations/download_lower_decs.asp?fixtureID=223&amp;matchno=2"/>
  </connection>
  <connection id="5" xr16:uid="{00000000-0015-0000-FFFF-FFFF04000000}" name="Connection12" type="4" refreshedVersion="7" background="1" saveData="1">
    <webPr sourceData="1" parsePre="1" consecutive="1" xl2000="1" url="https://athletics-uk.org/ukydl/declarations/download_lower_decs.asp?fixtureID=223&amp;matchno=2"/>
  </connection>
  <connection id="6" xr16:uid="{00000000-0015-0000-FFFF-FFFF05000000}" name="Connection13" type="4" refreshedVersion="7" background="1" saveData="1">
    <webPr sourceData="1" parsePre="1" consecutive="1" xl2000="1" url="https://athletics-uk.org/ukydl/declarations/download_lower_decs.asp?fixtureID=223&amp;matchno=2"/>
  </connection>
  <connection id="7" xr16:uid="{00000000-0015-0000-FFFF-FFFF06000000}" name="Connection14" type="4" refreshedVersion="7" background="1" saveData="1">
    <webPr sourceData="1" parsePre="1" consecutive="1" xl2000="1" url="https://athletics-uk.org/ukydl/declarations/download_lower_decs.asp?fixtureID=223&amp;matchno=2"/>
  </connection>
  <connection id="8" xr16:uid="{00000000-0015-0000-FFFF-FFFF07000000}" name="Connection15" type="4" refreshedVersion="7" background="1" saveData="1">
    <webPr sourceData="1" parsePre="1" consecutive="1" xl2000="1" url="https://athletics-uk.org/ukydl/declarations/download_lower_decs.asp?fixtureID=223&amp;matchno=2"/>
  </connection>
  <connection id="9" xr16:uid="{00000000-0015-0000-FFFF-FFFF08000000}" name="Connection16" type="4" refreshedVersion="7" background="1" saveData="1">
    <webPr sourceData="1" parsePre="1" consecutive="1" xl2000="1" url="https://athletics-uk.org/ukydl/declarations/download_lower_decs.asp?fixtureID=223&amp;matchno=2"/>
  </connection>
  <connection id="10" xr16:uid="{00000000-0015-0000-FFFF-FFFF09000000}" name="Connection17" type="4" refreshedVersion="7" background="1" saveData="1">
    <webPr sourceData="1" parsePre="1" consecutive="1" xl2000="1" url="https://athletics-uk.org/ukydl/declarations/download_lower_decs.asp?fixtureID=223&amp;matchno=2"/>
  </connection>
  <connection id="11" xr16:uid="{00000000-0015-0000-FFFF-FFFF0A000000}" name="Connection18" type="4" refreshedVersion="7" background="1" saveData="1">
    <webPr sourceData="1" parsePre="1" consecutive="1" xl2000="1" url="https://athletics-uk.org/ukydl/declarations/download_lower_decs.asp?fixtureID=223&amp;matchno=2"/>
  </connection>
  <connection id="12" xr16:uid="{00000000-0015-0000-FFFF-FFFF0B000000}" name="Connection19" type="4" refreshedVersion="7" background="1" saveData="1">
    <webPr sourceData="1" parsePre="1" consecutive="1" xl2000="1" url="https://athletics-uk.org/ukydl/declarations/download_lower_decs.asp?fixtureID=223&amp;matchno=2"/>
  </connection>
  <connection id="13" xr16:uid="{00000000-0015-0000-FFFF-FFFF0C000000}" name="Connection2" type="4" refreshedVersion="7" background="1" saveData="1">
    <webPr sourceData="1" parsePre="1" consecutive="1" xl2000="1" url="https://athletics-uk.org/ukydl/declarations/download_lower_decs.asp?fixtureID=221&amp;matchno=1"/>
  </connection>
  <connection id="14" xr16:uid="{00000000-0015-0000-FFFF-FFFF0D000000}" name="Connection20" type="4" refreshedVersion="8" background="1" saveData="1">
    <webPr sourceData="1" parsePre="1" consecutive="1" xl2000="1" url="https://athletics-uk.org/ukydl/declarations/download_lower_decs.asp?fixtureID=223&amp;matchno=3"/>
  </connection>
  <connection id="15" xr16:uid="{00000000-0015-0000-FFFF-FFFF0E000000}" name="Connection21" type="4" refreshedVersion="8" background="1" saveData="1">
    <webPr sourceData="1" parsePre="1" consecutive="1" xl2000="1" url="https://athletics-uk.org/ukydl/declarations/LAG_records.asp"/>
  </connection>
  <connection id="16" xr16:uid="{00000000-0015-0000-FFFF-FFFF0F000000}" name="Connection22" type="4" refreshedVersion="8" background="1" saveData="1">
    <webPr sourceData="1" parsePre="1" consecutive="1" xl2000="1" url="https://athletics-uk.org/ukydl/declarations/download_lower_decs.asp?fixtureID=211&amp;matchno=3"/>
  </connection>
  <connection id="17" xr16:uid="{00000000-0015-0000-FFFF-FFFF10000000}" name="Connection23" type="4" refreshedVersion="8" background="1" saveData="1">
    <webPr sourceData="1" parsePre="1" consecutive="1" xl2000="1" url="https://athletics-uk.org/ukydl/declarations/LAG_records.asp"/>
  </connection>
  <connection id="18" xr16:uid="{00000000-0015-0000-FFFF-FFFF11000000}" name="Connection24" type="4" refreshedVersion="8" background="1" saveData="1">
    <webPr sourceData="1" parsePre="1" consecutive="1" xl2000="1" url="https://athletics-uk.org/ukydl/downloads/ukydl_standings.asp?fixtureID=223"/>
  </connection>
  <connection id="19" xr16:uid="{00000000-0015-0000-FFFF-FFFF12000000}" name="Connection25" type="4" refreshedVersion="8" background="1" saveData="1">
    <webPr sourceData="1" parsePre="1" consecutive="1" xl2000="1" url="https://athletics-uk.org/ukydl/declarations/LAG_records.asp"/>
  </connection>
  <connection id="20" xr16:uid="{00000000-0015-0000-FFFF-FFFF13000000}" name="Connection26" type="4" refreshedVersion="8" background="1" saveData="1">
    <webPr sourceData="1" parsePre="1" consecutive="1" xl2000="1" url="https://athletics-uk.org/ukydl/downloads/ukydl_standings.asp?fixtureID=223"/>
  </connection>
  <connection id="21" xr16:uid="{00000000-0015-0000-FFFF-FFFF14000000}" name="Connection27" type="4" refreshedVersion="8" background="1" saveData="1">
    <webPr sourceData="1" parsePre="1" consecutive="1" xl2000="1" url="https://athletics-uk.org/ukydl/declarations/LAG_records.asp"/>
  </connection>
  <connection id="22" xr16:uid="{00000000-0015-0000-FFFF-FFFF15000000}" name="Connection28" type="4" refreshedVersion="8" background="1" saveData="1">
    <webPr sourceData="1" parsePre="1" consecutive="1" xl2000="1" url="https://athletics-uk.org/ukydl/downloads/ukydl_standings.asp?fixtureID=223"/>
  </connection>
  <connection id="23" xr16:uid="{00000000-0015-0000-FFFF-FFFF16000000}" name="Connection29" type="4" refreshedVersion="8" background="1" saveData="1">
    <webPr sourceData="1" parsePre="1" consecutive="1" xl2000="1" url="https://athletics-uk.org/ukydl/declarations/LAG_records.asp"/>
  </connection>
  <connection id="24" xr16:uid="{00000000-0015-0000-FFFF-FFFF17000000}" name="Connection3" type="4" refreshedVersion="7" background="1" saveData="1">
    <webPr sourceData="1" parsePre="1" consecutive="1" xl2000="1" url="https://athletics-uk.org/ukydl/declarations/download_lower_decs.asp?fixtureID=223&amp;matchno=1"/>
  </connection>
  <connection id="25" xr16:uid="{00000000-0015-0000-FFFF-FFFF18000000}" name="Connection30" type="4" refreshedVersion="8" background="1" saveData="1">
    <webPr sourceData="1" parsePre="1" consecutive="1" xl2000="1" url="https://athletics-uk.org/ukydl/downloads/ukydl_standings.asp?fixtureID=211"/>
  </connection>
  <connection id="26" xr16:uid="{00000000-0015-0000-FFFF-FFFF19000000}" name="Connection31" type="4" refreshedVersion="8" background="1" saveData="1">
    <webPr sourceData="1" parsePre="1" consecutive="1" xl2000="1" url="https://athletics-uk.org/ukydl/declarations/download_lower_decs.asp?fixtureID=211&amp;matchno=3"/>
  </connection>
  <connection id="27" xr16:uid="{00000000-0015-0000-FFFF-FFFF1A000000}" name="Connection32" type="4" refreshedVersion="8" background="1" saveData="1">
    <webPr sourceData="1" parsePre="1" consecutive="1" xl2000="1" url="https://athletics-uk.org/ukydl/declarations/download_lower_decs.asp?fixtureID=211&amp;matchno=3"/>
  </connection>
  <connection id="28" xr16:uid="{00000000-0015-0000-FFFF-FFFF1B000000}" name="Connection33" type="4" refreshedVersion="8" background="1" saveData="1">
    <webPr sourceData="1" parsePre="1" consecutive="1" xl2000="1" url="https://athletics-uk.org/ukydl/declarations/download_lower_decs.asp?fixtureID=211&amp;matchno=3"/>
  </connection>
  <connection id="29" xr16:uid="{00000000-0015-0000-FFFF-FFFF1C000000}" name="Connection34" type="4" refreshedVersion="8" background="1" saveData="1">
    <webPr sourceData="1" parsePre="1" consecutive="1" xl2000="1" url="https://athletics-uk.org/ukydl/declarations/download_lower_decs.asp?fixtureID=211&amp;matchno=3"/>
  </connection>
  <connection id="30" xr16:uid="{00000000-0015-0000-FFFF-FFFF1D000000}" name="Connection35" type="4" refreshedVersion="8" background="1" saveData="1">
    <webPr sourceData="1" parsePre="1" consecutive="1" xl2000="1" url="https://athletics-uk.org/ukydl/declarations/download_lower_decs.asp?fixtureID=211&amp;matchno=3"/>
  </connection>
  <connection id="31" xr16:uid="{00000000-0015-0000-FFFF-FFFF1E000000}" name="Connection36" type="4" refreshedVersion="8" background="1" saveData="1">
    <webPr sourceData="1" parsePre="1" consecutive="1" xl2000="1" url="https://athletics-uk.org/ukydl/declarations/download_lower_decs.asp?fixtureID=211&amp;matchno=3"/>
  </connection>
  <connection id="32" xr16:uid="{00000000-0015-0000-FFFF-FFFF1F000000}" name="Connection37" type="4" refreshedVersion="8" background="1" saveData="1">
    <webPr sourceData="1" parsePre="1" consecutive="1" xl2000="1" url="https://athletics-uk.org/ukydl/declarations/download_lower_decs.asp?fixtureID=211&amp;matchno=3"/>
  </connection>
  <connection id="33" xr16:uid="{00000000-0015-0000-FFFF-FFFF20000000}" name="Connection38" type="4" refreshedVersion="8" background="1" saveData="1">
    <webPr sourceData="1" parsePre="1" consecutive="1" xl2000="1" url="https://athletics-uk.org/ukydl/declarations/download_lower_decs.asp?fixtureID=211&amp;matchno=3"/>
  </connection>
  <connection id="34" xr16:uid="{00000000-0015-0000-FFFF-FFFF21000000}" name="Connection39" type="4" refreshedVersion="8" background="1" saveData="1">
    <webPr sourceData="1" parsePre="1" consecutive="1" xl2000="1" url="https://athletics-uk.org/ukydl/declarations/download_lower_decs.asp?fixtureID=211&amp;matchno=3"/>
  </connection>
  <connection id="35" xr16:uid="{00000000-0015-0000-FFFF-FFFF22000000}" name="Connection4" type="4" refreshedVersion="7" background="1" saveData="1">
    <webPr sourceData="1" parsePre="1" consecutive="1" xl2000="1" url="https://athletics-uk.org/ukydl/declarations/download_lower_decs.asp?fixtureID=211&amp;matchno=1"/>
  </connection>
  <connection id="36" xr16:uid="{00000000-0015-0000-FFFF-FFFF23000000}" name="Connection40" type="4" refreshedVersion="8" background="1" saveData="1">
    <webPr sourceData="1" parsePre="1" consecutive="1" xl2000="1" url="https://athletics-uk.org/ukydl/declarations/download_lower_decs.asp?fixtureID=211&amp;matchno=3"/>
  </connection>
  <connection id="37" xr16:uid="{00000000-0015-0000-FFFF-FFFF24000000}" name="Connection41" type="4" refreshedVersion="8" background="1" saveData="1">
    <webPr sourceData="1" parsePre="1" consecutive="1" xl2000="1" url="https://athletics-uk.org/ukydl/declarations/download_lower_decs.asp?fixtureID=211&amp;matchno=3"/>
  </connection>
  <connection id="38" xr16:uid="{00000000-0015-0000-FFFF-FFFF25000000}" name="Connection42" type="4" refreshedVersion="7" background="1" saveData="1">
    <webPr sourceData="1" parsePre="1" consecutive="1" xl2000="1" url="https://athletics-uk.org/ukydl/declarations/LAG_records.asp"/>
  </connection>
  <connection id="39" xr16:uid="{00000000-0015-0000-FFFF-FFFF26000000}" name="Connection43" type="4" refreshedVersion="8" background="1" saveData="1">
    <webPr sourceData="1" parsePre="1" consecutive="1" xl2000="1" url="https://athletics-uk.org/ukydl/declarations/download_lower_decs.asp?fixtureID=211&amp;matchno=3"/>
  </connection>
  <connection id="40" xr16:uid="{00000000-0015-0000-FFFF-FFFF27000000}" name="Connection44" type="4" refreshedVersion="8" background="1" saveData="1">
    <webPr sourceData="1" parsePre="1" consecutive="1" xl2000="1" url="https://athletics-uk.org/ukydl/declarations/download_lower_decs.asp?fixtureID=211&amp;matchno=3"/>
  </connection>
  <connection id="41" xr16:uid="{00000000-0015-0000-FFFF-FFFF28000000}" name="Connection45" type="4" refreshedVersion="8" background="1" saveData="1">
    <webPr sourceData="1" parsePre="1" consecutive="1" xl2000="1" url="https://athletics-uk.org/ukydl/declarations/LAG_records.asp"/>
  </connection>
  <connection id="42" xr16:uid="{00000000-0015-0000-FFFF-FFFF29000000}" name="Connection46" type="4" refreshedVersion="8" background="1" saveData="1">
    <webPr sourceData="1" parsePre="1" consecutive="1" xl2000="1" url="https://athletics-uk.org/ukydl/downloads/ukydl_standings.asp?fixtureID=211"/>
  </connection>
  <connection id="43" xr16:uid="{00000000-0015-0000-FFFF-FFFF2A000000}" name="Connection47" type="4" refreshedVersion="8" background="1" saveData="1">
    <webPr sourceData="1" parsePre="1" consecutive="1" xl2000="1" url="https://athletics-uk.org/ukydl/downloads/ukydl_standings.asp?fixtureID=211"/>
  </connection>
  <connection id="44" xr16:uid="{00000000-0015-0000-FFFF-FFFF2B000000}" name="Connection48" type="4" refreshedVersion="8" background="1" saveData="1">
    <webPr sourceData="1" parsePre="1" consecutive="1" xl2000="1" url="https://athletics-uk.org/ukydl/declarations/download_lower_decs.asp?fixtureID=244&amp;matchno=4"/>
  </connection>
  <connection id="45" xr16:uid="{00000000-0015-0000-FFFF-FFFF2C000000}" name="Connection49" type="4" refreshedVersion="8" background="1" saveData="1">
    <webPr sourceData="1" parsePre="1" consecutive="1" xl2000="1" url="https://athletics-uk.org/ukydl/declarations/download_lower_decs.asp?fixtureID=241&amp;matchno=4"/>
  </connection>
  <connection id="46" xr16:uid="{00000000-0015-0000-FFFF-FFFF2D000000}" name="Connection5" type="4" refreshedVersion="7" background="1" saveData="1">
    <webPr sourceData="1" parsePre="1" consecutive="1" xl2000="1" url="https://athletics-uk.org/ukydl/declarations/download_lower_decs.asp?fixtureID=218&amp;matchno=1"/>
  </connection>
  <connection id="47" xr16:uid="{00000000-0015-0000-FFFF-FFFF2E000000}" name="Connection50" type="4" refreshedVersion="8" background="1" saveData="1">
    <webPr sourceData="1" parsePre="1" consecutive="1" xl2000="1" url="https://athletics-uk.org/ukydl/declarations/LAG_records.asp"/>
  </connection>
  <connection id="48" xr16:uid="{00000000-0015-0000-FFFF-FFFF2F000000}" name="Connection51" type="4" refreshedVersion="8" background="1" saveData="1">
    <webPr sourceData="1" parsePre="1" consecutive="1" xl2000="1" url="https://athletics-uk.org/ukydl/downloads/ukydl_standings.asp?fixtureID=241"/>
  </connection>
  <connection id="49" xr16:uid="{00000000-0015-0000-FFFF-FFFF30000000}" name="Connection52" type="4" refreshedVersion="8" background="1" saveData="1">
    <webPr sourceData="1" parsePre="1" consecutive="1" xl2000="1" url="https://athletics-uk.org/ukydl/declarations/download_lower_decs.asp?fixtureID=201&amp;matchno=1"/>
  </connection>
  <connection id="50" xr16:uid="{00000000-0015-0000-FFFF-FFFF31000000}" name="Connection53" type="4" refreshedVersion="8" background="1" saveData="1">
    <webPr sourceData="1" parsePre="1" consecutive="1" xl2000="1" url="https://athletics-uk.org/ukydl/declarations/download_lower_decs.asp?fixtureID=223&amp;matchno=1"/>
  </connection>
  <connection id="51" xr16:uid="{00000000-0015-0000-FFFF-FFFF32000000}" name="Connection54" type="4" refreshedVersion="8" background="1" saveData="1">
    <webPr sourceData="1" parsePre="1" consecutive="1" xl2000="1" url="https://athletics-uk.org/ukydl/declarations/download_lower_decs.asp?fixtureID=212&amp;matchno=1"/>
  </connection>
  <connection id="52" xr16:uid="{00000000-0015-0000-FFFF-FFFF33000000}" name="Connection55" type="4" refreshedVersion="8" background="1" saveData="1">
    <webPr sourceData="1" parsePre="1" consecutive="1" xl2000="1" url="https://athletics-uk.org/ukydl/declarations/download_lower_decs.asp?fixtureID=235&amp;matchno=1"/>
  </connection>
  <connection id="53" xr16:uid="{00000000-0015-0000-FFFF-FFFF34000000}" name="Connection56" type="4" refreshedVersion="8" background="1" saveData="1">
    <webPr sourceData="1" parsePre="1" consecutive="1" xl2000="1" url="https://athletics-uk.org/ukydl/declarations/LAG_records.asp"/>
  </connection>
  <connection id="54" xr16:uid="{00000000-0015-0000-FFFF-FFFF35000000}" name="Connection57" type="4" refreshedVersion="8" background="1" saveData="1">
    <webPr sourceData="1" parsePre="1" consecutive="1" xl2000="1" url="https://athletics-uk.org/ukydl/downloads/ukydl_standings.asp?fixtureID=235"/>
  </connection>
  <connection id="55" xr16:uid="{00000000-0015-0000-FFFF-FFFF36000000}" name="Connection58" type="4" refreshedVersion="6" background="1" saveData="1">
    <webPr sourceData="1" parsePre="1" consecutive="1" xl2000="1" url="https://athletics-uk.org/ukydl/downloads/ukydl_standings.asp?fixtureID=235"/>
  </connection>
  <connection id="56" xr16:uid="{00000000-0015-0000-FFFF-FFFF37000000}" name="Connection59" type="4" refreshedVersion="6" background="1" saveData="1">
    <webPr sourceData="1" parsePre="1" consecutive="1" xl2000="1" url="https://athletics-uk.org/ukydl/declarations/download_lower_decs.asp?fixtureID=207&amp;matchno=1"/>
  </connection>
  <connection id="57" xr16:uid="{00000000-0015-0000-FFFF-FFFF38000000}" name="Connection6" type="4" refreshedVersion="7" background="1" saveData="1">
    <webPr sourceData="1" parsePre="1" consecutive="1" xl2000="1" url="https://athletics-uk.org/ukydl/declarations/download_lower_decs.asp?fixtureID=212&amp;matchno=1"/>
  </connection>
  <connection id="58" xr16:uid="{00000000-0015-0000-FFFF-FFFF39000000}" name="Connection60" type="4" refreshedVersion="6" background="1" saveData="1">
    <webPr sourceData="1" parsePre="1" consecutive="1" xl2000="1" url="https://athletics-uk.org/ukydl/declarations/download_lower_decs.asp?fixtureID=207&amp;matchno=1"/>
  </connection>
  <connection id="59" xr16:uid="{00000000-0015-0000-FFFF-FFFF3A000000}" name="Connection61" type="4" refreshedVersion="6" background="1" saveData="1">
    <webPr sourceData="1" parsePre="1" consecutive="1" xl2000="1" url="https://athletics-uk.org/ukydl/declarations/LAG_records.asp"/>
  </connection>
  <connection id="60" xr16:uid="{00000000-0015-0000-FFFF-FFFF3B000000}" name="Connection62" type="4" refreshedVersion="6" background="1" saveData="1">
    <webPr sourceData="1" parsePre="1" consecutive="1" xl2000="1" url="https://athletics-uk.org/ukydl/downloads/ukydl_standings.asp?fixtureID=207"/>
  </connection>
  <connection id="61" xr16:uid="{00000000-0015-0000-FFFF-FFFF3C000000}" name="Connection63" type="4" refreshedVersion="6" background="1" saveData="1">
    <webPr sourceData="1" parsePre="1" consecutive="1" xl2000="1" url="https://athletics-uk.org/ukydl/declarations/download_lower_decs.asp?fixtureID=207&amp;matchno=1"/>
  </connection>
  <connection id="62" xr16:uid="{00000000-0015-0000-FFFF-FFFF3D000000}" name="Connection64" type="4" refreshedVersion="6" background="1" saveData="1">
    <webPr sourceData="1" parsePre="1" consecutive="1" xl2000="1" url="https://athletics-uk.org/ukydl/declarations/download_lower_decs.asp?fixtureID=207&amp;matchno=1"/>
  </connection>
  <connection id="63" xr16:uid="{00000000-0015-0000-FFFF-FFFF3E000000}" name="Connection7" type="4" refreshedVersion="7" background="1" saveData="1">
    <webPr sourceData="1" parsePre="1" consecutive="1" xl2000="1" url="https://athletics-uk.org/ukydl/declarations/download_lower_decs.asp?fixtureID=231&amp;matchno=1"/>
  </connection>
  <connection id="64" xr16:uid="{00000000-0015-0000-FFFF-FFFF3F000000}" name="Connection8" type="4" refreshedVersion="7" background="1" saveData="1">
    <webPr sourceData="1" parsePre="1" consecutive="1" xl2000="1" url="https://athletics-uk.org/ukydl/declarations/download_lower_decs.asp?fixtureID=231&amp;matchno=1"/>
  </connection>
  <connection id="65" xr16:uid="{00000000-0015-0000-FFFF-FFFF40000000}" name="Connection9" type="4" refreshedVersion="7" background="1" saveData="1">
    <webPr sourceData="1" parsePre="1" consecutive="1" xl2000="1" url="https://athletics-uk.org/ukydl/declarations/download_lower_decs.asp?fixtureID=231&amp;matchno=1"/>
  </connection>
</connections>
</file>

<file path=xl/sharedStrings.xml><?xml version="1.0" encoding="utf-8"?>
<sst xmlns="http://schemas.openxmlformats.org/spreadsheetml/2006/main" count="6526" uniqueCount="1815">
  <si>
    <t>Time</t>
  </si>
  <si>
    <t>Event</t>
  </si>
  <si>
    <t>M/F</t>
  </si>
  <si>
    <t>70m Hurdles</t>
  </si>
  <si>
    <t>U13 Girls</t>
  </si>
  <si>
    <t>75m Hurdles</t>
  </si>
  <si>
    <t>U13 Boys</t>
  </si>
  <si>
    <t>U15 Girls</t>
  </si>
  <si>
    <t>80m Hurdles</t>
  </si>
  <si>
    <t>U15 Boys</t>
  </si>
  <si>
    <t>150m</t>
  </si>
  <si>
    <t>200m</t>
  </si>
  <si>
    <t>800m</t>
  </si>
  <si>
    <t>800m NS</t>
  </si>
  <si>
    <t>75m</t>
  </si>
  <si>
    <t>75m NS</t>
  </si>
  <si>
    <t>100m</t>
  </si>
  <si>
    <t>100m NS</t>
  </si>
  <si>
    <t>300m</t>
  </si>
  <si>
    <t>1200m</t>
  </si>
  <si>
    <t>1500m</t>
  </si>
  <si>
    <t>Hammer</t>
  </si>
  <si>
    <t>Long Jump</t>
  </si>
  <si>
    <t>High Jump</t>
  </si>
  <si>
    <t>Shot</t>
  </si>
  <si>
    <t>Discus</t>
  </si>
  <si>
    <t xml:space="preserve">U15 Boys </t>
  </si>
  <si>
    <t>Pole Vault</t>
  </si>
  <si>
    <t>Javelin</t>
  </si>
  <si>
    <t>LAG_NP</t>
  </si>
  <si>
    <t>LAG_P</t>
  </si>
  <si>
    <t>Triple Jump</t>
  </si>
  <si>
    <t>LT01</t>
  </si>
  <si>
    <t>LT02</t>
  </si>
  <si>
    <t>LT03</t>
  </si>
  <si>
    <t>LT04</t>
  </si>
  <si>
    <t>LT05</t>
  </si>
  <si>
    <t>LT06</t>
  </si>
  <si>
    <t>LT07</t>
  </si>
  <si>
    <t>LT08</t>
  </si>
  <si>
    <t>LT09</t>
  </si>
  <si>
    <t>LT10</t>
  </si>
  <si>
    <t>LT11</t>
  </si>
  <si>
    <t>LT12</t>
  </si>
  <si>
    <t>LT13</t>
  </si>
  <si>
    <t>LT14</t>
  </si>
  <si>
    <t>LT15</t>
  </si>
  <si>
    <t>LT16</t>
  </si>
  <si>
    <t>LT17</t>
  </si>
  <si>
    <t>Match 1</t>
  </si>
  <si>
    <t>Match 2</t>
  </si>
  <si>
    <t>Match 3</t>
  </si>
  <si>
    <t>Match 4</t>
  </si>
  <si>
    <t>A</t>
  </si>
  <si>
    <t>B</t>
  </si>
  <si>
    <t>AAA</t>
  </si>
  <si>
    <t>Under 15 Girls</t>
  </si>
  <si>
    <t>Under 13 Girls</t>
  </si>
  <si>
    <t>Under 15 Boys</t>
  </si>
  <si>
    <t>Under 13 Boys</t>
  </si>
  <si>
    <t>4 x 100m</t>
  </si>
  <si>
    <t>4 x 300m</t>
  </si>
  <si>
    <t>Row #</t>
  </si>
  <si>
    <t>Event ID</t>
  </si>
  <si>
    <t>EventID</t>
  </si>
  <si>
    <t>clubname</t>
  </si>
  <si>
    <t>AW_abbr</t>
  </si>
  <si>
    <t>Region</t>
  </si>
  <si>
    <t>division</t>
  </si>
  <si>
    <t>LOWER</t>
  </si>
  <si>
    <t>Chesterfield &amp; District AC</t>
  </si>
  <si>
    <t>City of Sheffield &amp; Dearne AC</t>
  </si>
  <si>
    <t>Preston Harriers</t>
  </si>
  <si>
    <t>Kingston upon Hull AC</t>
  </si>
  <si>
    <t>Leeds City AC</t>
  </si>
  <si>
    <t>West Cheshire AC</t>
  </si>
  <si>
    <t>Wirral AC</t>
  </si>
  <si>
    <t>Doncaster AC</t>
  </si>
  <si>
    <t>City of York AC</t>
  </si>
  <si>
    <t>Lincoln Wellington AC</t>
  </si>
  <si>
    <t>Crewe &amp; Nantwich AC</t>
  </si>
  <si>
    <t>Trafford AC</t>
  </si>
  <si>
    <t>Horwich RMI Harriers</t>
  </si>
  <si>
    <t>Warrington AC</t>
  </si>
  <si>
    <t>Blackpool Wyre &amp; Fylde AC</t>
  </si>
  <si>
    <t>Bury AC</t>
  </si>
  <si>
    <t>Southport Waterloo AC</t>
  </si>
  <si>
    <t>Altrincham &amp; District AC</t>
  </si>
  <si>
    <t>Salford Metropolitan AC</t>
  </si>
  <si>
    <t>Level</t>
  </si>
  <si>
    <t>Match</t>
  </si>
  <si>
    <t>Number of Teams</t>
  </si>
  <si>
    <t>Date</t>
  </si>
  <si>
    <t>Venue</t>
  </si>
  <si>
    <t>Host Club</t>
  </si>
  <si>
    <t>Team Name</t>
  </si>
  <si>
    <t>Abbrev.</t>
  </si>
  <si>
    <t>I</t>
  </si>
  <si>
    <t>No. of Teams</t>
  </si>
  <si>
    <t>Start Letter</t>
  </si>
  <si>
    <t>Column #</t>
  </si>
  <si>
    <t>Q</t>
  </si>
  <si>
    <t>Y</t>
  </si>
  <si>
    <t>AG</t>
  </si>
  <si>
    <t>AP</t>
  </si>
  <si>
    <t>AW</t>
  </si>
  <si>
    <t>BD</t>
  </si>
  <si>
    <t>BK</t>
  </si>
  <si>
    <t>BS</t>
  </si>
  <si>
    <t>BY</t>
  </si>
  <si>
    <t>CE</t>
  </si>
  <si>
    <t>CK</t>
  </si>
  <si>
    <t>CR</t>
  </si>
  <si>
    <t>CW</t>
  </si>
  <si>
    <t>DB</t>
  </si>
  <si>
    <t>DG</t>
  </si>
  <si>
    <t>ID</t>
  </si>
  <si>
    <t>Lane Draws Start</t>
  </si>
  <si>
    <t>Bib</t>
  </si>
  <si>
    <t xml:space="preserve">DATE </t>
  </si>
  <si>
    <t>EVENT</t>
  </si>
  <si>
    <t>TIME</t>
  </si>
  <si>
    <t>Order</t>
  </si>
  <si>
    <t>No</t>
  </si>
  <si>
    <t>NAME</t>
  </si>
  <si>
    <t>CLUB</t>
  </si>
  <si>
    <t>1st Trial</t>
  </si>
  <si>
    <t>2nd Trial</t>
  </si>
  <si>
    <t>3rd Trial</t>
  </si>
  <si>
    <t>Best of 3</t>
  </si>
  <si>
    <t>Position after
3 Trials</t>
  </si>
  <si>
    <t>4th Trial</t>
  </si>
  <si>
    <t>5th Trial</t>
  </si>
  <si>
    <t>6th Trial</t>
  </si>
  <si>
    <t>Best of All</t>
  </si>
  <si>
    <t>Final
Positionn</t>
  </si>
  <si>
    <t>A or B</t>
  </si>
  <si>
    <t>Metres</t>
  </si>
  <si>
    <t/>
  </si>
  <si>
    <t>"A STRING" RESULT</t>
  </si>
  <si>
    <t>"B STRING" RESULT</t>
  </si>
  <si>
    <t>No.</t>
  </si>
  <si>
    <t>DISTANCE</t>
  </si>
  <si>
    <t>YDL: DISTANCE CARD</t>
  </si>
  <si>
    <t>REGION/DIVISION</t>
  </si>
  <si>
    <t>LEAD</t>
  </si>
  <si>
    <t>Premier Match</t>
  </si>
  <si>
    <t>Lancaster &amp; Morecambe AC</t>
  </si>
  <si>
    <t>NORTH</t>
  </si>
  <si>
    <r>
      <t>VENUE</t>
    </r>
    <r>
      <rPr>
        <sz val="9"/>
        <rFont val="Trebuchet MS"/>
        <family val="2"/>
      </rPr>
      <t xml:space="preserve"> </t>
    </r>
  </si>
  <si>
    <t>Record</t>
  </si>
  <si>
    <t>Rec</t>
  </si>
  <si>
    <t>5 teams</t>
  </si>
  <si>
    <t>6 teams</t>
  </si>
  <si>
    <t>7 teams</t>
  </si>
  <si>
    <t>8 teams</t>
  </si>
  <si>
    <t>Z</t>
  </si>
  <si>
    <t>AA</t>
  </si>
  <si>
    <t>AB</t>
  </si>
  <si>
    <t>T</t>
  </si>
  <si>
    <t>U</t>
  </si>
  <si>
    <t>V</t>
  </si>
  <si>
    <t>W</t>
  </si>
  <si>
    <t>O</t>
  </si>
  <si>
    <t>P</t>
  </si>
  <si>
    <t>R</t>
  </si>
  <si>
    <t>J</t>
  </si>
  <si>
    <t>K</t>
  </si>
  <si>
    <t>L</t>
  </si>
  <si>
    <t>M</t>
  </si>
  <si>
    <t>E</t>
  </si>
  <si>
    <t>F</t>
  </si>
  <si>
    <t>G</t>
  </si>
  <si>
    <t>H</t>
  </si>
  <si>
    <t>Athlete</t>
  </si>
  <si>
    <t>Club</t>
  </si>
  <si>
    <t>Perf</t>
  </si>
  <si>
    <t>Posn</t>
  </si>
  <si>
    <t>LFD01</t>
  </si>
  <si>
    <t>LFD02</t>
  </si>
  <si>
    <t>LFH01</t>
  </si>
  <si>
    <t>LFH02</t>
  </si>
  <si>
    <t>LFD05</t>
  </si>
  <si>
    <t>LFD03</t>
  </si>
  <si>
    <t>LFD04</t>
  </si>
  <si>
    <t>LFH03</t>
  </si>
  <si>
    <t>LFH04</t>
  </si>
  <si>
    <t>LFH05</t>
  </si>
  <si>
    <t>LFH06</t>
  </si>
  <si>
    <t>LFD06</t>
  </si>
  <si>
    <t>LFD07</t>
  </si>
  <si>
    <t>LFD08</t>
  </si>
  <si>
    <t>LFD09</t>
  </si>
  <si>
    <t>LFD10</t>
  </si>
  <si>
    <t>LFD11</t>
  </si>
  <si>
    <t>LFD12</t>
  </si>
  <si>
    <t>1=</t>
  </si>
  <si>
    <t>1==</t>
  </si>
  <si>
    <t>1===</t>
  </si>
  <si>
    <t>1====</t>
  </si>
  <si>
    <t>Points</t>
  </si>
  <si>
    <t>Field</t>
  </si>
  <si>
    <t>Total</t>
  </si>
  <si>
    <t>FD01</t>
  </si>
  <si>
    <t>FD02</t>
  </si>
  <si>
    <t>FD03</t>
  </si>
  <si>
    <t>Wind</t>
  </si>
  <si>
    <t>FD04</t>
  </si>
  <si>
    <t>FD05</t>
  </si>
  <si>
    <t>FD06</t>
  </si>
  <si>
    <t>FD07</t>
  </si>
  <si>
    <t>FD08</t>
  </si>
  <si>
    <t>FD09</t>
  </si>
  <si>
    <t>FD10</t>
  </si>
  <si>
    <t>FD11</t>
  </si>
  <si>
    <t>FD12</t>
  </si>
  <si>
    <t>FD13</t>
  </si>
  <si>
    <t>FD14</t>
  </si>
  <si>
    <t>FD15</t>
  </si>
  <si>
    <t>FD16</t>
  </si>
  <si>
    <t>2=</t>
  </si>
  <si>
    <t>2==</t>
  </si>
  <si>
    <t>2===</t>
  </si>
  <si>
    <t>3=</t>
  </si>
  <si>
    <t>3==</t>
  </si>
  <si>
    <t>4=</t>
  </si>
  <si>
    <t>1=====</t>
  </si>
  <si>
    <t>2====</t>
  </si>
  <si>
    <t>3===</t>
  </si>
  <si>
    <t>4==</t>
  </si>
  <si>
    <t>5=</t>
  </si>
  <si>
    <t>1======</t>
  </si>
  <si>
    <t>2=====</t>
  </si>
  <si>
    <t>3====</t>
  </si>
  <si>
    <t>4===</t>
  </si>
  <si>
    <t>5==</t>
  </si>
  <si>
    <t>6=</t>
  </si>
  <si>
    <t>6==</t>
  </si>
  <si>
    <t>7=</t>
  </si>
  <si>
    <t>1=======</t>
  </si>
  <si>
    <t>2======</t>
  </si>
  <si>
    <t>3=====</t>
  </si>
  <si>
    <t>4====</t>
  </si>
  <si>
    <t>5===</t>
  </si>
  <si>
    <t>LFW01</t>
  </si>
  <si>
    <t>LFW02</t>
  </si>
  <si>
    <t>LFW03</t>
  </si>
  <si>
    <t>LFW04</t>
  </si>
  <si>
    <t>FW01</t>
  </si>
  <si>
    <t>FW02</t>
  </si>
  <si>
    <t>FW03</t>
  </si>
  <si>
    <t>FW04</t>
  </si>
  <si>
    <t>FW05</t>
  </si>
  <si>
    <t>FW06</t>
  </si>
  <si>
    <t>FW07</t>
  </si>
  <si>
    <t>FW08</t>
  </si>
  <si>
    <t>LTD01</t>
  </si>
  <si>
    <t>LTD02</t>
  </si>
  <si>
    <t>LTD03</t>
  </si>
  <si>
    <t>LTD04</t>
  </si>
  <si>
    <t>LTDR1</t>
  </si>
  <si>
    <t>LTDR2</t>
  </si>
  <si>
    <t>LTR1</t>
  </si>
  <si>
    <t>LTR2</t>
  </si>
  <si>
    <t>LTR3</t>
  </si>
  <si>
    <t>LTR4</t>
  </si>
  <si>
    <t>Best of
All</t>
  </si>
  <si>
    <t>Trials at
Ht Cleared</t>
  </si>
  <si>
    <t>Total 
Failures</t>
  </si>
  <si>
    <t>Tie</t>
  </si>
  <si>
    <t>HEIGHT</t>
  </si>
  <si>
    <t>YDL: HEIGHT CARD</t>
  </si>
  <si>
    <t>FH01</t>
  </si>
  <si>
    <t>FH02</t>
  </si>
  <si>
    <t>FH03</t>
  </si>
  <si>
    <t>FH04</t>
  </si>
  <si>
    <t>FH05</t>
  </si>
  <si>
    <t>FH06</t>
  </si>
  <si>
    <t>FH07</t>
  </si>
  <si>
    <t>FH08</t>
  </si>
  <si>
    <t>C</t>
  </si>
  <si>
    <t>S</t>
  </si>
  <si>
    <t>SOUTH</t>
  </si>
  <si>
    <t>Bracknell AC</t>
  </si>
  <si>
    <t>Southampton AC</t>
  </si>
  <si>
    <t>Guildford &amp; Godalming AC</t>
  </si>
  <si>
    <t>Crawley AC</t>
  </si>
  <si>
    <t>Lewes AC</t>
  </si>
  <si>
    <t>Reading AC</t>
  </si>
  <si>
    <t>Tonbridge AC</t>
  </si>
  <si>
    <t>Winchester &amp; District AC</t>
  </si>
  <si>
    <t>Woking AC</t>
  </si>
  <si>
    <t>Hillingdon AC</t>
  </si>
  <si>
    <t>Hastings AC</t>
  </si>
  <si>
    <t>Bexley AC</t>
  </si>
  <si>
    <t>Croydon Harriers</t>
  </si>
  <si>
    <t>City of Portsmouth AC</t>
  </si>
  <si>
    <t>Havering AC</t>
  </si>
  <si>
    <t>Basildon AC</t>
  </si>
  <si>
    <t>Herne Hill Harriers</t>
  </si>
  <si>
    <t>Walton AC</t>
  </si>
  <si>
    <t>Vale of Aylesbury AC</t>
  </si>
  <si>
    <t>Birchfield Harriers</t>
  </si>
  <si>
    <t>Charnwood AC</t>
  </si>
  <si>
    <t>Marshall Milton Keynes AC</t>
  </si>
  <si>
    <t>Rugby &amp; Northampton AC</t>
  </si>
  <si>
    <t>Solihull &amp; Small Heath AC</t>
  </si>
  <si>
    <t>Wolverhampton &amp; Bilston AC</t>
  </si>
  <si>
    <t>Cannock &amp; Stafford AC</t>
  </si>
  <si>
    <t>City of Stoke AC</t>
  </si>
  <si>
    <t>Coventry Godiva Harriers</t>
  </si>
  <si>
    <t>Leicester Coritanian AC</t>
  </si>
  <si>
    <t>Notts AC</t>
  </si>
  <si>
    <t>Royal Sutton Coldfield AC</t>
  </si>
  <si>
    <t>Burton AC</t>
  </si>
  <si>
    <t>Derby AC</t>
  </si>
  <si>
    <t>Bicester AC</t>
  </si>
  <si>
    <t>Saffron AC</t>
  </si>
  <si>
    <t>Bromsgrove &amp; Redditch AC</t>
  </si>
  <si>
    <t>Dudley &amp; Stourbridge Harriers</t>
  </si>
  <si>
    <t>Halesowen A &amp; CC</t>
  </si>
  <si>
    <t>Kidderminster &amp; Stourport AC</t>
  </si>
  <si>
    <t>Tamworth AC</t>
  </si>
  <si>
    <t>Telford AC</t>
  </si>
  <si>
    <t>Tipton Harriers</t>
  </si>
  <si>
    <t>Cheltenham &amp; County Harriers</t>
  </si>
  <si>
    <t>Yate &amp; District AC</t>
  </si>
  <si>
    <t>Gloucester AC</t>
  </si>
  <si>
    <t>Swindon Harriers</t>
  </si>
  <si>
    <t>Worcester AC</t>
  </si>
  <si>
    <t>Neath Harriers</t>
  </si>
  <si>
    <t>Newport Harriers</t>
  </si>
  <si>
    <t>North Somerset AC</t>
  </si>
  <si>
    <t>MIDLAND</t>
  </si>
  <si>
    <t>Shot Put</t>
  </si>
  <si>
    <t>4 x 100 Relay</t>
  </si>
  <si>
    <t>80mH</t>
  </si>
  <si>
    <t>4 X 300 Relay</t>
  </si>
  <si>
    <t>Stoke</t>
  </si>
  <si>
    <t>75mH</t>
  </si>
  <si>
    <t>70mH</t>
  </si>
  <si>
    <t>Lewes</t>
  </si>
  <si>
    <t>TR1</t>
  </si>
  <si>
    <t>TR2</t>
  </si>
  <si>
    <t>TR3</t>
  </si>
  <si>
    <t>TR4</t>
  </si>
  <si>
    <t>TDR1</t>
  </si>
  <si>
    <t>TDR2</t>
  </si>
  <si>
    <t>LTD81</t>
  </si>
  <si>
    <t>LTD82</t>
  </si>
  <si>
    <t>LTD83</t>
  </si>
  <si>
    <t>LTD84</t>
  </si>
  <si>
    <t>LTD85</t>
  </si>
  <si>
    <t>LTD86</t>
  </si>
  <si>
    <t>LTD87</t>
  </si>
  <si>
    <t>LTD88</t>
  </si>
  <si>
    <t>LT18</t>
  </si>
  <si>
    <t>numbers_</t>
  </si>
  <si>
    <t>Abbrv.</t>
  </si>
  <si>
    <t>Track2</t>
  </si>
  <si>
    <t>Track1</t>
  </si>
  <si>
    <t>Notts Lincs Alliance ©</t>
  </si>
  <si>
    <t>South Wales ©</t>
  </si>
  <si>
    <t>Final
Position</t>
  </si>
  <si>
    <t>Relays</t>
  </si>
  <si>
    <t>Officials</t>
  </si>
  <si>
    <t>Leg 1</t>
  </si>
  <si>
    <t>Leg 2</t>
  </si>
  <si>
    <t>Leg 3</t>
  </si>
  <si>
    <t>Leg 4</t>
  </si>
  <si>
    <t>League</t>
  </si>
  <si>
    <t>B/fwd L</t>
  </si>
  <si>
    <t>Total L</t>
  </si>
  <si>
    <t>TOTAL EVENTS</t>
  </si>
  <si>
    <t>EVENT SCORED</t>
  </si>
  <si>
    <t>REMAINING</t>
  </si>
  <si>
    <t>REGION</t>
  </si>
  <si>
    <t>LEVEL</t>
  </si>
  <si>
    <t>DIVISION</t>
  </si>
  <si>
    <t>MATCH</t>
  </si>
  <si>
    <t>SCOTLAND</t>
  </si>
  <si>
    <t>Central AC</t>
  </si>
  <si>
    <t>Aberdeen AAC</t>
  </si>
  <si>
    <t>LAGSC</t>
  </si>
  <si>
    <t>Dundee Hawkhill Harriers</t>
  </si>
  <si>
    <t>Go To</t>
  </si>
  <si>
    <t>Scored</t>
  </si>
  <si>
    <t>East Cheshire H &amp; Tameside AC</t>
  </si>
  <si>
    <t>Team Dorset ©</t>
  </si>
  <si>
    <t>Edinburgh AC</t>
  </si>
  <si>
    <t>Pitreavie AAC</t>
  </si>
  <si>
    <t>Kilbarchan AAC</t>
  </si>
  <si>
    <t>Shettleston Harriers</t>
  </si>
  <si>
    <t>Banchory Stonehaven AC</t>
  </si>
  <si>
    <t>South Lanarkshire ©</t>
  </si>
  <si>
    <t>Team IOM Youth ©</t>
  </si>
  <si>
    <t>Team North Cumbria ©</t>
  </si>
  <si>
    <t>LAGNO</t>
  </si>
  <si>
    <t>LAGSO</t>
  </si>
  <si>
    <t>LAGMI</t>
  </si>
  <si>
    <t>Gate</t>
  </si>
  <si>
    <t>Leeds C</t>
  </si>
  <si>
    <t>Liv H</t>
  </si>
  <si>
    <t>W Ches</t>
  </si>
  <si>
    <t>C'field</t>
  </si>
  <si>
    <t>C&amp;N</t>
  </si>
  <si>
    <t>Wirr</t>
  </si>
  <si>
    <t>L&amp;M</t>
  </si>
  <si>
    <t>Bolt</t>
  </si>
  <si>
    <t>Macc</t>
  </si>
  <si>
    <t>Alt</t>
  </si>
  <si>
    <t>Dees</t>
  </si>
  <si>
    <t>SHS</t>
  </si>
  <si>
    <t>Warr</t>
  </si>
  <si>
    <t>Wrex</t>
  </si>
  <si>
    <t>BWF</t>
  </si>
  <si>
    <t>Bord H</t>
  </si>
  <si>
    <t>Horw</t>
  </si>
  <si>
    <t>Salf M</t>
  </si>
  <si>
    <t>S'port W</t>
  </si>
  <si>
    <t>York</t>
  </si>
  <si>
    <t>Donc</t>
  </si>
  <si>
    <t>Hallam</t>
  </si>
  <si>
    <t>Roth</t>
  </si>
  <si>
    <t>Linc W</t>
  </si>
  <si>
    <t>Prest</t>
  </si>
  <si>
    <t>Bas</t>
  </si>
  <si>
    <t>Bex</t>
  </si>
  <si>
    <t>Bic</t>
  </si>
  <si>
    <t>Bir</t>
  </si>
  <si>
    <t>A'deen</t>
  </si>
  <si>
    <t>Arb</t>
  </si>
  <si>
    <t>Banc</t>
  </si>
  <si>
    <t>Centr</t>
  </si>
  <si>
    <t>Dund H</t>
  </si>
  <si>
    <t>Edin</t>
  </si>
  <si>
    <t>Giff N</t>
  </si>
  <si>
    <t>I'ness</t>
  </si>
  <si>
    <t>Kilb</t>
  </si>
  <si>
    <t>Kil'k</t>
  </si>
  <si>
    <t>Pit</t>
  </si>
  <si>
    <t>Shett</t>
  </si>
  <si>
    <t>S Lan</t>
  </si>
  <si>
    <t>WSEH</t>
  </si>
  <si>
    <t>Victoria Park City of Glasgow AC</t>
  </si>
  <si>
    <t>Lnk to T'table</t>
  </si>
  <si>
    <t>Locn on Results</t>
  </si>
  <si>
    <t>A:A</t>
  </si>
  <si>
    <t>h:h</t>
  </si>
  <si>
    <t>o:o</t>
  </si>
  <si>
    <t>i:i</t>
  </si>
  <si>
    <t>q:q</t>
  </si>
  <si>
    <t>a:a</t>
  </si>
  <si>
    <t>Input Results</t>
  </si>
  <si>
    <t>Field Timetable Rows</t>
  </si>
  <si>
    <t>Dist1</t>
  </si>
  <si>
    <t>Macro</t>
  </si>
  <si>
    <t>Dist2</t>
  </si>
  <si>
    <t>Dist3</t>
  </si>
  <si>
    <t>Height1</t>
  </si>
  <si>
    <t>Dist4</t>
  </si>
  <si>
    <t>Dist5</t>
  </si>
  <si>
    <t>Dist6</t>
  </si>
  <si>
    <t>Height2</t>
  </si>
  <si>
    <t>Height3</t>
  </si>
  <si>
    <t>Height4</t>
  </si>
  <si>
    <t>Height5</t>
  </si>
  <si>
    <t>Dist7</t>
  </si>
  <si>
    <t>Dist8</t>
  </si>
  <si>
    <t>Dist9</t>
  </si>
  <si>
    <t>Dist10</t>
  </si>
  <si>
    <t>Dist11</t>
  </si>
  <si>
    <t>Dist12</t>
  </si>
  <si>
    <t>Dist17</t>
  </si>
  <si>
    <t>Dist18</t>
  </si>
  <si>
    <t>Dist19</t>
  </si>
  <si>
    <t>Dist20</t>
  </si>
  <si>
    <t>Height6</t>
  </si>
  <si>
    <t>B&amp;B</t>
  </si>
  <si>
    <t>Brack</t>
  </si>
  <si>
    <t>B&amp;H</t>
  </si>
  <si>
    <t>B&amp;R</t>
  </si>
  <si>
    <t>Burt</t>
  </si>
  <si>
    <t>Camb H</t>
  </si>
  <si>
    <t>C&amp;S</t>
  </si>
  <si>
    <t>Card</t>
  </si>
  <si>
    <t>Charn</t>
  </si>
  <si>
    <t>Chelt</t>
  </si>
  <si>
    <t>Chilt</t>
  </si>
  <si>
    <t>Ports</t>
  </si>
  <si>
    <t>Cov G</t>
  </si>
  <si>
    <t>Craw</t>
  </si>
  <si>
    <t>Croy</t>
  </si>
  <si>
    <t>Dartf</t>
  </si>
  <si>
    <t>Dav</t>
  </si>
  <si>
    <t>D&amp;S</t>
  </si>
  <si>
    <t>Glouc</t>
  </si>
  <si>
    <t>G&amp;G</t>
  </si>
  <si>
    <t>Hales</t>
  </si>
  <si>
    <t>Hast</t>
  </si>
  <si>
    <t>Have</t>
  </si>
  <si>
    <t>Holl S</t>
  </si>
  <si>
    <t>K&amp;S</t>
  </si>
  <si>
    <t>Leam</t>
  </si>
  <si>
    <t>Leic</t>
  </si>
  <si>
    <t>Leigh</t>
  </si>
  <si>
    <t>Mans</t>
  </si>
  <si>
    <t>Menai</t>
  </si>
  <si>
    <t>Neath</t>
  </si>
  <si>
    <t>Newp</t>
  </si>
  <si>
    <t>N Som</t>
  </si>
  <si>
    <t>Notts</t>
  </si>
  <si>
    <t>Read</t>
  </si>
  <si>
    <t>RSC</t>
  </si>
  <si>
    <t>R&amp;N</t>
  </si>
  <si>
    <t>Saff</t>
  </si>
  <si>
    <t>SSH</t>
  </si>
  <si>
    <t>Soton</t>
  </si>
  <si>
    <t>SMR</t>
  </si>
  <si>
    <t>SinA</t>
  </si>
  <si>
    <t>Swin</t>
  </si>
  <si>
    <t>Bath</t>
  </si>
  <si>
    <t>Traff</t>
  </si>
  <si>
    <t>VoA</t>
  </si>
  <si>
    <t>VP&amp;TH</t>
  </si>
  <si>
    <t>Walt</t>
  </si>
  <si>
    <t>Win</t>
  </si>
  <si>
    <t>Woking</t>
  </si>
  <si>
    <t>W&amp;B</t>
  </si>
  <si>
    <t>Worc</t>
  </si>
  <si>
    <t>Wyc P</t>
  </si>
  <si>
    <t>Page 1</t>
  </si>
  <si>
    <t>Page 2</t>
  </si>
  <si>
    <t>Page 3</t>
  </si>
  <si>
    <t>Page 4</t>
  </si>
  <si>
    <t>Page 5</t>
  </si>
  <si>
    <t>Page 6</t>
  </si>
  <si>
    <t>RESULTS PACKS</t>
  </si>
  <si>
    <t>BY AGE GROUP</t>
  </si>
  <si>
    <t>Runners</t>
  </si>
  <si>
    <t xml:space="preserve">UK ATHLETICS :: YOUTH DEVELOPMENT LEAGUE 2017 </t>
  </si>
  <si>
    <t>TIMETABLE</t>
  </si>
  <si>
    <t>Lane</t>
  </si>
  <si>
    <t>Time Starts</t>
  </si>
  <si>
    <t>PRINT Field Cards &amp; Track Start Lists</t>
  </si>
  <si>
    <t>Track Lists</t>
  </si>
  <si>
    <t>ALL TRACK EVENTS</t>
  </si>
  <si>
    <t>S Wales</t>
  </si>
  <si>
    <t>Dorset</t>
  </si>
  <si>
    <t>Sheff+D</t>
  </si>
  <si>
    <t>Notts+Linc</t>
  </si>
  <si>
    <t>Stock</t>
  </si>
  <si>
    <t>MMK</t>
  </si>
  <si>
    <t>Windsor Slough Eton &amp; Hounslow AC</t>
  </si>
  <si>
    <t>Deeside AAC</t>
  </si>
  <si>
    <t>Wrexham AAC</t>
  </si>
  <si>
    <t>Team Bath AC</t>
  </si>
  <si>
    <t>Team North Lanarkshire ©</t>
  </si>
  <si>
    <t>U15B</t>
  </si>
  <si>
    <t>U15G</t>
  </si>
  <si>
    <t>U13B</t>
  </si>
  <si>
    <t>U13G</t>
  </si>
  <si>
    <t>FIXTURE ID</t>
  </si>
  <si>
    <t>bib</t>
  </si>
  <si>
    <t>400mH</t>
  </si>
  <si>
    <t>eventcode</t>
  </si>
  <si>
    <t>eventname</t>
  </si>
  <si>
    <t>perf</t>
  </si>
  <si>
    <t>venue</t>
  </si>
  <si>
    <t>athlete</t>
  </si>
  <si>
    <t>P/FINISH</t>
  </si>
  <si>
    <t>YES</t>
  </si>
  <si>
    <t>NO</t>
  </si>
  <si>
    <t>NO COMPETITORS/EVENT CANCELLED/NMR</t>
  </si>
  <si>
    <t>Yate</t>
  </si>
  <si>
    <t>Standings</t>
  </si>
  <si>
    <t>Arbroath &amp; District AC</t>
  </si>
  <si>
    <t>Cambridge Harriers (Kent)</t>
  </si>
  <si>
    <t>Holland Sports AC</t>
  </si>
  <si>
    <t>Menai Track &amp; Field</t>
  </si>
  <si>
    <t>St. Helens Sutton AC</t>
  </si>
  <si>
    <t>Swansea Harriers AC</t>
  </si>
  <si>
    <t>Page 7</t>
  </si>
  <si>
    <t>ALL</t>
  </si>
  <si>
    <t>Event Cancelled</t>
  </si>
  <si>
    <t>No Competitors Declared</t>
  </si>
  <si>
    <t>Blackheath &amp; Bromley Harriers AC</t>
  </si>
  <si>
    <t>Registered</t>
  </si>
  <si>
    <t>Event X</t>
  </si>
  <si>
    <t>No Competitors</t>
  </si>
  <si>
    <t>UK Final</t>
  </si>
  <si>
    <t>Sale</t>
  </si>
  <si>
    <t>Amber Valley &amp; Erewash AC</t>
  </si>
  <si>
    <t>Amber</t>
  </si>
  <si>
    <t>Rushcliffe AC</t>
  </si>
  <si>
    <t>Rush</t>
  </si>
  <si>
    <t>Bristol &amp; West AC with Mendip AC ©</t>
  </si>
  <si>
    <t>Bury</t>
  </si>
  <si>
    <t>Team North (Scotland) ©</t>
  </si>
  <si>
    <t>Team Bedfordshire ©</t>
  </si>
  <si>
    <t>Beds</t>
  </si>
  <si>
    <t>Victoria Park H &amp; Tower Hamlets AC</t>
  </si>
  <si>
    <t>Chiltern Harriers AC</t>
  </si>
  <si>
    <t>Bolton United H &amp; AC</t>
  </si>
  <si>
    <t>LAGYD</t>
  </si>
  <si>
    <t>Giffnock North AC</t>
  </si>
  <si>
    <t>Brighton &amp; Hove AC</t>
  </si>
  <si>
    <t>UT05</t>
  </si>
  <si>
    <t>UT17</t>
  </si>
  <si>
    <t>UT09</t>
  </si>
  <si>
    <t>400m</t>
  </si>
  <si>
    <t>UTD81</t>
  </si>
  <si>
    <t>UTD01</t>
  </si>
  <si>
    <t>UTD06</t>
  </si>
  <si>
    <t>3000m</t>
  </si>
  <si>
    <t>UT16</t>
  </si>
  <si>
    <t>110mH</t>
  </si>
  <si>
    <t>UT01</t>
  </si>
  <si>
    <t>UTD11</t>
  </si>
  <si>
    <t>2000m S/C</t>
  </si>
  <si>
    <t>UFH03</t>
  </si>
  <si>
    <t>UFH05</t>
  </si>
  <si>
    <t>UFW01</t>
  </si>
  <si>
    <t>UFW05</t>
  </si>
  <si>
    <t>UFD11</t>
  </si>
  <si>
    <t>UFD15</t>
  </si>
  <si>
    <t>UFD01</t>
  </si>
  <si>
    <t>UFD05</t>
  </si>
  <si>
    <t>UTR4</t>
  </si>
  <si>
    <t>UTDR4</t>
  </si>
  <si>
    <t>4 X 400 Relay</t>
  </si>
  <si>
    <t>UT06</t>
  </si>
  <si>
    <t>UT18</t>
  </si>
  <si>
    <t>UT10</t>
  </si>
  <si>
    <t>UTD82</t>
  </si>
  <si>
    <t>UTD02</t>
  </si>
  <si>
    <t>UTD05</t>
  </si>
  <si>
    <t>UT15</t>
  </si>
  <si>
    <t>100mH</t>
  </si>
  <si>
    <t>UT02</t>
  </si>
  <si>
    <t>UTD12</t>
  </si>
  <si>
    <t>1500m S/C</t>
  </si>
  <si>
    <t>UFH04</t>
  </si>
  <si>
    <t>UFH06</t>
  </si>
  <si>
    <t>UFW02</t>
  </si>
  <si>
    <t>UFW06</t>
  </si>
  <si>
    <t>UFD12</t>
  </si>
  <si>
    <t>UFD16</t>
  </si>
  <si>
    <t>UFD02</t>
  </si>
  <si>
    <t>UFD06</t>
  </si>
  <si>
    <t>UTR2</t>
  </si>
  <si>
    <t>UTDR2</t>
  </si>
  <si>
    <t>UT07</t>
  </si>
  <si>
    <t>UT19</t>
  </si>
  <si>
    <t>UT11</t>
  </si>
  <si>
    <t>UTD83</t>
  </si>
  <si>
    <t>UTD03</t>
  </si>
  <si>
    <t>UTD08</t>
  </si>
  <si>
    <t>UT14</t>
  </si>
  <si>
    <t>UT03</t>
  </si>
  <si>
    <t>UTD10</t>
  </si>
  <si>
    <t>UFH07</t>
  </si>
  <si>
    <t>UFH01</t>
  </si>
  <si>
    <t>UFW03</t>
  </si>
  <si>
    <t>UFW07</t>
  </si>
  <si>
    <t>UFD07</t>
  </si>
  <si>
    <t>UFD13</t>
  </si>
  <si>
    <t>UFD03</t>
  </si>
  <si>
    <t>UFD09</t>
  </si>
  <si>
    <t>UTR3</t>
  </si>
  <si>
    <t>UTDR3</t>
  </si>
  <si>
    <t>UT08</t>
  </si>
  <si>
    <t>UT20</t>
  </si>
  <si>
    <t>UT12</t>
  </si>
  <si>
    <t>UTD84</t>
  </si>
  <si>
    <t>UTD04</t>
  </si>
  <si>
    <t>UTD07</t>
  </si>
  <si>
    <t>UT13</t>
  </si>
  <si>
    <t>UT04</t>
  </si>
  <si>
    <t>300mH</t>
  </si>
  <si>
    <t>UTD09</t>
  </si>
  <si>
    <t>UFH08</t>
  </si>
  <si>
    <t>UFH02</t>
  </si>
  <si>
    <t>UFW04</t>
  </si>
  <si>
    <t>UFW08</t>
  </si>
  <si>
    <t>UFD08</t>
  </si>
  <si>
    <t>UFD14</t>
  </si>
  <si>
    <t>UFD04</t>
  </si>
  <si>
    <t>UFD10</t>
  </si>
  <si>
    <t>UTR1</t>
  </si>
  <si>
    <t>UTDR1</t>
  </si>
  <si>
    <t>Total Pts</t>
  </si>
  <si>
    <t>B/fwd M</t>
  </si>
  <si>
    <t>Track Events Start in Lane</t>
  </si>
  <si>
    <t>Club/Runners</t>
  </si>
  <si>
    <t>ALL TRACK &amp; FIELD EVENTS</t>
  </si>
  <si>
    <t>Dunfermline Track &amp; Field Club</t>
  </si>
  <si>
    <t>Bburn</t>
  </si>
  <si>
    <t>Bournemouth + New Forest Jnrs ©</t>
  </si>
  <si>
    <t>B&amp;NFJ</t>
  </si>
  <si>
    <t>BriW&amp;M</t>
  </si>
  <si>
    <t>Cardiff Archers AC</t>
  </si>
  <si>
    <t>C Arch</t>
  </si>
  <si>
    <t>Colwyn Bay AC</t>
  </si>
  <si>
    <t>Colwyn</t>
  </si>
  <si>
    <t>Dartford Harriers AC</t>
  </si>
  <si>
    <t>Daventry AAC</t>
  </si>
  <si>
    <t>Derby</t>
  </si>
  <si>
    <t>Dunf</t>
  </si>
  <si>
    <t>ECHT</t>
  </si>
  <si>
    <t>H'ogate</t>
  </si>
  <si>
    <t>HHH</t>
  </si>
  <si>
    <t>Hil'don</t>
  </si>
  <si>
    <t>KP</t>
  </si>
  <si>
    <t>Northampton AC</t>
  </si>
  <si>
    <t>Nhants</t>
  </si>
  <si>
    <t>Nuneaton Harriers AC</t>
  </si>
  <si>
    <t>Nun</t>
  </si>
  <si>
    <t>Paddock Wood + Folkestone ©</t>
  </si>
  <si>
    <t>PWood+F</t>
  </si>
  <si>
    <t>Sale Harriers Manchester</t>
  </si>
  <si>
    <t>Swan</t>
  </si>
  <si>
    <t>Tamw</t>
  </si>
  <si>
    <t>T IOMY</t>
  </si>
  <si>
    <t>T N Scot</t>
  </si>
  <si>
    <t>T N Cumb</t>
  </si>
  <si>
    <t>T N Lan</t>
  </si>
  <si>
    <t>Telf</t>
  </si>
  <si>
    <t>Tipton</t>
  </si>
  <si>
    <t>Tonb</t>
  </si>
  <si>
    <t>VPCG</t>
  </si>
  <si>
    <t>Wigan &amp; District H &amp; AC</t>
  </si>
  <si>
    <t>Wigan</t>
  </si>
  <si>
    <t>Woodford Green AC with Essex Ladies</t>
  </si>
  <si>
    <t>WGEL</t>
  </si>
  <si>
    <t>11:00</t>
  </si>
  <si>
    <t>Lanes</t>
  </si>
  <si>
    <t>Premier - 6</t>
  </si>
  <si>
    <t>Premier - 7</t>
  </si>
  <si>
    <t>AD</t>
  </si>
  <si>
    <t>AE</t>
  </si>
  <si>
    <t>AF</t>
  </si>
  <si>
    <t>DM</t>
  </si>
  <si>
    <t>DQ</t>
  </si>
  <si>
    <t>DU</t>
  </si>
  <si>
    <t>DY</t>
  </si>
  <si>
    <t>clubID</t>
  </si>
  <si>
    <t>leagueID</t>
  </si>
  <si>
    <t>Leigh Harriers &amp; AC</t>
  </si>
  <si>
    <t>Macclesfield Harriers &amp; AC</t>
  </si>
  <si>
    <t>Stockport Harriers &amp; AC</t>
  </si>
  <si>
    <t>Blackburn Harriers &amp; AC</t>
  </si>
  <si>
    <t>Border Harriers &amp; AC</t>
  </si>
  <si>
    <t>Liverpool Harriers &amp; AC</t>
  </si>
  <si>
    <t>Gateshead Harriers &amp; AC</t>
  </si>
  <si>
    <t>Harrogate Harriers &amp; AC</t>
  </si>
  <si>
    <t>Hallamshire Harriers Sheffield</t>
  </si>
  <si>
    <t>Rotherham Harriers &amp; AC</t>
  </si>
  <si>
    <t>Kingston AC &amp; Polytechnic Harriers</t>
  </si>
  <si>
    <t>St. Mary's Richmond AC</t>
  </si>
  <si>
    <t>Wycombe Phoenix Harriers &amp; AC</t>
  </si>
  <si>
    <t>Kilmarnock Harriers &amp; AC</t>
  </si>
  <si>
    <t>Falkirk Victoria Harriers</t>
  </si>
  <si>
    <t>Falk</t>
  </si>
  <si>
    <t>Inverness Harriers</t>
  </si>
  <si>
    <t>Mansfield Harriers</t>
  </si>
  <si>
    <t>Sutton-in-Ashfield Harriers &amp; AC</t>
  </si>
  <si>
    <t>Leamington Cycling &amp; AC</t>
  </si>
  <si>
    <t>Cardiff Athletics</t>
  </si>
  <si>
    <t>fixturelongname</t>
  </si>
  <si>
    <t>match#</t>
  </si>
  <si>
    <t>dateofmatch</t>
  </si>
  <si>
    <t>host</t>
  </si>
  <si>
    <t>divisionID</t>
  </si>
  <si>
    <t>TBC</t>
  </si>
  <si>
    <t>athleteID</t>
  </si>
  <si>
    <t>registered</t>
  </si>
  <si>
    <t>Click PDF Icon to create a Results PDF and</t>
  </si>
  <si>
    <t>a copy of this results file at the end of the match</t>
  </si>
  <si>
    <t>The PDF will be stored in the same folder as you are using for the results software.</t>
  </si>
  <si>
    <t>COUNT</t>
  </si>
  <si>
    <t xml:space="preserve">FOR ASSISTANCE WITH THE SOFTWARE, QUERIES, STUCK ABOUT WHAT TO DO? SOMETHING DOESN’T LOOK RIGHT?     CALL
 </t>
  </si>
  <si>
    <t>ALAN 07920 056324</t>
  </si>
  <si>
    <t>OR</t>
  </si>
  <si>
    <t xml:space="preserve"> SIMON 07507 853112</t>
  </si>
  <si>
    <t>agegroup</t>
  </si>
  <si>
    <t>record</t>
  </si>
  <si>
    <t>Boys U15</t>
  </si>
  <si>
    <t>11.0 Marcus McLean, Sale Harriers, 2018</t>
  </si>
  <si>
    <t>22.2 Jona Efoloko, Sale Harriers, 2014</t>
  </si>
  <si>
    <t>35.40 Amir Sultan-Edwards, Blackheath &amp; Bromley Harriers AC, 2018</t>
  </si>
  <si>
    <t>01:59.7 Keelan Wilson, Rotherham Harriers, 2014</t>
  </si>
  <si>
    <t>Girls U15</t>
  </si>
  <si>
    <t>55.15 Phoebe Baggott, Wolverhampton &amp; Bilston, 2016</t>
  </si>
  <si>
    <t>45.76 Bethany Moule, Neath Harriers, 2016</t>
  </si>
  <si>
    <t>48.61 -, Enfield &amp; Haringey AC, 2015</t>
  </si>
  <si>
    <t>02:49.13 -, Blackheath &amp; Bromley Harriers AC, 2017</t>
  </si>
  <si>
    <t>Girls U13</t>
  </si>
  <si>
    <t>9.5 Lily Thurbon-Smith, Bournemouth &amp; New Forest Juniors, 2018</t>
  </si>
  <si>
    <t>18.7 Alicia Regis, Enfield &amp; Haringey AC, 2014</t>
  </si>
  <si>
    <t>02:19.6 Francesca Baxter, Chiltern Harriers AC, 2019</t>
  </si>
  <si>
    <t>03:41.6 Francesca Baxter, Chiltern Harriers AC, 2019</t>
  </si>
  <si>
    <t>10.9 Lia Bonsu, Croydon Harriers, 2018</t>
  </si>
  <si>
    <t>1.61 Thea Brown, Sale Harriers, 2019</t>
  </si>
  <si>
    <t>5.23 Tomi Adejuwon, Reading AC, 2019</t>
  </si>
  <si>
    <t>12.19 Meghan Porterfield, VP City of Glasgow, 2018</t>
  </si>
  <si>
    <t>44.02 Dulcie Yelling, Brighton &amp; Hove, 2019</t>
  </si>
  <si>
    <t>52.0 -, Preston Harriers, 2018</t>
  </si>
  <si>
    <t>U20 Men</t>
  </si>
  <si>
    <t>10.3 Rio Mitcham, Birchfield Harriers, 2017</t>
  </si>
  <si>
    <t>20.74 Charlie Dobson, Shaftesbury Barnet Harriers, 2018</t>
  </si>
  <si>
    <t>47.91 Reuben Henry-Daire, Reading AC, 2021</t>
  </si>
  <si>
    <t>01:51.50 Theo Blundell, Birchfield Harriers, 2013</t>
  </si>
  <si>
    <t>03:48.3 Josh Kerr, Team Edinburgh, 2015</t>
  </si>
  <si>
    <t>13.6 Tre Thomas, Charnwood AC, 2018</t>
  </si>
  <si>
    <t>52.03 Jacob Paul, Windsor Slough Eton &amp; Hounslow, 2013</t>
  </si>
  <si>
    <t>05:55.09 Kristian Imroth, Shaftesbury Barnet Harriers, 2019</t>
  </si>
  <si>
    <t>2.14 Chris Kandu/Lionel Owona, Enfield &amp; Haringey/WSEH, 2013</t>
  </si>
  <si>
    <t>5.25 Adam Hague, City of Sheffield, 2015</t>
  </si>
  <si>
    <t>7.37 Michael Causer, St. Helens Sutton A.C., 2013</t>
  </si>
  <si>
    <t>14.90 Josh Woods, Shaftesbury Barnet Harriers, 2021</t>
  </si>
  <si>
    <t>60.75 Nick Percy, Shaftesbury Barnet Harriers, 2013</t>
  </si>
  <si>
    <t>79.15 Jake Norris, Windsor Slough Eton &amp; Hounslow, 2018</t>
  </si>
  <si>
    <t>73.40 James Whiteaker, Blackheath &amp; Bromley Harriers A.C., 2017</t>
  </si>
  <si>
    <t>41.11 -, Croydon Harriers, 2017</t>
  </si>
  <si>
    <t>03:20.6 -, Bexley AC, 2019</t>
  </si>
  <si>
    <t>U17 Men</t>
  </si>
  <si>
    <t>10.62 Raphael Bouju, Team Bedfordshire, 2018</t>
  </si>
  <si>
    <t>21.64 Ryan Gorman, Notts AC, 2014</t>
  </si>
  <si>
    <t>01:55.5 Ben Read/Elliot Savage, Wakefield/Sale, 2014</t>
  </si>
  <si>
    <t>03:56.70 Josh Kerr, Team Edinburgh, 2014</t>
  </si>
  <si>
    <t>08:36.28 Will Barnicoat, Windsor Slough Eton &amp; Hounslow, 2019</t>
  </si>
  <si>
    <t>12.8 Tre Thomas, Charnwood AC, 2016</t>
  </si>
  <si>
    <t>54.05 Bailey Stickings, Blackheath &amp; Bromley Harriers A.C., 2014</t>
  </si>
  <si>
    <t>04:22.40 Chey Blatchford Kemp, Reading AC, 2016</t>
  </si>
  <si>
    <t>2.10 Sam Brereton, Team DC, 2019</t>
  </si>
  <si>
    <t>4.80 Frankie Johnson, Bedford &amp; County, 2016</t>
  </si>
  <si>
    <t>6.97 Joel McFarlane, Team Forth Valley, 2017</t>
  </si>
  <si>
    <t>14.62 Stefan Amokwandoh, Blackheath &amp; Bromley Harriers A.C., 2013</t>
  </si>
  <si>
    <t>18.26 Lewis Byng, Rugby &amp; Northants, 2018</t>
  </si>
  <si>
    <t>57.43 James Tomlinson, West Wales, 2016</t>
  </si>
  <si>
    <t>73.25 Jake Norris, Windsor Slough Eton &amp; Hounslow, 2015</t>
  </si>
  <si>
    <t>69.96 George Davis, City of York A.C., 2014</t>
  </si>
  <si>
    <t>42.6 -, Basildon Beagles, 2019</t>
  </si>
  <si>
    <t>03:26.49 -, Blackheath &amp; Bromley Harriers A.C., 2014</t>
  </si>
  <si>
    <t>U20 Women</t>
  </si>
  <si>
    <t>11.49 Dina Asher-Smith, Blackheath &amp; Bromley Harriers A.C., 2014</t>
  </si>
  <si>
    <t>23.08 Dina Asher-Smith, Blackheath &amp; Bromley Harriers A.C., 2014</t>
  </si>
  <si>
    <t>54.38 Lina Nielson, Enfield &amp; Haringey A.C., 2015</t>
  </si>
  <si>
    <t>02:08.22 Katy-Ann McDonald, Blackheath &amp; Bromley Harriers A.C., 2017</t>
  </si>
  <si>
    <t>04:29.90 Niamh Bridson-Hubbard, Blackheath &amp; Bromley Harriers A.C., 2016</t>
  </si>
  <si>
    <t>09:37.56 Victoria Weir, Team DC, 2016</t>
  </si>
  <si>
    <t>13.85 Isabella Hilditch, Blackheath &amp; Bromley Harriers A. C, 2018</t>
  </si>
  <si>
    <t>57.91 Shona Richards, Windsor Slough Eton &amp; Hounslow, 2014</t>
  </si>
  <si>
    <t>04:51.70 Aimee Pratt, Sale Harriers, 2016</t>
  </si>
  <si>
    <t>1.80 Ada'oro Chigbo, Team Avon, 2015</t>
  </si>
  <si>
    <t>3.95 Abigail Roberts, City of Sheffield, 2015</t>
  </si>
  <si>
    <t>6.26 Eleanor Broome, Rugby &amp; Northants, 2016</t>
  </si>
  <si>
    <t>12.94 Temi Ojora, Windsor Slough Eton &amp; Hounslow, 2019</t>
  </si>
  <si>
    <t>51.89 Amy Holder, Windsor Slough Eton &amp; Hounslow, 2015</t>
  </si>
  <si>
    <t>62.87 Charlotte Payne, Reading AC, 2021</t>
  </si>
  <si>
    <t>49.94 Bekah Walton, Blackheath &amp; Bromley Harriers AC, 2018</t>
  </si>
  <si>
    <t>46.32 -, Shaftesbury Barnet Harriers, 2019</t>
  </si>
  <si>
    <t>03:49.3 -, Liverpool Harriers, 2019</t>
  </si>
  <si>
    <t>U17 Women</t>
  </si>
  <si>
    <t>11.85 Gina Akpe-Moses, Birchfield Harriers, 2015</t>
  </si>
  <si>
    <t>23.92 Charlotte McLennaghan, Notts AC, 2014</t>
  </si>
  <si>
    <t>38.47 Cheriece Hylton, Blackheath &amp; Bromley Harriers A.C., 2013</t>
  </si>
  <si>
    <t>02:06.80 Katy-Ann McDonald, Blackheath &amp; Bromley Harriers A.C., 2016</t>
  </si>
  <si>
    <t>04:29.1 Keira Brady-Jones, Wirral AC, 2021</t>
  </si>
  <si>
    <t>11.2 Alicia Barrett, Chesterfield, 2014</t>
  </si>
  <si>
    <t>43.2 Abigail Bowers, Border Olympians, 2014</t>
  </si>
  <si>
    <t>04:59.50 Holly Page, Dartford Harriers, 2016</t>
  </si>
  <si>
    <t>1.80 Morgan Lake, Windsor Slough Eton &amp; Hounslow, 2013</t>
  </si>
  <si>
    <t>4.06 Molly Caudery, Team DC, 2016</t>
  </si>
  <si>
    <t>12.45 Jazz Sears, Shaftesbury Barnet Harriers, 2018</t>
  </si>
  <si>
    <t>15.55 Serena Vincent, City of Portsmouth, 2018</t>
  </si>
  <si>
    <t>45.41 Georgie Taylor, Havering AC, 2013</t>
  </si>
  <si>
    <t>61.76 Katie Head, Basildon Beagles, 2016</t>
  </si>
  <si>
    <t>57.14 Emma Hamplett, Cannock &amp; Stafford, 2014</t>
  </si>
  <si>
    <t>46.71 -, Blackheath &amp; Bromley Harriers A.C., 2013</t>
  </si>
  <si>
    <t>02:44.63 -, Blackheath &amp; Bromley Harriers AC, 2019</t>
  </si>
  <si>
    <t>14.76 Jordan Walklett, Team DC, 2017</t>
  </si>
  <si>
    <t>11.0 Joseph Harding, Basildon AC, 2017</t>
  </si>
  <si>
    <t>1.93 Basil Zola, Sale Harriers, 2019</t>
  </si>
  <si>
    <t>4.32 Frankie Johnson, Bedford &amp; County AC, 2015</t>
  </si>
  <si>
    <t>6.82 Patrick Sylla, Bournemouth A.C., 2013</t>
  </si>
  <si>
    <t>15.49 Thomas Hanson, Cardiff AAC, 2015</t>
  </si>
  <si>
    <t>49.53 Alfie Scopes, Tonbridge AC, 2014</t>
  </si>
  <si>
    <t>59.79 Jake Norris, Windsor Slough Eton &amp; Hounslow, 2013</t>
  </si>
  <si>
    <t>61.40 Max Law, Havering AC, 2016</t>
  </si>
  <si>
    <t>44.6 -, Thames Valley Harriers, 2019</t>
  </si>
  <si>
    <t>02:33.4 -, Sale Harriers, 2017</t>
  </si>
  <si>
    <t>Boys U13</t>
  </si>
  <si>
    <t>9.33 Alex Foster, Woodford Green Essex Ladies, 2021</t>
  </si>
  <si>
    <t>02:09.5 Jaden Kennedy, Herne Hill Harriers, 2016</t>
  </si>
  <si>
    <t>11.15 Reggie Lucas-Merry, Basildon, 2018</t>
  </si>
  <si>
    <t>5.45 Dante Clark, Herne Hill Harriers, 2018</t>
  </si>
  <si>
    <t>12.35 Sam Mace, Walton A.C., 2013</t>
  </si>
  <si>
    <t>49.49 Travis Harfield, Chorley ATC, 2019</t>
  </si>
  <si>
    <t>50.3 -, Newham &amp; Essex Beagles AC, 2018</t>
  </si>
  <si>
    <t>11.97 Success Eduan, Sale Harriers, 2019</t>
  </si>
  <si>
    <t>24.55 Success Eduan, Sale Harriers, 2019</t>
  </si>
  <si>
    <t>40.11 Poppy Malik, Notts AC, 2018</t>
  </si>
  <si>
    <t>02:07.8 Tilly Simpson, Hallamshire Harriers, 2015</t>
  </si>
  <si>
    <t>04:35.9 Josie Czura, C of Portsmouth, 2015</t>
  </si>
  <si>
    <t>11.0 Meg Corker, Warrington AC, 2019</t>
  </si>
  <si>
    <t>1.73 Phoebe Harland, Birchfield Harriers, 2015</t>
  </si>
  <si>
    <t>1.73 Amelia Bateman, Gateshead Harriers, 2015</t>
  </si>
  <si>
    <t>3.43 Emilie Oakden, Lewes AC, 2019</t>
  </si>
  <si>
    <t>5.65 Daisy Snell, Blackheath &amp; Bromley Harriers AC, 2021</t>
  </si>
  <si>
    <t>13.72 Omolola Kuponiyi, Havering AC, 2018</t>
  </si>
  <si>
    <t>39.94 Sophie Mace, Walton AC, 2013</t>
  </si>
  <si>
    <t>KuH</t>
  </si>
  <si>
    <t>Gwent Harriers ©</t>
  </si>
  <si>
    <t>Gwent</t>
  </si>
  <si>
    <t>Team Green ©</t>
  </si>
  <si>
    <t>Green</t>
  </si>
  <si>
    <t>Shrewsbury AC</t>
  </si>
  <si>
    <t>Shrew</t>
  </si>
  <si>
    <t>Llanelli AC</t>
  </si>
  <si>
    <t>Llanelli</t>
  </si>
  <si>
    <t>Clydesdale + Helensburgh ©</t>
  </si>
  <si>
    <t>Clyde &amp; H</t>
  </si>
  <si>
    <t>Mont/Perth</t>
  </si>
  <si>
    <t>Team Ayrshire ©</t>
  </si>
  <si>
    <t>TAYR</t>
  </si>
  <si>
    <t>Team East Lothian ©</t>
  </si>
  <si>
    <t>TEL</t>
  </si>
  <si>
    <t>Chichester Runners &amp; AC</t>
  </si>
  <si>
    <t>ChicR</t>
  </si>
  <si>
    <t>Division 1B</t>
  </si>
  <si>
    <t>Division 2B</t>
  </si>
  <si>
    <t>Premier</t>
  </si>
  <si>
    <t>Division 3A</t>
  </si>
  <si>
    <t>Division 1</t>
  </si>
  <si>
    <t>Division 1A</t>
  </si>
  <si>
    <t>Division 2</t>
  </si>
  <si>
    <t>Division 2A</t>
  </si>
  <si>
    <t>Premier West</t>
  </si>
  <si>
    <t>West 1</t>
  </si>
  <si>
    <t>West 2</t>
  </si>
  <si>
    <t>East 1</t>
  </si>
  <si>
    <t>West 3S</t>
  </si>
  <si>
    <t>West 3N</t>
  </si>
  <si>
    <r>
      <rPr>
        <b/>
        <u/>
        <sz val="8"/>
        <rFont val="Trebuchet MS"/>
        <family val="2"/>
      </rPr>
      <t>Use this to refresh team changes</t>
    </r>
    <r>
      <rPr>
        <b/>
        <u/>
        <sz val="8"/>
        <color rgb="FFFF0000"/>
        <rFont val="Trebuchet MS"/>
        <family val="2"/>
      </rPr>
      <t xml:space="preserve"> BUT only if you have internet access</t>
    </r>
  </si>
  <si>
    <t>You only need to use this once prior to the start</t>
  </si>
  <si>
    <t>It downloads League Records and Current Standings</t>
  </si>
  <si>
    <t>These are not going to change during your match</t>
  </si>
  <si>
    <t>48.61 Zico Jones, Shaftesbury Barnet Harriers, 2022</t>
  </si>
  <si>
    <t>6.18 Chisom Nwafor, South Bucks Composite, 2022</t>
  </si>
  <si>
    <t>18.4 Elliott Turbin/Joel Ige, Hercules Wimbledon/Horwich, 2021</t>
  </si>
  <si>
    <t>r1L</t>
  </si>
  <si>
    <t>r1M</t>
  </si>
  <si>
    <t>r2L</t>
  </si>
  <si>
    <t>r2M</t>
  </si>
  <si>
    <t>r3L</t>
  </si>
  <si>
    <t>r3M</t>
  </si>
  <si>
    <t>r4L</t>
  </si>
  <si>
    <t>r4M</t>
  </si>
  <si>
    <t>total_league</t>
  </si>
  <si>
    <t>total_match</t>
  </si>
  <si>
    <t>15.16 Cleo Agyepong, Blackheath &amp; Bromley Harriers AC, 2022</t>
  </si>
  <si>
    <t>LAG23_V1</t>
  </si>
  <si>
    <t>Premier East</t>
  </si>
  <si>
    <t>Motherwell AC</t>
  </si>
  <si>
    <t>North</t>
  </si>
  <si>
    <t>South</t>
  </si>
  <si>
    <t>Midland</t>
  </si>
  <si>
    <t>Scotland</t>
  </si>
  <si>
    <t>region</t>
  </si>
  <si>
    <t>Montrose &amp; Dist/Perth Strathtay ©</t>
  </si>
  <si>
    <t>Harmeny AC</t>
  </si>
  <si>
    <t>Harm</t>
  </si>
  <si>
    <t>Oxford City AC</t>
  </si>
  <si>
    <t>OxfC</t>
  </si>
  <si>
    <t>02:30.00</t>
  </si>
  <si>
    <t>02:25.00</t>
  </si>
  <si>
    <t>02:21.00</t>
  </si>
  <si>
    <t>02:18.00</t>
  </si>
  <si>
    <t>02:15.00</t>
  </si>
  <si>
    <t>02:12.00</t>
  </si>
  <si>
    <t>02:09.00</t>
  </si>
  <si>
    <t>02:07.00</t>
  </si>
  <si>
    <t>02:05.00</t>
  </si>
  <si>
    <t>05:30.00</t>
  </si>
  <si>
    <t>05:20.00</t>
  </si>
  <si>
    <t>05:10.00</t>
  </si>
  <si>
    <t>05:00.00</t>
  </si>
  <si>
    <t>04:50.00</t>
  </si>
  <si>
    <t>04:40.00</t>
  </si>
  <si>
    <t>04:30.00</t>
  </si>
  <si>
    <t>04:25.00</t>
  </si>
  <si>
    <t>04:20.00</t>
  </si>
  <si>
    <t>02:50.00</t>
  </si>
  <si>
    <t>02:45.00</t>
  </si>
  <si>
    <t>02:40.00</t>
  </si>
  <si>
    <t>02:35.00</t>
  </si>
  <si>
    <t>04:10.00</t>
  </si>
  <si>
    <t>04:03.00</t>
  </si>
  <si>
    <t>03:56.00</t>
  </si>
  <si>
    <t>03:51.00</t>
  </si>
  <si>
    <t>03:47.00</t>
  </si>
  <si>
    <t>EA</t>
  </si>
  <si>
    <t>The University of York Sports Centre</t>
  </si>
  <si>
    <t>Costello Stadium Hull</t>
  </si>
  <si>
    <t>John Charles Centre for Sport (South Leeds Stadium) Leeds</t>
  </si>
  <si>
    <t>Sheffield Hallam University</t>
  </si>
  <si>
    <t>University of Winchester Bar End Sports Stadium</t>
  </si>
  <si>
    <t>Sir Mo Farah Track Twickenham</t>
  </si>
  <si>
    <t>Spectrum Athletics Stadium Guildford</t>
  </si>
  <si>
    <t>Thames Valley Athletic Centre Eton</t>
  </si>
  <si>
    <t>Bedford International Athletics Stadium</t>
  </si>
  <si>
    <t>Ashton Playing Fields Woodford Green</t>
  </si>
  <si>
    <t>K2 Crawley</t>
  </si>
  <si>
    <t>Tooting Bec Athletics Track</t>
  </si>
  <si>
    <t>Sports Box Woking</t>
  </si>
  <si>
    <t>Weir Archer Stadium Kingsmeadow</t>
  </si>
  <si>
    <t>The Mountbatten Centre Portsmouth</t>
  </si>
  <si>
    <t>William Parker School Hastings</t>
  </si>
  <si>
    <t>Lewes Leisure Centre</t>
  </si>
  <si>
    <t>Mile End Park Leisure Centre &amp; Stadium London</t>
  </si>
  <si>
    <t>Central Park Dartford</t>
  </si>
  <si>
    <t>Norman Park Athletics Track Bromley</t>
  </si>
  <si>
    <t>Ashdown Leisure Centre Poole</t>
  </si>
  <si>
    <t>Palmer Park Stadium Reading</t>
  </si>
  <si>
    <t>Tonbridge School Centre</t>
  </si>
  <si>
    <t>Grangemouth Stadium Falkirk</t>
  </si>
  <si>
    <t>Ayrshire Athletics Arena Kilmarnock</t>
  </si>
  <si>
    <t>Scotstoun Stadium Glasgow</t>
  </si>
  <si>
    <t>Aberdeen Sports Village</t>
  </si>
  <si>
    <t>Queen's Park Stadium Inverness</t>
  </si>
  <si>
    <t>Caird Park Stadium Dundee</t>
  </si>
  <si>
    <t>Herringthorpe Stadium Rotherham</t>
  </si>
  <si>
    <t>ECO-Power Stadium Doncaster</t>
  </si>
  <si>
    <t>Longford Park Trafford</t>
  </si>
  <si>
    <t>Bebington Oval Wirral</t>
  </si>
  <si>
    <t>Ellesmere Port Sports Village</t>
  </si>
  <si>
    <t>Stanley Park Arena Blackpool</t>
  </si>
  <si>
    <t>Sports Park Litherland</t>
  </si>
  <si>
    <t>Macclesfield Leisure Centre</t>
  </si>
  <si>
    <t>Leigh Sports Village</t>
  </si>
  <si>
    <t>Richmond Park Stadium Ashton-U-Lyne</t>
  </si>
  <si>
    <t>Victoria Park Arena, Warrington</t>
  </si>
  <si>
    <t>Market Street Bury</t>
  </si>
  <si>
    <t>Sheepmount Athletics Stadium Carlisle</t>
  </si>
  <si>
    <t>Queensway Stadium Wrexham</t>
  </si>
  <si>
    <t>Moorways Stadium Derby</t>
  </si>
  <si>
    <t>Shobnall Stadium Burton</t>
  </si>
  <si>
    <t>Berry Hill Park Mansfield</t>
  </si>
  <si>
    <t>Tamworth Sports Stadium</t>
  </si>
  <si>
    <t>Stefen Hill Daventry</t>
  </si>
  <si>
    <t>Nunnery Wood Worcester</t>
  </si>
  <si>
    <t>Oakengates Leisure Centre Telford</t>
  </si>
  <si>
    <t>Tipton Sports Academy</t>
  </si>
  <si>
    <t>Stantonbury Stadium Milton Keynes</t>
  </si>
  <si>
    <t>Birmingham Alexander Stadium</t>
  </si>
  <si>
    <t>Warwick University Athletics Track Coventry</t>
  </si>
  <si>
    <t>Swansea University Sports Centre Sketty Lane</t>
  </si>
  <si>
    <t>Swindon Athletic Track</t>
  </si>
  <si>
    <t>Cardiff International Stadium</t>
  </si>
  <si>
    <t>Blackbridge Jubilee Track Gloucester</t>
  </si>
  <si>
    <t>Yate Outdoor Sports Complex</t>
  </si>
  <si>
    <t>Court Herbert Neath</t>
  </si>
  <si>
    <t>North-East</t>
  </si>
  <si>
    <t>North-East Division A</t>
  </si>
  <si>
    <t>North-East Division B</t>
  </si>
  <si>
    <t>Premier North-East</t>
  </si>
  <si>
    <t>South-West A</t>
  </si>
  <si>
    <t>North-East Division E</t>
  </si>
  <si>
    <t>North-East Division D</t>
  </si>
  <si>
    <t>Premier South-West</t>
  </si>
  <si>
    <t>South-West B</t>
  </si>
  <si>
    <t>North-East Division C</t>
  </si>
  <si>
    <t>LFD041</t>
  </si>
  <si>
    <t>LFD061</t>
  </si>
  <si>
    <t>LFD0611</t>
  </si>
  <si>
    <t>LFD071</t>
  </si>
  <si>
    <t>LFH041</t>
  </si>
  <si>
    <t>LFH061</t>
  </si>
  <si>
    <t>LFH0611</t>
  </si>
  <si>
    <t>LFW041</t>
  </si>
  <si>
    <t>LFW0411</t>
  </si>
  <si>
    <t>LT041</t>
  </si>
  <si>
    <t>LT0411</t>
  </si>
  <si>
    <t>LT045</t>
  </si>
  <si>
    <t>LT081</t>
  </si>
  <si>
    <t>LT0811</t>
  </si>
  <si>
    <t>LT085</t>
  </si>
  <si>
    <t>LT131</t>
  </si>
  <si>
    <t>LT1311</t>
  </si>
  <si>
    <t>LT181</t>
  </si>
  <si>
    <t>LT1811</t>
  </si>
  <si>
    <t>LTD841</t>
  </si>
  <si>
    <t>LTD8411</t>
  </si>
  <si>
    <t>LTR411</t>
  </si>
  <si>
    <t>LTR421</t>
  </si>
  <si>
    <t>LTR431</t>
  </si>
  <si>
    <t>LTR441</t>
  </si>
  <si>
    <t>LFD085</t>
  </si>
  <si>
    <t>LT035</t>
  </si>
  <si>
    <t>LT125</t>
  </si>
  <si>
    <t>LFD092</t>
  </si>
  <si>
    <t>LFD0922</t>
  </si>
  <si>
    <t>LFD102</t>
  </si>
  <si>
    <t>LFD1022</t>
  </si>
  <si>
    <t>LFH022</t>
  </si>
  <si>
    <t>LFW012</t>
  </si>
  <si>
    <t>LFW0122</t>
  </si>
  <si>
    <t>LT062</t>
  </si>
  <si>
    <t>LT0622</t>
  </si>
  <si>
    <t>LT112</t>
  </si>
  <si>
    <t>LT1122</t>
  </si>
  <si>
    <t>LT142</t>
  </si>
  <si>
    <t>LTD022</t>
  </si>
  <si>
    <t>LTD822</t>
  </si>
  <si>
    <t>LTR212</t>
  </si>
  <si>
    <t>LTR222</t>
  </si>
  <si>
    <t>LTR232</t>
  </si>
  <si>
    <t>LTR242</t>
  </si>
  <si>
    <t>LFH035</t>
  </si>
  <si>
    <t>LFW035</t>
  </si>
  <si>
    <t>LFW0355</t>
  </si>
  <si>
    <t>LT055</t>
  </si>
  <si>
    <t>LT0555</t>
  </si>
  <si>
    <t>LT095</t>
  </si>
  <si>
    <t>LT0955</t>
  </si>
  <si>
    <t>LTD815</t>
  </si>
  <si>
    <t>08:27.25 Abel Tsegay, Invicta's Paddock, 2014</t>
  </si>
  <si>
    <t>18.04 Isaac Kambamba Delaney, Preston Harriers, 2022</t>
  </si>
  <si>
    <t>09:40.12 Fleur Todd-Warmoth, Blackheath &amp; Bromley Harriers AC, 2022</t>
  </si>
  <si>
    <t>04:07.01 Matthew Clark, Preston Harriers, 2022</t>
  </si>
  <si>
    <t>3:28.49 Noah Homer, Birchfield Harriers, 2022</t>
  </si>
  <si>
    <t>1.64 Luke Ball/Basil Zola, Yate/Sale, 2017</t>
  </si>
  <si>
    <t>JUDGES' PRINT NAMES</t>
  </si>
  <si>
    <t>REFEREE (PRINT NAME)</t>
  </si>
  <si>
    <t>JUDGES' (PRINT NAMES)</t>
  </si>
  <si>
    <t>Jack TILLEY</t>
  </si>
  <si>
    <t>Lucas BEECH</t>
  </si>
  <si>
    <t>Oliver BORG-HEFFERNAN</t>
  </si>
  <si>
    <t>LFD062</t>
  </si>
  <si>
    <t>Marshall FLEET</t>
  </si>
  <si>
    <t>LFD063</t>
  </si>
  <si>
    <t>Oliver SANDERSON</t>
  </si>
  <si>
    <t>LFD0633</t>
  </si>
  <si>
    <t>Archer GILDART</t>
  </si>
  <si>
    <t>Sam FIRMAN</t>
  </si>
  <si>
    <t>LFD072</t>
  </si>
  <si>
    <t>Sebastian STEWART</t>
  </si>
  <si>
    <t>LFD073</t>
  </si>
  <si>
    <t>LFD074</t>
  </si>
  <si>
    <t>Tristan LAMPRECHT</t>
  </si>
  <si>
    <t>LFD077</t>
  </si>
  <si>
    <t>Joshua BOURNE</t>
  </si>
  <si>
    <t>Isaac PICKERING</t>
  </si>
  <si>
    <t>James HOWARTH</t>
  </si>
  <si>
    <t>William CATTELL</t>
  </si>
  <si>
    <t>LFH063</t>
  </si>
  <si>
    <t>Hugo JAMES</t>
  </si>
  <si>
    <t>LFH064</t>
  </si>
  <si>
    <t>Will HAMMOND</t>
  </si>
  <si>
    <t>LFH0644</t>
  </si>
  <si>
    <t>Alex BAYNHAM</t>
  </si>
  <si>
    <t>Owain WILLIAMS</t>
  </si>
  <si>
    <t>LFW042</t>
  </si>
  <si>
    <t>Max ORMSTON</t>
  </si>
  <si>
    <t>LFW0422</t>
  </si>
  <si>
    <t>Alfie MILLINGTON</t>
  </si>
  <si>
    <t>LFW043</t>
  </si>
  <si>
    <t>LFW0433</t>
  </si>
  <si>
    <t>Thomas AMARAL</t>
  </si>
  <si>
    <t>LFW044</t>
  </si>
  <si>
    <t>Thomas WOOD</t>
  </si>
  <si>
    <t>LFW0444</t>
  </si>
  <si>
    <t>LFW045</t>
  </si>
  <si>
    <t>Oliver NESBITT</t>
  </si>
  <si>
    <t>LFW0455</t>
  </si>
  <si>
    <t>Morgan JONES</t>
  </si>
  <si>
    <t>LFW047</t>
  </si>
  <si>
    <t>Joshua ROBERTS</t>
  </si>
  <si>
    <t>LFW0477</t>
  </si>
  <si>
    <t>LT043</t>
  </si>
  <si>
    <t>Barnaby CROMBLEHOLME</t>
  </si>
  <si>
    <t>LT082</t>
  </si>
  <si>
    <t>LT0822</t>
  </si>
  <si>
    <t>James ROOK</t>
  </si>
  <si>
    <t>LT083</t>
  </si>
  <si>
    <t>LT0833</t>
  </si>
  <si>
    <t>LT084</t>
  </si>
  <si>
    <t>Finley HAYES</t>
  </si>
  <si>
    <t>LT0844</t>
  </si>
  <si>
    <t>Oliver STEWART</t>
  </si>
  <si>
    <t>LT087</t>
  </si>
  <si>
    <t>LT0877</t>
  </si>
  <si>
    <t>LT132</t>
  </si>
  <si>
    <t>LT1322</t>
  </si>
  <si>
    <t>LT133</t>
  </si>
  <si>
    <t>Ben JAYATILLEKE</t>
  </si>
  <si>
    <t>LT134</t>
  </si>
  <si>
    <t>LT1344</t>
  </si>
  <si>
    <t>LT135</t>
  </si>
  <si>
    <t>LT137</t>
  </si>
  <si>
    <t>Matthew HAYTON</t>
  </si>
  <si>
    <t>LT1377</t>
  </si>
  <si>
    <t>LT162</t>
  </si>
  <si>
    <t>LT164</t>
  </si>
  <si>
    <t>Toby BROADRICK</t>
  </si>
  <si>
    <t>LT1644</t>
  </si>
  <si>
    <t>LT182</t>
  </si>
  <si>
    <t>Alfie MANSER</t>
  </si>
  <si>
    <t>LT183</t>
  </si>
  <si>
    <t>LT184</t>
  </si>
  <si>
    <t>Douglas POINTON</t>
  </si>
  <si>
    <t>LT185</t>
  </si>
  <si>
    <t>LT187</t>
  </si>
  <si>
    <t>LTD042</t>
  </si>
  <si>
    <t>LTD0422</t>
  </si>
  <si>
    <t>Oliver WALKER</t>
  </si>
  <si>
    <t>LTD043</t>
  </si>
  <si>
    <t>Lucas GREGORY</t>
  </si>
  <si>
    <t>LTD0433</t>
  </si>
  <si>
    <t>William GUY</t>
  </si>
  <si>
    <t>LTD044</t>
  </si>
  <si>
    <t>Bobby TOMLINSON</t>
  </si>
  <si>
    <t>LTD0444</t>
  </si>
  <si>
    <t>George O'DONNELL</t>
  </si>
  <si>
    <t>LTD045</t>
  </si>
  <si>
    <t>LTD842</t>
  </si>
  <si>
    <t>LTD8422</t>
  </si>
  <si>
    <t>LTD843</t>
  </si>
  <si>
    <t>LTD8433</t>
  </si>
  <si>
    <t>LTD844</t>
  </si>
  <si>
    <t>LTD8444</t>
  </si>
  <si>
    <t>LTD845</t>
  </si>
  <si>
    <t>LTD883</t>
  </si>
  <si>
    <t>LTDR212</t>
  </si>
  <si>
    <t>LTDR213</t>
  </si>
  <si>
    <t>LTDR222</t>
  </si>
  <si>
    <t>LTDR223</t>
  </si>
  <si>
    <t>LTDR224</t>
  </si>
  <si>
    <t>LTDR232</t>
  </si>
  <si>
    <t>LTDR233</t>
  </si>
  <si>
    <t>LTDR234</t>
  </si>
  <si>
    <t>LTDR242</t>
  </si>
  <si>
    <t>LTDR243</t>
  </si>
  <si>
    <t>LTDR244</t>
  </si>
  <si>
    <t>LTR412</t>
  </si>
  <si>
    <t>LTR414</t>
  </si>
  <si>
    <t>LTR415</t>
  </si>
  <si>
    <t>LTR417</t>
  </si>
  <si>
    <t>LTR422</t>
  </si>
  <si>
    <t>LTR424</t>
  </si>
  <si>
    <t>LTR425</t>
  </si>
  <si>
    <t>LTR427</t>
  </si>
  <si>
    <t>LTR432</t>
  </si>
  <si>
    <t>LTR434</t>
  </si>
  <si>
    <t>LTR435</t>
  </si>
  <si>
    <t>LTR442</t>
  </si>
  <si>
    <t>LTR444</t>
  </si>
  <si>
    <t>LTR445</t>
  </si>
  <si>
    <t>LTR447</t>
  </si>
  <si>
    <t>LFD053</t>
  </si>
  <si>
    <t>Eva MELLING</t>
  </si>
  <si>
    <t>LFD055</t>
  </si>
  <si>
    <t>Erin JACOBS</t>
  </si>
  <si>
    <t>LFD0555</t>
  </si>
  <si>
    <t>Nest OWEN</t>
  </si>
  <si>
    <t>LFD082</t>
  </si>
  <si>
    <t>Anna ROOKE</t>
  </si>
  <si>
    <t>LFD0822</t>
  </si>
  <si>
    <t>Sophia GUSH</t>
  </si>
  <si>
    <t>LFD0855</t>
  </si>
  <si>
    <t>Hawys OWEN</t>
  </si>
  <si>
    <t>LFD087</t>
  </si>
  <si>
    <t>Niamh JOHNSON</t>
  </si>
  <si>
    <t>LFD0877</t>
  </si>
  <si>
    <t>Esme HARRIS</t>
  </si>
  <si>
    <t>LFD112</t>
  </si>
  <si>
    <t>Isla HERRING</t>
  </si>
  <si>
    <t>LFD1122</t>
  </si>
  <si>
    <t>Lily-grace POOLE</t>
  </si>
  <si>
    <t>LFD113</t>
  </si>
  <si>
    <t>LFD1133</t>
  </si>
  <si>
    <t>Olivia COPPER</t>
  </si>
  <si>
    <t>LFD115</t>
  </si>
  <si>
    <t>LFD1155</t>
  </si>
  <si>
    <t>Krista JONES</t>
  </si>
  <si>
    <t>LFD117</t>
  </si>
  <si>
    <t>Lauren HEWITT</t>
  </si>
  <si>
    <t>LFD1177</t>
  </si>
  <si>
    <t>Lucy STRETTON</t>
  </si>
  <si>
    <t>LFH013</t>
  </si>
  <si>
    <t>Freya CASH</t>
  </si>
  <si>
    <t>LFH0133</t>
  </si>
  <si>
    <t>Gabriella TAYLOR</t>
  </si>
  <si>
    <t>LFH015</t>
  </si>
  <si>
    <t>Lily HARDY</t>
  </si>
  <si>
    <t>LFH017</t>
  </si>
  <si>
    <t>LFH0177</t>
  </si>
  <si>
    <t>Kady HALL</t>
  </si>
  <si>
    <t>LFH057</t>
  </si>
  <si>
    <t>Claudia BERRY</t>
  </si>
  <si>
    <t>LFH0577</t>
  </si>
  <si>
    <t>LFW022</t>
  </si>
  <si>
    <t>Ava ROYLE</t>
  </si>
  <si>
    <t>LFW023</t>
  </si>
  <si>
    <t>LFW0233</t>
  </si>
  <si>
    <t>Isobel EVANS</t>
  </si>
  <si>
    <t>LFW025</t>
  </si>
  <si>
    <t>LFW0255</t>
  </si>
  <si>
    <t>Mabli WILLIAMS</t>
  </si>
  <si>
    <t>LFW027</t>
  </si>
  <si>
    <t>Emily WILSON</t>
  </si>
  <si>
    <t>LFW0277</t>
  </si>
  <si>
    <t>Emma PIMBLETT</t>
  </si>
  <si>
    <t>LT032</t>
  </si>
  <si>
    <t>Amelia JONES</t>
  </si>
  <si>
    <t>LT033</t>
  </si>
  <si>
    <t>Jessica HODGKINSON</t>
  </si>
  <si>
    <t>LT0333</t>
  </si>
  <si>
    <t>LT037</t>
  </si>
  <si>
    <t>LT072</t>
  </si>
  <si>
    <t>LT0722</t>
  </si>
  <si>
    <t>LT073</t>
  </si>
  <si>
    <t>LT0733</t>
  </si>
  <si>
    <t>Lexie SHANNON</t>
  </si>
  <si>
    <t>LT075</t>
  </si>
  <si>
    <t>LT0755</t>
  </si>
  <si>
    <t>LT077</t>
  </si>
  <si>
    <t>LT0777</t>
  </si>
  <si>
    <t>LT122</t>
  </si>
  <si>
    <t>LT1222</t>
  </si>
  <si>
    <t>LT123</t>
  </si>
  <si>
    <t>LT1233</t>
  </si>
  <si>
    <t>LT1255</t>
  </si>
  <si>
    <t>LT127</t>
  </si>
  <si>
    <t>LT1277</t>
  </si>
  <si>
    <t>LT153</t>
  </si>
  <si>
    <t>Eden MOSS TURNER</t>
  </si>
  <si>
    <t>LT155</t>
  </si>
  <si>
    <t>LT1555</t>
  </si>
  <si>
    <t>LT172</t>
  </si>
  <si>
    <t>LT1722</t>
  </si>
  <si>
    <t>LT173</t>
  </si>
  <si>
    <t>LT1733</t>
  </si>
  <si>
    <t>LT175</t>
  </si>
  <si>
    <t>LT1755</t>
  </si>
  <si>
    <t>LT177</t>
  </si>
  <si>
    <t>Katie BONNER</t>
  </si>
  <si>
    <t>LTD032</t>
  </si>
  <si>
    <t>LTD0322</t>
  </si>
  <si>
    <t>LTD033</t>
  </si>
  <si>
    <t>LTD037</t>
  </si>
  <si>
    <t>Lucy ORRELL</t>
  </si>
  <si>
    <t>LTD0377</t>
  </si>
  <si>
    <t>Holly NICHOLLS</t>
  </si>
  <si>
    <t>LTD832</t>
  </si>
  <si>
    <t>LTD8322</t>
  </si>
  <si>
    <t>LTD833</t>
  </si>
  <si>
    <t>LTD837</t>
  </si>
  <si>
    <t>LTD8377</t>
  </si>
  <si>
    <t>Esme CLARK</t>
  </si>
  <si>
    <t>LTD877</t>
  </si>
  <si>
    <t>Nour KHOLEIF</t>
  </si>
  <si>
    <t>LTDR112</t>
  </si>
  <si>
    <t>LTDR113</t>
  </si>
  <si>
    <t>LTDR117</t>
  </si>
  <si>
    <t>LTDR122</t>
  </si>
  <si>
    <t>LTDR123</t>
  </si>
  <si>
    <t>LTDR127</t>
  </si>
  <si>
    <t>LTDR132</t>
  </si>
  <si>
    <t>LTDR133</t>
  </si>
  <si>
    <t>LTDR137</t>
  </si>
  <si>
    <t>LTDR142</t>
  </si>
  <si>
    <t>LTDR143</t>
  </si>
  <si>
    <t>LTDR147</t>
  </si>
  <si>
    <t>LTR313</t>
  </si>
  <si>
    <t>LTR315</t>
  </si>
  <si>
    <t>LTR317</t>
  </si>
  <si>
    <t>LTR323</t>
  </si>
  <si>
    <t>LTR325</t>
  </si>
  <si>
    <t>LTR327</t>
  </si>
  <si>
    <t>LTR333</t>
  </si>
  <si>
    <t>LTR335</t>
  </si>
  <si>
    <t>LTR337</t>
  </si>
  <si>
    <t>LTR343</t>
  </si>
  <si>
    <t>LTR345</t>
  </si>
  <si>
    <t>LTR347</t>
  </si>
  <si>
    <t>Benjamin SYKES</t>
  </si>
  <si>
    <t>Oliver MANNION</t>
  </si>
  <si>
    <t>LFD093</t>
  </si>
  <si>
    <t>Henri MANNION</t>
  </si>
  <si>
    <t>LFD0933</t>
  </si>
  <si>
    <t>Jack FLETCHER</t>
  </si>
  <si>
    <t>LFD097</t>
  </si>
  <si>
    <t>Charlie STRETTON</t>
  </si>
  <si>
    <t>LFD0977</t>
  </si>
  <si>
    <t>Theo MORGAN</t>
  </si>
  <si>
    <t>James NELSON</t>
  </si>
  <si>
    <t>LFD103</t>
  </si>
  <si>
    <t>Oscar FINCH</t>
  </si>
  <si>
    <t>LFD1033</t>
  </si>
  <si>
    <t>James HOWARTH-LINTON</t>
  </si>
  <si>
    <t>LFD107</t>
  </si>
  <si>
    <t>Samuel HODGKINSON</t>
  </si>
  <si>
    <t>LFD1077</t>
  </si>
  <si>
    <t>Ryan MCCARTHY</t>
  </si>
  <si>
    <t>LFH023</t>
  </si>
  <si>
    <t>LFH025</t>
  </si>
  <si>
    <t>Perry MARSLAND</t>
  </si>
  <si>
    <t>LFH027</t>
  </si>
  <si>
    <t>LFH0277</t>
  </si>
  <si>
    <t>James DARBY</t>
  </si>
  <si>
    <t>Sebastien GREGORY</t>
  </si>
  <si>
    <t>LFW013</t>
  </si>
  <si>
    <t>LFW0133</t>
  </si>
  <si>
    <t>LFW017</t>
  </si>
  <si>
    <t>Henry MORRIS</t>
  </si>
  <si>
    <t>LFW0177</t>
  </si>
  <si>
    <t>Evan BARNETT</t>
  </si>
  <si>
    <t>LT023</t>
  </si>
  <si>
    <t>Thierry KERR</t>
  </si>
  <si>
    <t>LT0233</t>
  </si>
  <si>
    <t>Jake REANEY</t>
  </si>
  <si>
    <t>LT063</t>
  </si>
  <si>
    <t>LT0633</t>
  </si>
  <si>
    <t>Jesse WAI IP CHAN</t>
  </si>
  <si>
    <t>LT065</t>
  </si>
  <si>
    <t>LT067</t>
  </si>
  <si>
    <t>LT0677</t>
  </si>
  <si>
    <t>LT113</t>
  </si>
  <si>
    <t>LT1133</t>
  </si>
  <si>
    <t>LT117</t>
  </si>
  <si>
    <t>LT1177</t>
  </si>
  <si>
    <t>Zachary JONES</t>
  </si>
  <si>
    <t>LT143</t>
  </si>
  <si>
    <t>Frankie CAMPBELL</t>
  </si>
  <si>
    <t>LT1433</t>
  </si>
  <si>
    <t>LTD0222</t>
  </si>
  <si>
    <t>LTD023</t>
  </si>
  <si>
    <t>LTD0233</t>
  </si>
  <si>
    <t>Samuel WILLIAMS</t>
  </si>
  <si>
    <t>LTD025</t>
  </si>
  <si>
    <t>LTD027</t>
  </si>
  <si>
    <t>LTD8222</t>
  </si>
  <si>
    <t>LTD823</t>
  </si>
  <si>
    <t>Jasper PARKIN-KERNER</t>
  </si>
  <si>
    <t>LTD8233</t>
  </si>
  <si>
    <t>LTD827</t>
  </si>
  <si>
    <t>LTD8277</t>
  </si>
  <si>
    <t>LTD862</t>
  </si>
  <si>
    <t>LTR213</t>
  </si>
  <si>
    <t>LTR217</t>
  </si>
  <si>
    <t>LTR223</t>
  </si>
  <si>
    <t>LTR227</t>
  </si>
  <si>
    <t>LTR233</t>
  </si>
  <si>
    <t>LTR237</t>
  </si>
  <si>
    <t>LTR243</t>
  </si>
  <si>
    <t>LTR247</t>
  </si>
  <si>
    <t>LFD032</t>
  </si>
  <si>
    <t>Imogen MCBURNIE</t>
  </si>
  <si>
    <t>LFD0322</t>
  </si>
  <si>
    <t>Erin ROYLE</t>
  </si>
  <si>
    <t>LFD033</t>
  </si>
  <si>
    <t>Emily ASHTON</t>
  </si>
  <si>
    <t>LFD0333</t>
  </si>
  <si>
    <t>Aniko BEHARRIE</t>
  </si>
  <si>
    <t>LFD034</t>
  </si>
  <si>
    <t>Holly WALKER</t>
  </si>
  <si>
    <t>LFD0344</t>
  </si>
  <si>
    <t>Eve O'DONNELL</t>
  </si>
  <si>
    <t>LFD035</t>
  </si>
  <si>
    <t>Martha BOWN</t>
  </si>
  <si>
    <t>LFD037</t>
  </si>
  <si>
    <t>Layla HALL</t>
  </si>
  <si>
    <t>LFD0377</t>
  </si>
  <si>
    <t>Maisie CADMAN</t>
  </si>
  <si>
    <t>LFD122</t>
  </si>
  <si>
    <t>LFD1222</t>
  </si>
  <si>
    <t>Demi BAXTER</t>
  </si>
  <si>
    <t>LFD123</t>
  </si>
  <si>
    <t>LFD1233</t>
  </si>
  <si>
    <t>LFD124</t>
  </si>
  <si>
    <t>Lauren HARPER</t>
  </si>
  <si>
    <t>LFD1244</t>
  </si>
  <si>
    <t>Charlotte RHODES</t>
  </si>
  <si>
    <t>LFD127</t>
  </si>
  <si>
    <t>LFD1277</t>
  </si>
  <si>
    <t>Grace HARRIS</t>
  </si>
  <si>
    <t>LFH032</t>
  </si>
  <si>
    <t>LFH0322</t>
  </si>
  <si>
    <t>Scarlett LYNE</t>
  </si>
  <si>
    <t>LFH033</t>
  </si>
  <si>
    <t>Lois MELLING</t>
  </si>
  <si>
    <t>LFH0333</t>
  </si>
  <si>
    <t>Maddison PENDLEBURY</t>
  </si>
  <si>
    <t>LFH034</t>
  </si>
  <si>
    <t>LFH0344</t>
  </si>
  <si>
    <t>Tamsin SEGUIN</t>
  </si>
  <si>
    <t>LFH037</t>
  </si>
  <si>
    <t>LFH0377</t>
  </si>
  <si>
    <t>Mia LACEY</t>
  </si>
  <si>
    <t>LFW032</t>
  </si>
  <si>
    <t>Madaline BURKE</t>
  </si>
  <si>
    <t>LFW033</t>
  </si>
  <si>
    <t>Ava BROOMES</t>
  </si>
  <si>
    <t>LFW0333</t>
  </si>
  <si>
    <t>Isabella GORMAN</t>
  </si>
  <si>
    <t>LFW034</t>
  </si>
  <si>
    <t>Lara ADU-GYAMFI</t>
  </si>
  <si>
    <t>LFW0344</t>
  </si>
  <si>
    <t>Iona FISHER</t>
  </si>
  <si>
    <t>Holly WORTH</t>
  </si>
  <si>
    <t>Ela EDWARDS</t>
  </si>
  <si>
    <t>LFW037</t>
  </si>
  <si>
    <t>Elody HILL</t>
  </si>
  <si>
    <t>LFW0377</t>
  </si>
  <si>
    <t>Katie-lou MALLEY</t>
  </si>
  <si>
    <t>LT012</t>
  </si>
  <si>
    <t>Olivia JONES</t>
  </si>
  <si>
    <t>LT013</t>
  </si>
  <si>
    <t>LT0133</t>
  </si>
  <si>
    <t>LT014</t>
  </si>
  <si>
    <t>Lydia HIGGINS</t>
  </si>
  <si>
    <t>LT0144</t>
  </si>
  <si>
    <t>LT017</t>
  </si>
  <si>
    <t>LT0177</t>
  </si>
  <si>
    <t>Sophia BOWDEN-MCKAY</t>
  </si>
  <si>
    <t>LT052</t>
  </si>
  <si>
    <t>LT0522</t>
  </si>
  <si>
    <t>LT053</t>
  </si>
  <si>
    <t>LT0533</t>
  </si>
  <si>
    <t>LT054</t>
  </si>
  <si>
    <t>LT0544</t>
  </si>
  <si>
    <t>Molly KENT</t>
  </si>
  <si>
    <t>LT057</t>
  </si>
  <si>
    <t>LT0577</t>
  </si>
  <si>
    <t>LT092</t>
  </si>
  <si>
    <t>LT0922</t>
  </si>
  <si>
    <t>LT093</t>
  </si>
  <si>
    <t>LT0933</t>
  </si>
  <si>
    <t>LT094</t>
  </si>
  <si>
    <t>LT0944</t>
  </si>
  <si>
    <t>LT097</t>
  </si>
  <si>
    <t>LT0977</t>
  </si>
  <si>
    <t>LT102</t>
  </si>
  <si>
    <t>Olivia GOFF</t>
  </si>
  <si>
    <t>LT1022</t>
  </si>
  <si>
    <t>LT104</t>
  </si>
  <si>
    <t>LT1044</t>
  </si>
  <si>
    <t>LT105</t>
  </si>
  <si>
    <t>LT107</t>
  </si>
  <si>
    <t>Chloe SKETT</t>
  </si>
  <si>
    <t>LTD012</t>
  </si>
  <si>
    <t>LTD0122</t>
  </si>
  <si>
    <t>LTD013</t>
  </si>
  <si>
    <t>Bee METCALFE</t>
  </si>
  <si>
    <t>LTD0133</t>
  </si>
  <si>
    <t>Rae VAUGHAN</t>
  </si>
  <si>
    <t>LTD014</t>
  </si>
  <si>
    <t>LTD0144</t>
  </si>
  <si>
    <t>LTD015</t>
  </si>
  <si>
    <t>LTD0155</t>
  </si>
  <si>
    <t>LTD017</t>
  </si>
  <si>
    <t>LTD0177</t>
  </si>
  <si>
    <t>LTD812</t>
  </si>
  <si>
    <t>LTD8122</t>
  </si>
  <si>
    <t>LTD813</t>
  </si>
  <si>
    <t>LTD8133</t>
  </si>
  <si>
    <t>LTD814</t>
  </si>
  <si>
    <t>LTD8144</t>
  </si>
  <si>
    <t>Sophie MARTIN</t>
  </si>
  <si>
    <t>LTD817</t>
  </si>
  <si>
    <t>Carly MCGRATH</t>
  </si>
  <si>
    <t>LTD8177</t>
  </si>
  <si>
    <t>Kyla MILLINGTON</t>
  </si>
  <si>
    <t>Erin MCMAHON</t>
  </si>
  <si>
    <t>Mia WILKINSON</t>
  </si>
  <si>
    <t>LTD857</t>
  </si>
  <si>
    <t>LTR112</t>
  </si>
  <si>
    <t>LTR113</t>
  </si>
  <si>
    <t>LTR114</t>
  </si>
  <si>
    <t>LTR115</t>
  </si>
  <si>
    <t>LTR117</t>
  </si>
  <si>
    <t>LTR122</t>
  </si>
  <si>
    <t>LTR123</t>
  </si>
  <si>
    <t>LTR124</t>
  </si>
  <si>
    <t>LTR125</t>
  </si>
  <si>
    <t>LTR127</t>
  </si>
  <si>
    <t>LTR132</t>
  </si>
  <si>
    <t>LTR133</t>
  </si>
  <si>
    <t>LTR134</t>
  </si>
  <si>
    <t>LTR135</t>
  </si>
  <si>
    <t>LTR137</t>
  </si>
  <si>
    <t>LTR142</t>
  </si>
  <si>
    <t>LTR143</t>
  </si>
  <si>
    <t>LTR144</t>
  </si>
  <si>
    <t>LTR145</t>
  </si>
  <si>
    <t>LTR147</t>
  </si>
  <si>
    <t>LFD075</t>
  </si>
  <si>
    <t>LFD091</t>
  </si>
  <si>
    <t>Ben JEFFS</t>
  </si>
  <si>
    <t>LFD0911</t>
  </si>
  <si>
    <t>Ewan DAVIES</t>
  </si>
  <si>
    <t>LFD101</t>
  </si>
  <si>
    <t>Gabriel BRZEZINSKI</t>
  </si>
  <si>
    <t>LFH021</t>
  </si>
  <si>
    <t>LFW011</t>
  </si>
  <si>
    <t>LFW0111</t>
  </si>
  <si>
    <t>Charlie SMITH</t>
  </si>
  <si>
    <t>LT021</t>
  </si>
  <si>
    <t>LT061</t>
  </si>
  <si>
    <t>LT0611</t>
  </si>
  <si>
    <t>LT111</t>
  </si>
  <si>
    <t>LT1111</t>
  </si>
  <si>
    <t>LTD821</t>
  </si>
  <si>
    <t>LTD8211</t>
  </si>
  <si>
    <t>LTR211</t>
  </si>
  <si>
    <t>LTR221</t>
  </si>
  <si>
    <t>LTR231</t>
  </si>
  <si>
    <t>LTR241</t>
  </si>
  <si>
    <t>LFD016</t>
  </si>
  <si>
    <t>Jacob HARWOOD-BRETNALL</t>
  </si>
  <si>
    <t>LFD0411</t>
  </si>
  <si>
    <t>LFD066</t>
  </si>
  <si>
    <t>LFD067</t>
  </si>
  <si>
    <t>LFD0711</t>
  </si>
  <si>
    <t>Saif AL-BAYATTI</t>
  </si>
  <si>
    <t>LFD076</t>
  </si>
  <si>
    <t>LFH066</t>
  </si>
  <si>
    <t>LFH0666</t>
  </si>
  <si>
    <t>Campbell JOHNSON</t>
  </si>
  <si>
    <t>LFW046</t>
  </si>
  <si>
    <t>Quaid SIN</t>
  </si>
  <si>
    <t>LFW0466</t>
  </si>
  <si>
    <t>LT046</t>
  </si>
  <si>
    <t>LT086</t>
  </si>
  <si>
    <t>Joshua KANDA</t>
  </si>
  <si>
    <t>LT0866</t>
  </si>
  <si>
    <t>Luc BRADBURY</t>
  </si>
  <si>
    <t>LT136</t>
  </si>
  <si>
    <t>LT161</t>
  </si>
  <si>
    <t>LT1822</t>
  </si>
  <si>
    <t>LT186</t>
  </si>
  <si>
    <t>Arthur WOLSTENHOLME</t>
  </si>
  <si>
    <t>LT1866</t>
  </si>
  <si>
    <t>LTD046</t>
  </si>
  <si>
    <t>Will WALTON</t>
  </si>
  <si>
    <t>LTD846</t>
  </si>
  <si>
    <t>LTD881</t>
  </si>
  <si>
    <t>LTR416</t>
  </si>
  <si>
    <t>LTR426</t>
  </si>
  <si>
    <t>LTR436</t>
  </si>
  <si>
    <t>LTR446</t>
  </si>
  <si>
    <t>Elliw MOSS</t>
  </si>
  <si>
    <t>LFD026</t>
  </si>
  <si>
    <t>Lucy JONES</t>
  </si>
  <si>
    <t>LFD051</t>
  </si>
  <si>
    <t>Elisha CARTER</t>
  </si>
  <si>
    <t>LFD0511</t>
  </si>
  <si>
    <t>Freya MASON</t>
  </si>
  <si>
    <t>LFD081</t>
  </si>
  <si>
    <t>LFD0811</t>
  </si>
  <si>
    <t>Lucy HARDING</t>
  </si>
  <si>
    <t>LFD086</t>
  </si>
  <si>
    <t>Molly MILLS</t>
  </si>
  <si>
    <t>LFD111</t>
  </si>
  <si>
    <t>LFD1111</t>
  </si>
  <si>
    <t>Bella VARLEY</t>
  </si>
  <si>
    <t>LFD116</t>
  </si>
  <si>
    <t>LFH011</t>
  </si>
  <si>
    <t>Olivia WELCH</t>
  </si>
  <si>
    <t>LFH0111</t>
  </si>
  <si>
    <t>LFW021</t>
  </si>
  <si>
    <t>LFW0211</t>
  </si>
  <si>
    <t>Mia O'DONNELL</t>
  </si>
  <si>
    <t>LFW024</t>
  </si>
  <si>
    <t>Elizabeth PENDRILL</t>
  </si>
  <si>
    <t>LFW0244</t>
  </si>
  <si>
    <t>Brooke SAYCE</t>
  </si>
  <si>
    <t>LFW026</t>
  </si>
  <si>
    <t>Lily TYLER</t>
  </si>
  <si>
    <t>LT031</t>
  </si>
  <si>
    <t>LT0311</t>
  </si>
  <si>
    <t>LT034</t>
  </si>
  <si>
    <t>LT0344</t>
  </si>
  <si>
    <t>Tanvi KUTTY</t>
  </si>
  <si>
    <t>LT036</t>
  </si>
  <si>
    <t>LT071</t>
  </si>
  <si>
    <t>Sophie STAINSBY</t>
  </si>
  <si>
    <t>LT0711</t>
  </si>
  <si>
    <t>Lola-mae WILKINS</t>
  </si>
  <si>
    <t>LT074</t>
  </si>
  <si>
    <t>LT0744</t>
  </si>
  <si>
    <t>Annabel BROWN</t>
  </si>
  <si>
    <t>LT121</t>
  </si>
  <si>
    <t>LT1211</t>
  </si>
  <si>
    <t>LT124</t>
  </si>
  <si>
    <t>LT126</t>
  </si>
  <si>
    <t>LT1266</t>
  </si>
  <si>
    <t>Charlotte UNDERWOOD</t>
  </si>
  <si>
    <t>LT151</t>
  </si>
  <si>
    <t>LT1511</t>
  </si>
  <si>
    <t>Heidi WOODS</t>
  </si>
  <si>
    <t>LT171</t>
  </si>
  <si>
    <t>LTD034</t>
  </si>
  <si>
    <t>Eva MION</t>
  </si>
  <si>
    <t>LTD036</t>
  </si>
  <si>
    <t>LTD0366</t>
  </si>
  <si>
    <t>Poppy BRANCH</t>
  </si>
  <si>
    <t>LTD831</t>
  </si>
  <si>
    <t>LTD8311</t>
  </si>
  <si>
    <t>LTD834</t>
  </si>
  <si>
    <t>LTDR111</t>
  </si>
  <si>
    <t>LTDR121</t>
  </si>
  <si>
    <t>LTDR131</t>
  </si>
  <si>
    <t>LTDR141</t>
  </si>
  <si>
    <t>LTR311</t>
  </si>
  <si>
    <t>LTR316</t>
  </si>
  <si>
    <t>LTR321</t>
  </si>
  <si>
    <t>LTR326</t>
  </si>
  <si>
    <t>LTR331</t>
  </si>
  <si>
    <t>LTR336</t>
  </si>
  <si>
    <t>LTR341</t>
  </si>
  <si>
    <t>LTR346</t>
  </si>
  <si>
    <t>LFD094</t>
  </si>
  <si>
    <t>Samuel SAVAGE</t>
  </si>
  <si>
    <t>LFD0944</t>
  </si>
  <si>
    <t>Robert NWANKWO</t>
  </si>
  <si>
    <t>Kaidan DOS REIS</t>
  </si>
  <si>
    <t>LFD1011</t>
  </si>
  <si>
    <t>LFD104</t>
  </si>
  <si>
    <t>LFD1044</t>
  </si>
  <si>
    <t>Isaac BAKER</t>
  </si>
  <si>
    <t>LFH0211</t>
  </si>
  <si>
    <t>LFH024</t>
  </si>
  <si>
    <t>Tomas BEDOYA</t>
  </si>
  <si>
    <t>LFW014</t>
  </si>
  <si>
    <t>LFW0144</t>
  </si>
  <si>
    <t>Dylan BAKER</t>
  </si>
  <si>
    <t>LFW016</t>
  </si>
  <si>
    <t>Arthur CAMPBELL</t>
  </si>
  <si>
    <t>LT024</t>
  </si>
  <si>
    <t>LT064</t>
  </si>
  <si>
    <t>LT0644</t>
  </si>
  <si>
    <t>Alexander MCLAREN</t>
  </si>
  <si>
    <t>LT066</t>
  </si>
  <si>
    <t>Alex KITCHEN</t>
  </si>
  <si>
    <t>LT0666</t>
  </si>
  <si>
    <t>LT114</t>
  </si>
  <si>
    <t>LT116</t>
  </si>
  <si>
    <t>LTD024</t>
  </si>
  <si>
    <t>LTD824</t>
  </si>
  <si>
    <t>LTD8244</t>
  </si>
  <si>
    <t>LTR214</t>
  </si>
  <si>
    <t>LTR224</t>
  </si>
  <si>
    <t>LTR234</t>
  </si>
  <si>
    <t>LTR244</t>
  </si>
  <si>
    <t>LFD031</t>
  </si>
  <si>
    <t>Freya HOWELLS</t>
  </si>
  <si>
    <t>LFD0311</t>
  </si>
  <si>
    <t>Malkia HENRY</t>
  </si>
  <si>
    <t>LFD036</t>
  </si>
  <si>
    <t>Sophie LOW</t>
  </si>
  <si>
    <t>LFD0366</t>
  </si>
  <si>
    <t>Emily WALTON</t>
  </si>
  <si>
    <t>LFD121</t>
  </si>
  <si>
    <t>Ruby WILKINS</t>
  </si>
  <si>
    <t>LFD1211</t>
  </si>
  <si>
    <t>LFH031</t>
  </si>
  <si>
    <t>Jasmine COOPER</t>
  </si>
  <si>
    <t>LFH0311</t>
  </si>
  <si>
    <t>LFW031</t>
  </si>
  <si>
    <t>Lucy HOWARTH</t>
  </si>
  <si>
    <t>LFW0311</t>
  </si>
  <si>
    <t>Bethany HALL</t>
  </si>
  <si>
    <t>LFW0322</t>
  </si>
  <si>
    <t>LFW036</t>
  </si>
  <si>
    <t>LT011</t>
  </si>
  <si>
    <t>LT0111</t>
  </si>
  <si>
    <t>LT051</t>
  </si>
  <si>
    <t>LT0511</t>
  </si>
  <si>
    <t>LT056</t>
  </si>
  <si>
    <t>LT0566</t>
  </si>
  <si>
    <t>Emily FOX</t>
  </si>
  <si>
    <t>LT091</t>
  </si>
  <si>
    <t>Sofiya HARE</t>
  </si>
  <si>
    <t>LT0911</t>
  </si>
  <si>
    <t>LT096</t>
  </si>
  <si>
    <t>LT0966</t>
  </si>
  <si>
    <t>LT101</t>
  </si>
  <si>
    <t>Katerina GLOVER</t>
  </si>
  <si>
    <t>LT1011</t>
  </si>
  <si>
    <t>LT103</t>
  </si>
  <si>
    <t>Ella WATSON</t>
  </si>
  <si>
    <t>LTD011</t>
  </si>
  <si>
    <t>LTD0111</t>
  </si>
  <si>
    <t>LTD016</t>
  </si>
  <si>
    <t>LTD811</t>
  </si>
  <si>
    <t>LTD8111</t>
  </si>
  <si>
    <t>LTD816</t>
  </si>
  <si>
    <t>LTR111</t>
  </si>
  <si>
    <t>LTR121</t>
  </si>
  <si>
    <t>LTR131</t>
  </si>
  <si>
    <t>LTR141</t>
  </si>
  <si>
    <t>LTDR214</t>
  </si>
  <si>
    <t>x</t>
  </si>
  <si>
    <t>LFD0766</t>
  </si>
  <si>
    <t>LT157</t>
  </si>
  <si>
    <t>LT1577</t>
  </si>
  <si>
    <t>LT176</t>
  </si>
  <si>
    <t>LT1777</t>
  </si>
  <si>
    <t>X</t>
  </si>
  <si>
    <t>LT1366</t>
  </si>
  <si>
    <t>LFW0166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</si>
</sst>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164" formatCode="_(&quot;£&quot;* #,##0.00_);_(&quot;£&quot;* \(#,##0.00\);_(&quot;£&quot;* &quot;-&quot;??_);_(@_)"/>
    <numFmt numFmtId="165" formatCode="_(* #,##0.00_);_(* \(#,##0.00\);_(* &quot;-&quot;??_);_(@_)"/>
    <numFmt numFmtId="166" formatCode="_-* #,##0_-;\-* #,##0_-;_-* &quot;-&quot;??_-;_-@_-"/>
    <numFmt numFmtId="167" formatCode="mm:ss.00"/>
    <numFmt numFmtId="168" formatCode="dddd\,\ mmmm\ dd\ yyyy"/>
    <numFmt numFmtId="169" formatCode="[$-F800]dddd\,\ mmmm\ dd\,\ yyyy"/>
    <numFmt numFmtId="170" formatCode="0.00_ ;[Red]\-0.00\ "/>
    <numFmt numFmtId="171" formatCode="0.0"/>
    <numFmt numFmtId="172" formatCode="0.0000"/>
    <numFmt numFmtId="173" formatCode="#,##0.000"/>
    <numFmt numFmtId="174" formatCode="#,##0.0"/>
    <numFmt numFmtId="175" formatCode="00.00"/>
  </numFmts>
  <fonts count="84" x14ac:knownFonts="1">
    <font>
      <sz val="11"/>
      <color theme="1"/>
      <name val="Calibri"/>
      <family val="2"/>
      <scheme val="minor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sz val="10"/>
      <color theme="1"/>
      <name val="Trebuchet MS"/>
      <family val="2"/>
    </font>
    <font>
      <sz val="10"/>
      <color theme="1"/>
      <name val="Trebuchet MS"/>
      <family val="2"/>
    </font>
    <font>
      <sz val="10"/>
      <color theme="1"/>
      <name val="Trebuchet MS"/>
      <family val="2"/>
    </font>
    <font>
      <sz val="10"/>
      <color theme="1"/>
      <name val="Trebuchet MS"/>
      <family val="2"/>
    </font>
    <font>
      <sz val="10"/>
      <color theme="1"/>
      <name val="Trebuchet MS"/>
      <family val="2"/>
    </font>
    <font>
      <sz val="10"/>
      <color theme="1"/>
      <name val="Trebuchet MS"/>
      <family val="2"/>
    </font>
    <font>
      <sz val="10"/>
      <color theme="1"/>
      <name val="Trebuchet MS"/>
      <family val="2"/>
    </font>
    <font>
      <sz val="10"/>
      <color theme="1"/>
      <name val="Trebuchet MS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rebuchet MS"/>
      <family val="2"/>
    </font>
    <font>
      <i/>
      <sz val="8"/>
      <name val="Trebuchet MS"/>
      <family val="2"/>
    </font>
    <font>
      <b/>
      <sz val="16"/>
      <name val="Trebuchet MS"/>
      <family val="2"/>
    </font>
    <font>
      <sz val="8"/>
      <name val="Trebuchet MS"/>
      <family val="2"/>
    </font>
    <font>
      <sz val="8"/>
      <color theme="1"/>
      <name val="Trebuchet MS"/>
      <family val="2"/>
    </font>
    <font>
      <sz val="9"/>
      <name val="Trebuchet MS"/>
      <family val="2"/>
    </font>
    <font>
      <b/>
      <sz val="9"/>
      <name val="Trebuchet MS"/>
      <family val="2"/>
    </font>
    <font>
      <sz val="9"/>
      <color theme="1"/>
      <name val="Trebuchet MS"/>
      <family val="2"/>
    </font>
    <font>
      <sz val="10"/>
      <color rgb="FF000000"/>
      <name val="Times New Roman"/>
      <family val="1"/>
    </font>
    <font>
      <sz val="10"/>
      <color theme="1"/>
      <name val="Trebuchet MS"/>
      <family val="2"/>
    </font>
    <font>
      <b/>
      <sz val="10"/>
      <name val="Trebuchet MS"/>
      <family val="2"/>
    </font>
    <font>
      <sz val="10"/>
      <name val="Trebuchet MS"/>
      <family val="2"/>
    </font>
    <font>
      <b/>
      <u/>
      <sz val="10"/>
      <color theme="1"/>
      <name val="Trebuchet MS"/>
      <family val="2"/>
    </font>
    <font>
      <sz val="7"/>
      <name val="Trebuchet MS"/>
      <family val="2"/>
    </font>
    <font>
      <b/>
      <sz val="12"/>
      <name val="Trebuchet MS"/>
      <family val="2"/>
    </font>
    <font>
      <sz val="9"/>
      <color rgb="FF000000"/>
      <name val="Trebuchet MS"/>
      <family val="2"/>
    </font>
    <font>
      <b/>
      <sz val="9"/>
      <color theme="1"/>
      <name val="Trebuchet MS"/>
      <family val="2"/>
    </font>
    <font>
      <sz val="9"/>
      <color theme="0"/>
      <name val="Trebuchet MS"/>
      <family val="2"/>
    </font>
    <font>
      <sz val="9"/>
      <color rgb="FFFF0000"/>
      <name val="Trebuchet MS"/>
      <family val="2"/>
    </font>
    <font>
      <i/>
      <sz val="9"/>
      <color rgb="FFFF0000"/>
      <name val="Trebuchet MS"/>
      <family val="2"/>
    </font>
    <font>
      <sz val="10"/>
      <name val="Arial Narrow"/>
      <family val="2"/>
    </font>
    <font>
      <b/>
      <u/>
      <sz val="9"/>
      <color theme="1"/>
      <name val="Trebuchet MS"/>
      <family val="2"/>
    </font>
    <font>
      <sz val="10"/>
      <color rgb="FFC00000"/>
      <name val="Trebuchet MS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0"/>
      <name val="Trebuchet MS"/>
      <family val="2"/>
    </font>
    <font>
      <sz val="10"/>
      <color theme="0"/>
      <name val="Trebuchet MS"/>
      <family val="2"/>
    </font>
    <font>
      <b/>
      <u/>
      <sz val="10"/>
      <color theme="0"/>
      <name val="Trebuchet MS"/>
      <family val="2"/>
    </font>
    <font>
      <sz val="8"/>
      <color rgb="FFFF0000"/>
      <name val="Trebuchet MS"/>
      <family val="2"/>
    </font>
    <font>
      <sz val="10"/>
      <color rgb="FF222222"/>
      <name val="Trebuchet MS"/>
      <family val="2"/>
    </font>
    <font>
      <u/>
      <sz val="10"/>
      <name val="Trebuchet MS"/>
      <family val="2"/>
    </font>
    <font>
      <sz val="10"/>
      <name val="Wingdings"/>
      <charset val="2"/>
    </font>
    <font>
      <sz val="10"/>
      <color rgb="FF222222"/>
      <name val="Arial"/>
      <family val="2"/>
    </font>
    <font>
      <b/>
      <u/>
      <sz val="10"/>
      <color indexed="8"/>
      <name val="Trebuchet MS"/>
      <family val="2"/>
    </font>
    <font>
      <b/>
      <sz val="10"/>
      <name val="Trebuchet MS"/>
      <family val="2"/>
    </font>
    <font>
      <sz val="10"/>
      <name val="Trebuchet MS"/>
      <family val="2"/>
    </font>
    <font>
      <sz val="10"/>
      <color theme="1"/>
      <name val="Trebuchet MS"/>
      <family val="2"/>
    </font>
    <font>
      <sz val="9"/>
      <name val="Trebuchet MS"/>
      <family val="2"/>
    </font>
    <font>
      <sz val="10"/>
      <color rgb="FF000000"/>
      <name val="Segoe UI Semilight"/>
      <family val="2"/>
    </font>
    <font>
      <sz val="10"/>
      <color rgb="FFFF0000"/>
      <name val="Trebuchet MS"/>
      <family val="2"/>
    </font>
    <font>
      <sz val="9"/>
      <color indexed="81"/>
      <name val="Tahoma"/>
      <family val="2"/>
    </font>
    <font>
      <sz val="10"/>
      <color rgb="FF00B0F0"/>
      <name val="Trebuchet MS"/>
      <family val="2"/>
    </font>
    <font>
      <sz val="9"/>
      <color indexed="8"/>
      <name val="Trebuchet MS"/>
      <family val="2"/>
    </font>
    <font>
      <b/>
      <sz val="9"/>
      <color rgb="FFFF0000"/>
      <name val="Trebuchet MS"/>
      <family val="2"/>
    </font>
    <font>
      <sz val="9"/>
      <color rgb="FF00B0F0"/>
      <name val="Trebuchet MS"/>
      <family val="2"/>
    </font>
    <font>
      <sz val="9"/>
      <color theme="0"/>
      <name val="Segoe UI Light"/>
      <family val="2"/>
    </font>
    <font>
      <sz val="9"/>
      <color theme="1"/>
      <name val="Segoe UI Light"/>
      <family val="2"/>
    </font>
    <font>
      <b/>
      <sz val="9"/>
      <color theme="1"/>
      <name val="Segoe UI Light"/>
      <family val="2"/>
    </font>
    <font>
      <u/>
      <sz val="9"/>
      <name val="Trebuchet MS"/>
      <family val="2"/>
    </font>
    <font>
      <b/>
      <u/>
      <sz val="9"/>
      <name val="Trebuchet MS"/>
      <family val="2"/>
    </font>
    <font>
      <sz val="9"/>
      <color rgb="FF000000"/>
      <name val="Tahoma"/>
      <family val="2"/>
    </font>
    <font>
      <i/>
      <sz val="10"/>
      <color theme="1"/>
      <name val="Trebuchet MS"/>
      <family val="2"/>
    </font>
    <font>
      <b/>
      <sz val="8"/>
      <color rgb="FFFF0000"/>
      <name val="Trebuchet MS"/>
      <family val="2"/>
    </font>
    <font>
      <b/>
      <sz val="11"/>
      <color theme="1"/>
      <name val="Calibri"/>
      <family val="2"/>
      <scheme val="minor"/>
    </font>
    <font>
      <b/>
      <i/>
      <u val="double"/>
      <sz val="10"/>
      <color rgb="FFFF0000"/>
      <name val="Trebuchet MS"/>
      <family val="2"/>
    </font>
    <font>
      <b/>
      <sz val="10"/>
      <color theme="1"/>
      <name val="Trebuchet MS"/>
      <family val="2"/>
    </font>
    <font>
      <b/>
      <u/>
      <sz val="8"/>
      <color rgb="FFFF0000"/>
      <name val="Trebuchet MS"/>
      <family val="2"/>
    </font>
    <font>
      <b/>
      <u/>
      <sz val="8"/>
      <name val="Trebuchet MS"/>
      <family val="2"/>
    </font>
    <font>
      <sz val="9"/>
      <color rgb="FFFFFF00"/>
      <name val="Trebuchet MS"/>
      <family val="2"/>
    </font>
    <font>
      <sz val="11"/>
      <color rgb="FFFF0000"/>
      <name val="Calibri"/>
      <family val="2"/>
    </font>
    <font>
      <sz val="11"/>
      <color rgb="FF000000"/>
      <name val="Calibri"/>
      <family val="2"/>
    </font>
    <font>
      <sz val="9"/>
      <color rgb="FFC00000"/>
      <name val="Trebuchet MS"/>
      <family val="2"/>
    </font>
  </fonts>
  <fills count="2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7FA7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gray0625"/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/>
      <right style="medium">
        <color auto="1"/>
      </right>
      <top/>
      <bottom/>
      <diagonal/>
    </border>
  </borders>
  <cellStyleXfs count="8">
    <xf numFmtId="0" fontId="0" fillId="0" borderId="0"/>
    <xf numFmtId="165" fontId="20" fillId="0" borderId="0" applyFont="0" applyFill="0" applyBorder="0" applyAlignment="0" applyProtection="0"/>
    <xf numFmtId="0" fontId="21" fillId="0" borderId="0"/>
    <xf numFmtId="0" fontId="30" fillId="0" borderId="0"/>
    <xf numFmtId="164" fontId="21" fillId="0" borderId="0" applyFont="0" applyFill="0" applyBorder="0" applyAlignment="0" applyProtection="0"/>
    <xf numFmtId="0" fontId="21" fillId="0" borderId="0"/>
    <xf numFmtId="0" fontId="42" fillId="0" borderId="0"/>
    <xf numFmtId="0" fontId="45" fillId="0" borderId="0" applyNumberFormat="0" applyFill="0" applyBorder="0" applyAlignment="0" applyProtection="0"/>
  </cellStyleXfs>
  <cellXfs count="541">
    <xf numFmtId="0" fontId="0" fillId="0" borderId="0" xfId="0"/>
    <xf numFmtId="0" fontId="22" fillId="0" borderId="0" xfId="2" applyFont="1" applyAlignment="1" applyProtection="1">
      <alignment horizontal="center" vertical="center"/>
      <protection hidden="1"/>
    </xf>
    <xf numFmtId="0" fontId="23" fillId="3" borderId="0" xfId="2" applyFont="1" applyFill="1" applyAlignment="1" applyProtection="1">
      <alignment horizontal="center" vertical="center"/>
      <protection hidden="1"/>
    </xf>
    <xf numFmtId="0" fontId="23" fillId="0" borderId="0" xfId="2" applyFont="1" applyAlignment="1" applyProtection="1">
      <alignment vertical="center"/>
      <protection hidden="1"/>
    </xf>
    <xf numFmtId="0" fontId="25" fillId="0" borderId="0" xfId="2" applyFont="1" applyAlignment="1" applyProtection="1">
      <alignment vertical="center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169" fontId="25" fillId="0" borderId="0" xfId="2" applyNumberFormat="1" applyFont="1" applyAlignment="1" applyProtection="1">
      <alignment vertical="center"/>
      <protection hidden="1"/>
    </xf>
    <xf numFmtId="0" fontId="23" fillId="0" borderId="0" xfId="0" applyFont="1" applyAlignment="1" applyProtection="1">
      <alignment horizontal="center"/>
      <protection hidden="1"/>
    </xf>
    <xf numFmtId="0" fontId="25" fillId="0" borderId="0" xfId="2" applyFont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center"/>
      <protection hidden="1"/>
    </xf>
    <xf numFmtId="0" fontId="23" fillId="0" borderId="0" xfId="2" applyFont="1" applyAlignment="1" applyProtection="1">
      <alignment horizontal="center" vertical="center"/>
      <protection hidden="1"/>
    </xf>
    <xf numFmtId="2" fontId="25" fillId="0" borderId="0" xfId="2" applyNumberFormat="1" applyFont="1" applyAlignment="1" applyProtection="1">
      <alignment horizontal="center" vertical="center"/>
      <protection hidden="1"/>
    </xf>
    <xf numFmtId="0" fontId="27" fillId="0" borderId="1" xfId="2" applyFont="1" applyBorder="1" applyAlignment="1" applyProtection="1">
      <alignment vertical="center"/>
      <protection hidden="1"/>
    </xf>
    <xf numFmtId="0" fontId="27" fillId="0" borderId="6" xfId="2" applyFont="1" applyBorder="1" applyAlignment="1" applyProtection="1">
      <alignment horizontal="center" vertical="center"/>
      <protection hidden="1"/>
    </xf>
    <xf numFmtId="0" fontId="27" fillId="0" borderId="7" xfId="2" applyFont="1" applyBorder="1" applyAlignment="1" applyProtection="1">
      <alignment horizontal="center" vertical="center"/>
      <protection hidden="1"/>
    </xf>
    <xf numFmtId="0" fontId="27" fillId="0" borderId="9" xfId="2" applyFont="1" applyBorder="1" applyAlignment="1" applyProtection="1">
      <alignment horizontal="left" vertical="center"/>
      <protection hidden="1"/>
    </xf>
    <xf numFmtId="0" fontId="27" fillId="0" borderId="8" xfId="2" applyFont="1" applyBorder="1" applyAlignment="1" applyProtection="1">
      <alignment horizontal="left" vertical="center"/>
      <protection hidden="1"/>
    </xf>
    <xf numFmtId="3" fontId="27" fillId="0" borderId="1" xfId="2" applyNumberFormat="1" applyFont="1" applyBorder="1" applyAlignment="1" applyProtection="1">
      <alignment horizontal="center" vertical="center"/>
      <protection hidden="1"/>
    </xf>
    <xf numFmtId="0" fontId="29" fillId="0" borderId="1" xfId="0" applyFont="1" applyBorder="1" applyAlignment="1" applyProtection="1">
      <alignment vertical="center"/>
      <protection hidden="1"/>
    </xf>
    <xf numFmtId="0" fontId="27" fillId="0" borderId="1" xfId="0" applyFont="1" applyBorder="1" applyAlignment="1" applyProtection="1">
      <alignment horizontal="center" vertical="center"/>
      <protection hidden="1"/>
    </xf>
    <xf numFmtId="0" fontId="27" fillId="0" borderId="0" xfId="2" applyFont="1" applyAlignment="1" applyProtection="1">
      <alignment vertical="center"/>
      <protection hidden="1"/>
    </xf>
    <xf numFmtId="0" fontId="27" fillId="0" borderId="0" xfId="2" applyFont="1" applyAlignment="1" applyProtection="1">
      <alignment horizontal="left" vertical="center"/>
      <protection hidden="1"/>
    </xf>
    <xf numFmtId="0" fontId="27" fillId="0" borderId="7" xfId="2" applyFont="1" applyBorder="1" applyAlignment="1" applyProtection="1">
      <alignment vertical="center"/>
      <protection hidden="1"/>
    </xf>
    <xf numFmtId="0" fontId="27" fillId="0" borderId="9" xfId="2" applyFont="1" applyBorder="1" applyAlignment="1" applyProtection="1">
      <alignment vertical="center"/>
      <protection hidden="1"/>
    </xf>
    <xf numFmtId="0" fontId="27" fillId="0" borderId="12" xfId="2" applyFont="1" applyBorder="1" applyAlignment="1" applyProtection="1">
      <alignment vertical="center"/>
      <protection hidden="1"/>
    </xf>
    <xf numFmtId="0" fontId="27" fillId="0" borderId="13" xfId="2" applyFont="1" applyBorder="1" applyAlignment="1" applyProtection="1">
      <alignment vertical="center"/>
      <protection hidden="1"/>
    </xf>
    <xf numFmtId="0" fontId="27" fillId="0" borderId="14" xfId="2" applyFont="1" applyBorder="1" applyAlignment="1" applyProtection="1">
      <alignment vertical="center"/>
      <protection hidden="1"/>
    </xf>
    <xf numFmtId="0" fontId="27" fillId="0" borderId="1" xfId="0" applyFont="1" applyBorder="1" applyAlignment="1" applyProtection="1">
      <alignment horizontal="left" vertical="center"/>
      <protection hidden="1"/>
    </xf>
    <xf numFmtId="0" fontId="27" fillId="0" borderId="10" xfId="2" applyFont="1" applyBorder="1" applyAlignment="1" applyProtection="1">
      <alignment vertical="center"/>
      <protection hidden="1"/>
    </xf>
    <xf numFmtId="0" fontId="27" fillId="0" borderId="11" xfId="2" applyFont="1" applyBorder="1" applyAlignment="1" applyProtection="1">
      <alignment vertical="center"/>
      <protection hidden="1"/>
    </xf>
    <xf numFmtId="0" fontId="27" fillId="0" borderId="8" xfId="2" applyFont="1" applyBorder="1" applyAlignment="1" applyProtection="1">
      <alignment vertical="center"/>
      <protection hidden="1"/>
    </xf>
    <xf numFmtId="0" fontId="25" fillId="0" borderId="15" xfId="2" applyFont="1" applyBorder="1" applyAlignment="1" applyProtection="1">
      <alignment horizontal="center" vertical="center"/>
      <protection hidden="1"/>
    </xf>
    <xf numFmtId="0" fontId="32" fillId="0" borderId="0" xfId="2" applyFont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horizontal="center" vertical="center"/>
      <protection hidden="1"/>
    </xf>
    <xf numFmtId="0" fontId="33" fillId="0" borderId="0" xfId="2" applyFont="1" applyAlignment="1" applyProtection="1">
      <alignment horizontal="center" vertical="center"/>
      <protection hidden="1"/>
    </xf>
    <xf numFmtId="3" fontId="33" fillId="0" borderId="0" xfId="2" applyNumberFormat="1" applyFont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vertical="center"/>
      <protection hidden="1"/>
    </xf>
    <xf numFmtId="169" fontId="25" fillId="0" borderId="0" xfId="2" applyNumberFormat="1" applyFont="1" applyAlignment="1" applyProtection="1">
      <alignment horizontal="center" vertical="center"/>
      <protection hidden="1"/>
    </xf>
    <xf numFmtId="3" fontId="23" fillId="0" borderId="0" xfId="2" applyNumberFormat="1" applyFont="1" applyAlignment="1" applyProtection="1">
      <alignment horizontal="center" vertical="center"/>
      <protection hidden="1"/>
    </xf>
    <xf numFmtId="0" fontId="25" fillId="0" borderId="6" xfId="2" applyFont="1" applyBorder="1" applyAlignment="1" applyProtection="1">
      <alignment horizontal="center" vertical="center"/>
      <protection hidden="1"/>
    </xf>
    <xf numFmtId="0" fontId="25" fillId="0" borderId="7" xfId="2" applyFont="1" applyBorder="1" applyAlignment="1" applyProtection="1">
      <alignment horizontal="center" vertical="center"/>
      <protection hidden="1"/>
    </xf>
    <xf numFmtId="0" fontId="25" fillId="0" borderId="12" xfId="2" applyFont="1" applyBorder="1" applyAlignment="1" applyProtection="1">
      <alignment horizontal="center" vertical="center" textRotation="90" wrapText="1"/>
      <protection hidden="1"/>
    </xf>
    <xf numFmtId="0" fontId="25" fillId="0" borderId="0" xfId="2" applyFont="1" applyAlignment="1" applyProtection="1">
      <alignment horizontal="center" vertical="center" wrapText="1"/>
      <protection hidden="1"/>
    </xf>
    <xf numFmtId="0" fontId="25" fillId="0" borderId="9" xfId="2" applyFont="1" applyBorder="1" applyAlignment="1" applyProtection="1">
      <alignment horizontal="center" vertical="center"/>
      <protection hidden="1"/>
    </xf>
    <xf numFmtId="0" fontId="25" fillId="0" borderId="10" xfId="2" applyFont="1" applyBorder="1" applyAlignment="1" applyProtection="1">
      <alignment horizontal="center" vertical="center" textRotation="90" wrapText="1"/>
      <protection hidden="1"/>
    </xf>
    <xf numFmtId="0" fontId="26" fillId="0" borderId="0" xfId="0" applyFont="1" applyAlignment="1" applyProtection="1">
      <alignment horizontal="center"/>
      <protection hidden="1"/>
    </xf>
    <xf numFmtId="0" fontId="25" fillId="0" borderId="0" xfId="0" applyFont="1" applyProtection="1">
      <protection hidden="1"/>
    </xf>
    <xf numFmtId="0" fontId="26" fillId="0" borderId="0" xfId="0" applyFont="1" applyProtection="1">
      <protection hidden="1"/>
    </xf>
    <xf numFmtId="0" fontId="25" fillId="0" borderId="1" xfId="2" applyFont="1" applyBorder="1" applyAlignment="1" applyProtection="1">
      <alignment vertical="center"/>
      <protection hidden="1"/>
    </xf>
    <xf numFmtId="0" fontId="25" fillId="0" borderId="1" xfId="2" applyFont="1" applyBorder="1" applyAlignment="1" applyProtection="1">
      <alignment horizontal="center" vertical="center"/>
      <protection hidden="1"/>
    </xf>
    <xf numFmtId="0" fontId="25" fillId="0" borderId="1" xfId="0" applyFont="1" applyBorder="1" applyAlignment="1" applyProtection="1">
      <alignment horizontal="center" vertical="center"/>
      <protection hidden="1"/>
    </xf>
    <xf numFmtId="0" fontId="25" fillId="0" borderId="16" xfId="2" applyFont="1" applyBorder="1" applyAlignment="1" applyProtection="1">
      <alignment horizontal="center" vertical="center"/>
      <protection hidden="1"/>
    </xf>
    <xf numFmtId="1" fontId="25" fillId="0" borderId="0" xfId="0" applyNumberFormat="1" applyFont="1" applyAlignment="1" applyProtection="1">
      <alignment horizontal="center"/>
      <protection hidden="1"/>
    </xf>
    <xf numFmtId="1" fontId="25" fillId="0" borderId="0" xfId="2" applyNumberFormat="1" applyFont="1" applyAlignment="1" applyProtection="1">
      <alignment horizontal="center" vertical="center"/>
      <protection hidden="1"/>
    </xf>
    <xf numFmtId="0" fontId="27" fillId="0" borderId="10" xfId="2" applyFont="1" applyBorder="1" applyAlignment="1" applyProtection="1">
      <alignment horizontal="center" vertical="center"/>
      <protection hidden="1"/>
    </xf>
    <xf numFmtId="0" fontId="27" fillId="0" borderId="1" xfId="2" applyFont="1" applyBorder="1" applyAlignment="1" applyProtection="1">
      <alignment horizontal="center" vertical="center"/>
      <protection hidden="1"/>
    </xf>
    <xf numFmtId="0" fontId="27" fillId="0" borderId="9" xfId="2" applyFont="1" applyBorder="1" applyAlignment="1" applyProtection="1">
      <alignment horizontal="center" vertical="center"/>
      <protection hidden="1"/>
    </xf>
    <xf numFmtId="0" fontId="25" fillId="0" borderId="8" xfId="2" applyFont="1" applyBorder="1" applyAlignment="1" applyProtection="1">
      <alignment vertical="center"/>
      <protection hidden="1"/>
    </xf>
    <xf numFmtId="0" fontId="25" fillId="0" borderId="9" xfId="2" applyFont="1" applyBorder="1" applyAlignment="1" applyProtection="1">
      <alignment vertical="center"/>
      <protection hidden="1"/>
    </xf>
    <xf numFmtId="0" fontId="31" fillId="0" borderId="0" xfId="0" applyFont="1" applyProtection="1">
      <protection hidden="1"/>
    </xf>
    <xf numFmtId="0" fontId="31" fillId="7" borderId="0" xfId="0" applyFont="1" applyFill="1" applyAlignment="1" applyProtection="1">
      <alignment horizontal="center"/>
      <protection hidden="1"/>
    </xf>
    <xf numFmtId="2" fontId="31" fillId="7" borderId="0" xfId="0" applyNumberFormat="1" applyFont="1" applyFill="1" applyAlignment="1" applyProtection="1">
      <alignment horizontal="center"/>
      <protection hidden="1"/>
    </xf>
    <xf numFmtId="0" fontId="31" fillId="0" borderId="0" xfId="0" applyFont="1" applyAlignment="1" applyProtection="1">
      <alignment horizontal="center"/>
      <protection hidden="1"/>
    </xf>
    <xf numFmtId="2" fontId="31" fillId="0" borderId="0" xfId="0" applyNumberFormat="1" applyFont="1" applyAlignment="1" applyProtection="1">
      <alignment horizontal="center"/>
      <protection hidden="1"/>
    </xf>
    <xf numFmtId="0" fontId="29" fillId="0" borderId="0" xfId="0" applyFont="1" applyProtection="1">
      <protection hidden="1"/>
    </xf>
    <xf numFmtId="2" fontId="29" fillId="0" borderId="0" xfId="0" applyNumberFormat="1" applyFont="1" applyAlignment="1" applyProtection="1">
      <alignment horizontal="center"/>
      <protection hidden="1"/>
    </xf>
    <xf numFmtId="0" fontId="29" fillId="0" borderId="0" xfId="0" applyFont="1" applyAlignment="1" applyProtection="1">
      <alignment horizontal="center"/>
      <protection hidden="1"/>
    </xf>
    <xf numFmtId="2" fontId="29" fillId="0" borderId="0" xfId="0" applyNumberFormat="1" applyFont="1" applyProtection="1">
      <protection hidden="1"/>
    </xf>
    <xf numFmtId="0" fontId="28" fillId="0" borderId="0" xfId="0" applyFont="1" applyAlignment="1" applyProtection="1">
      <alignment vertical="top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0" fontId="29" fillId="0" borderId="0" xfId="0" applyFont="1" applyAlignment="1" applyProtection="1">
      <alignment vertical="center"/>
      <protection hidden="1"/>
    </xf>
    <xf numFmtId="2" fontId="29" fillId="0" borderId="0" xfId="0" applyNumberFormat="1" applyFont="1" applyAlignment="1" applyProtection="1">
      <alignment vertical="center"/>
      <protection hidden="1"/>
    </xf>
    <xf numFmtId="2" fontId="27" fillId="0" borderId="0" xfId="0" applyNumberFormat="1" applyFont="1" applyAlignment="1" applyProtection="1">
      <alignment horizontal="center" vertical="top"/>
      <protection hidden="1"/>
    </xf>
    <xf numFmtId="47" fontId="27" fillId="0" borderId="0" xfId="0" applyNumberFormat="1" applyFont="1" applyAlignment="1" applyProtection="1">
      <alignment horizontal="center" vertical="top"/>
      <protection hidden="1"/>
    </xf>
    <xf numFmtId="0" fontId="29" fillId="0" borderId="0" xfId="0" applyFont="1" applyAlignment="1" applyProtection="1">
      <alignment vertical="top"/>
      <protection hidden="1"/>
    </xf>
    <xf numFmtId="0" fontId="29" fillId="0" borderId="0" xfId="0" applyFont="1" applyAlignment="1" applyProtection="1">
      <alignment horizontal="center" vertical="top"/>
      <protection hidden="1"/>
    </xf>
    <xf numFmtId="0" fontId="27" fillId="0" borderId="0" xfId="0" applyFont="1" applyAlignment="1" applyProtection="1">
      <alignment horizontal="left" vertical="top"/>
      <protection hidden="1"/>
    </xf>
    <xf numFmtId="0" fontId="28" fillId="0" borderId="0" xfId="0" applyFont="1" applyAlignment="1" applyProtection="1">
      <alignment horizontal="left" vertical="top"/>
      <protection hidden="1"/>
    </xf>
    <xf numFmtId="0" fontId="38" fillId="0" borderId="0" xfId="0" applyFont="1" applyAlignment="1" applyProtection="1">
      <alignment horizontal="center"/>
      <protection hidden="1"/>
    </xf>
    <xf numFmtId="0" fontId="29" fillId="0" borderId="0" xfId="0" applyFont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left" vertical="center"/>
      <protection hidden="1"/>
    </xf>
    <xf numFmtId="2" fontId="27" fillId="0" borderId="0" xfId="0" applyNumberFormat="1" applyFont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47" fontId="27" fillId="0" borderId="0" xfId="0" applyNumberFormat="1" applyFont="1" applyAlignment="1" applyProtection="1">
      <alignment horizontal="center" vertical="center"/>
      <protection hidden="1"/>
    </xf>
    <xf numFmtId="0" fontId="28" fillId="0" borderId="0" xfId="0" applyFont="1" applyAlignment="1" applyProtection="1">
      <alignment horizontal="left" vertical="center"/>
      <protection hidden="1"/>
    </xf>
    <xf numFmtId="0" fontId="29" fillId="0" borderId="0" xfId="0" applyFont="1" applyAlignment="1" applyProtection="1">
      <alignment horizontal="left"/>
      <protection hidden="1"/>
    </xf>
    <xf numFmtId="14" fontId="29" fillId="0" borderId="0" xfId="0" applyNumberFormat="1" applyFont="1" applyAlignment="1" applyProtection="1">
      <alignment horizontal="center"/>
      <protection hidden="1"/>
    </xf>
    <xf numFmtId="0" fontId="29" fillId="0" borderId="0" xfId="0" quotePrefix="1" applyFont="1" applyProtection="1">
      <protection hidden="1"/>
    </xf>
    <xf numFmtId="0" fontId="37" fillId="0" borderId="0" xfId="3" applyFont="1" applyAlignment="1" applyProtection="1">
      <alignment horizontal="left" vertical="top"/>
      <protection hidden="1"/>
    </xf>
    <xf numFmtId="0" fontId="37" fillId="3" borderId="0" xfId="3" applyFont="1" applyFill="1" applyAlignment="1" applyProtection="1">
      <alignment horizontal="left" vertical="top"/>
      <protection hidden="1"/>
    </xf>
    <xf numFmtId="0" fontId="37" fillId="3" borderId="0" xfId="3" applyFont="1" applyFill="1" applyAlignment="1" applyProtection="1">
      <alignment horizontal="center" vertical="top"/>
      <protection hidden="1"/>
    </xf>
    <xf numFmtId="0" fontId="37" fillId="0" borderId="0" xfId="3" applyFont="1" applyAlignment="1" applyProtection="1">
      <alignment horizontal="center" vertical="top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/>
      <protection hidden="1"/>
    </xf>
    <xf numFmtId="0" fontId="34" fillId="0" borderId="0" xfId="0" applyFont="1" applyAlignment="1" applyProtection="1">
      <alignment horizontal="left"/>
      <protection hidden="1"/>
    </xf>
    <xf numFmtId="1" fontId="41" fillId="0" borderId="0" xfId="0" applyNumberFormat="1" applyFont="1" applyAlignment="1" applyProtection="1">
      <alignment horizontal="center"/>
      <protection hidden="1"/>
    </xf>
    <xf numFmtId="167" fontId="29" fillId="0" borderId="0" xfId="0" applyNumberFormat="1" applyFont="1" applyAlignment="1" applyProtection="1">
      <alignment horizontal="center"/>
      <protection hidden="1"/>
    </xf>
    <xf numFmtId="167" fontId="29" fillId="0" borderId="0" xfId="0" applyNumberFormat="1" applyFont="1" applyProtection="1">
      <protection hidden="1"/>
    </xf>
    <xf numFmtId="0" fontId="28" fillId="0" borderId="0" xfId="2" applyFont="1" applyAlignment="1" applyProtection="1">
      <alignment horizontal="center" vertical="center"/>
      <protection hidden="1"/>
    </xf>
    <xf numFmtId="0" fontId="43" fillId="0" borderId="0" xfId="0" applyFont="1" applyAlignment="1" applyProtection="1">
      <alignment vertical="center"/>
      <protection hidden="1"/>
    </xf>
    <xf numFmtId="167" fontId="40" fillId="0" borderId="0" xfId="0" applyNumberFormat="1" applyFont="1" applyAlignment="1" applyProtection="1">
      <alignment horizontal="center"/>
      <protection hidden="1"/>
    </xf>
    <xf numFmtId="0" fontId="43" fillId="0" borderId="0" xfId="0" applyFont="1" applyAlignment="1" applyProtection="1">
      <alignment horizontal="left" vertical="center"/>
      <protection hidden="1"/>
    </xf>
    <xf numFmtId="0" fontId="43" fillId="0" borderId="0" xfId="0" applyFont="1" applyAlignment="1" applyProtection="1">
      <alignment horizontal="left"/>
      <protection hidden="1"/>
    </xf>
    <xf numFmtId="0" fontId="27" fillId="0" borderId="0" xfId="2" applyFont="1" applyAlignment="1" applyProtection="1">
      <alignment horizontal="center" vertical="center"/>
      <protection hidden="1"/>
    </xf>
    <xf numFmtId="3" fontId="29" fillId="0" borderId="0" xfId="0" applyNumberFormat="1" applyFont="1" applyAlignment="1" applyProtection="1">
      <alignment horizontal="center"/>
      <protection hidden="1"/>
    </xf>
    <xf numFmtId="2" fontId="27" fillId="0" borderId="0" xfId="2" applyNumberFormat="1" applyFont="1" applyAlignment="1" applyProtection="1">
      <alignment horizontal="center" vertical="center"/>
      <protection hidden="1"/>
    </xf>
    <xf numFmtId="2" fontId="40" fillId="0" borderId="0" xfId="0" applyNumberFormat="1" applyFont="1" applyAlignment="1" applyProtection="1">
      <alignment horizontal="center"/>
      <protection hidden="1"/>
    </xf>
    <xf numFmtId="3" fontId="29" fillId="0" borderId="0" xfId="0" applyNumberFormat="1" applyFont="1" applyAlignment="1" applyProtection="1">
      <alignment horizontal="center"/>
      <protection locked="0" hidden="1"/>
    </xf>
    <xf numFmtId="0" fontId="40" fillId="0" borderId="0" xfId="0" applyFont="1" applyAlignment="1" applyProtection="1">
      <alignment horizontal="center"/>
      <protection hidden="1"/>
    </xf>
    <xf numFmtId="4" fontId="29" fillId="0" borderId="0" xfId="0" applyNumberFormat="1" applyFont="1" applyAlignment="1" applyProtection="1">
      <alignment horizontal="center"/>
      <protection hidden="1"/>
    </xf>
    <xf numFmtId="0" fontId="31" fillId="4" borderId="0" xfId="0" applyFont="1" applyFill="1" applyAlignment="1" applyProtection="1">
      <alignment horizontal="center"/>
      <protection locked="0" hidden="1"/>
    </xf>
    <xf numFmtId="166" fontId="29" fillId="0" borderId="0" xfId="1" applyNumberFormat="1" applyFont="1" applyAlignment="1" applyProtection="1">
      <alignment horizontal="left"/>
      <protection hidden="1"/>
    </xf>
    <xf numFmtId="166" fontId="29" fillId="0" borderId="2" xfId="1" applyNumberFormat="1" applyFont="1" applyBorder="1" applyAlignment="1" applyProtection="1">
      <alignment horizontal="left"/>
      <protection hidden="1"/>
    </xf>
    <xf numFmtId="166" fontId="29" fillId="0" borderId="0" xfId="1" applyNumberFormat="1" applyFont="1" applyAlignment="1" applyProtection="1">
      <alignment horizontal="right"/>
      <protection hidden="1"/>
    </xf>
    <xf numFmtId="0" fontId="29" fillId="0" borderId="0" xfId="0" applyFont="1" applyAlignment="1" applyProtection="1">
      <alignment horizontal="right"/>
      <protection hidden="1"/>
    </xf>
    <xf numFmtId="166" fontId="40" fillId="0" borderId="0" xfId="1" applyNumberFormat="1" applyFont="1" applyAlignment="1" applyProtection="1">
      <alignment horizontal="right"/>
      <protection hidden="1"/>
    </xf>
    <xf numFmtId="0" fontId="27" fillId="0" borderId="12" xfId="2" applyFont="1" applyBorder="1" applyAlignment="1" applyProtection="1">
      <alignment horizontal="center" vertical="center"/>
      <protection hidden="1"/>
    </xf>
    <xf numFmtId="0" fontId="27" fillId="0" borderId="13" xfId="2" applyFont="1" applyBorder="1" applyAlignment="1" applyProtection="1">
      <alignment horizontal="center" vertical="center"/>
      <protection hidden="1"/>
    </xf>
    <xf numFmtId="0" fontId="27" fillId="0" borderId="17" xfId="2" applyFont="1" applyBorder="1" applyAlignment="1" applyProtection="1">
      <alignment vertical="center"/>
      <protection hidden="1"/>
    </xf>
    <xf numFmtId="0" fontId="27" fillId="0" borderId="1" xfId="2" applyFont="1" applyBorder="1" applyAlignment="1" applyProtection="1">
      <alignment horizontal="left" vertical="center"/>
      <protection hidden="1"/>
    </xf>
    <xf numFmtId="0" fontId="29" fillId="10" borderId="0" xfId="0" applyFont="1" applyFill="1" applyAlignment="1" applyProtection="1">
      <alignment horizontal="center"/>
      <protection hidden="1"/>
    </xf>
    <xf numFmtId="0" fontId="26" fillId="10" borderId="0" xfId="0" applyFont="1" applyFill="1" applyAlignment="1" applyProtection="1">
      <alignment horizontal="center" vertical="center"/>
      <protection hidden="1"/>
    </xf>
    <xf numFmtId="171" fontId="0" fillId="0" borderId="0" xfId="0" applyNumberFormat="1" applyProtection="1">
      <protection hidden="1"/>
    </xf>
    <xf numFmtId="1" fontId="25" fillId="0" borderId="1" xfId="0" applyNumberFormat="1" applyFont="1" applyBorder="1" applyAlignment="1" applyProtection="1">
      <alignment horizontal="center" vertical="center"/>
      <protection hidden="1"/>
    </xf>
    <xf numFmtId="1" fontId="25" fillId="0" borderId="0" xfId="2" applyNumberFormat="1" applyFont="1" applyAlignment="1" applyProtection="1">
      <alignment vertical="center"/>
      <protection hidden="1"/>
    </xf>
    <xf numFmtId="1" fontId="27" fillId="0" borderId="13" xfId="2" applyNumberFormat="1" applyFont="1" applyBorder="1" applyAlignment="1" applyProtection="1">
      <alignment vertical="center"/>
      <protection hidden="1"/>
    </xf>
    <xf numFmtId="1" fontId="27" fillId="0" borderId="14" xfId="2" applyNumberFormat="1" applyFont="1" applyBorder="1" applyAlignment="1" applyProtection="1">
      <alignment vertical="center"/>
      <protection hidden="1"/>
    </xf>
    <xf numFmtId="1" fontId="27" fillId="0" borderId="11" xfId="2" applyNumberFormat="1" applyFont="1" applyBorder="1" applyAlignment="1" applyProtection="1">
      <alignment vertical="center"/>
      <protection hidden="1"/>
    </xf>
    <xf numFmtId="1" fontId="27" fillId="0" borderId="8" xfId="2" applyNumberFormat="1" applyFont="1" applyBorder="1" applyAlignment="1" applyProtection="1">
      <alignment vertical="center"/>
      <protection hidden="1"/>
    </xf>
    <xf numFmtId="1" fontId="27" fillId="0" borderId="0" xfId="2" applyNumberFormat="1" applyFont="1" applyAlignment="1" applyProtection="1">
      <alignment vertical="center"/>
      <protection hidden="1"/>
    </xf>
    <xf numFmtId="1" fontId="27" fillId="0" borderId="7" xfId="2" applyNumberFormat="1" applyFont="1" applyBorder="1" applyAlignment="1" applyProtection="1">
      <alignment vertical="center"/>
      <protection hidden="1"/>
    </xf>
    <xf numFmtId="1" fontId="0" fillId="0" borderId="0" xfId="0" applyNumberFormat="1" applyProtection="1">
      <protection hidden="1"/>
    </xf>
    <xf numFmtId="3" fontId="29" fillId="0" borderId="0" xfId="0" applyNumberFormat="1" applyFont="1" applyProtection="1">
      <protection hidden="1"/>
    </xf>
    <xf numFmtId="2" fontId="26" fillId="0" borderId="0" xfId="0" applyNumberFormat="1" applyFont="1" applyAlignment="1" applyProtection="1">
      <alignment horizontal="center"/>
      <protection hidden="1"/>
    </xf>
    <xf numFmtId="167" fontId="26" fillId="0" borderId="0" xfId="0" applyNumberFormat="1" applyFont="1" applyAlignment="1" applyProtection="1">
      <alignment horizontal="center"/>
      <protection hidden="1"/>
    </xf>
    <xf numFmtId="171" fontId="25" fillId="0" borderId="0" xfId="0" applyNumberFormat="1" applyFont="1" applyAlignment="1" applyProtection="1">
      <alignment horizontal="center"/>
      <protection hidden="1"/>
    </xf>
    <xf numFmtId="171" fontId="25" fillId="0" borderId="0" xfId="2" applyNumberFormat="1" applyFont="1" applyAlignment="1" applyProtection="1">
      <alignment horizontal="center" vertical="center"/>
      <protection hidden="1"/>
    </xf>
    <xf numFmtId="171" fontId="26" fillId="0" borderId="0" xfId="0" applyNumberFormat="1" applyFont="1" applyProtection="1">
      <protection hidden="1"/>
    </xf>
    <xf numFmtId="0" fontId="27" fillId="12" borderId="0" xfId="2" applyFont="1" applyFill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left"/>
      <protection hidden="1"/>
    </xf>
    <xf numFmtId="0" fontId="29" fillId="11" borderId="0" xfId="0" applyFont="1" applyFill="1" applyAlignment="1" applyProtection="1">
      <alignment horizontal="center"/>
      <protection hidden="1"/>
    </xf>
    <xf numFmtId="0" fontId="29" fillId="0" borderId="0" xfId="0" applyFont="1" applyAlignment="1" applyProtection="1">
      <alignment horizontal="left" wrapText="1"/>
      <protection hidden="1"/>
    </xf>
    <xf numFmtId="2" fontId="29" fillId="0" borderId="0" xfId="0" applyNumberFormat="1" applyFont="1" applyAlignment="1" applyProtection="1">
      <alignment horizontal="center" vertical="center"/>
      <protection hidden="1"/>
    </xf>
    <xf numFmtId="166" fontId="39" fillId="2" borderId="0" xfId="1" applyNumberFormat="1" applyFont="1" applyFill="1" applyAlignment="1" applyProtection="1">
      <alignment horizontal="right" vertical="center"/>
      <protection hidden="1"/>
    </xf>
    <xf numFmtId="166" fontId="39" fillId="2" borderId="2" xfId="1" applyNumberFormat="1" applyFont="1" applyFill="1" applyBorder="1" applyAlignment="1" applyProtection="1">
      <alignment horizontal="right" vertical="center"/>
      <protection hidden="1"/>
    </xf>
    <xf numFmtId="0" fontId="29" fillId="0" borderId="0" xfId="0" applyFont="1" applyAlignment="1" applyProtection="1">
      <alignment horizontal="right" vertical="center"/>
      <protection hidden="1"/>
    </xf>
    <xf numFmtId="0" fontId="29" fillId="0" borderId="0" xfId="0" applyFont="1" applyAlignment="1" applyProtection="1">
      <alignment horizontal="center" vertical="center" wrapText="1"/>
      <protection hidden="1"/>
    </xf>
    <xf numFmtId="1" fontId="40" fillId="0" borderId="0" xfId="0" applyNumberFormat="1" applyFont="1" applyAlignment="1" applyProtection="1">
      <alignment horizontal="center"/>
      <protection hidden="1"/>
    </xf>
    <xf numFmtId="1" fontId="50" fillId="0" borderId="0" xfId="0" applyNumberFormat="1" applyFont="1" applyAlignment="1" applyProtection="1">
      <alignment horizontal="center"/>
      <protection hidden="1"/>
    </xf>
    <xf numFmtId="0" fontId="40" fillId="0" borderId="0" xfId="0" applyFont="1" applyProtection="1">
      <protection hidden="1"/>
    </xf>
    <xf numFmtId="0" fontId="48" fillId="0" borderId="0" xfId="0" applyFont="1" applyAlignment="1" applyProtection="1">
      <alignment vertical="center"/>
      <protection hidden="1"/>
    </xf>
    <xf numFmtId="14" fontId="19" fillId="0" borderId="0" xfId="0" applyNumberFormat="1" applyFont="1" applyAlignment="1" applyProtection="1">
      <alignment horizontal="left" vertical="center"/>
      <protection hidden="1"/>
    </xf>
    <xf numFmtId="1" fontId="29" fillId="0" borderId="0" xfId="0" applyNumberFormat="1" applyFont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vertical="center"/>
      <protection hidden="1"/>
    </xf>
    <xf numFmtId="0" fontId="18" fillId="0" borderId="18" xfId="0" applyFont="1" applyBorder="1" applyAlignment="1" applyProtection="1">
      <alignment vertical="center"/>
      <protection hidden="1"/>
    </xf>
    <xf numFmtId="0" fontId="18" fillId="0" borderId="0" xfId="0" applyFont="1" applyAlignment="1" applyProtection="1">
      <alignment horizontal="left" vertical="center"/>
      <protection hidden="1"/>
    </xf>
    <xf numFmtId="0" fontId="18" fillId="0" borderId="0" xfId="0" applyFont="1" applyAlignment="1" applyProtection="1">
      <alignment horizontal="center" vertical="center"/>
      <protection hidden="1"/>
    </xf>
    <xf numFmtId="0" fontId="18" fillId="4" borderId="18" xfId="0" applyFont="1" applyFill="1" applyBorder="1" applyAlignment="1" applyProtection="1">
      <alignment horizontal="center" vertical="center"/>
      <protection locked="0" hidden="1"/>
    </xf>
    <xf numFmtId="0" fontId="18" fillId="0" borderId="0" xfId="0" applyFont="1" applyAlignment="1" applyProtection="1">
      <alignment horizontal="right" vertical="center"/>
      <protection hidden="1"/>
    </xf>
    <xf numFmtId="2" fontId="18" fillId="0" borderId="0" xfId="0" applyNumberFormat="1" applyFont="1" applyAlignment="1" applyProtection="1">
      <alignment vertical="center"/>
      <protection hidden="1"/>
    </xf>
    <xf numFmtId="0" fontId="18" fillId="0" borderId="0" xfId="0" applyFont="1" applyAlignment="1" applyProtection="1">
      <alignment vertical="center" wrapText="1"/>
      <protection hidden="1"/>
    </xf>
    <xf numFmtId="165" fontId="18" fillId="0" borderId="0" xfId="1" applyFont="1" applyAlignment="1" applyProtection="1">
      <alignment horizontal="right" vertical="center"/>
      <protection hidden="1"/>
    </xf>
    <xf numFmtId="0" fontId="48" fillId="5" borderId="0" xfId="0" applyFont="1" applyFill="1" applyAlignment="1" applyProtection="1">
      <alignment horizontal="center" vertical="center"/>
      <protection hidden="1"/>
    </xf>
    <xf numFmtId="0" fontId="48" fillId="5" borderId="0" xfId="0" applyFont="1" applyFill="1" applyAlignment="1" applyProtection="1">
      <alignment vertical="center"/>
      <protection hidden="1"/>
    </xf>
    <xf numFmtId="166" fontId="18" fillId="0" borderId="0" xfId="1" applyNumberFormat="1" applyFont="1" applyAlignment="1" applyProtection="1">
      <alignment horizontal="right" vertical="center"/>
      <protection hidden="1"/>
    </xf>
    <xf numFmtId="166" fontId="18" fillId="0" borderId="19" xfId="1" applyNumberFormat="1" applyFont="1" applyBorder="1" applyAlignment="1" applyProtection="1">
      <alignment horizontal="right" vertical="center"/>
      <protection hidden="1"/>
    </xf>
    <xf numFmtId="171" fontId="18" fillId="0" borderId="0" xfId="1" applyNumberFormat="1" applyFont="1" applyAlignment="1" applyProtection="1">
      <alignment horizontal="right" vertical="center"/>
      <protection hidden="1"/>
    </xf>
    <xf numFmtId="0" fontId="50" fillId="0" borderId="0" xfId="0" applyFont="1" applyAlignment="1" applyProtection="1">
      <alignment horizontal="center"/>
      <protection hidden="1"/>
    </xf>
    <xf numFmtId="1" fontId="29" fillId="0" borderId="0" xfId="0" applyNumberFormat="1" applyFont="1" applyAlignment="1" applyProtection="1">
      <alignment horizontal="center"/>
      <protection hidden="1"/>
    </xf>
    <xf numFmtId="0" fontId="48" fillId="0" borderId="0" xfId="0" applyFont="1" applyAlignment="1" applyProtection="1">
      <alignment horizontal="center" vertical="center"/>
      <protection hidden="1"/>
    </xf>
    <xf numFmtId="0" fontId="34" fillId="0" borderId="0" xfId="0" applyFont="1" applyAlignment="1" applyProtection="1">
      <alignment vertical="center"/>
      <protection hidden="1"/>
    </xf>
    <xf numFmtId="14" fontId="34" fillId="0" borderId="0" xfId="0" applyNumberFormat="1" applyFont="1" applyAlignment="1" applyProtection="1">
      <alignment horizontal="left" vertical="center"/>
      <protection hidden="1"/>
    </xf>
    <xf numFmtId="0" fontId="32" fillId="6" borderId="18" xfId="0" applyFont="1" applyFill="1" applyBorder="1" applyAlignment="1" applyProtection="1">
      <alignment horizontal="center" vertical="center"/>
      <protection hidden="1"/>
    </xf>
    <xf numFmtId="0" fontId="47" fillId="13" borderId="20" xfId="0" applyFont="1" applyFill="1" applyBorder="1" applyAlignment="1" applyProtection="1">
      <alignment horizontal="center" vertical="center"/>
      <protection hidden="1"/>
    </xf>
    <xf numFmtId="0" fontId="47" fillId="15" borderId="20" xfId="0" applyFont="1" applyFill="1" applyBorder="1" applyAlignment="1" applyProtection="1">
      <alignment horizontal="center" vertical="center"/>
      <protection hidden="1"/>
    </xf>
    <xf numFmtId="0" fontId="51" fillId="0" borderId="18" xfId="0" applyFont="1" applyBorder="1" applyAlignment="1" applyProtection="1">
      <alignment horizontal="center" vertical="center"/>
      <protection hidden="1"/>
    </xf>
    <xf numFmtId="0" fontId="51" fillId="14" borderId="18" xfId="0" applyFont="1" applyFill="1" applyBorder="1" applyAlignment="1" applyProtection="1">
      <alignment horizontal="center" vertical="center"/>
      <protection hidden="1"/>
    </xf>
    <xf numFmtId="0" fontId="51" fillId="10" borderId="18" xfId="0" applyFont="1" applyFill="1" applyBorder="1" applyAlignment="1" applyProtection="1">
      <alignment horizontal="center" vertical="center"/>
      <protection hidden="1"/>
    </xf>
    <xf numFmtId="0" fontId="47" fillId="13" borderId="18" xfId="0" applyFont="1" applyFill="1" applyBorder="1" applyAlignment="1" applyProtection="1">
      <alignment horizontal="center" vertical="center"/>
      <protection hidden="1"/>
    </xf>
    <xf numFmtId="0" fontId="47" fillId="15" borderId="18" xfId="0" applyFont="1" applyFill="1" applyBorder="1" applyAlignment="1" applyProtection="1">
      <alignment horizontal="center" vertical="center"/>
      <protection hidden="1"/>
    </xf>
    <xf numFmtId="0" fontId="49" fillId="0" borderId="0" xfId="0" applyFont="1" applyAlignment="1" applyProtection="1">
      <alignment vertical="center"/>
      <protection hidden="1"/>
    </xf>
    <xf numFmtId="0" fontId="47" fillId="0" borderId="0" xfId="0" applyFont="1" applyAlignment="1" applyProtection="1">
      <alignment horizontal="center" vertical="center"/>
      <protection hidden="1"/>
    </xf>
    <xf numFmtId="0" fontId="33" fillId="0" borderId="0" xfId="0" applyFont="1" applyAlignment="1" applyProtection="1">
      <alignment vertical="center"/>
      <protection hidden="1"/>
    </xf>
    <xf numFmtId="0" fontId="52" fillId="0" borderId="0" xfId="7" applyFont="1" applyAlignment="1" applyProtection="1">
      <alignment horizontal="center" vertical="center"/>
      <protection hidden="1"/>
    </xf>
    <xf numFmtId="0" fontId="53" fillId="0" borderId="0" xfId="0" applyFont="1" applyAlignment="1" applyProtection="1">
      <alignment horizontal="center" vertical="center"/>
      <protection hidden="1"/>
    </xf>
    <xf numFmtId="0" fontId="54" fillId="0" borderId="0" xfId="0" applyFont="1" applyAlignment="1" applyProtection="1">
      <alignment vertical="center"/>
      <protection hidden="1"/>
    </xf>
    <xf numFmtId="0" fontId="51" fillId="0" borderId="0" xfId="0" applyFont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vertical="center"/>
      <protection hidden="1"/>
    </xf>
    <xf numFmtId="0" fontId="48" fillId="18" borderId="12" xfId="0" applyFont="1" applyFill="1" applyBorder="1" applyAlignment="1" applyProtection="1">
      <alignment horizontal="center" vertical="center"/>
      <protection hidden="1"/>
    </xf>
    <xf numFmtId="0" fontId="48" fillId="18" borderId="13" xfId="0" applyFont="1" applyFill="1" applyBorder="1" applyAlignment="1" applyProtection="1">
      <alignment horizontal="center" vertical="center"/>
      <protection hidden="1"/>
    </xf>
    <xf numFmtId="0" fontId="48" fillId="18" borderId="14" xfId="0" applyFont="1" applyFill="1" applyBorder="1" applyAlignment="1" applyProtection="1">
      <alignment horizontal="center" vertical="center"/>
      <protection hidden="1"/>
    </xf>
    <xf numFmtId="0" fontId="48" fillId="17" borderId="17" xfId="0" applyFont="1" applyFill="1" applyBorder="1" applyAlignment="1" applyProtection="1">
      <alignment horizontal="center" vertical="center"/>
      <protection hidden="1"/>
    </xf>
    <xf numFmtId="0" fontId="48" fillId="17" borderId="7" xfId="0" applyFont="1" applyFill="1" applyBorder="1" applyAlignment="1" applyProtection="1">
      <alignment horizontal="center" vertical="center"/>
      <protection hidden="1"/>
    </xf>
    <xf numFmtId="0" fontId="34" fillId="0" borderId="0" xfId="0" applyFont="1" applyAlignment="1" applyProtection="1">
      <alignment horizontal="left" vertical="center"/>
      <protection hidden="1"/>
    </xf>
    <xf numFmtId="14" fontId="34" fillId="0" borderId="0" xfId="0" applyNumberFormat="1" applyFont="1" applyAlignment="1" applyProtection="1">
      <alignment horizontal="center" vertical="center"/>
      <protection hidden="1"/>
    </xf>
    <xf numFmtId="171" fontId="29" fillId="0" borderId="0" xfId="0" applyNumberFormat="1" applyFont="1" applyAlignment="1" applyProtection="1">
      <alignment horizontal="center"/>
      <protection hidden="1"/>
    </xf>
    <xf numFmtId="172" fontId="27" fillId="0" borderId="0" xfId="2" applyNumberFormat="1" applyFont="1" applyAlignment="1" applyProtection="1">
      <alignment horizontal="center" vertical="center"/>
      <protection hidden="1"/>
    </xf>
    <xf numFmtId="173" fontId="29" fillId="0" borderId="0" xfId="0" applyNumberFormat="1" applyFont="1" applyProtection="1">
      <protection hidden="1"/>
    </xf>
    <xf numFmtId="173" fontId="40" fillId="0" borderId="0" xfId="0" applyNumberFormat="1" applyFont="1" applyAlignment="1" applyProtection="1">
      <alignment horizontal="center"/>
      <protection hidden="1"/>
    </xf>
    <xf numFmtId="173" fontId="26" fillId="0" borderId="0" xfId="0" applyNumberFormat="1" applyFont="1" applyAlignment="1" applyProtection="1">
      <alignment horizontal="center"/>
      <protection hidden="1"/>
    </xf>
    <xf numFmtId="0" fontId="16" fillId="0" borderId="0" xfId="0" applyFont="1" applyAlignment="1" applyProtection="1">
      <alignment vertical="center"/>
      <protection hidden="1"/>
    </xf>
    <xf numFmtId="0" fontId="16" fillId="0" borderId="0" xfId="0" applyFont="1" applyAlignment="1" applyProtection="1">
      <alignment horizontal="center" vertical="center"/>
      <protection hidden="1"/>
    </xf>
    <xf numFmtId="0" fontId="56" fillId="0" borderId="0" xfId="2" applyFont="1" applyAlignment="1" applyProtection="1">
      <alignment horizontal="center" vertical="center"/>
      <protection hidden="1"/>
    </xf>
    <xf numFmtId="0" fontId="57" fillId="0" borderId="0" xfId="2" applyFont="1" applyAlignment="1" applyProtection="1">
      <alignment horizontal="center" vertical="center"/>
      <protection hidden="1"/>
    </xf>
    <xf numFmtId="4" fontId="57" fillId="0" borderId="0" xfId="5" applyNumberFormat="1" applyFont="1" applyAlignment="1" applyProtection="1">
      <alignment horizontal="center" vertical="center"/>
      <protection hidden="1"/>
    </xf>
    <xf numFmtId="0" fontId="57" fillId="0" borderId="0" xfId="5" applyFont="1" applyAlignment="1" applyProtection="1">
      <alignment vertical="center"/>
      <protection hidden="1"/>
    </xf>
    <xf numFmtId="0" fontId="57" fillId="0" borderId="0" xfId="6" applyFont="1" applyAlignment="1" applyProtection="1">
      <alignment horizontal="center" vertical="center"/>
      <protection hidden="1"/>
    </xf>
    <xf numFmtId="0" fontId="57" fillId="0" borderId="0" xfId="6" applyFont="1" applyProtection="1">
      <protection hidden="1"/>
    </xf>
    <xf numFmtId="0" fontId="57" fillId="0" borderId="0" xfId="6" applyFont="1" applyAlignment="1" applyProtection="1">
      <alignment horizontal="center"/>
      <protection hidden="1"/>
    </xf>
    <xf numFmtId="0" fontId="57" fillId="0" borderId="11" xfId="6" applyFont="1" applyBorder="1" applyProtection="1"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7" fillId="0" borderId="0" xfId="5" applyFont="1" applyAlignment="1" applyProtection="1">
      <alignment horizontal="center" vertical="center"/>
      <protection hidden="1"/>
    </xf>
    <xf numFmtId="0" fontId="58" fillId="0" borderId="0" xfId="0" applyFont="1" applyProtection="1">
      <protection hidden="1"/>
    </xf>
    <xf numFmtId="1" fontId="57" fillId="0" borderId="0" xfId="6" applyNumberFormat="1" applyFont="1" applyAlignment="1" applyProtection="1">
      <alignment horizontal="center"/>
      <protection hidden="1"/>
    </xf>
    <xf numFmtId="0" fontId="57" fillId="0" borderId="1" xfId="5" applyFont="1" applyBorder="1" applyAlignment="1" applyProtection="1">
      <alignment horizontal="center" vertical="center"/>
      <protection hidden="1"/>
    </xf>
    <xf numFmtId="1" fontId="57" fillId="0" borderId="0" xfId="5" applyNumberFormat="1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/>
      <protection hidden="1"/>
    </xf>
    <xf numFmtId="0" fontId="57" fillId="0" borderId="0" xfId="5" applyFont="1" applyAlignment="1" applyProtection="1">
      <alignment horizontal="center"/>
      <protection hidden="1"/>
    </xf>
    <xf numFmtId="0" fontId="58" fillId="10" borderId="0" xfId="0" applyFont="1" applyFill="1" applyAlignment="1" applyProtection="1">
      <alignment horizontal="center"/>
      <protection hidden="1"/>
    </xf>
    <xf numFmtId="0" fontId="59" fillId="12" borderId="0" xfId="2" applyFont="1" applyFill="1" applyAlignment="1" applyProtection="1">
      <alignment horizontal="center" vertical="center"/>
      <protection hidden="1"/>
    </xf>
    <xf numFmtId="2" fontId="57" fillId="0" borderId="0" xfId="2" applyNumberFormat="1" applyFont="1" applyAlignment="1" applyProtection="1">
      <alignment horizontal="center" vertical="center"/>
      <protection hidden="1"/>
    </xf>
    <xf numFmtId="0" fontId="60" fillId="0" borderId="0" xfId="0" applyFont="1" applyAlignment="1" applyProtection="1">
      <alignment vertical="center"/>
      <protection hidden="1"/>
    </xf>
    <xf numFmtId="172" fontId="33" fillId="9" borderId="18" xfId="6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18" xfId="0" applyFont="1" applyBorder="1" applyAlignment="1" applyProtection="1">
      <alignment vertical="center"/>
      <protection hidden="1"/>
    </xf>
    <xf numFmtId="0" fontId="51" fillId="20" borderId="18" xfId="0" applyFont="1" applyFill="1" applyBorder="1" applyAlignment="1" applyProtection="1">
      <alignment horizontal="center" vertical="center"/>
      <protection hidden="1"/>
    </xf>
    <xf numFmtId="0" fontId="33" fillId="21" borderId="18" xfId="0" applyFont="1" applyFill="1" applyBorder="1" applyAlignment="1" applyProtection="1">
      <alignment horizontal="center" vertical="center"/>
      <protection hidden="1"/>
    </xf>
    <xf numFmtId="0" fontId="15" fillId="17" borderId="18" xfId="0" applyFont="1" applyFill="1" applyBorder="1" applyAlignment="1" applyProtection="1">
      <alignment vertical="center"/>
      <protection locked="0" hidden="1"/>
    </xf>
    <xf numFmtId="174" fontId="29" fillId="0" borderId="0" xfId="0" applyNumberFormat="1" applyFont="1" applyAlignment="1" applyProtection="1">
      <alignment horizontal="center"/>
      <protection hidden="1"/>
    </xf>
    <xf numFmtId="167" fontId="33" fillId="0" borderId="0" xfId="6" applyNumberFormat="1" applyFont="1" applyAlignment="1" applyProtection="1">
      <alignment horizontal="center"/>
      <protection hidden="1"/>
    </xf>
    <xf numFmtId="172" fontId="33" fillId="0" borderId="0" xfId="6" applyNumberFormat="1" applyFont="1" applyAlignment="1" applyProtection="1">
      <alignment horizontal="center"/>
      <protection hidden="1"/>
    </xf>
    <xf numFmtId="0" fontId="51" fillId="0" borderId="18" xfId="0" applyFont="1" applyBorder="1" applyAlignment="1" applyProtection="1">
      <alignment horizontal="center" vertical="center" wrapText="1"/>
      <protection hidden="1"/>
    </xf>
    <xf numFmtId="1" fontId="63" fillId="0" borderId="0" xfId="0" applyNumberFormat="1" applyFont="1" applyAlignment="1" applyProtection="1">
      <alignment horizontal="center" vertical="center"/>
      <protection hidden="1"/>
    </xf>
    <xf numFmtId="2" fontId="14" fillId="4" borderId="0" xfId="0" applyNumberFormat="1" applyFont="1" applyFill="1" applyAlignment="1" applyProtection="1">
      <alignment horizontal="center"/>
      <protection locked="0" hidden="1"/>
    </xf>
    <xf numFmtId="1" fontId="18" fillId="0" borderId="0" xfId="1" applyNumberFormat="1" applyFont="1" applyAlignment="1" applyProtection="1">
      <alignment horizontal="center" vertical="center"/>
      <protection locked="0" hidden="1"/>
    </xf>
    <xf numFmtId="1" fontId="18" fillId="0" borderId="0" xfId="0" applyNumberFormat="1" applyFont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vertical="center"/>
      <protection hidden="1"/>
    </xf>
    <xf numFmtId="166" fontId="27" fillId="0" borderId="0" xfId="1" applyNumberFormat="1" applyFont="1" applyAlignment="1" applyProtection="1">
      <alignment horizontal="right"/>
      <protection hidden="1"/>
    </xf>
    <xf numFmtId="0" fontId="12" fillId="0" borderId="0" xfId="0" applyFont="1" applyAlignment="1" applyProtection="1">
      <alignment vertical="center"/>
      <protection hidden="1"/>
    </xf>
    <xf numFmtId="167" fontId="18" fillId="0" borderId="0" xfId="0" applyNumberFormat="1" applyFont="1" applyAlignment="1" applyProtection="1">
      <alignment vertical="center"/>
      <protection hidden="1"/>
    </xf>
    <xf numFmtId="166" fontId="29" fillId="0" borderId="26" xfId="1" applyNumberFormat="1" applyFont="1" applyBorder="1" applyAlignment="1" applyProtection="1">
      <alignment horizontal="right"/>
      <protection hidden="1"/>
    </xf>
    <xf numFmtId="166" fontId="40" fillId="0" borderId="26" xfId="1" applyNumberFormat="1" applyFont="1" applyBorder="1" applyAlignment="1" applyProtection="1">
      <alignment horizontal="right"/>
      <protection hidden="1"/>
    </xf>
    <xf numFmtId="166" fontId="27" fillId="0" borderId="26" xfId="1" applyNumberFormat="1" applyFont="1" applyBorder="1" applyAlignment="1" applyProtection="1">
      <alignment horizontal="right"/>
      <protection hidden="1"/>
    </xf>
    <xf numFmtId="0" fontId="12" fillId="4" borderId="18" xfId="0" applyFont="1" applyFill="1" applyBorder="1" applyAlignment="1" applyProtection="1">
      <alignment vertical="center"/>
      <protection locked="0" hidden="1"/>
    </xf>
    <xf numFmtId="0" fontId="12" fillId="4" borderId="18" xfId="0" applyFont="1" applyFill="1" applyBorder="1" applyAlignment="1" applyProtection="1">
      <alignment vertical="center"/>
      <protection hidden="1"/>
    </xf>
    <xf numFmtId="0" fontId="26" fillId="0" borderId="0" xfId="0" applyFont="1" applyAlignment="1" applyProtection="1">
      <alignment vertical="center"/>
      <protection hidden="1"/>
    </xf>
    <xf numFmtId="0" fontId="7" fillId="0" borderId="0" xfId="0" applyFont="1" applyProtection="1">
      <protection hidden="1"/>
    </xf>
    <xf numFmtId="2" fontId="7" fillId="0" borderId="0" xfId="0" applyNumberFormat="1" applyFont="1" applyProtection="1">
      <protection hidden="1"/>
    </xf>
    <xf numFmtId="3" fontId="7" fillId="0" borderId="0" xfId="0" applyNumberFormat="1" applyFont="1" applyAlignment="1" applyProtection="1">
      <alignment horizontal="center"/>
      <protection locked="0" hidden="1"/>
    </xf>
    <xf numFmtId="3" fontId="33" fillId="8" borderId="18" xfId="5" applyNumberFormat="1" applyFont="1" applyFill="1" applyBorder="1" applyAlignment="1" applyProtection="1">
      <alignment horizontal="center"/>
      <protection locked="0" hidden="1"/>
    </xf>
    <xf numFmtId="0" fontId="33" fillId="0" borderId="0" xfId="6" applyFont="1" applyAlignment="1" applyProtection="1">
      <alignment horizontal="center"/>
      <protection hidden="1"/>
    </xf>
    <xf numFmtId="0" fontId="33" fillId="0" borderId="0" xfId="6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locked="0"/>
    </xf>
    <xf numFmtId="171" fontId="64" fillId="0" borderId="0" xfId="0" applyNumberFormat="1" applyFont="1" applyAlignment="1" applyProtection="1">
      <alignment horizontal="center"/>
      <protection hidden="1"/>
    </xf>
    <xf numFmtId="2" fontId="64" fillId="0" borderId="0" xfId="0" applyNumberFormat="1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65" fillId="0" borderId="0" xfId="0" applyFont="1" applyAlignment="1" applyProtection="1">
      <alignment horizontal="center"/>
      <protection hidden="1"/>
    </xf>
    <xf numFmtId="0" fontId="26" fillId="0" borderId="0" xfId="0" applyFont="1" applyAlignment="1" applyProtection="1">
      <alignment vertical="center" wrapText="1"/>
      <protection hidden="1"/>
    </xf>
    <xf numFmtId="168" fontId="18" fillId="0" borderId="0" xfId="0" applyNumberFormat="1" applyFont="1" applyAlignment="1" applyProtection="1">
      <alignment horizontal="left" vertical="center"/>
      <protection hidden="1"/>
    </xf>
    <xf numFmtId="0" fontId="12" fillId="7" borderId="18" xfId="0" applyFont="1" applyFill="1" applyBorder="1" applyAlignment="1" applyProtection="1">
      <alignment horizontal="center" vertical="center"/>
      <protection locked="0" hidden="1"/>
    </xf>
    <xf numFmtId="165" fontId="18" fillId="0" borderId="0" xfId="1" applyFont="1" applyAlignment="1" applyProtection="1">
      <alignment horizontal="center" vertical="center"/>
      <protection hidden="1"/>
    </xf>
    <xf numFmtId="171" fontId="5" fillId="0" borderId="0" xfId="0" quotePrefix="1" applyNumberFormat="1" applyFont="1" applyAlignment="1" applyProtection="1">
      <alignment horizontal="center"/>
      <protection locked="0"/>
    </xf>
    <xf numFmtId="2" fontId="12" fillId="4" borderId="0" xfId="0" applyNumberFormat="1" applyFont="1" applyFill="1" applyAlignment="1" applyProtection="1">
      <alignment horizontal="center"/>
      <protection locked="0" hidden="1"/>
    </xf>
    <xf numFmtId="3" fontId="4" fillId="0" borderId="0" xfId="0" applyNumberFormat="1" applyFont="1" applyAlignment="1" applyProtection="1">
      <alignment horizontal="center"/>
      <protection locked="0" hidden="1"/>
    </xf>
    <xf numFmtId="3" fontId="4" fillId="0" borderId="0" xfId="0" applyNumberFormat="1" applyFont="1" applyAlignment="1" applyProtection="1">
      <alignment horizontal="center"/>
      <protection hidden="1"/>
    </xf>
    <xf numFmtId="171" fontId="14" fillId="4" borderId="0" xfId="0" applyNumberFormat="1" applyFont="1" applyFill="1" applyAlignment="1" applyProtection="1">
      <alignment horizontal="center"/>
      <protection locked="0" hidden="1"/>
    </xf>
    <xf numFmtId="0" fontId="4" fillId="0" borderId="0" xfId="0" applyFont="1" applyProtection="1">
      <protection hidden="1"/>
    </xf>
    <xf numFmtId="0" fontId="3" fillId="0" borderId="0" xfId="0" applyFont="1" applyProtection="1">
      <protection hidden="1"/>
    </xf>
    <xf numFmtId="0" fontId="27" fillId="0" borderId="0" xfId="0" applyFont="1"/>
    <xf numFmtId="0" fontId="3" fillId="0" borderId="0" xfId="0" quotePrefix="1" applyFont="1" applyProtection="1">
      <protection hidden="1"/>
    </xf>
    <xf numFmtId="0" fontId="12" fillId="0" borderId="0" xfId="0" applyFont="1" applyAlignment="1" applyProtection="1">
      <alignment horizontal="center" vertical="center"/>
      <protection hidden="1"/>
    </xf>
    <xf numFmtId="2" fontId="3" fillId="0" borderId="0" xfId="0" applyNumberFormat="1" applyFont="1" applyAlignment="1" applyProtection="1">
      <alignment horizontal="center"/>
      <protection hidden="1"/>
    </xf>
    <xf numFmtId="20" fontId="3" fillId="0" borderId="0" xfId="0" applyNumberFormat="1" applyFont="1" applyAlignment="1" applyProtection="1">
      <alignment horizontal="center"/>
      <protection hidden="1"/>
    </xf>
    <xf numFmtId="0" fontId="67" fillId="0" borderId="0" xfId="0" applyFont="1" applyAlignment="1">
      <alignment horizontal="left"/>
    </xf>
    <xf numFmtId="0" fontId="68" fillId="0" borderId="0" xfId="0" applyFont="1" applyAlignment="1">
      <alignment horizontal="left"/>
    </xf>
    <xf numFmtId="0" fontId="68" fillId="0" borderId="0" xfId="0" applyFont="1"/>
    <xf numFmtId="0" fontId="68" fillId="0" borderId="0" xfId="0" applyFont="1" applyAlignment="1">
      <alignment horizontal="left" wrapText="1"/>
    </xf>
    <xf numFmtId="0" fontId="68" fillId="0" borderId="0" xfId="0" applyFont="1" applyAlignment="1">
      <alignment horizontal="center"/>
    </xf>
    <xf numFmtId="0" fontId="68" fillId="0" borderId="0" xfId="0" applyFont="1" applyAlignment="1">
      <alignment wrapText="1"/>
    </xf>
    <xf numFmtId="2" fontId="68" fillId="0" borderId="0" xfId="0" applyNumberFormat="1" applyFont="1" applyAlignment="1">
      <alignment wrapText="1"/>
    </xf>
    <xf numFmtId="0" fontId="68" fillId="0" borderId="0" xfId="0" quotePrefix="1" applyFont="1" applyAlignment="1">
      <alignment horizontal="left" wrapText="1"/>
    </xf>
    <xf numFmtId="0" fontId="68" fillId="0" borderId="0" xfId="0" quotePrefix="1" applyFont="1" applyAlignment="1">
      <alignment wrapText="1"/>
    </xf>
    <xf numFmtId="0" fontId="68" fillId="0" borderId="0" xfId="0" quotePrefix="1" applyFont="1"/>
    <xf numFmtId="2" fontId="68" fillId="0" borderId="0" xfId="0" applyNumberFormat="1" applyFont="1"/>
    <xf numFmtId="0" fontId="27" fillId="0" borderId="0" xfId="3" applyFont="1" applyAlignment="1" applyProtection="1">
      <alignment horizontal="center" vertical="top"/>
      <protection hidden="1"/>
    </xf>
    <xf numFmtId="0" fontId="2" fillId="0" borderId="0" xfId="0" applyFont="1" applyAlignment="1" applyProtection="1">
      <alignment horizontal="center"/>
      <protection hidden="1"/>
    </xf>
    <xf numFmtId="0" fontId="27" fillId="0" borderId="0" xfId="0" applyFont="1" applyProtection="1">
      <protection hidden="1"/>
    </xf>
    <xf numFmtId="1" fontId="27" fillId="0" borderId="0" xfId="0" applyNumberFormat="1" applyFont="1" applyAlignment="1" applyProtection="1">
      <alignment horizontal="left"/>
      <protection hidden="1"/>
    </xf>
    <xf numFmtId="0" fontId="71" fillId="0" borderId="0" xfId="0" applyFont="1" applyAlignment="1" applyProtection="1">
      <alignment horizontal="center"/>
      <protection hidden="1"/>
    </xf>
    <xf numFmtId="0" fontId="71" fillId="0" borderId="0" xfId="0" applyFont="1" applyProtection="1">
      <protection hidden="1"/>
    </xf>
    <xf numFmtId="2" fontId="71" fillId="0" borderId="0" xfId="0" applyNumberFormat="1" applyFont="1" applyProtection="1">
      <protection hidden="1"/>
    </xf>
    <xf numFmtId="2" fontId="27" fillId="0" borderId="0" xfId="0" applyNumberFormat="1" applyFont="1" applyAlignment="1" applyProtection="1">
      <alignment horizontal="center"/>
      <protection hidden="1"/>
    </xf>
    <xf numFmtId="0" fontId="71" fillId="0" borderId="0" xfId="0" applyFont="1" applyAlignment="1" applyProtection="1">
      <alignment vertical="center"/>
      <protection hidden="1"/>
    </xf>
    <xf numFmtId="0" fontId="70" fillId="0" borderId="0" xfId="0" applyFont="1" applyProtection="1">
      <protection hidden="1"/>
    </xf>
    <xf numFmtId="2" fontId="70" fillId="0" borderId="0" xfId="0" applyNumberFormat="1" applyFont="1" applyAlignment="1" applyProtection="1">
      <alignment horizontal="center"/>
      <protection hidden="1"/>
    </xf>
    <xf numFmtId="0" fontId="71" fillId="0" borderId="0" xfId="0" applyFont="1" applyAlignment="1" applyProtection="1">
      <alignment horizontal="left" vertical="center"/>
      <protection hidden="1"/>
    </xf>
    <xf numFmtId="2" fontId="71" fillId="0" borderId="0" xfId="0" applyNumberFormat="1" applyFont="1" applyAlignment="1" applyProtection="1">
      <alignment horizontal="right" vertical="center"/>
      <protection hidden="1"/>
    </xf>
    <xf numFmtId="2" fontId="27" fillId="0" borderId="0" xfId="0" applyNumberFormat="1" applyFont="1" applyProtection="1">
      <protection hidden="1"/>
    </xf>
    <xf numFmtId="3" fontId="27" fillId="0" borderId="0" xfId="0" applyNumberFormat="1" applyFont="1" applyAlignment="1" applyProtection="1">
      <alignment horizontal="center"/>
      <protection hidden="1"/>
    </xf>
    <xf numFmtId="1" fontId="27" fillId="0" borderId="0" xfId="0" applyNumberFormat="1" applyFont="1" applyAlignment="1" applyProtection="1">
      <alignment horizontal="center"/>
      <protection hidden="1"/>
    </xf>
    <xf numFmtId="0" fontId="27" fillId="10" borderId="0" xfId="0" applyFont="1" applyFill="1" applyAlignment="1" applyProtection="1">
      <alignment horizontal="center"/>
      <protection hidden="1"/>
    </xf>
    <xf numFmtId="167" fontId="71" fillId="0" borderId="0" xfId="0" applyNumberFormat="1" applyFont="1" applyAlignment="1" applyProtection="1">
      <alignment horizontal="right" vertical="center"/>
      <protection hidden="1"/>
    </xf>
    <xf numFmtId="0" fontId="1" fillId="0" borderId="0" xfId="0" applyFont="1" applyProtection="1"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27" fillId="0" borderId="0" xfId="0" applyFont="1" applyAlignment="1" applyProtection="1">
      <alignment horizontal="center"/>
      <protection hidden="1"/>
    </xf>
    <xf numFmtId="166" fontId="1" fillId="0" borderId="0" xfId="1" applyNumberFormat="1" applyFont="1" applyAlignment="1" applyProtection="1">
      <alignment horizontal="right"/>
      <protection hidden="1"/>
    </xf>
    <xf numFmtId="166" fontId="29" fillId="0" borderId="0" xfId="0" applyNumberFormat="1" applyFont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11" fillId="0" borderId="0" xfId="0" applyFont="1" applyProtection="1">
      <protection hidden="1"/>
    </xf>
    <xf numFmtId="0" fontId="11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39" fillId="0" borderId="0" xfId="0" applyFont="1" applyAlignment="1" applyProtection="1">
      <alignment horizontal="center"/>
      <protection hidden="1"/>
    </xf>
    <xf numFmtId="0" fontId="39" fillId="0" borderId="0" xfId="0" applyFont="1" applyProtection="1">
      <protection hidden="1"/>
    </xf>
    <xf numFmtId="0" fontId="39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center"/>
      <protection hidden="1"/>
    </xf>
    <xf numFmtId="0" fontId="27" fillId="0" borderId="0" xfId="0" applyFont="1" applyAlignment="1">
      <alignment horizontal="center"/>
    </xf>
    <xf numFmtId="0" fontId="10" fillId="0" borderId="0" xfId="0" applyFont="1" applyAlignment="1" applyProtection="1">
      <alignment horizontal="center"/>
      <protection hidden="1"/>
    </xf>
    <xf numFmtId="0" fontId="0" fillId="0" borderId="0" xfId="0" applyAlignment="1">
      <alignment horizontal="center"/>
    </xf>
    <xf numFmtId="0" fontId="8" fillId="0" borderId="0" xfId="0" applyFont="1" applyAlignment="1" applyProtection="1">
      <alignment horizontal="center"/>
      <protection hidden="1"/>
    </xf>
    <xf numFmtId="0" fontId="27" fillId="0" borderId="1" xfId="0" applyFont="1" applyBorder="1" applyProtection="1">
      <protection hidden="1"/>
    </xf>
    <xf numFmtId="166" fontId="29" fillId="0" borderId="0" xfId="1" applyNumberFormat="1" applyFont="1" applyBorder="1" applyAlignment="1" applyProtection="1">
      <alignment horizontal="right"/>
      <protection hidden="1"/>
    </xf>
    <xf numFmtId="166" fontId="40" fillId="0" borderId="0" xfId="1" applyNumberFormat="1" applyFont="1" applyBorder="1" applyAlignment="1" applyProtection="1">
      <alignment horizontal="right"/>
      <protection hidden="1"/>
    </xf>
    <xf numFmtId="166" fontId="27" fillId="0" borderId="0" xfId="1" applyNumberFormat="1" applyFont="1" applyBorder="1" applyAlignment="1" applyProtection="1">
      <alignment horizontal="right"/>
      <protection hidden="1"/>
    </xf>
    <xf numFmtId="166" fontId="29" fillId="0" borderId="2" xfId="1" applyNumberFormat="1" applyFont="1" applyBorder="1" applyAlignment="1" applyProtection="1">
      <alignment horizontal="right"/>
      <protection hidden="1"/>
    </xf>
    <xf numFmtId="166" fontId="40" fillId="0" borderId="2" xfId="1" applyNumberFormat="1" applyFont="1" applyBorder="1" applyAlignment="1" applyProtection="1">
      <alignment horizontal="right"/>
      <protection hidden="1"/>
    </xf>
    <xf numFmtId="166" fontId="27" fillId="0" borderId="2" xfId="1" applyNumberFormat="1" applyFont="1" applyBorder="1" applyAlignment="1" applyProtection="1">
      <alignment horizontal="right"/>
      <protection hidden="1"/>
    </xf>
    <xf numFmtId="166" fontId="29" fillId="0" borderId="0" xfId="1" applyNumberFormat="1" applyFont="1" applyBorder="1" applyAlignment="1" applyProtection="1">
      <alignment horizontal="left"/>
      <protection hidden="1"/>
    </xf>
    <xf numFmtId="166" fontId="29" fillId="0" borderId="26" xfId="1" applyNumberFormat="1" applyFont="1" applyBorder="1" applyAlignment="1" applyProtection="1">
      <alignment horizontal="left"/>
      <protection hidden="1"/>
    </xf>
    <xf numFmtId="166" fontId="39" fillId="2" borderId="0" xfId="1" applyNumberFormat="1" applyFont="1" applyFill="1" applyBorder="1" applyAlignment="1" applyProtection="1">
      <alignment horizontal="right" vertical="center"/>
      <protection hidden="1"/>
    </xf>
    <xf numFmtId="166" fontId="39" fillId="2" borderId="26" xfId="1" applyNumberFormat="1" applyFont="1" applyFill="1" applyBorder="1" applyAlignment="1" applyProtection="1">
      <alignment horizontal="right" vertical="center"/>
      <protection hidden="1"/>
    </xf>
    <xf numFmtId="0" fontId="21" fillId="0" borderId="0" xfId="5"/>
    <xf numFmtId="49" fontId="12" fillId="0" borderId="0" xfId="0" applyNumberFormat="1" applyFont="1" applyAlignment="1" applyProtection="1">
      <alignment vertical="center"/>
      <protection hidden="1"/>
    </xf>
    <xf numFmtId="0" fontId="12" fillId="3" borderId="21" xfId="0" applyFont="1" applyFill="1" applyBorder="1" applyAlignment="1" applyProtection="1">
      <alignment horizontal="left" vertical="center"/>
      <protection hidden="1"/>
    </xf>
    <xf numFmtId="0" fontId="12" fillId="3" borderId="22" xfId="0" applyFont="1" applyFill="1" applyBorder="1" applyAlignment="1" applyProtection="1">
      <alignment vertical="center"/>
      <protection hidden="1"/>
    </xf>
    <xf numFmtId="0" fontId="12" fillId="3" borderId="23" xfId="0" applyFont="1" applyFill="1" applyBorder="1" applyAlignment="1" applyProtection="1">
      <alignment horizontal="center" vertical="center"/>
      <protection hidden="1"/>
    </xf>
    <xf numFmtId="0" fontId="12" fillId="3" borderId="18" xfId="0" applyFont="1" applyFill="1" applyBorder="1" applyAlignment="1" applyProtection="1">
      <alignment vertical="center"/>
      <protection hidden="1"/>
    </xf>
    <xf numFmtId="0" fontId="12" fillId="0" borderId="18" xfId="0" applyFont="1" applyBorder="1" applyAlignment="1" applyProtection="1">
      <alignment horizontal="center" vertical="center"/>
      <protection hidden="1"/>
    </xf>
    <xf numFmtId="0" fontId="12" fillId="0" borderId="18" xfId="0" applyFont="1" applyBorder="1" applyAlignment="1" applyProtection="1">
      <alignment vertical="center"/>
      <protection hidden="1"/>
    </xf>
    <xf numFmtId="0" fontId="12" fillId="16" borderId="21" xfId="0" applyFont="1" applyFill="1" applyBorder="1" applyAlignment="1" applyProtection="1">
      <alignment vertical="center"/>
      <protection hidden="1"/>
    </xf>
    <xf numFmtId="0" fontId="12" fillId="16" borderId="24" xfId="0" applyFont="1" applyFill="1" applyBorder="1" applyAlignment="1" applyProtection="1">
      <alignment vertical="center"/>
      <protection hidden="1"/>
    </xf>
    <xf numFmtId="0" fontId="12" fillId="0" borderId="22" xfId="0" applyFont="1" applyBorder="1" applyAlignment="1" applyProtection="1">
      <alignment vertical="center"/>
      <protection hidden="1"/>
    </xf>
    <xf numFmtId="0" fontId="12" fillId="0" borderId="22" xfId="0" applyFont="1" applyBorder="1" applyAlignment="1" applyProtection="1">
      <alignment horizontal="center" vertical="center"/>
      <protection hidden="1"/>
    </xf>
    <xf numFmtId="0" fontId="12" fillId="0" borderId="17" xfId="0" applyFont="1" applyBorder="1" applyAlignment="1" applyProtection="1">
      <alignment horizontal="center" vertical="center"/>
      <protection hidden="1"/>
    </xf>
    <xf numFmtId="0" fontId="12" fillId="0" borderId="7" xfId="0" applyFont="1" applyBorder="1" applyAlignment="1" applyProtection="1">
      <alignment horizontal="center" vertical="center"/>
      <protection hidden="1"/>
    </xf>
    <xf numFmtId="0" fontId="12" fillId="17" borderId="17" xfId="0" applyFont="1" applyFill="1" applyBorder="1" applyAlignment="1" applyProtection="1">
      <alignment vertical="center"/>
      <protection hidden="1"/>
    </xf>
    <xf numFmtId="0" fontId="12" fillId="17" borderId="7" xfId="0" applyFont="1" applyFill="1" applyBorder="1" applyAlignment="1" applyProtection="1">
      <alignment vertical="center"/>
      <protection hidden="1"/>
    </xf>
    <xf numFmtId="0" fontId="12" fillId="0" borderId="17" xfId="0" applyFont="1" applyBorder="1" applyAlignment="1" applyProtection="1">
      <alignment vertical="center"/>
      <protection hidden="1"/>
    </xf>
    <xf numFmtId="0" fontId="12" fillId="0" borderId="7" xfId="0" applyFont="1" applyBorder="1" applyAlignment="1" applyProtection="1">
      <alignment vertical="center"/>
      <protection hidden="1"/>
    </xf>
    <xf numFmtId="0" fontId="69" fillId="19" borderId="0" xfId="0" applyFont="1" applyFill="1" applyAlignment="1">
      <alignment wrapText="1"/>
    </xf>
    <xf numFmtId="0" fontId="69" fillId="0" borderId="0" xfId="0" applyFont="1" applyAlignment="1">
      <alignment wrapText="1"/>
    </xf>
    <xf numFmtId="2" fontId="69" fillId="0" borderId="0" xfId="0" applyNumberFormat="1" applyFont="1" applyAlignment="1">
      <alignment wrapText="1"/>
    </xf>
    <xf numFmtId="167" fontId="68" fillId="0" borderId="0" xfId="0" applyNumberFormat="1" applyFont="1" applyAlignment="1">
      <alignment wrapText="1"/>
    </xf>
    <xf numFmtId="0" fontId="73" fillId="4" borderId="0" xfId="0" applyFont="1" applyFill="1" applyAlignment="1" applyProtection="1">
      <alignment horizontal="center"/>
      <protection locked="0" hidden="1"/>
    </xf>
    <xf numFmtId="0" fontId="29" fillId="4" borderId="0" xfId="0" applyFont="1" applyFill="1" applyProtection="1">
      <protection hidden="1"/>
    </xf>
    <xf numFmtId="0" fontId="1" fillId="0" borderId="0" xfId="0" quotePrefix="1" applyFont="1" applyProtection="1">
      <protection hidden="1"/>
    </xf>
    <xf numFmtId="0" fontId="1" fillId="0" borderId="0" xfId="0" applyFont="1" applyAlignment="1" applyProtection="1">
      <alignment vertical="center"/>
      <protection hidden="1"/>
    </xf>
    <xf numFmtId="2" fontId="1" fillId="0" borderId="0" xfId="0" applyNumberFormat="1" applyFont="1" applyAlignment="1" applyProtection="1">
      <alignment horizontal="center"/>
      <protection hidden="1"/>
    </xf>
    <xf numFmtId="171" fontId="1" fillId="0" borderId="0" xfId="0" quotePrefix="1" applyNumberFormat="1" applyFont="1" applyAlignment="1" applyProtection="1">
      <alignment horizontal="center"/>
      <protection locked="0"/>
    </xf>
    <xf numFmtId="2" fontId="31" fillId="4" borderId="0" xfId="0" applyNumberFormat="1" applyFont="1" applyFill="1" applyAlignment="1" applyProtection="1">
      <alignment horizontal="center"/>
      <protection locked="0" hidden="1"/>
    </xf>
    <xf numFmtId="0" fontId="74" fillId="0" borderId="0" xfId="0" applyFont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left"/>
      <protection hidden="1"/>
    </xf>
    <xf numFmtId="14" fontId="71" fillId="0" borderId="0" xfId="0" applyNumberFormat="1" applyFont="1" applyAlignment="1" applyProtection="1">
      <alignment horizontal="left" vertical="center"/>
      <protection hidden="1"/>
    </xf>
    <xf numFmtId="0" fontId="1" fillId="0" borderId="0" xfId="0" applyFont="1" applyAlignment="1" applyProtection="1">
      <alignment horizontal="left"/>
      <protection hidden="1"/>
    </xf>
    <xf numFmtId="0" fontId="78" fillId="0" borderId="0" xfId="0" applyFont="1" applyAlignment="1" applyProtection="1">
      <alignment vertical="center"/>
      <protection hidden="1"/>
    </xf>
    <xf numFmtId="0" fontId="39" fillId="5" borderId="0" xfId="0" applyFont="1" applyFill="1" applyAlignment="1" applyProtection="1">
      <alignment horizontal="center" vertical="center"/>
      <protection hidden="1"/>
    </xf>
    <xf numFmtId="0" fontId="66" fillId="5" borderId="0" xfId="0" applyFont="1" applyFill="1" applyAlignment="1" applyProtection="1">
      <alignment horizontal="center" vertical="center"/>
      <protection hidden="1"/>
    </xf>
    <xf numFmtId="171" fontId="18" fillId="0" borderId="0" xfId="1" applyNumberFormat="1" applyFont="1" applyAlignment="1" applyProtection="1">
      <alignment horizontal="center" vertical="center"/>
      <protection hidden="1"/>
    </xf>
    <xf numFmtId="171" fontId="18" fillId="0" borderId="0" xfId="0" applyNumberFormat="1" applyFont="1" applyAlignment="1" applyProtection="1">
      <alignment horizontal="center" vertical="center"/>
      <protection hidden="1"/>
    </xf>
    <xf numFmtId="171" fontId="44" fillId="0" borderId="0" xfId="0" applyNumberFormat="1" applyFont="1" applyAlignment="1" applyProtection="1">
      <alignment horizontal="center" vertical="center"/>
      <protection hidden="1"/>
    </xf>
    <xf numFmtId="0" fontId="12" fillId="0" borderId="10" xfId="0" applyFont="1" applyBorder="1" applyAlignment="1" applyProtection="1">
      <alignment vertical="center"/>
      <protection hidden="1"/>
    </xf>
    <xf numFmtId="0" fontId="12" fillId="0" borderId="8" xfId="0" applyFont="1" applyBorder="1" applyAlignment="1" applyProtection="1">
      <alignment vertical="center"/>
      <protection hidden="1"/>
    </xf>
    <xf numFmtId="0" fontId="12" fillId="0" borderId="21" xfId="0" applyFont="1" applyBorder="1" applyAlignment="1" applyProtection="1">
      <alignment vertical="center"/>
      <protection hidden="1"/>
    </xf>
    <xf numFmtId="0" fontId="61" fillId="0" borderId="21" xfId="0" applyFont="1" applyBorder="1" applyAlignment="1" applyProtection="1">
      <alignment horizontal="center" vertical="center"/>
      <protection hidden="1"/>
    </xf>
    <xf numFmtId="0" fontId="12" fillId="0" borderId="24" xfId="0" applyFont="1" applyBorder="1" applyAlignment="1" applyProtection="1">
      <alignment vertical="center"/>
      <protection hidden="1"/>
    </xf>
    <xf numFmtId="0" fontId="33" fillId="0" borderId="21" xfId="0" applyFont="1" applyBorder="1" applyAlignment="1" applyProtection="1">
      <alignment horizontal="center" vertical="center"/>
      <protection hidden="1"/>
    </xf>
    <xf numFmtId="0" fontId="61" fillId="16" borderId="21" xfId="0" applyFont="1" applyFill="1" applyBorder="1" applyAlignment="1" applyProtection="1">
      <alignment horizontal="center" vertical="center"/>
      <protection hidden="1"/>
    </xf>
    <xf numFmtId="0" fontId="33" fillId="16" borderId="21" xfId="0" applyFont="1" applyFill="1" applyBorder="1" applyAlignment="1" applyProtection="1">
      <alignment horizontal="center" vertical="center"/>
      <protection hidden="1"/>
    </xf>
    <xf numFmtId="0" fontId="80" fillId="5" borderId="0" xfId="0" applyFont="1" applyFill="1" applyAlignment="1" applyProtection="1">
      <alignment horizontal="center" vertical="center"/>
      <protection hidden="1"/>
    </xf>
    <xf numFmtId="0" fontId="12" fillId="7" borderId="0" xfId="0" applyFont="1" applyFill="1" applyAlignment="1" applyProtection="1">
      <alignment horizontal="center"/>
      <protection hidden="1"/>
    </xf>
    <xf numFmtId="2" fontId="12" fillId="7" borderId="0" xfId="0" applyNumberFormat="1" applyFont="1" applyFill="1" applyAlignment="1" applyProtection="1">
      <alignment horizontal="center"/>
      <protection hidden="1"/>
    </xf>
    <xf numFmtId="0" fontId="12" fillId="0" borderId="0" xfId="0" applyFont="1" applyProtection="1">
      <protection hidden="1"/>
    </xf>
    <xf numFmtId="0" fontId="12" fillId="0" borderId="0" xfId="0" applyFont="1" applyAlignment="1" applyProtection="1">
      <alignment horizontal="center"/>
      <protection hidden="1"/>
    </xf>
    <xf numFmtId="2" fontId="12" fillId="0" borderId="0" xfId="0" applyNumberFormat="1" applyFont="1" applyAlignment="1" applyProtection="1">
      <alignment horizontal="center"/>
      <protection hidden="1"/>
    </xf>
    <xf numFmtId="171" fontId="31" fillId="4" borderId="0" xfId="0" applyNumberFormat="1" applyFont="1" applyFill="1" applyAlignment="1" applyProtection="1">
      <alignment horizontal="center"/>
      <protection locked="0" hidden="1"/>
    </xf>
    <xf numFmtId="47" fontId="29" fillId="0" borderId="0" xfId="0" applyNumberFormat="1" applyFont="1" applyAlignment="1" applyProtection="1">
      <alignment vertical="center"/>
      <protection hidden="1"/>
    </xf>
    <xf numFmtId="0" fontId="83" fillId="0" borderId="0" xfId="0" applyFont="1" applyProtection="1">
      <protection hidden="1"/>
    </xf>
    <xf numFmtId="0" fontId="83" fillId="0" borderId="0" xfId="0" applyFont="1" applyAlignment="1" applyProtection="1">
      <alignment horizontal="center"/>
      <protection hidden="1"/>
    </xf>
    <xf numFmtId="14" fontId="83" fillId="0" borderId="0" xfId="0" applyNumberFormat="1" applyFont="1" applyAlignment="1" applyProtection="1">
      <alignment horizontal="center"/>
      <protection hidden="1"/>
    </xf>
    <xf numFmtId="0" fontId="83" fillId="0" borderId="0" xfId="0" quotePrefix="1" applyFont="1" applyProtection="1">
      <protection hidden="1"/>
    </xf>
    <xf numFmtId="175" fontId="7" fillId="0" borderId="0" xfId="0" applyNumberFormat="1" applyFont="1" applyAlignment="1" applyProtection="1">
      <alignment horizontal="center"/>
      <protection locked="0" hidden="1"/>
    </xf>
    <xf numFmtId="175" fontId="7" fillId="0" borderId="0" xfId="0" applyNumberFormat="1" applyFont="1" applyProtection="1">
      <protection hidden="1"/>
    </xf>
    <xf numFmtId="175" fontId="1" fillId="0" borderId="0" xfId="0" quotePrefix="1" applyNumberFormat="1" applyFont="1" applyAlignment="1" applyProtection="1">
      <alignment horizontal="center"/>
      <protection locked="0"/>
    </xf>
    <xf numFmtId="175" fontId="26" fillId="0" borderId="0" xfId="0" applyNumberFormat="1" applyFont="1" applyAlignment="1" applyProtection="1">
      <alignment horizontal="center"/>
      <protection hidden="1"/>
    </xf>
    <xf numFmtId="175" fontId="1" fillId="0" borderId="0" xfId="0" applyNumberFormat="1" applyFont="1" applyAlignment="1" applyProtection="1">
      <alignment horizontal="center"/>
      <protection locked="0" hidden="1"/>
    </xf>
    <xf numFmtId="175" fontId="29" fillId="0" borderId="0" xfId="0" applyNumberFormat="1" applyFont="1" applyAlignment="1" applyProtection="1">
      <alignment horizontal="center"/>
      <protection locked="0" hidden="1"/>
    </xf>
    <xf numFmtId="175" fontId="29" fillId="0" borderId="0" xfId="0" applyNumberFormat="1" applyFont="1" applyAlignment="1" applyProtection="1">
      <alignment horizontal="center"/>
      <protection hidden="1"/>
    </xf>
    <xf numFmtId="175" fontId="5" fillId="0" borderId="0" xfId="0" quotePrefix="1" applyNumberFormat="1" applyFont="1" applyAlignment="1" applyProtection="1">
      <alignment horizontal="center"/>
      <protection locked="0"/>
    </xf>
    <xf numFmtId="175" fontId="5" fillId="0" borderId="0" xfId="0" applyNumberFormat="1" applyFont="1" applyAlignment="1" applyProtection="1">
      <alignment horizontal="center"/>
      <protection locked="0" hidden="1"/>
    </xf>
    <xf numFmtId="175" fontId="7" fillId="0" borderId="0" xfId="0" applyNumberFormat="1" applyFont="1" applyAlignment="1" applyProtection="1">
      <alignment horizontal="center"/>
      <protection locked="0"/>
    </xf>
    <xf numFmtId="172" fontId="7" fillId="0" borderId="0" xfId="0" applyNumberFormat="1" applyFont="1" applyAlignment="1" applyProtection="1">
      <alignment horizontal="center"/>
      <protection locked="0" hidden="1"/>
    </xf>
    <xf numFmtId="172" fontId="7" fillId="0" borderId="0" xfId="0" applyNumberFormat="1" applyFont="1" applyProtection="1">
      <protection hidden="1"/>
    </xf>
    <xf numFmtId="172" fontId="26" fillId="0" borderId="0" xfId="0" applyNumberFormat="1" applyFont="1" applyAlignment="1" applyProtection="1">
      <alignment horizontal="center"/>
      <protection hidden="1"/>
    </xf>
    <xf numFmtId="172" fontId="1" fillId="0" borderId="0" xfId="0" applyNumberFormat="1" applyFont="1" applyAlignment="1" applyProtection="1">
      <alignment horizontal="center"/>
      <protection locked="0" hidden="1"/>
    </xf>
    <xf numFmtId="172" fontId="9" fillId="0" borderId="0" xfId="0" applyNumberFormat="1" applyFont="1" applyAlignment="1" applyProtection="1">
      <alignment horizontal="center"/>
      <protection locked="0" hidden="1"/>
    </xf>
    <xf numFmtId="172" fontId="29" fillId="0" borderId="0" xfId="0" applyNumberFormat="1" applyFont="1" applyAlignment="1" applyProtection="1">
      <alignment horizontal="center"/>
      <protection hidden="1"/>
    </xf>
    <xf numFmtId="172" fontId="5" fillId="0" borderId="0" xfId="0" applyNumberFormat="1" applyFont="1" applyAlignment="1" applyProtection="1">
      <alignment horizontal="center"/>
      <protection locked="0" hidden="1"/>
    </xf>
    <xf numFmtId="175" fontId="27" fillId="0" borderId="0" xfId="0" applyNumberFormat="1" applyFont="1" applyAlignment="1" applyProtection="1">
      <alignment horizontal="center"/>
      <protection locked="0" hidden="1"/>
    </xf>
    <xf numFmtId="175" fontId="29" fillId="0" borderId="0" xfId="0" applyNumberFormat="1" applyFont="1" applyProtection="1">
      <protection hidden="1"/>
    </xf>
    <xf numFmtId="175" fontId="40" fillId="0" borderId="0" xfId="0" applyNumberFormat="1" applyFont="1" applyAlignment="1" applyProtection="1">
      <alignment horizontal="center"/>
      <protection hidden="1"/>
    </xf>
    <xf numFmtId="172" fontId="29" fillId="0" borderId="0" xfId="0" applyNumberFormat="1" applyFont="1" applyAlignment="1" applyProtection="1">
      <alignment horizontal="center"/>
      <protection locked="0" hidden="1"/>
    </xf>
    <xf numFmtId="172" fontId="29" fillId="0" borderId="0" xfId="0" applyNumberFormat="1" applyFont="1" applyProtection="1">
      <protection hidden="1"/>
    </xf>
    <xf numFmtId="172" fontId="40" fillId="0" borderId="0" xfId="0" applyNumberFormat="1" applyFont="1" applyAlignment="1" applyProtection="1">
      <alignment horizontal="center"/>
      <protection hidden="1"/>
    </xf>
    <xf numFmtId="167" fontId="33" fillId="0" borderId="0" xfId="6" applyNumberFormat="1" applyFont="1" applyProtection="1">
      <protection hidden="1"/>
    </xf>
    <xf numFmtId="167" fontId="57" fillId="0" borderId="0" xfId="6" applyNumberFormat="1" applyFont="1" applyProtection="1">
      <protection hidden="1"/>
    </xf>
    <xf numFmtId="172" fontId="33" fillId="9" borderId="18" xfId="6" quotePrefix="1" applyNumberFormat="1" applyFont="1" applyFill="1" applyBorder="1" applyAlignment="1" applyProtection="1">
      <alignment horizontal="center"/>
      <protection locked="0" hidden="1"/>
    </xf>
    <xf numFmtId="175" fontId="64" fillId="0" borderId="0" xfId="0" applyNumberFormat="1" applyFont="1" applyAlignment="1" applyProtection="1">
      <alignment horizontal="center"/>
      <protection hidden="1"/>
    </xf>
    <xf numFmtId="167" fontId="64" fillId="0" borderId="0" xfId="0" applyNumberFormat="1" applyFont="1" applyAlignment="1" applyProtection="1">
      <alignment horizontal="center"/>
      <protection hidden="1"/>
    </xf>
    <xf numFmtId="167" fontId="29" fillId="0" borderId="0" xfId="0" applyNumberFormat="1" applyFont="1" applyAlignment="1" applyProtection="1">
      <alignment horizontal="center" vertical="center"/>
      <protection hidden="1"/>
    </xf>
    <xf numFmtId="167" fontId="27" fillId="0" borderId="0" xfId="0" applyNumberFormat="1" applyFont="1" applyAlignment="1" applyProtection="1">
      <alignment horizontal="center" vertical="top"/>
      <protection hidden="1"/>
    </xf>
    <xf numFmtId="1" fontId="27" fillId="0" borderId="0" xfId="2" applyNumberFormat="1" applyFont="1" applyAlignment="1" applyProtection="1">
      <alignment horizontal="center" vertical="center"/>
      <protection hidden="1"/>
    </xf>
    <xf numFmtId="167" fontId="27" fillId="0" borderId="0" xfId="2" applyNumberFormat="1" applyFont="1" applyAlignment="1" applyProtection="1">
      <alignment horizontal="center" vertical="center"/>
      <protection hidden="1"/>
    </xf>
    <xf numFmtId="175" fontId="27" fillId="0" borderId="0" xfId="0" applyNumberFormat="1" applyFont="1" applyProtection="1">
      <protection hidden="1"/>
    </xf>
    <xf numFmtId="175" fontId="26" fillId="0" borderId="0" xfId="0" applyNumberFormat="1" applyFont="1" applyProtection="1">
      <protection hidden="1"/>
    </xf>
    <xf numFmtId="172" fontId="27" fillId="0" borderId="0" xfId="0" applyNumberFormat="1" applyFont="1" applyProtection="1">
      <protection hidden="1"/>
    </xf>
    <xf numFmtId="172" fontId="26" fillId="0" borderId="0" xfId="0" applyNumberFormat="1" applyFont="1" applyProtection="1">
      <protection hidden="1"/>
    </xf>
    <xf numFmtId="167" fontId="27" fillId="0" borderId="0" xfId="0" applyNumberFormat="1" applyFont="1" applyProtection="1">
      <protection hidden="1"/>
    </xf>
    <xf numFmtId="167" fontId="29" fillId="0" borderId="0" xfId="0" applyNumberFormat="1" applyFont="1" applyAlignment="1" applyProtection="1">
      <alignment horizontal="left"/>
      <protection hidden="1"/>
    </xf>
    <xf numFmtId="167" fontId="26" fillId="0" borderId="0" xfId="0" applyNumberFormat="1" applyFont="1" applyAlignment="1" applyProtection="1">
      <alignment horizontal="left"/>
      <protection hidden="1"/>
    </xf>
    <xf numFmtId="3" fontId="27" fillId="0" borderId="0" xfId="0" applyNumberFormat="1" applyFont="1" applyAlignment="1" applyProtection="1">
      <alignment horizontal="center"/>
      <protection locked="0" hidden="1"/>
    </xf>
    <xf numFmtId="3" fontId="1" fillId="0" borderId="0" xfId="0" applyNumberFormat="1" applyFont="1" applyAlignment="1" applyProtection="1">
      <alignment horizontal="center"/>
      <protection locked="0" hidden="1"/>
    </xf>
    <xf numFmtId="175" fontId="27" fillId="0" borderId="0" xfId="0" applyNumberFormat="1" applyFont="1" applyProtection="1">
      <protection locked="0"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2" fillId="17" borderId="0" xfId="0" applyFont="1" applyFill="1" applyAlignment="1" applyProtection="1">
      <alignment horizontal="center" vertical="center" wrapText="1"/>
      <protection hidden="1"/>
    </xf>
    <xf numFmtId="0" fontId="12" fillId="0" borderId="11" xfId="0" applyFont="1" applyBorder="1" applyAlignment="1" applyProtection="1">
      <alignment horizontal="center" vertical="center" wrapText="1"/>
      <protection hidden="1"/>
    </xf>
    <xf numFmtId="0" fontId="33" fillId="17" borderId="0" xfId="0" applyFont="1" applyFill="1" applyAlignment="1" applyProtection="1">
      <alignment horizontal="center" vertical="center"/>
      <protection hidden="1"/>
    </xf>
    <xf numFmtId="0" fontId="48" fillId="17" borderId="0" xfId="0" applyFont="1" applyFill="1" applyAlignment="1" applyProtection="1">
      <alignment horizontal="center" vertical="center"/>
      <protection hidden="1"/>
    </xf>
    <xf numFmtId="0" fontId="77" fillId="17" borderId="17" xfId="0" applyFont="1" applyFill="1" applyBorder="1" applyAlignment="1" applyProtection="1">
      <alignment horizontal="center" vertical="center"/>
      <protection hidden="1"/>
    </xf>
    <xf numFmtId="0" fontId="75" fillId="0" borderId="0" xfId="0" applyFont="1" applyAlignment="1">
      <alignment horizontal="center" vertical="center"/>
    </xf>
    <xf numFmtId="0" fontId="75" fillId="0" borderId="7" xfId="0" applyFont="1" applyBorder="1" applyAlignment="1">
      <alignment horizontal="center" vertical="center"/>
    </xf>
    <xf numFmtId="0" fontId="77" fillId="17" borderId="12" xfId="0" applyFont="1" applyFill="1" applyBorder="1" applyAlignment="1" applyProtection="1">
      <alignment horizontal="center" vertical="center" wrapText="1"/>
      <protection hidden="1"/>
    </xf>
    <xf numFmtId="0" fontId="77" fillId="17" borderId="13" xfId="0" applyFont="1" applyFill="1" applyBorder="1" applyAlignment="1" applyProtection="1">
      <alignment horizontal="center" vertical="center" wrapText="1"/>
      <protection hidden="1"/>
    </xf>
    <xf numFmtId="0" fontId="77" fillId="17" borderId="14" xfId="0" applyFont="1" applyFill="1" applyBorder="1" applyAlignment="1" applyProtection="1">
      <alignment horizontal="center" vertical="center" wrapText="1"/>
      <protection hidden="1"/>
    </xf>
    <xf numFmtId="0" fontId="77" fillId="17" borderId="17" xfId="0" applyFont="1" applyFill="1" applyBorder="1" applyAlignment="1" applyProtection="1">
      <alignment horizontal="center" vertical="center" wrapText="1"/>
      <protection hidden="1"/>
    </xf>
    <xf numFmtId="0" fontId="77" fillId="17" borderId="0" xfId="0" applyFont="1" applyFill="1" applyAlignment="1" applyProtection="1">
      <alignment horizontal="center" vertical="center" wrapText="1"/>
      <protection hidden="1"/>
    </xf>
    <xf numFmtId="0" fontId="77" fillId="17" borderId="7" xfId="0" applyFont="1" applyFill="1" applyBorder="1" applyAlignment="1" applyProtection="1">
      <alignment horizontal="center" vertical="center" wrapText="1"/>
      <protection hidden="1"/>
    </xf>
    <xf numFmtId="0" fontId="76" fillId="17" borderId="10" xfId="0" applyFont="1" applyFill="1" applyBorder="1" applyAlignment="1" applyProtection="1">
      <alignment horizontal="center" vertical="center" wrapText="1"/>
      <protection hidden="1"/>
    </xf>
    <xf numFmtId="0" fontId="0" fillId="0" borderId="11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75" fillId="0" borderId="0" xfId="0" applyFont="1" applyAlignment="1">
      <alignment horizontal="center" vertical="center" wrapText="1"/>
    </xf>
    <xf numFmtId="0" fontId="75" fillId="0" borderId="7" xfId="0" applyFont="1" applyBorder="1" applyAlignment="1">
      <alignment horizontal="center" vertical="center" wrapText="1"/>
    </xf>
    <xf numFmtId="0" fontId="75" fillId="17" borderId="0" xfId="0" applyFont="1" applyFill="1" applyAlignment="1">
      <alignment horizontal="center" vertical="center" wrapText="1"/>
    </xf>
    <xf numFmtId="0" fontId="75" fillId="17" borderId="7" xfId="0" applyFont="1" applyFill="1" applyBorder="1" applyAlignment="1">
      <alignment horizontal="center" vertical="center" wrapText="1"/>
    </xf>
    <xf numFmtId="0" fontId="12" fillId="0" borderId="18" xfId="0" applyFont="1" applyBorder="1" applyAlignment="1" applyProtection="1">
      <alignment horizontal="center" vertical="center" wrapText="1"/>
      <protection hidden="1"/>
    </xf>
    <xf numFmtId="14" fontId="34" fillId="0" borderId="0" xfId="0" applyNumberFormat="1" applyFont="1" applyAlignment="1" applyProtection="1">
      <alignment horizontal="center" vertical="center"/>
      <protection hidden="1"/>
    </xf>
    <xf numFmtId="2" fontId="34" fillId="0" borderId="0" xfId="0" applyNumberFormat="1" applyFont="1" applyAlignment="1" applyProtection="1">
      <alignment horizontal="center" vertical="center"/>
      <protection hidden="1"/>
    </xf>
    <xf numFmtId="14" fontId="55" fillId="0" borderId="0" xfId="0" applyNumberFormat="1" applyFont="1" applyAlignment="1" applyProtection="1">
      <alignment horizontal="center" vertical="center"/>
      <protection hidden="1"/>
    </xf>
    <xf numFmtId="0" fontId="71" fillId="0" borderId="0" xfId="0" applyFont="1" applyAlignment="1" applyProtection="1">
      <alignment horizontal="center" vertical="center" wrapText="1"/>
      <protection hidden="1"/>
    </xf>
    <xf numFmtId="0" fontId="27" fillId="0" borderId="0" xfId="0" applyFont="1" applyAlignment="1" applyProtection="1">
      <alignment horizontal="left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2" fontId="27" fillId="0" borderId="3" xfId="0" applyNumberFormat="1" applyFont="1" applyBorder="1" applyAlignment="1" applyProtection="1">
      <alignment horizontal="center" vertical="center"/>
      <protection hidden="1"/>
    </xf>
    <xf numFmtId="2" fontId="27" fillId="0" borderId="5" xfId="0" applyNumberFormat="1" applyFont="1" applyBorder="1" applyAlignment="1" applyProtection="1">
      <alignment horizontal="center" vertical="center"/>
      <protection hidden="1"/>
    </xf>
    <xf numFmtId="0" fontId="27" fillId="0" borderId="3" xfId="2" applyFont="1" applyBorder="1" applyAlignment="1" applyProtection="1">
      <alignment horizontal="left" vertical="center"/>
      <protection hidden="1"/>
    </xf>
    <xf numFmtId="0" fontId="27" fillId="0" borderId="4" xfId="2" applyFont="1" applyBorder="1" applyAlignment="1" applyProtection="1">
      <alignment horizontal="left" vertical="center"/>
      <protection hidden="1"/>
    </xf>
    <xf numFmtId="0" fontId="27" fillId="0" borderId="5" xfId="2" applyFont="1" applyBorder="1" applyAlignment="1" applyProtection="1">
      <alignment horizontal="left" vertical="center"/>
      <protection hidden="1"/>
    </xf>
    <xf numFmtId="2" fontId="27" fillId="0" borderId="3" xfId="2" applyNumberFormat="1" applyFont="1" applyBorder="1" applyAlignment="1" applyProtection="1">
      <alignment horizontal="center" vertical="center"/>
      <protection hidden="1"/>
    </xf>
    <xf numFmtId="2" fontId="27" fillId="0" borderId="5" xfId="2" applyNumberFormat="1" applyFont="1" applyBorder="1" applyAlignment="1" applyProtection="1">
      <alignment horizontal="center" vertical="center"/>
      <protection hidden="1"/>
    </xf>
    <xf numFmtId="0" fontId="27" fillId="0" borderId="3" xfId="2" applyFont="1" applyBorder="1" applyAlignment="1" applyProtection="1">
      <alignment horizontal="center" vertical="center"/>
      <protection hidden="1"/>
    </xf>
    <xf numFmtId="0" fontId="27" fillId="0" borderId="4" xfId="2" applyFont="1" applyBorder="1" applyAlignment="1" applyProtection="1">
      <alignment horizontal="center" vertical="center"/>
      <protection hidden="1"/>
    </xf>
    <xf numFmtId="0" fontId="27" fillId="0" borderId="5" xfId="2" applyFont="1" applyBorder="1" applyAlignment="1" applyProtection="1">
      <alignment horizontal="center" vertical="center"/>
      <protection hidden="1"/>
    </xf>
    <xf numFmtId="0" fontId="27" fillId="0" borderId="1" xfId="2" applyFont="1" applyBorder="1" applyAlignment="1" applyProtection="1">
      <alignment horizontal="center" vertical="center"/>
      <protection hidden="1"/>
    </xf>
    <xf numFmtId="170" fontId="27" fillId="0" borderId="3" xfId="2" applyNumberFormat="1" applyFont="1" applyBorder="1" applyAlignment="1" applyProtection="1">
      <alignment horizontal="center" vertical="center"/>
      <protection hidden="1"/>
    </xf>
    <xf numFmtId="170" fontId="27" fillId="0" borderId="5" xfId="2" applyNumberFormat="1" applyFont="1" applyBorder="1" applyAlignment="1" applyProtection="1">
      <alignment horizontal="center" vertical="center"/>
      <protection hidden="1"/>
    </xf>
    <xf numFmtId="2" fontId="27" fillId="22" borderId="25" xfId="2" applyNumberFormat="1" applyFont="1" applyFill="1" applyBorder="1" applyAlignment="1" applyProtection="1">
      <alignment horizontal="center" vertical="center"/>
      <protection hidden="1"/>
    </xf>
    <xf numFmtId="0" fontId="27" fillId="0" borderId="1" xfId="2" quotePrefix="1" applyFont="1" applyBorder="1" applyAlignment="1" applyProtection="1">
      <alignment horizontal="center" vertical="center"/>
      <protection hidden="1"/>
    </xf>
    <xf numFmtId="0" fontId="27" fillId="0" borderId="4" xfId="2" quotePrefix="1" applyFont="1" applyBorder="1" applyAlignment="1" applyProtection="1">
      <alignment horizontal="center" vertical="center"/>
      <protection hidden="1"/>
    </xf>
    <xf numFmtId="0" fontId="27" fillId="0" borderId="5" xfId="2" quotePrefix="1" applyFont="1" applyBorder="1" applyAlignment="1" applyProtection="1">
      <alignment horizontal="center" vertical="center"/>
      <protection hidden="1"/>
    </xf>
    <xf numFmtId="0" fontId="28" fillId="0" borderId="3" xfId="2" applyFont="1" applyBorder="1" applyAlignment="1" applyProtection="1">
      <alignment horizontal="center" vertical="center"/>
      <protection hidden="1"/>
    </xf>
    <xf numFmtId="0" fontId="28" fillId="0" borderId="5" xfId="2" applyFont="1" applyBorder="1" applyAlignment="1" applyProtection="1">
      <alignment horizontal="center" vertical="center"/>
      <protection hidden="1"/>
    </xf>
    <xf numFmtId="0" fontId="29" fillId="0" borderId="3" xfId="0" applyFont="1" applyBorder="1" applyAlignment="1" applyProtection="1">
      <alignment horizontal="center" vertical="center"/>
      <protection hidden="1"/>
    </xf>
    <xf numFmtId="0" fontId="29" fillId="0" borderId="5" xfId="0" applyFont="1" applyBorder="1" applyAlignment="1" applyProtection="1">
      <alignment horizontal="center" vertical="center"/>
      <protection hidden="1"/>
    </xf>
    <xf numFmtId="0" fontId="28" fillId="0" borderId="4" xfId="2" applyFont="1" applyBorder="1" applyAlignment="1" applyProtection="1">
      <alignment horizontal="center" vertical="center"/>
      <protection hidden="1"/>
    </xf>
    <xf numFmtId="20" fontId="27" fillId="0" borderId="1" xfId="2" applyNumberFormat="1" applyFont="1" applyBorder="1" applyAlignment="1" applyProtection="1">
      <alignment horizontal="center" vertical="center"/>
      <protection hidden="1"/>
    </xf>
    <xf numFmtId="2" fontId="22" fillId="0" borderId="4" xfId="2" applyNumberFormat="1" applyFont="1" applyBorder="1" applyAlignment="1" applyProtection="1">
      <alignment horizontal="center" vertical="center"/>
      <protection hidden="1"/>
    </xf>
    <xf numFmtId="2" fontId="22" fillId="0" borderId="5" xfId="2" applyNumberFormat="1" applyFont="1" applyBorder="1" applyAlignment="1" applyProtection="1">
      <alignment horizontal="center" vertical="center"/>
      <protection hidden="1"/>
    </xf>
    <xf numFmtId="0" fontId="27" fillId="0" borderId="8" xfId="2" applyFont="1" applyBorder="1" applyAlignment="1" applyProtection="1">
      <alignment horizontal="center" vertical="center"/>
      <protection hidden="1"/>
    </xf>
    <xf numFmtId="0" fontId="27" fillId="0" borderId="9" xfId="2" applyFont="1" applyBorder="1" applyAlignment="1" applyProtection="1">
      <alignment horizontal="center" vertical="center"/>
      <protection hidden="1"/>
    </xf>
    <xf numFmtId="0" fontId="27" fillId="0" borderId="9" xfId="2" applyFont="1" applyBorder="1" applyAlignment="1" applyProtection="1">
      <alignment horizontal="center" vertical="center" textRotation="90" wrapText="1"/>
      <protection hidden="1"/>
    </xf>
    <xf numFmtId="0" fontId="27" fillId="0" borderId="1" xfId="2" applyFont="1" applyBorder="1" applyAlignment="1" applyProtection="1">
      <alignment horizontal="center" vertical="center" textRotation="90" wrapText="1"/>
      <protection hidden="1"/>
    </xf>
    <xf numFmtId="0" fontId="25" fillId="0" borderId="9" xfId="2" applyFont="1" applyBorder="1" applyAlignment="1" applyProtection="1">
      <alignment horizontal="center" vertical="center"/>
      <protection hidden="1"/>
    </xf>
    <xf numFmtId="0" fontId="25" fillId="0" borderId="10" xfId="2" applyFont="1" applyBorder="1" applyAlignment="1" applyProtection="1">
      <alignment horizontal="center" vertical="center"/>
      <protection hidden="1"/>
    </xf>
    <xf numFmtId="0" fontId="25" fillId="0" borderId="6" xfId="2" applyFont="1" applyBorder="1" applyAlignment="1" applyProtection="1">
      <alignment horizontal="center" vertical="center" textRotation="90" wrapText="1"/>
      <protection hidden="1"/>
    </xf>
    <xf numFmtId="0" fontId="25" fillId="0" borderId="9" xfId="2" applyFont="1" applyBorder="1" applyAlignment="1" applyProtection="1">
      <alignment horizontal="center" vertical="center" textRotation="90" wrapText="1"/>
      <protection hidden="1"/>
    </xf>
    <xf numFmtId="0" fontId="27" fillId="0" borderId="10" xfId="2" applyFont="1" applyBorder="1" applyAlignment="1" applyProtection="1">
      <alignment horizontal="center" vertical="center"/>
      <protection hidden="1"/>
    </xf>
    <xf numFmtId="0" fontId="27" fillId="0" borderId="11" xfId="2" applyFont="1" applyBorder="1" applyAlignment="1" applyProtection="1">
      <alignment horizontal="center" vertical="center"/>
      <protection hidden="1"/>
    </xf>
    <xf numFmtId="168" fontId="27" fillId="0" borderId="3" xfId="2" applyNumberFormat="1" applyFont="1" applyBorder="1" applyAlignment="1" applyProtection="1">
      <alignment horizontal="center" vertical="center"/>
      <protection hidden="1"/>
    </xf>
    <xf numFmtId="168" fontId="27" fillId="0" borderId="4" xfId="2" applyNumberFormat="1" applyFont="1" applyBorder="1" applyAlignment="1" applyProtection="1">
      <alignment horizontal="center" vertical="center"/>
      <protection hidden="1"/>
    </xf>
    <xf numFmtId="168" fontId="27" fillId="0" borderId="5" xfId="2" applyNumberFormat="1" applyFont="1" applyBorder="1" applyAlignment="1" applyProtection="1">
      <alignment horizontal="center" vertical="center"/>
      <protection hidden="1"/>
    </xf>
    <xf numFmtId="0" fontId="25" fillId="0" borderId="3" xfId="2" applyFont="1" applyBorder="1" applyAlignment="1" applyProtection="1">
      <alignment horizontal="center" vertical="center"/>
      <protection hidden="1"/>
    </xf>
    <xf numFmtId="0" fontId="25" fillId="0" borderId="5" xfId="2" applyFont="1" applyBorder="1" applyAlignment="1" applyProtection="1">
      <alignment horizontal="center" vertical="center"/>
      <protection hidden="1"/>
    </xf>
    <xf numFmtId="0" fontId="24" fillId="0" borderId="3" xfId="2" applyFont="1" applyBorder="1" applyAlignment="1" applyProtection="1">
      <alignment horizontal="left" vertical="center"/>
      <protection hidden="1"/>
    </xf>
    <xf numFmtId="0" fontId="24" fillId="0" borderId="4" xfId="2" applyFont="1" applyBorder="1" applyAlignment="1" applyProtection="1">
      <alignment horizontal="left" vertical="center"/>
      <protection hidden="1"/>
    </xf>
    <xf numFmtId="0" fontId="32" fillId="0" borderId="3" xfId="2" applyFont="1" applyBorder="1" applyAlignment="1" applyProtection="1">
      <alignment horizontal="center" vertical="center"/>
      <protection hidden="1"/>
    </xf>
    <xf numFmtId="0" fontId="32" fillId="0" borderId="4" xfId="2" applyFont="1" applyBorder="1" applyAlignment="1" applyProtection="1">
      <alignment horizontal="center" vertical="center"/>
      <protection hidden="1"/>
    </xf>
    <xf numFmtId="0" fontId="36" fillId="0" borderId="3" xfId="2" applyFont="1" applyBorder="1" applyAlignment="1" applyProtection="1">
      <alignment horizontal="center" vertical="center"/>
      <protection hidden="1"/>
    </xf>
    <xf numFmtId="0" fontId="36" fillId="0" borderId="4" xfId="2" applyFont="1" applyBorder="1" applyAlignment="1" applyProtection="1">
      <alignment horizontal="center" vertical="center"/>
      <protection hidden="1"/>
    </xf>
    <xf numFmtId="0" fontId="36" fillId="0" borderId="5" xfId="2" applyFont="1" applyBorder="1" applyAlignment="1" applyProtection="1">
      <alignment horizontal="center" vertical="center"/>
      <protection hidden="1"/>
    </xf>
    <xf numFmtId="0" fontId="32" fillId="0" borderId="5" xfId="2" applyFont="1" applyBorder="1" applyAlignment="1" applyProtection="1">
      <alignment horizontal="center" vertical="center"/>
      <protection hidden="1"/>
    </xf>
    <xf numFmtId="0" fontId="27" fillId="0" borderId="4" xfId="2" applyFont="1" applyBorder="1" applyAlignment="1" applyProtection="1">
      <alignment vertical="center"/>
      <protection hidden="1"/>
    </xf>
    <xf numFmtId="0" fontId="27" fillId="0" borderId="5" xfId="2" applyFont="1" applyBorder="1" applyAlignment="1" applyProtection="1">
      <alignment vertical="center"/>
      <protection hidden="1"/>
    </xf>
    <xf numFmtId="0" fontId="27" fillId="0" borderId="3" xfId="0" applyFont="1" applyBorder="1" applyAlignment="1" applyProtection="1">
      <alignment horizontal="center" vertical="center"/>
      <protection hidden="1"/>
    </xf>
    <xf numFmtId="0" fontId="27" fillId="0" borderId="5" xfId="0" applyFont="1" applyBorder="1" applyAlignment="1" applyProtection="1">
      <alignment horizontal="center" vertical="center"/>
      <protection hidden="1"/>
    </xf>
    <xf numFmtId="170" fontId="25" fillId="0" borderId="3" xfId="2" applyNumberFormat="1" applyFont="1" applyBorder="1" applyAlignment="1" applyProtection="1">
      <alignment horizontal="center" vertical="center"/>
      <protection hidden="1"/>
    </xf>
    <xf numFmtId="170" fontId="25" fillId="0" borderId="5" xfId="2" applyNumberFormat="1" applyFont="1" applyBorder="1" applyAlignment="1" applyProtection="1">
      <alignment horizontal="center" vertical="center"/>
      <protection hidden="1"/>
    </xf>
    <xf numFmtId="0" fontId="35" fillId="0" borderId="3" xfId="2" applyFont="1" applyBorder="1" applyAlignment="1" applyProtection="1">
      <alignment horizontal="center" vertical="center"/>
      <protection hidden="1"/>
    </xf>
    <xf numFmtId="0" fontId="35" fillId="0" borderId="5" xfId="2" applyFont="1" applyBorder="1" applyAlignment="1" applyProtection="1">
      <alignment vertical="center"/>
      <protection hidden="1"/>
    </xf>
    <xf numFmtId="0" fontId="27" fillId="0" borderId="1" xfId="2" applyFont="1" applyBorder="1" applyAlignment="1" applyProtection="1">
      <alignment horizontal="left" vertical="center"/>
      <protection hidden="1"/>
    </xf>
    <xf numFmtId="0" fontId="35" fillId="0" borderId="4" xfId="2" applyFont="1" applyBorder="1" applyAlignment="1" applyProtection="1">
      <alignment horizontal="center" vertical="center"/>
      <protection hidden="1"/>
    </xf>
    <xf numFmtId="20" fontId="25" fillId="0" borderId="3" xfId="2" applyNumberFormat="1" applyFont="1" applyBorder="1" applyAlignment="1" applyProtection="1">
      <alignment horizontal="center" vertical="center"/>
      <protection hidden="1"/>
    </xf>
    <xf numFmtId="20" fontId="25" fillId="0" borderId="4" xfId="2" applyNumberFormat="1" applyFont="1" applyBorder="1" applyAlignment="1" applyProtection="1">
      <alignment horizontal="center" vertical="center"/>
      <protection hidden="1"/>
    </xf>
    <xf numFmtId="20" fontId="25" fillId="0" borderId="5" xfId="2" applyNumberFormat="1" applyFont="1" applyBorder="1" applyAlignment="1" applyProtection="1">
      <alignment horizontal="center" vertical="center"/>
      <protection hidden="1"/>
    </xf>
    <xf numFmtId="164" fontId="22" fillId="0" borderId="3" xfId="4" applyFont="1" applyBorder="1" applyAlignment="1" applyProtection="1">
      <alignment horizontal="center" vertical="center"/>
      <protection hidden="1"/>
    </xf>
    <xf numFmtId="164" fontId="22" fillId="0" borderId="4" xfId="4" applyFont="1" applyBorder="1" applyAlignment="1" applyProtection="1">
      <alignment horizontal="center" vertical="center"/>
      <protection hidden="1"/>
    </xf>
    <xf numFmtId="164" fontId="22" fillId="0" borderId="5" xfId="4" applyFont="1" applyBorder="1" applyAlignment="1" applyProtection="1">
      <alignment horizontal="center" vertical="center"/>
      <protection hidden="1"/>
    </xf>
    <xf numFmtId="2" fontId="25" fillId="0" borderId="3" xfId="2" applyNumberFormat="1" applyFont="1" applyBorder="1" applyAlignment="1" applyProtection="1">
      <alignment horizontal="center" vertical="center"/>
      <protection hidden="1"/>
    </xf>
    <xf numFmtId="2" fontId="25" fillId="0" borderId="4" xfId="2" applyNumberFormat="1" applyFont="1" applyBorder="1" applyAlignment="1" applyProtection="1">
      <alignment horizontal="center" vertical="center"/>
      <protection hidden="1"/>
    </xf>
    <xf numFmtId="0" fontId="25" fillId="0" borderId="10" xfId="2" applyFont="1" applyBorder="1" applyAlignment="1" applyProtection="1">
      <alignment horizontal="center" vertical="center" wrapText="1"/>
      <protection hidden="1"/>
    </xf>
    <xf numFmtId="0" fontId="25" fillId="0" borderId="8" xfId="2" applyFont="1" applyBorder="1" applyAlignment="1" applyProtection="1">
      <alignment vertical="center"/>
      <protection hidden="1"/>
    </xf>
    <xf numFmtId="0" fontId="35" fillId="0" borderId="6" xfId="2" applyFont="1" applyBorder="1" applyAlignment="1" applyProtection="1">
      <alignment horizontal="center" vertical="center" textRotation="90" wrapText="1"/>
      <protection hidden="1"/>
    </xf>
    <xf numFmtId="0" fontId="35" fillId="0" borderId="9" xfId="2" applyFont="1" applyBorder="1" applyAlignment="1" applyProtection="1">
      <alignment vertical="center"/>
      <protection hidden="1"/>
    </xf>
    <xf numFmtId="0" fontId="35" fillId="0" borderId="15" xfId="2" applyFont="1" applyBorder="1" applyAlignment="1" applyProtection="1">
      <alignment horizontal="center" vertical="center" textRotation="90" wrapText="1"/>
      <protection hidden="1"/>
    </xf>
    <xf numFmtId="0" fontId="35" fillId="0" borderId="9" xfId="2" applyFont="1" applyBorder="1" applyAlignment="1" applyProtection="1">
      <alignment horizontal="center" vertical="center" textRotation="90" wrapText="1"/>
      <protection hidden="1"/>
    </xf>
    <xf numFmtId="1" fontId="25" fillId="0" borderId="12" xfId="2" applyNumberFormat="1" applyFont="1" applyBorder="1" applyAlignment="1" applyProtection="1">
      <alignment horizontal="center" vertical="center" wrapText="1"/>
      <protection hidden="1"/>
    </xf>
    <xf numFmtId="1" fontId="25" fillId="0" borderId="14" xfId="2" applyNumberFormat="1" applyFont="1" applyBorder="1" applyAlignment="1" applyProtection="1">
      <alignment horizontal="center" vertical="center" wrapText="1"/>
      <protection hidden="1"/>
    </xf>
    <xf numFmtId="1" fontId="25" fillId="0" borderId="10" xfId="2" applyNumberFormat="1" applyFont="1" applyBorder="1" applyAlignment="1" applyProtection="1">
      <alignment horizontal="center" vertical="center" wrapText="1"/>
      <protection hidden="1"/>
    </xf>
    <xf numFmtId="1" fontId="25" fillId="0" borderId="8" xfId="2" applyNumberFormat="1" applyFont="1" applyBorder="1" applyAlignment="1" applyProtection="1">
      <alignment horizontal="center" vertical="center" wrapText="1"/>
      <protection hidden="1"/>
    </xf>
    <xf numFmtId="2" fontId="25" fillId="0" borderId="5" xfId="2" applyNumberFormat="1" applyFont="1" applyBorder="1" applyAlignment="1" applyProtection="1">
      <alignment horizontal="center" vertical="center"/>
      <protection hidden="1"/>
    </xf>
    <xf numFmtId="0" fontId="35" fillId="0" borderId="5" xfId="2" applyFont="1" applyBorder="1" applyAlignment="1" applyProtection="1">
      <alignment horizontal="center" vertical="center"/>
      <protection hidden="1"/>
    </xf>
    <xf numFmtId="0" fontId="25" fillId="0" borderId="3" xfId="2" applyFont="1" applyBorder="1" applyAlignment="1" applyProtection="1">
      <alignment horizontal="center" vertical="center" wrapText="1"/>
      <protection hidden="1"/>
    </xf>
    <xf numFmtId="0" fontId="25" fillId="0" borderId="5" xfId="2" applyFont="1" applyBorder="1" applyAlignment="1" applyProtection="1">
      <alignment horizontal="center" vertical="center" wrapText="1"/>
      <protection hidden="1"/>
    </xf>
    <xf numFmtId="0" fontId="24" fillId="0" borderId="5" xfId="2" applyFont="1" applyBorder="1" applyAlignment="1" applyProtection="1">
      <alignment horizontal="left" vertical="center"/>
      <protection hidden="1"/>
    </xf>
    <xf numFmtId="0" fontId="27" fillId="0" borderId="1" xfId="2" applyFont="1" applyBorder="1" applyAlignment="1" applyProtection="1">
      <alignment vertical="center"/>
      <protection hidden="1"/>
    </xf>
  </cellXfs>
  <cellStyles count="8">
    <cellStyle name="Comma" xfId="1" builtinId="3"/>
    <cellStyle name="Currency 2" xfId="4" xr:uid="{00000000-0005-0000-0000-000001000000}"/>
    <cellStyle name="Hyperlink" xfId="7" builtinId="8"/>
    <cellStyle name="Normal" xfId="0" builtinId="0"/>
    <cellStyle name="Normal 10" xfId="5" xr:uid="{00000000-0005-0000-0000-000004000000}"/>
    <cellStyle name="Normal 2" xfId="2" xr:uid="{00000000-0005-0000-0000-000005000000}"/>
    <cellStyle name="Normal 3" xfId="3" xr:uid="{00000000-0005-0000-0000-000006000000}"/>
    <cellStyle name="Normal_sheet" xfId="6" xr:uid="{00000000-0005-0000-0000-000007000000}"/>
  </cellStyles>
  <dxfs count="1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C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B0F0"/>
        <name val="Trebuchet MS"/>
        <scheme val="none"/>
      </font>
      <numFmt numFmtId="1" formatCode="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rebuchet MS"/>
        <scheme val="none"/>
      </font>
      <numFmt numFmtId="171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rebuchet MS"/>
        <scheme val="none"/>
      </font>
      <numFmt numFmtId="171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00000"/>
        <name val="Trebuchet MS"/>
        <scheme val="none"/>
      </font>
      <numFmt numFmtId="171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00000"/>
        <name val="Trebuchet MS"/>
        <scheme val="none"/>
      </font>
      <numFmt numFmtId="171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rebuchet MS"/>
        <scheme val="none"/>
      </font>
      <numFmt numFmtId="171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rebuchet MS"/>
        <scheme val="none"/>
      </font>
      <numFmt numFmtId="171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rebuchet MS"/>
        <scheme val="none"/>
      </font>
      <numFmt numFmtId="0" formatCode="General"/>
      <alignment horizontal="general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rebuchet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rebuchet MS"/>
        <scheme val="none"/>
      </font>
      <alignment horizontal="general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Trebuchet MS"/>
        <scheme val="none"/>
      </font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rebuchet MS"/>
        <scheme val="none"/>
      </font>
      <numFmt numFmtId="171" formatCode="0.0"/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rebuchet MS"/>
        <scheme val="none"/>
      </font>
      <numFmt numFmtId="171" formatCode="0.0"/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rebuchet MS"/>
        <scheme val="none"/>
      </font>
      <numFmt numFmtId="171" formatCode="0.0"/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rebuchet MS"/>
        <scheme val="none"/>
      </font>
      <numFmt numFmtId="171" formatCode="0.0"/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rebuchet MS"/>
        <scheme val="none"/>
      </font>
      <numFmt numFmtId="171" formatCode="0.0"/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rebuchet MS"/>
        <scheme val="none"/>
      </font>
      <numFmt numFmtId="1" formatCode="0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rebuchet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rebuchet MS"/>
        <scheme val="none"/>
      </font>
      <numFmt numFmtId="0" formatCode="General"/>
      <alignment horizontal="general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rebuchet M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rebuchet MS"/>
        <scheme val="none"/>
      </font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rebuchet MS"/>
        <scheme val="none"/>
      </font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Wingding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/>
        <vertAlign val="baseline"/>
        <sz val="10"/>
        <color auto="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rebuchet MS"/>
        <scheme val="none"/>
      </font>
      <fill>
        <patternFill patternType="none">
          <fgColor indexed="64"/>
          <bgColor indexed="65"/>
        </patternFill>
      </fill>
      <alignment vertical="center" textRotation="0" wrapText="0" indent="0" justifyLastLine="0" shrinkToFit="0" readingOrder="0"/>
      <protection locked="1" hidden="1"/>
    </dxf>
    <dxf>
      <font>
        <strike val="0"/>
        <outline val="0"/>
        <shadow val="0"/>
        <vertAlign val="baseline"/>
        <sz val="10"/>
      </font>
      <alignment vertical="center" textRotation="0" wrapText="0" indent="0" justifyLastLine="0" shrinkToFit="0" readingOrder="0"/>
      <protection locked="1" hidden="1"/>
    </dxf>
    <dxf>
      <font>
        <strike val="0"/>
        <outline val="0"/>
        <shadow val="0"/>
        <vertAlign val="baseline"/>
        <sz val="10"/>
        <color theme="0"/>
        <name val="Trebuchet MS"/>
        <scheme val="none"/>
      </font>
      <alignment vertical="center" textRotation="0" wrapText="0" indent="0" justifyLastLine="0" shrinkToFit="0" readingOrder="0"/>
      <protection locked="1" hidden="1"/>
    </dxf>
    <dxf>
      <fill>
        <patternFill patternType="solid">
          <bgColor theme="9" tint="0.39991454817346722"/>
        </patternFill>
      </fill>
    </dxf>
    <dxf>
      <fill>
        <patternFill patternType="solid">
          <bgColor theme="9" tint="0.39991454817346722"/>
        </patternFill>
      </fill>
    </dxf>
    <dxf>
      <fill>
        <patternFill patternType="solid">
          <bgColor theme="9" tint="0.39991454817346722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2" defaultTableStyle="TableStyleMedium2" defaultPivotStyle="PivotStyleLight16">
    <tableStyle name="MySqlDefault" pivot="0" table="0" count="2" xr9:uid="{00000000-0011-0000-FFFF-FFFF00000000}">
      <tableStyleElement type="wholeTable" dxfId="109"/>
      <tableStyleElement type="headerRow" dxfId="108"/>
    </tableStyle>
    <tableStyle name="Table Style 1" pivot="0" count="0" xr9:uid="{00000000-0011-0000-FFFF-FFFF01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hyperlink" Target="#Dashboard!D13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&amp;ehk=iCrQHPr0e5F3b9NR"/><Relationship Id="rId1" Type="http://schemas.openxmlformats.org/officeDocument/2006/relationships/hyperlink" Target="#Dashboard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&amp;ehk=iCrQHPr0e5F3b9NR"/><Relationship Id="rId1" Type="http://schemas.openxmlformats.org/officeDocument/2006/relationships/hyperlink" Target="#Dashboard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hyperlink" Target="#Dashboard!D13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hyperlink" Target="#Dashboard!D13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hyperlink" Target="#Dashboard!D13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hyperlink" Target="#Dashboard!D13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hyperlink" Target="#Dashboard!D13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hyperlink" Target="#Dashboard!D13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hyperlink" Target="#Dashboard!D13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hyperlink" Target="#Dashboard!D13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&amp;ehk=iCrQHPr0e5F3b9NR"/><Relationship Id="rId1" Type="http://schemas.openxmlformats.org/officeDocument/2006/relationships/hyperlink" Target="#Dashboard!A1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jpe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5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5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5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5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jpe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409575</xdr:colOff>
          <xdr:row>3</xdr:row>
          <xdr:rowOff>28575</xdr:rowOff>
        </xdr:from>
        <xdr:to>
          <xdr:col>9</xdr:col>
          <xdr:colOff>1924050</xdr:colOff>
          <xdr:row>3</xdr:row>
          <xdr:rowOff>295275</xdr:rowOff>
        </xdr:to>
        <xdr:sp macro="" textlink="">
          <xdr:nvSpPr>
            <xdr:cNvPr id="28673" name="Button 1" hidden="1">
              <a:extLst>
                <a:ext uri="{63B3BB69-23CF-44E3-9099-C40C66FF867C}">
                  <a14:compatExt spid="_x0000_s28673"/>
                </a:ext>
                <a:ext uri="{FF2B5EF4-FFF2-40B4-BE49-F238E27FC236}">
                  <a16:creationId xmlns:a16="http://schemas.microsoft.com/office/drawing/2014/main" id="{00000000-0008-0000-0100-000001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FF0000"/>
                  </a:solidFill>
                  <a:latin typeface="Calibri"/>
                  <a:ea typeface="Calibri"/>
                  <a:cs typeface="Calibri"/>
                </a:rPr>
                <a:t>ALL HEIGHT CARDS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476250</xdr:colOff>
          <xdr:row>10</xdr:row>
          <xdr:rowOff>19050</xdr:rowOff>
        </xdr:from>
        <xdr:to>
          <xdr:col>9</xdr:col>
          <xdr:colOff>1924050</xdr:colOff>
          <xdr:row>10</xdr:row>
          <xdr:rowOff>304800</xdr:rowOff>
        </xdr:to>
        <xdr:sp macro="" textlink="">
          <xdr:nvSpPr>
            <xdr:cNvPr id="28674" name="Button 2" hidden="1">
              <a:extLst>
                <a:ext uri="{63B3BB69-23CF-44E3-9099-C40C66FF867C}">
                  <a14:compatExt spid="_x0000_s28674"/>
                </a:ext>
                <a:ext uri="{FF2B5EF4-FFF2-40B4-BE49-F238E27FC236}">
                  <a16:creationId xmlns:a16="http://schemas.microsoft.com/office/drawing/2014/main" id="{00000000-0008-0000-0100-000002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ALL DISTANCE CARDS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10</xdr:col>
      <xdr:colOff>276225</xdr:colOff>
      <xdr:row>33</xdr:row>
      <xdr:rowOff>190500</xdr:rowOff>
    </xdr:from>
    <xdr:to>
      <xdr:col>10</xdr:col>
      <xdr:colOff>526183</xdr:colOff>
      <xdr:row>34</xdr:row>
      <xdr:rowOff>126133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34250" y="10563225"/>
          <a:ext cx="249958" cy="249958"/>
        </a:xfrm>
        <a:prstGeom prst="rect">
          <a:avLst/>
        </a:prstGeom>
      </xdr:spPr>
    </xdr:pic>
    <xdr:clientData/>
  </xdr:twoCellAnchor>
  <xdr:twoCellAnchor editAs="oneCell">
    <xdr:from>
      <xdr:col>10</xdr:col>
      <xdr:colOff>276225</xdr:colOff>
      <xdr:row>37</xdr:row>
      <xdr:rowOff>190500</xdr:rowOff>
    </xdr:from>
    <xdr:to>
      <xdr:col>10</xdr:col>
      <xdr:colOff>526183</xdr:colOff>
      <xdr:row>38</xdr:row>
      <xdr:rowOff>126133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34250" y="11820525"/>
          <a:ext cx="249958" cy="249958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285750</xdr:colOff>
      <xdr:row>31</xdr:row>
      <xdr:rowOff>171450</xdr:rowOff>
    </xdr:from>
    <xdr:to>
      <xdr:col>8</xdr:col>
      <xdr:colOff>535708</xdr:colOff>
      <xdr:row>32</xdr:row>
      <xdr:rowOff>107083</xdr:rowOff>
    </xdr:to>
    <xdr:pic macro="[0]!StartP1"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19575" y="9915525"/>
          <a:ext cx="249958" cy="249958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285750</xdr:colOff>
      <xdr:row>35</xdr:row>
      <xdr:rowOff>171450</xdr:rowOff>
    </xdr:from>
    <xdr:to>
      <xdr:col>8</xdr:col>
      <xdr:colOff>535708</xdr:colOff>
      <xdr:row>36</xdr:row>
      <xdr:rowOff>107083</xdr:rowOff>
    </xdr:to>
    <xdr:pic macro="[0]!StartP4"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19575" y="11172825"/>
          <a:ext cx="249958" cy="249958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285750</xdr:colOff>
      <xdr:row>39</xdr:row>
      <xdr:rowOff>171450</xdr:rowOff>
    </xdr:from>
    <xdr:to>
      <xdr:col>8</xdr:col>
      <xdr:colOff>535708</xdr:colOff>
      <xdr:row>40</xdr:row>
      <xdr:rowOff>107083</xdr:rowOff>
    </xdr:to>
    <xdr:pic macro="[0]!StartP5"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19575" y="12430125"/>
          <a:ext cx="249958" cy="249958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41</xdr:row>
      <xdr:rowOff>200025</xdr:rowOff>
    </xdr:from>
    <xdr:to>
      <xdr:col>10</xdr:col>
      <xdr:colOff>554758</xdr:colOff>
      <xdr:row>42</xdr:row>
      <xdr:rowOff>135658</xdr:rowOff>
    </xdr:to>
    <xdr:pic macro="[0]!StartP6">
      <xdr:nvPicPr>
        <xdr:cNvPr id="12" name="Pictur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2825" y="13087350"/>
          <a:ext cx="249958" cy="249958"/>
        </a:xfrm>
        <a:prstGeom prst="rect">
          <a:avLst/>
        </a:prstGeom>
      </xdr:spPr>
    </xdr:pic>
    <xdr:clientData/>
  </xdr:twoCellAnchor>
  <xdr:twoCellAnchor editAs="oneCell">
    <xdr:from>
      <xdr:col>10</xdr:col>
      <xdr:colOff>266700</xdr:colOff>
      <xdr:row>29</xdr:row>
      <xdr:rowOff>180975</xdr:rowOff>
    </xdr:from>
    <xdr:to>
      <xdr:col>10</xdr:col>
      <xdr:colOff>516658</xdr:colOff>
      <xdr:row>30</xdr:row>
      <xdr:rowOff>116608</xdr:rowOff>
    </xdr:to>
    <xdr:pic macro="[0]!StartALL">
      <xdr:nvPicPr>
        <xdr:cNvPr id="13" name="Pictur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24725" y="9296400"/>
          <a:ext cx="249958" cy="249958"/>
        </a:xfrm>
        <a:prstGeom prst="rect">
          <a:avLst/>
        </a:prstGeom>
      </xdr:spPr>
    </xdr:pic>
    <xdr:clientData/>
  </xdr:twoCellAnchor>
  <xdr:oneCellAnchor>
    <xdr:from>
      <xdr:col>8</xdr:col>
      <xdr:colOff>276225</xdr:colOff>
      <xdr:row>43</xdr:row>
      <xdr:rowOff>161925</xdr:rowOff>
    </xdr:from>
    <xdr:ext cx="249958" cy="249958"/>
    <xdr:pic macro="[0]!StartP7">
      <xdr:nvPicPr>
        <xdr:cNvPr id="14" name="Pictur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10050" y="13677900"/>
          <a:ext cx="249958" cy="249958"/>
        </a:xfrm>
        <a:prstGeom prst="rect">
          <a:avLst/>
        </a:prstGeom>
      </xdr:spPr>
    </xdr:pic>
    <xdr:clientData/>
  </xdr:oneCellAnchor>
  <xdr:oneCellAnchor>
    <xdr:from>
      <xdr:col>10</xdr:col>
      <xdr:colOff>323850</xdr:colOff>
      <xdr:row>51</xdr:row>
      <xdr:rowOff>200025</xdr:rowOff>
    </xdr:from>
    <xdr:ext cx="249958" cy="249958"/>
    <xdr:pic macro="[0]!StartALLTF">
      <xdr:nvPicPr>
        <xdr:cNvPr id="15" name="Pictur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1875" y="16230600"/>
          <a:ext cx="249958" cy="249958"/>
        </a:xfrm>
        <a:prstGeom prst="rect">
          <a:avLst/>
        </a:prstGeom>
      </xdr:spPr>
    </xdr:pic>
    <xdr:clientData/>
  </xdr:oneCellAnchor>
  <xdr:twoCellAnchor editAs="oneCell">
    <xdr:from>
      <xdr:col>10</xdr:col>
      <xdr:colOff>276225</xdr:colOff>
      <xdr:row>21</xdr:row>
      <xdr:rowOff>47625</xdr:rowOff>
    </xdr:from>
    <xdr:to>
      <xdr:col>10</xdr:col>
      <xdr:colOff>532279</xdr:colOff>
      <xdr:row>21</xdr:row>
      <xdr:rowOff>297583</xdr:rowOff>
    </xdr:to>
    <xdr:pic macro="[0]!Dist15L">
      <xdr:nvPicPr>
        <xdr:cNvPr id="20" name="Pictur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34250" y="6648450"/>
          <a:ext cx="256054" cy="249958"/>
        </a:xfrm>
        <a:prstGeom prst="rect">
          <a:avLst/>
        </a:prstGeom>
      </xdr:spPr>
    </xdr:pic>
    <xdr:clientData/>
  </xdr:twoCellAnchor>
  <xdr:twoCellAnchor editAs="oneCell">
    <xdr:from>
      <xdr:col>8</xdr:col>
      <xdr:colOff>238125</xdr:colOff>
      <xdr:row>9</xdr:row>
      <xdr:rowOff>38100</xdr:rowOff>
    </xdr:from>
    <xdr:to>
      <xdr:col>8</xdr:col>
      <xdr:colOff>463697</xdr:colOff>
      <xdr:row>9</xdr:row>
      <xdr:rowOff>288058</xdr:rowOff>
    </xdr:to>
    <xdr:pic macro="[0]!Height5L">
      <xdr:nvPicPr>
        <xdr:cNvPr id="22" name="Picture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71950" y="2867025"/>
          <a:ext cx="225572" cy="249958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285750</xdr:colOff>
      <xdr:row>8</xdr:row>
      <xdr:rowOff>38100</xdr:rowOff>
    </xdr:from>
    <xdr:to>
      <xdr:col>10</xdr:col>
      <xdr:colOff>511322</xdr:colOff>
      <xdr:row>8</xdr:row>
      <xdr:rowOff>288058</xdr:rowOff>
    </xdr:to>
    <xdr:pic macro="[0]!Height4L">
      <xdr:nvPicPr>
        <xdr:cNvPr id="23" name="Picture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43775" y="2552700"/>
          <a:ext cx="225572" cy="249958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285750</xdr:colOff>
      <xdr:row>23</xdr:row>
      <xdr:rowOff>38100</xdr:rowOff>
    </xdr:from>
    <xdr:to>
      <xdr:col>10</xdr:col>
      <xdr:colOff>541804</xdr:colOff>
      <xdr:row>23</xdr:row>
      <xdr:rowOff>288058</xdr:rowOff>
    </xdr:to>
    <xdr:pic macro="[0]!Dist10L">
      <xdr:nvPicPr>
        <xdr:cNvPr id="30" name="Picture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43775" y="7267575"/>
          <a:ext cx="256054" cy="249958"/>
        </a:xfrm>
        <a:prstGeom prst="rect">
          <a:avLst/>
        </a:prstGeom>
      </xdr:spPr>
    </xdr:pic>
    <xdr:clientData/>
  </xdr:twoCellAnchor>
  <xdr:twoCellAnchor editAs="oneCell">
    <xdr:from>
      <xdr:col>8</xdr:col>
      <xdr:colOff>200025</xdr:colOff>
      <xdr:row>26</xdr:row>
      <xdr:rowOff>28575</xdr:rowOff>
    </xdr:from>
    <xdr:to>
      <xdr:col>8</xdr:col>
      <xdr:colOff>456079</xdr:colOff>
      <xdr:row>26</xdr:row>
      <xdr:rowOff>278533</xdr:rowOff>
    </xdr:to>
    <xdr:pic macro="[0]!Dist12L">
      <xdr:nvPicPr>
        <xdr:cNvPr id="31" name="Picture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33850" y="8201025"/>
          <a:ext cx="256054" cy="249958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285750</xdr:colOff>
      <xdr:row>25</xdr:row>
      <xdr:rowOff>38100</xdr:rowOff>
    </xdr:from>
    <xdr:to>
      <xdr:col>10</xdr:col>
      <xdr:colOff>486935</xdr:colOff>
      <xdr:row>25</xdr:row>
      <xdr:rowOff>288058</xdr:rowOff>
    </xdr:to>
    <xdr:pic macro="[0]!Dist11L">
      <xdr:nvPicPr>
        <xdr:cNvPr id="35" name="Picture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43775" y="7896225"/>
          <a:ext cx="201185" cy="249958"/>
        </a:xfrm>
        <a:prstGeom prst="rect">
          <a:avLst/>
        </a:prstGeom>
      </xdr:spPr>
    </xdr:pic>
    <xdr:clientData/>
  </xdr:twoCellAnchor>
  <xdr:twoCellAnchor editAs="oneCell">
    <xdr:from>
      <xdr:col>14</xdr:col>
      <xdr:colOff>238125</xdr:colOff>
      <xdr:row>4</xdr:row>
      <xdr:rowOff>38100</xdr:rowOff>
    </xdr:from>
    <xdr:to>
      <xdr:col>14</xdr:col>
      <xdr:colOff>488083</xdr:colOff>
      <xdr:row>4</xdr:row>
      <xdr:rowOff>288058</xdr:rowOff>
    </xdr:to>
    <xdr:pic macro="[0]!T1P1">
      <xdr:nvPicPr>
        <xdr:cNvPr id="38" name="Picture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20225" y="1295400"/>
          <a:ext cx="249958" cy="249958"/>
        </a:xfrm>
        <a:prstGeom prst="rect">
          <a:avLst/>
        </a:prstGeom>
      </xdr:spPr>
    </xdr:pic>
    <xdr:clientData/>
  </xdr:twoCellAnchor>
  <xdr:twoCellAnchor editAs="oneCell">
    <xdr:from>
      <xdr:col>14</xdr:col>
      <xdr:colOff>238125</xdr:colOff>
      <xdr:row>6</xdr:row>
      <xdr:rowOff>38100</xdr:rowOff>
    </xdr:from>
    <xdr:to>
      <xdr:col>14</xdr:col>
      <xdr:colOff>488083</xdr:colOff>
      <xdr:row>6</xdr:row>
      <xdr:rowOff>288058</xdr:rowOff>
    </xdr:to>
    <xdr:pic macro="[0]!T1P3">
      <xdr:nvPicPr>
        <xdr:cNvPr id="39" name="Picture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20225" y="1924050"/>
          <a:ext cx="249958" cy="249958"/>
        </a:xfrm>
        <a:prstGeom prst="rect">
          <a:avLst/>
        </a:prstGeom>
      </xdr:spPr>
    </xdr:pic>
    <xdr:clientData/>
  </xdr:twoCellAnchor>
  <xdr:twoCellAnchor editAs="oneCell">
    <xdr:from>
      <xdr:col>14</xdr:col>
      <xdr:colOff>238125</xdr:colOff>
      <xdr:row>8</xdr:row>
      <xdr:rowOff>38100</xdr:rowOff>
    </xdr:from>
    <xdr:to>
      <xdr:col>14</xdr:col>
      <xdr:colOff>488083</xdr:colOff>
      <xdr:row>8</xdr:row>
      <xdr:rowOff>288058</xdr:rowOff>
    </xdr:to>
    <xdr:pic macro="[0]!T1P5">
      <xdr:nvPicPr>
        <xdr:cNvPr id="40" name="Picture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20225" y="2552700"/>
          <a:ext cx="249958" cy="249958"/>
        </a:xfrm>
        <a:prstGeom prst="rect">
          <a:avLst/>
        </a:prstGeom>
      </xdr:spPr>
    </xdr:pic>
    <xdr:clientData/>
  </xdr:twoCellAnchor>
  <xdr:twoCellAnchor editAs="oneCell">
    <xdr:from>
      <xdr:col>14</xdr:col>
      <xdr:colOff>238125</xdr:colOff>
      <xdr:row>10</xdr:row>
      <xdr:rowOff>38100</xdr:rowOff>
    </xdr:from>
    <xdr:to>
      <xdr:col>14</xdr:col>
      <xdr:colOff>488083</xdr:colOff>
      <xdr:row>10</xdr:row>
      <xdr:rowOff>288058</xdr:rowOff>
    </xdr:to>
    <xdr:pic macro="[0]!T1P7">
      <xdr:nvPicPr>
        <xdr:cNvPr id="41" name="Picture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20225" y="3181350"/>
          <a:ext cx="249958" cy="249958"/>
        </a:xfrm>
        <a:prstGeom prst="rect">
          <a:avLst/>
        </a:prstGeom>
      </xdr:spPr>
    </xdr:pic>
    <xdr:clientData/>
  </xdr:twoCellAnchor>
  <xdr:twoCellAnchor editAs="oneCell">
    <xdr:from>
      <xdr:col>14</xdr:col>
      <xdr:colOff>238125</xdr:colOff>
      <xdr:row>12</xdr:row>
      <xdr:rowOff>28575</xdr:rowOff>
    </xdr:from>
    <xdr:to>
      <xdr:col>14</xdr:col>
      <xdr:colOff>488083</xdr:colOff>
      <xdr:row>12</xdr:row>
      <xdr:rowOff>278533</xdr:rowOff>
    </xdr:to>
    <xdr:pic macro="[0]!T2P1">
      <xdr:nvPicPr>
        <xdr:cNvPr id="42" name="Picture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20225" y="3800475"/>
          <a:ext cx="249958" cy="249958"/>
        </a:xfrm>
        <a:prstGeom prst="rect">
          <a:avLst/>
        </a:prstGeom>
      </xdr:spPr>
    </xdr:pic>
    <xdr:clientData/>
  </xdr:twoCellAnchor>
  <xdr:twoCellAnchor editAs="oneCell">
    <xdr:from>
      <xdr:col>14</xdr:col>
      <xdr:colOff>238125</xdr:colOff>
      <xdr:row>14</xdr:row>
      <xdr:rowOff>38100</xdr:rowOff>
    </xdr:from>
    <xdr:to>
      <xdr:col>14</xdr:col>
      <xdr:colOff>488083</xdr:colOff>
      <xdr:row>14</xdr:row>
      <xdr:rowOff>288058</xdr:rowOff>
    </xdr:to>
    <xdr:pic macro="[0]!RelayP1">
      <xdr:nvPicPr>
        <xdr:cNvPr id="43" name="Picture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20225" y="4438650"/>
          <a:ext cx="249958" cy="249958"/>
        </a:xfrm>
        <a:prstGeom prst="rect">
          <a:avLst/>
        </a:prstGeom>
      </xdr:spPr>
    </xdr:pic>
    <xdr:clientData/>
  </xdr:twoCellAnchor>
  <xdr:twoCellAnchor editAs="oneCell">
    <xdr:from>
      <xdr:col>14</xdr:col>
      <xdr:colOff>238125</xdr:colOff>
      <xdr:row>17</xdr:row>
      <xdr:rowOff>38100</xdr:rowOff>
    </xdr:from>
    <xdr:to>
      <xdr:col>14</xdr:col>
      <xdr:colOff>488083</xdr:colOff>
      <xdr:row>17</xdr:row>
      <xdr:rowOff>288058</xdr:rowOff>
    </xdr:to>
    <xdr:pic macro="[0]!FieldP1">
      <xdr:nvPicPr>
        <xdr:cNvPr id="44" name="Picture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20225" y="5381625"/>
          <a:ext cx="249958" cy="249958"/>
        </a:xfrm>
        <a:prstGeom prst="rect">
          <a:avLst/>
        </a:prstGeom>
      </xdr:spPr>
    </xdr:pic>
    <xdr:clientData/>
  </xdr:twoCellAnchor>
  <xdr:twoCellAnchor editAs="oneCell">
    <xdr:from>
      <xdr:col>14</xdr:col>
      <xdr:colOff>228600</xdr:colOff>
      <xdr:row>19</xdr:row>
      <xdr:rowOff>38100</xdr:rowOff>
    </xdr:from>
    <xdr:to>
      <xdr:col>14</xdr:col>
      <xdr:colOff>478558</xdr:colOff>
      <xdr:row>19</xdr:row>
      <xdr:rowOff>288058</xdr:rowOff>
    </xdr:to>
    <xdr:pic macro="[0]!FieldP3">
      <xdr:nvPicPr>
        <xdr:cNvPr id="45" name="Picture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10700" y="6010275"/>
          <a:ext cx="249958" cy="249958"/>
        </a:xfrm>
        <a:prstGeom prst="rect">
          <a:avLst/>
        </a:prstGeom>
      </xdr:spPr>
    </xdr:pic>
    <xdr:clientData/>
  </xdr:twoCellAnchor>
  <xdr:twoCellAnchor editAs="oneCell">
    <xdr:from>
      <xdr:col>14</xdr:col>
      <xdr:colOff>238125</xdr:colOff>
      <xdr:row>21</xdr:row>
      <xdr:rowOff>38100</xdr:rowOff>
    </xdr:from>
    <xdr:to>
      <xdr:col>14</xdr:col>
      <xdr:colOff>488083</xdr:colOff>
      <xdr:row>21</xdr:row>
      <xdr:rowOff>288058</xdr:rowOff>
    </xdr:to>
    <xdr:pic macro="[0]!FieldP5">
      <xdr:nvPicPr>
        <xdr:cNvPr id="46" name="Picture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20225" y="6638925"/>
          <a:ext cx="249958" cy="249958"/>
        </a:xfrm>
        <a:prstGeom prst="rect">
          <a:avLst/>
        </a:prstGeom>
      </xdr:spPr>
    </xdr:pic>
    <xdr:clientData/>
  </xdr:twoCellAnchor>
  <xdr:twoCellAnchor editAs="oneCell">
    <xdr:from>
      <xdr:col>14</xdr:col>
      <xdr:colOff>238125</xdr:colOff>
      <xdr:row>5</xdr:row>
      <xdr:rowOff>38100</xdr:rowOff>
    </xdr:from>
    <xdr:to>
      <xdr:col>14</xdr:col>
      <xdr:colOff>488083</xdr:colOff>
      <xdr:row>5</xdr:row>
      <xdr:rowOff>288058</xdr:rowOff>
    </xdr:to>
    <xdr:pic macro="[0]!T1P2">
      <xdr:nvPicPr>
        <xdr:cNvPr id="47" name="Picture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420225" y="1609725"/>
          <a:ext cx="249958" cy="249958"/>
        </a:xfrm>
        <a:prstGeom prst="rect">
          <a:avLst/>
        </a:prstGeom>
      </xdr:spPr>
    </xdr:pic>
    <xdr:clientData/>
  </xdr:twoCellAnchor>
  <xdr:twoCellAnchor editAs="oneCell">
    <xdr:from>
      <xdr:col>14</xdr:col>
      <xdr:colOff>238125</xdr:colOff>
      <xdr:row>7</xdr:row>
      <xdr:rowOff>38100</xdr:rowOff>
    </xdr:from>
    <xdr:to>
      <xdr:col>14</xdr:col>
      <xdr:colOff>488083</xdr:colOff>
      <xdr:row>7</xdr:row>
      <xdr:rowOff>288058</xdr:rowOff>
    </xdr:to>
    <xdr:pic macro="[0]!T1P4">
      <xdr:nvPicPr>
        <xdr:cNvPr id="48" name="Picture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420225" y="2238375"/>
          <a:ext cx="249958" cy="249958"/>
        </a:xfrm>
        <a:prstGeom prst="rect">
          <a:avLst/>
        </a:prstGeom>
      </xdr:spPr>
    </xdr:pic>
    <xdr:clientData/>
  </xdr:twoCellAnchor>
  <xdr:twoCellAnchor editAs="oneCell">
    <xdr:from>
      <xdr:col>14</xdr:col>
      <xdr:colOff>238125</xdr:colOff>
      <xdr:row>9</xdr:row>
      <xdr:rowOff>38100</xdr:rowOff>
    </xdr:from>
    <xdr:to>
      <xdr:col>14</xdr:col>
      <xdr:colOff>488083</xdr:colOff>
      <xdr:row>9</xdr:row>
      <xdr:rowOff>288058</xdr:rowOff>
    </xdr:to>
    <xdr:pic macro="[0]!T1P6">
      <xdr:nvPicPr>
        <xdr:cNvPr id="49" name="Picture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420225" y="2867025"/>
          <a:ext cx="249958" cy="249958"/>
        </a:xfrm>
        <a:prstGeom prst="rect">
          <a:avLst/>
        </a:prstGeom>
      </xdr:spPr>
    </xdr:pic>
    <xdr:clientData/>
  </xdr:twoCellAnchor>
  <xdr:twoCellAnchor editAs="oneCell">
    <xdr:from>
      <xdr:col>14</xdr:col>
      <xdr:colOff>238125</xdr:colOff>
      <xdr:row>15</xdr:row>
      <xdr:rowOff>38100</xdr:rowOff>
    </xdr:from>
    <xdr:to>
      <xdr:col>14</xdr:col>
      <xdr:colOff>488083</xdr:colOff>
      <xdr:row>15</xdr:row>
      <xdr:rowOff>288058</xdr:rowOff>
    </xdr:to>
    <xdr:pic macro="[0]!RelayP2">
      <xdr:nvPicPr>
        <xdr:cNvPr id="50" name="Picture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420225" y="4752975"/>
          <a:ext cx="249958" cy="249958"/>
        </a:xfrm>
        <a:prstGeom prst="rect">
          <a:avLst/>
        </a:prstGeom>
      </xdr:spPr>
    </xdr:pic>
    <xdr:clientData/>
  </xdr:twoCellAnchor>
  <xdr:twoCellAnchor editAs="oneCell">
    <xdr:from>
      <xdr:col>14</xdr:col>
      <xdr:colOff>238125</xdr:colOff>
      <xdr:row>18</xdr:row>
      <xdr:rowOff>38100</xdr:rowOff>
    </xdr:from>
    <xdr:to>
      <xdr:col>14</xdr:col>
      <xdr:colOff>488083</xdr:colOff>
      <xdr:row>18</xdr:row>
      <xdr:rowOff>288058</xdr:rowOff>
    </xdr:to>
    <xdr:pic macro="[0]!FieldP2">
      <xdr:nvPicPr>
        <xdr:cNvPr id="51" name="Picture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420225" y="5695950"/>
          <a:ext cx="249958" cy="249958"/>
        </a:xfrm>
        <a:prstGeom prst="rect">
          <a:avLst/>
        </a:prstGeom>
      </xdr:spPr>
    </xdr:pic>
    <xdr:clientData/>
  </xdr:twoCellAnchor>
  <xdr:twoCellAnchor editAs="oneCell">
    <xdr:from>
      <xdr:col>14</xdr:col>
      <xdr:colOff>238125</xdr:colOff>
      <xdr:row>20</xdr:row>
      <xdr:rowOff>38100</xdr:rowOff>
    </xdr:from>
    <xdr:to>
      <xdr:col>14</xdr:col>
      <xdr:colOff>488083</xdr:colOff>
      <xdr:row>20</xdr:row>
      <xdr:rowOff>288058</xdr:rowOff>
    </xdr:to>
    <xdr:pic macro="[0]!FieldP4">
      <xdr:nvPicPr>
        <xdr:cNvPr id="52" name="Picture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420225" y="6324600"/>
          <a:ext cx="249958" cy="249958"/>
        </a:xfrm>
        <a:prstGeom prst="rect">
          <a:avLst/>
        </a:prstGeom>
      </xdr:spPr>
    </xdr:pic>
    <xdr:clientData/>
  </xdr:twoCellAnchor>
  <xdr:twoCellAnchor editAs="oneCell">
    <xdr:from>
      <xdr:col>14</xdr:col>
      <xdr:colOff>238125</xdr:colOff>
      <xdr:row>22</xdr:row>
      <xdr:rowOff>38100</xdr:rowOff>
    </xdr:from>
    <xdr:to>
      <xdr:col>14</xdr:col>
      <xdr:colOff>488083</xdr:colOff>
      <xdr:row>22</xdr:row>
      <xdr:rowOff>288058</xdr:rowOff>
    </xdr:to>
    <xdr:pic macro="[0]!FieldP6">
      <xdr:nvPicPr>
        <xdr:cNvPr id="53" name="Picture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420225" y="6953250"/>
          <a:ext cx="249958" cy="249958"/>
        </a:xfrm>
        <a:prstGeom prst="rect">
          <a:avLst/>
        </a:prstGeom>
      </xdr:spPr>
    </xdr:pic>
    <xdr:clientData/>
  </xdr:twoCellAnchor>
  <xdr:twoCellAnchor editAs="oneCell">
    <xdr:from>
      <xdr:col>18</xdr:col>
      <xdr:colOff>257175</xdr:colOff>
      <xdr:row>3</xdr:row>
      <xdr:rowOff>47625</xdr:rowOff>
    </xdr:from>
    <xdr:to>
      <xdr:col>18</xdr:col>
      <xdr:colOff>507133</xdr:colOff>
      <xdr:row>3</xdr:row>
      <xdr:rowOff>297583</xdr:rowOff>
    </xdr:to>
    <xdr:pic macro="[0]!u15b">
      <xdr:nvPicPr>
        <xdr:cNvPr id="54" name="Picture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82400" y="990600"/>
          <a:ext cx="249958" cy="249958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266700</xdr:colOff>
      <xdr:row>5</xdr:row>
      <xdr:rowOff>38100</xdr:rowOff>
    </xdr:from>
    <xdr:to>
      <xdr:col>18</xdr:col>
      <xdr:colOff>516658</xdr:colOff>
      <xdr:row>5</xdr:row>
      <xdr:rowOff>288058</xdr:rowOff>
    </xdr:to>
    <xdr:pic macro="[0]!u15g">
      <xdr:nvPicPr>
        <xdr:cNvPr id="55" name="Picture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91925" y="1609725"/>
          <a:ext cx="249958" cy="249958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266700</xdr:colOff>
      <xdr:row>7</xdr:row>
      <xdr:rowOff>38100</xdr:rowOff>
    </xdr:from>
    <xdr:to>
      <xdr:col>18</xdr:col>
      <xdr:colOff>516658</xdr:colOff>
      <xdr:row>7</xdr:row>
      <xdr:rowOff>288058</xdr:rowOff>
    </xdr:to>
    <xdr:pic macro="[0]!u13b">
      <xdr:nvPicPr>
        <xdr:cNvPr id="56" name="Picture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91925" y="2238375"/>
          <a:ext cx="249958" cy="249958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266700</xdr:colOff>
      <xdr:row>9</xdr:row>
      <xdr:rowOff>38100</xdr:rowOff>
    </xdr:from>
    <xdr:to>
      <xdr:col>18</xdr:col>
      <xdr:colOff>516658</xdr:colOff>
      <xdr:row>9</xdr:row>
      <xdr:rowOff>288058</xdr:rowOff>
    </xdr:to>
    <xdr:pic macro="[0]!u13g">
      <xdr:nvPicPr>
        <xdr:cNvPr id="57" name="Picture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91925" y="2867025"/>
          <a:ext cx="249958" cy="249958"/>
        </a:xfrm>
        <a:prstGeom prst="rect">
          <a:avLst/>
        </a:prstGeom>
      </xdr:spPr>
    </xdr:pic>
    <xdr:clientData/>
  </xdr:twoCellAnchor>
  <xdr:twoCellAnchor editAs="oneCell">
    <xdr:from>
      <xdr:col>18</xdr:col>
      <xdr:colOff>257175</xdr:colOff>
      <xdr:row>11</xdr:row>
      <xdr:rowOff>28575</xdr:rowOff>
    </xdr:from>
    <xdr:to>
      <xdr:col>18</xdr:col>
      <xdr:colOff>507133</xdr:colOff>
      <xdr:row>11</xdr:row>
      <xdr:rowOff>278533</xdr:rowOff>
    </xdr:to>
    <xdr:pic macro="[0]!printallage">
      <xdr:nvPicPr>
        <xdr:cNvPr id="58" name="Picture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1582400" y="3486150"/>
          <a:ext cx="249958" cy="249958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285750</xdr:colOff>
      <xdr:row>19</xdr:row>
      <xdr:rowOff>38100</xdr:rowOff>
    </xdr:from>
    <xdr:to>
      <xdr:col>10</xdr:col>
      <xdr:colOff>541804</xdr:colOff>
      <xdr:row>19</xdr:row>
      <xdr:rowOff>288058</xdr:rowOff>
    </xdr:to>
    <xdr:pic macro="[0]!Dist7L"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343775" y="6010275"/>
          <a:ext cx="256054" cy="249958"/>
        </a:xfrm>
        <a:prstGeom prst="rect">
          <a:avLst/>
        </a:prstGeom>
      </xdr:spPr>
    </xdr:pic>
    <xdr:clientData/>
  </xdr:twoCellAnchor>
  <xdr:oneCellAnchor>
    <xdr:from>
      <xdr:col>10</xdr:col>
      <xdr:colOff>304800</xdr:colOff>
      <xdr:row>46</xdr:row>
      <xdr:rowOff>200025</xdr:rowOff>
    </xdr:from>
    <xdr:ext cx="249958" cy="249958"/>
    <xdr:pic macro="[0]!StartP8">
      <xdr:nvPicPr>
        <xdr:cNvPr id="59" name="Picture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2825" y="14658975"/>
          <a:ext cx="249958" cy="249958"/>
        </a:xfrm>
        <a:prstGeom prst="rect">
          <a:avLst/>
        </a:prstGeom>
      </xdr:spPr>
    </xdr:pic>
    <xdr:clientData/>
  </xdr:oneCellAnchor>
  <xdr:oneCellAnchor>
    <xdr:from>
      <xdr:col>8</xdr:col>
      <xdr:colOff>276225</xdr:colOff>
      <xdr:row>48</xdr:row>
      <xdr:rowOff>161925</xdr:rowOff>
    </xdr:from>
    <xdr:ext cx="249958" cy="249958"/>
    <xdr:pic macro="[0]!StartP14">
      <xdr:nvPicPr>
        <xdr:cNvPr id="61" name="Picture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10050" y="15249525"/>
          <a:ext cx="249958" cy="249958"/>
        </a:xfrm>
        <a:prstGeom prst="rect">
          <a:avLst/>
        </a:prstGeom>
      </xdr:spPr>
    </xdr:pic>
    <xdr:clientData/>
  </xdr:oneCellAnchor>
  <xdr:oneCellAnchor>
    <xdr:from>
      <xdr:col>10</xdr:col>
      <xdr:colOff>304800</xdr:colOff>
      <xdr:row>49</xdr:row>
      <xdr:rowOff>200025</xdr:rowOff>
    </xdr:from>
    <xdr:ext cx="249958" cy="249958"/>
    <xdr:pic>
      <xdr:nvPicPr>
        <xdr:cNvPr id="62" name="Picture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2825" y="15601950"/>
          <a:ext cx="249958" cy="249958"/>
        </a:xfrm>
        <a:prstGeom prst="rect">
          <a:avLst/>
        </a:prstGeom>
      </xdr:spPr>
    </xdr:pic>
    <xdr:clientData/>
  </xdr:oneCellAnchor>
  <xdr:twoCellAnchor editAs="oneCell">
    <xdr:from>
      <xdr:col>10</xdr:col>
      <xdr:colOff>266700</xdr:colOff>
      <xdr:row>4</xdr:row>
      <xdr:rowOff>47625</xdr:rowOff>
    </xdr:from>
    <xdr:to>
      <xdr:col>10</xdr:col>
      <xdr:colOff>504465</xdr:colOff>
      <xdr:row>4</xdr:row>
      <xdr:rowOff>297583</xdr:rowOff>
    </xdr:to>
    <xdr:pic macro="[0]!Height1L">
      <xdr:nvPicPr>
        <xdr:cNvPr id="64" name="Picture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324725" y="1304925"/>
          <a:ext cx="237765" cy="249958"/>
        </a:xfrm>
        <a:prstGeom prst="rect">
          <a:avLst/>
        </a:prstGeom>
      </xdr:spPr>
    </xdr:pic>
    <xdr:clientData/>
  </xdr:twoCellAnchor>
  <xdr:twoCellAnchor editAs="oneCell">
    <xdr:from>
      <xdr:col>8</xdr:col>
      <xdr:colOff>238125</xdr:colOff>
      <xdr:row>5</xdr:row>
      <xdr:rowOff>57150</xdr:rowOff>
    </xdr:from>
    <xdr:to>
      <xdr:col>8</xdr:col>
      <xdr:colOff>475890</xdr:colOff>
      <xdr:row>5</xdr:row>
      <xdr:rowOff>307108</xdr:rowOff>
    </xdr:to>
    <xdr:pic macro="[0]!Height2L">
      <xdr:nvPicPr>
        <xdr:cNvPr id="65" name="Picture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171950" y="1628775"/>
          <a:ext cx="237765" cy="249958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285750</xdr:colOff>
      <xdr:row>6</xdr:row>
      <xdr:rowOff>47625</xdr:rowOff>
    </xdr:from>
    <xdr:to>
      <xdr:col>10</xdr:col>
      <xdr:colOff>523515</xdr:colOff>
      <xdr:row>6</xdr:row>
      <xdr:rowOff>297583</xdr:rowOff>
    </xdr:to>
    <xdr:pic macro="[0]!Height3L">
      <xdr:nvPicPr>
        <xdr:cNvPr id="66" name="Picture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343775" y="1933575"/>
          <a:ext cx="237765" cy="249958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13</xdr:row>
      <xdr:rowOff>38100</xdr:rowOff>
    </xdr:from>
    <xdr:to>
      <xdr:col>10</xdr:col>
      <xdr:colOff>560854</xdr:colOff>
      <xdr:row>13</xdr:row>
      <xdr:rowOff>288058</xdr:rowOff>
    </xdr:to>
    <xdr:pic macro="[0]!Dist13L">
      <xdr:nvPicPr>
        <xdr:cNvPr id="67" name="Picture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2825" y="4124325"/>
          <a:ext cx="256054" cy="249958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228600</xdr:colOff>
      <xdr:row>14</xdr:row>
      <xdr:rowOff>38100</xdr:rowOff>
    </xdr:from>
    <xdr:to>
      <xdr:col>8</xdr:col>
      <xdr:colOff>429785</xdr:colOff>
      <xdr:row>14</xdr:row>
      <xdr:rowOff>288058</xdr:rowOff>
    </xdr:to>
    <xdr:pic macro="[0]!Dist3L">
      <xdr:nvPicPr>
        <xdr:cNvPr id="68" name="Picture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162425" y="4438650"/>
          <a:ext cx="201185" cy="249958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228600</xdr:colOff>
      <xdr:row>16</xdr:row>
      <xdr:rowOff>66675</xdr:rowOff>
    </xdr:from>
    <xdr:to>
      <xdr:col>8</xdr:col>
      <xdr:colOff>484654</xdr:colOff>
      <xdr:row>17</xdr:row>
      <xdr:rowOff>2308</xdr:rowOff>
    </xdr:to>
    <xdr:pic macro="[0]!Dist14L">
      <xdr:nvPicPr>
        <xdr:cNvPr id="70" name="Picture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62425" y="5095875"/>
          <a:ext cx="256054" cy="249958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228600</xdr:colOff>
      <xdr:row>24</xdr:row>
      <xdr:rowOff>57150</xdr:rowOff>
    </xdr:from>
    <xdr:to>
      <xdr:col>8</xdr:col>
      <xdr:colOff>484654</xdr:colOff>
      <xdr:row>24</xdr:row>
      <xdr:rowOff>307108</xdr:rowOff>
    </xdr:to>
    <xdr:pic macro="[0]!Dist16L">
      <xdr:nvPicPr>
        <xdr:cNvPr id="73" name="Picture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62425" y="7600950"/>
          <a:ext cx="256054" cy="249958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228600</xdr:colOff>
      <xdr:row>18</xdr:row>
      <xdr:rowOff>47625</xdr:rowOff>
    </xdr:from>
    <xdr:to>
      <xdr:col>8</xdr:col>
      <xdr:colOff>429785</xdr:colOff>
      <xdr:row>18</xdr:row>
      <xdr:rowOff>297583</xdr:rowOff>
    </xdr:to>
    <xdr:pic macro="[0]!Dist6L">
      <xdr:nvPicPr>
        <xdr:cNvPr id="74" name="Picture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162425" y="5705475"/>
          <a:ext cx="201185" cy="249958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228600</xdr:colOff>
      <xdr:row>20</xdr:row>
      <xdr:rowOff>38100</xdr:rowOff>
    </xdr:from>
    <xdr:to>
      <xdr:col>8</xdr:col>
      <xdr:colOff>484654</xdr:colOff>
      <xdr:row>20</xdr:row>
      <xdr:rowOff>288058</xdr:rowOff>
    </xdr:to>
    <xdr:pic macro="[0]!Dist8L">
      <xdr:nvPicPr>
        <xdr:cNvPr id="76" name="Picture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62425" y="6324600"/>
          <a:ext cx="256054" cy="249958"/>
        </a:xfrm>
        <a:prstGeom prst="rect">
          <a:avLst/>
        </a:prstGeom>
      </xdr:spPr>
    </xdr:pic>
    <xdr:clientData/>
  </xdr:twoCellAnchor>
  <xdr:twoCellAnchor editAs="oneCell">
    <xdr:from>
      <xdr:col>10</xdr:col>
      <xdr:colOff>314325</xdr:colOff>
      <xdr:row>11</xdr:row>
      <xdr:rowOff>38100</xdr:rowOff>
    </xdr:from>
    <xdr:to>
      <xdr:col>10</xdr:col>
      <xdr:colOff>552090</xdr:colOff>
      <xdr:row>11</xdr:row>
      <xdr:rowOff>288058</xdr:rowOff>
    </xdr:to>
    <xdr:pic macro="[0]!Dist1L">
      <xdr:nvPicPr>
        <xdr:cNvPr id="77" name="Picture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372350" y="3495675"/>
          <a:ext cx="237765" cy="249958"/>
        </a:xfrm>
        <a:prstGeom prst="rect">
          <a:avLst/>
        </a:prstGeom>
      </xdr:spPr>
    </xdr:pic>
    <xdr:clientData/>
  </xdr:twoCellAnchor>
  <xdr:twoCellAnchor editAs="oneCell">
    <xdr:from>
      <xdr:col>8</xdr:col>
      <xdr:colOff>257175</xdr:colOff>
      <xdr:row>7</xdr:row>
      <xdr:rowOff>47625</xdr:rowOff>
    </xdr:from>
    <xdr:to>
      <xdr:col>8</xdr:col>
      <xdr:colOff>494940</xdr:colOff>
      <xdr:row>7</xdr:row>
      <xdr:rowOff>297583</xdr:rowOff>
    </xdr:to>
    <xdr:pic macro="[0]!Height6L">
      <xdr:nvPicPr>
        <xdr:cNvPr id="78" name="Picture 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191000" y="2247900"/>
          <a:ext cx="237765" cy="249958"/>
        </a:xfrm>
        <a:prstGeom prst="rect">
          <a:avLst/>
        </a:prstGeom>
      </xdr:spPr>
    </xdr:pic>
    <xdr:clientData/>
  </xdr:twoCellAnchor>
  <xdr:twoCellAnchor editAs="oneCell">
    <xdr:from>
      <xdr:col>8</xdr:col>
      <xdr:colOff>247650</xdr:colOff>
      <xdr:row>12</xdr:row>
      <xdr:rowOff>38100</xdr:rowOff>
    </xdr:from>
    <xdr:to>
      <xdr:col>8</xdr:col>
      <xdr:colOff>485415</xdr:colOff>
      <xdr:row>12</xdr:row>
      <xdr:rowOff>288058</xdr:rowOff>
    </xdr:to>
    <xdr:pic macro="[0]!Dist2L">
      <xdr:nvPicPr>
        <xdr:cNvPr id="79" name="Picture 78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81475" y="3810000"/>
          <a:ext cx="237765" cy="249958"/>
        </a:xfrm>
        <a:prstGeom prst="rect">
          <a:avLst/>
        </a:prstGeom>
      </xdr:spPr>
    </xdr:pic>
    <xdr:clientData/>
  </xdr:twoCellAnchor>
  <xdr:twoCellAnchor editAs="oneCell">
    <xdr:from>
      <xdr:col>8</xdr:col>
      <xdr:colOff>257175</xdr:colOff>
      <xdr:row>22</xdr:row>
      <xdr:rowOff>38100</xdr:rowOff>
    </xdr:from>
    <xdr:to>
      <xdr:col>8</xdr:col>
      <xdr:colOff>458360</xdr:colOff>
      <xdr:row>22</xdr:row>
      <xdr:rowOff>288058</xdr:rowOff>
    </xdr:to>
    <xdr:pic macro="[0]!Dist9L">
      <xdr:nvPicPr>
        <xdr:cNvPr id="80" name="Picture 79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191000" y="6953250"/>
          <a:ext cx="201185" cy="249958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15</xdr:row>
      <xdr:rowOff>28575</xdr:rowOff>
    </xdr:from>
    <xdr:to>
      <xdr:col>10</xdr:col>
      <xdr:colOff>554758</xdr:colOff>
      <xdr:row>15</xdr:row>
      <xdr:rowOff>309015</xdr:rowOff>
    </xdr:to>
    <xdr:pic macro="[0]!Dist4L">
      <xdr:nvPicPr>
        <xdr:cNvPr id="82" name="Picture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362825" y="4743450"/>
          <a:ext cx="249958" cy="280440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17</xdr:row>
      <xdr:rowOff>19050</xdr:rowOff>
    </xdr:from>
    <xdr:to>
      <xdr:col>10</xdr:col>
      <xdr:colOff>554758</xdr:colOff>
      <xdr:row>17</xdr:row>
      <xdr:rowOff>299490</xdr:rowOff>
    </xdr:to>
    <xdr:pic macro="[0]!Dist5L">
      <xdr:nvPicPr>
        <xdr:cNvPr id="83" name="Picture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362825" y="5362575"/>
          <a:ext cx="249958" cy="2804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38100</xdr:colOff>
      <xdr:row>0</xdr:row>
      <xdr:rowOff>57150</xdr:rowOff>
    </xdr:from>
    <xdr:to>
      <xdr:col>15</xdr:col>
      <xdr:colOff>544112</xdr:colOff>
      <xdr:row>0</xdr:row>
      <xdr:rowOff>557065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10550" y="57150"/>
          <a:ext cx="506012" cy="49991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57150</xdr:colOff>
      <xdr:row>2</xdr:row>
      <xdr:rowOff>38100</xdr:rowOff>
    </xdr:from>
    <xdr:to>
      <xdr:col>32</xdr:col>
      <xdr:colOff>561974</xdr:colOff>
      <xdr:row>4</xdr:row>
      <xdr:rowOff>152399</xdr:rowOff>
    </xdr:to>
    <xdr:pic>
      <xdr:nvPicPr>
        <xdr:cNvPr id="4" name="Picture 3" descr="File:Agt &lt;strong&gt;home&lt;/strong&gt;.png - Wikimedia Commons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34775" y="419100"/>
          <a:ext cx="504824" cy="50482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76200</xdr:colOff>
      <xdr:row>1</xdr:row>
      <xdr:rowOff>38100</xdr:rowOff>
    </xdr:from>
    <xdr:to>
      <xdr:col>34</xdr:col>
      <xdr:colOff>581024</xdr:colOff>
      <xdr:row>3</xdr:row>
      <xdr:rowOff>161924</xdr:rowOff>
    </xdr:to>
    <xdr:pic>
      <xdr:nvPicPr>
        <xdr:cNvPr id="2" name="Picture 1" descr="File:Agt &lt;strong&gt;home&lt;/strong&gt;.png - Wikimedia Commons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00" y="228600"/>
          <a:ext cx="504824" cy="50482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38100</xdr:colOff>
      <xdr:row>0</xdr:row>
      <xdr:rowOff>38100</xdr:rowOff>
    </xdr:from>
    <xdr:to>
      <xdr:col>18</xdr:col>
      <xdr:colOff>542925</xdr:colOff>
      <xdr:row>0</xdr:row>
      <xdr:rowOff>538015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67625" y="38100"/>
          <a:ext cx="504825" cy="49991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66675</xdr:colOff>
      <xdr:row>0</xdr:row>
      <xdr:rowOff>38100</xdr:rowOff>
    </xdr:from>
    <xdr:to>
      <xdr:col>18</xdr:col>
      <xdr:colOff>572687</xdr:colOff>
      <xdr:row>0</xdr:row>
      <xdr:rowOff>538015</xdr:rowOff>
    </xdr:to>
    <xdr:pic>
      <xdr:nvPicPr>
        <xdr:cNvPr id="5" name="Pictur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96200" y="38100"/>
          <a:ext cx="506012" cy="4999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19050</xdr:colOff>
      <xdr:row>1</xdr:row>
      <xdr:rowOff>192950</xdr:rowOff>
    </xdr:from>
    <xdr:to>
      <xdr:col>27</xdr:col>
      <xdr:colOff>577850</xdr:colOff>
      <xdr:row>4</xdr:row>
      <xdr:rowOff>241299</xdr:rowOff>
    </xdr:to>
    <xdr:pic macro="[0]!downloadteams"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54475" y="383450"/>
          <a:ext cx="1152525" cy="788124"/>
        </a:xfrm>
        <a:prstGeom prst="rect">
          <a:avLst/>
        </a:prstGeom>
      </xdr:spPr>
    </xdr:pic>
    <xdr:clientData/>
  </xdr:twoCellAnchor>
  <xdr:twoCellAnchor editAs="oneCell">
    <xdr:from>
      <xdr:col>26</xdr:col>
      <xdr:colOff>304800</xdr:colOff>
      <xdr:row>7</xdr:row>
      <xdr:rowOff>47625</xdr:rowOff>
    </xdr:from>
    <xdr:to>
      <xdr:col>27</xdr:col>
      <xdr:colOff>278052</xdr:colOff>
      <xdr:row>9</xdr:row>
      <xdr:rowOff>122224</xdr:rowOff>
    </xdr:to>
    <xdr:pic macro="[0]!createPDF"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67700" y="1724025"/>
          <a:ext cx="566977" cy="573074"/>
        </a:xfrm>
        <a:prstGeom prst="rect">
          <a:avLst/>
        </a:prstGeom>
      </xdr:spPr>
    </xdr:pic>
    <xdr:clientData/>
  </xdr:twoCellAnchor>
  <xdr:twoCellAnchor editAs="oneCell">
    <xdr:from>
      <xdr:col>26</xdr:col>
      <xdr:colOff>219075</xdr:colOff>
      <xdr:row>15</xdr:row>
      <xdr:rowOff>9525</xdr:rowOff>
    </xdr:from>
    <xdr:to>
      <xdr:col>27</xdr:col>
      <xdr:colOff>402784</xdr:colOff>
      <xdr:row>18</xdr:row>
      <xdr:rowOff>96450</xdr:rowOff>
    </xdr:to>
    <xdr:pic macro="[0]!downloadrecords"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81975" y="3324225"/>
          <a:ext cx="774259" cy="6584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47625</xdr:colOff>
      <xdr:row>0</xdr:row>
      <xdr:rowOff>66675</xdr:rowOff>
    </xdr:from>
    <xdr:to>
      <xdr:col>15</xdr:col>
      <xdr:colOff>553637</xdr:colOff>
      <xdr:row>0</xdr:row>
      <xdr:rowOff>566590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96125" y="66675"/>
          <a:ext cx="506012" cy="4999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47625</xdr:colOff>
      <xdr:row>0</xdr:row>
      <xdr:rowOff>38100</xdr:rowOff>
    </xdr:from>
    <xdr:to>
      <xdr:col>15</xdr:col>
      <xdr:colOff>553637</xdr:colOff>
      <xdr:row>0</xdr:row>
      <xdr:rowOff>538015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96125" y="38100"/>
          <a:ext cx="506012" cy="4999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57150</xdr:colOff>
      <xdr:row>0</xdr:row>
      <xdr:rowOff>47625</xdr:rowOff>
    </xdr:from>
    <xdr:to>
      <xdr:col>15</xdr:col>
      <xdr:colOff>563162</xdr:colOff>
      <xdr:row>0</xdr:row>
      <xdr:rowOff>547540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05650" y="47625"/>
          <a:ext cx="506012" cy="4999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57150</xdr:colOff>
      <xdr:row>0</xdr:row>
      <xdr:rowOff>38100</xdr:rowOff>
    </xdr:from>
    <xdr:to>
      <xdr:col>15</xdr:col>
      <xdr:colOff>563162</xdr:colOff>
      <xdr:row>0</xdr:row>
      <xdr:rowOff>538015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05650" y="38100"/>
          <a:ext cx="506012" cy="4999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47625</xdr:colOff>
      <xdr:row>0</xdr:row>
      <xdr:rowOff>28575</xdr:rowOff>
    </xdr:from>
    <xdr:to>
      <xdr:col>15</xdr:col>
      <xdr:colOff>553637</xdr:colOff>
      <xdr:row>1</xdr:row>
      <xdr:rowOff>118915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72250" y="28575"/>
          <a:ext cx="506012" cy="499915"/>
        </a:xfrm>
        <a:prstGeom prst="rect">
          <a:avLst/>
        </a:prstGeom>
      </xdr:spPr>
    </xdr:pic>
    <xdr:clientData/>
  </xdr:twoCellAnchor>
  <xdr:twoCellAnchor>
    <xdr:from>
      <xdr:col>19</xdr:col>
      <xdr:colOff>95251</xdr:colOff>
      <xdr:row>0</xdr:row>
      <xdr:rowOff>171449</xdr:rowOff>
    </xdr:from>
    <xdr:to>
      <xdr:col>20</xdr:col>
      <xdr:colOff>127501</xdr:colOff>
      <xdr:row>0</xdr:row>
      <xdr:rowOff>387449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>
        <a:xfrm>
          <a:off x="8039101" y="171449"/>
          <a:ext cx="1080000" cy="216000"/>
        </a:xfrm>
        <a:prstGeom prst="rect">
          <a:avLst/>
        </a:prstGeom>
        <a:solidFill>
          <a:srgbClr val="FF000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GB" sz="900" b="1">
              <a:solidFill>
                <a:schemeClr val="bg1"/>
              </a:solidFill>
            </a:rPr>
            <a:t>Not</a:t>
          </a:r>
          <a:r>
            <a:rPr lang="en-GB" sz="900" b="1" baseline="0">
              <a:solidFill>
                <a:schemeClr val="bg1"/>
              </a:solidFill>
            </a:rPr>
            <a:t> Registered?</a:t>
          </a:r>
          <a:endParaRPr lang="en-GB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20</xdr:col>
      <xdr:colOff>171450</xdr:colOff>
      <xdr:row>0</xdr:row>
      <xdr:rowOff>180975</xdr:rowOff>
    </xdr:from>
    <xdr:to>
      <xdr:col>21</xdr:col>
      <xdr:colOff>203700</xdr:colOff>
      <xdr:row>0</xdr:row>
      <xdr:rowOff>396975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9163050" y="180975"/>
          <a:ext cx="1080000" cy="216000"/>
        </a:xfrm>
        <a:prstGeom prst="rect">
          <a:avLst/>
        </a:prstGeom>
        <a:solidFill>
          <a:srgbClr val="7030A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GB" sz="900">
              <a:solidFill>
                <a:schemeClr val="bg1"/>
              </a:solidFill>
            </a:rPr>
            <a:t>Too Many Events?</a:t>
          </a:r>
          <a:endParaRPr lang="en-GB" sz="1100">
            <a:solidFill>
              <a:schemeClr val="bg1"/>
            </a:solidFill>
          </a:endParaRPr>
        </a:p>
      </xdr:txBody>
    </xdr:sp>
    <xdr:clientData/>
  </xdr:twoCellAnchor>
  <xdr:twoCellAnchor>
    <xdr:from>
      <xdr:col>21</xdr:col>
      <xdr:colOff>257175</xdr:colOff>
      <xdr:row>0</xdr:row>
      <xdr:rowOff>180975</xdr:rowOff>
    </xdr:from>
    <xdr:to>
      <xdr:col>22</xdr:col>
      <xdr:colOff>289425</xdr:colOff>
      <xdr:row>0</xdr:row>
      <xdr:rowOff>396975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>
          <a:off x="10296525" y="180975"/>
          <a:ext cx="1080000" cy="216000"/>
        </a:xfrm>
        <a:prstGeom prst="rect">
          <a:avLst/>
        </a:prstGeom>
        <a:solidFill>
          <a:srgbClr val="FFC00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GB" sz="900">
              <a:solidFill>
                <a:sysClr val="windowText" lastClr="000000"/>
              </a:solidFill>
            </a:rPr>
            <a:t>Needs Checking</a:t>
          </a:r>
          <a:endParaRPr lang="en-GB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47625</xdr:colOff>
      <xdr:row>0</xdr:row>
      <xdr:rowOff>57150</xdr:rowOff>
    </xdr:from>
    <xdr:to>
      <xdr:col>18</xdr:col>
      <xdr:colOff>553637</xdr:colOff>
      <xdr:row>0</xdr:row>
      <xdr:rowOff>557065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86675" y="57150"/>
          <a:ext cx="506012" cy="49991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38100</xdr:colOff>
      <xdr:row>0</xdr:row>
      <xdr:rowOff>0</xdr:rowOff>
    </xdr:from>
    <xdr:to>
      <xdr:col>22</xdr:col>
      <xdr:colOff>9524</xdr:colOff>
      <xdr:row>0</xdr:row>
      <xdr:rowOff>504824</xdr:rowOff>
    </xdr:to>
    <xdr:pic>
      <xdr:nvPicPr>
        <xdr:cNvPr id="5" name="Picture 4" descr="File:Agt &lt;strong&gt;home&lt;/strong&gt;.png - Wikimedia Commons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0350" y="0"/>
          <a:ext cx="504824" cy="504824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=211&amp;matchno=3_14" growShrinkType="overwriteClear" connectionId="40" xr16:uid="{00000000-0016-0000-0000-00004A000000}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=207&amp;matchno=1_4" growShrinkType="overwriteClear" connectionId="61" xr16:uid="{00000000-0016-0000-0000-000041000000}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_212_matchno_1_1" growShrinkType="overwriteClear" connectionId="51" xr16:uid="{00000000-0016-0000-0000-000040000000}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=231&amp;matchno=1" growShrinkType="overwriteClear" connectionId="63" xr16:uid="{00000000-0016-0000-0000-00003F000000}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=211&amp;matchno=3_6" growShrinkType="overwriteClear" connectionId="30" xr16:uid="{00000000-0016-0000-0000-00003E000000}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=235&amp;matchno=1" growShrinkType="overwriteClear" connectionId="52" xr16:uid="{00000000-0016-0000-0000-00003D000000}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=223&amp;matchno=2_3" growShrinkType="overwriteClear" connectionId="7" xr16:uid="{00000000-0016-0000-0000-00003C000000}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=241&amp;matchno=4" growShrinkType="overwriteClear" connectionId="45" xr16:uid="{00000000-0016-0000-0000-00003B000000}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=244&amp;matchno=4" growShrinkType="overwriteClear" connectionId="44" xr16:uid="{00000000-0016-0000-0000-00003A000000}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=211&amp;matchno=3_8" growShrinkType="overwriteClear" connectionId="32" xr16:uid="{00000000-0016-0000-0000-000039000000}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ydl_standings.asp?fixtureID=207" growShrinkType="overwriteClear" preserveFormatting="0" connectionId="60" xr16:uid="{00000000-0016-0000-0000-00003800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AG_records_3" growShrinkType="overwriteClear" connectionId="21" xr16:uid="{00000000-0016-0000-0000-000049000000}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=223&amp;matchno=2_7" growShrinkType="overwriteClear" connectionId="11" xr16:uid="{00000000-0016-0000-0000-000037000000}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AG_records" growShrinkType="overwriteClear" connectionId="38" xr16:uid="{00000000-0016-0000-0000-000036000000}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=221&amp;matchno=1_1" growShrinkType="overwriteClear" connectionId="13" xr16:uid="{00000000-0016-0000-0000-000035000000}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=211&amp;matchno=3_5" growShrinkType="overwriteClear" connectionId="29" xr16:uid="{00000000-0016-0000-0000-000034000000}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=211&amp;matchno=3_7" growShrinkType="overwriteClear" connectionId="31" xr16:uid="{00000000-0016-0000-0000-000033000000}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=223&amp;matchno=3_2" growShrinkType="overwriteClear" connectionId="1" xr16:uid="{00000000-0016-0000-0000-000032000000}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=211&amp;matchno=3_15" growShrinkType="overwriteClear" connectionId="1" xr16:uid="{00000000-0016-0000-0000-000031000000}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=211&amp;matchno=3_4" growShrinkType="overwriteClear" connectionId="28" xr16:uid="{00000000-0016-0000-0000-000030000000}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=223&amp;matchno=3_1" growShrinkType="overwriteClear" connectionId="1" xr16:uid="{00000000-0016-0000-0000-00002F000000}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=223&amp;matchno=2_8" growShrinkType="overwriteClear" connectionId="12" xr16:uid="{00000000-0016-0000-0000-00002E000000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AG_records_10" growShrinkType="overwriteClear" connectionId="59" xr16:uid="{00000000-0016-0000-0000-000048000000}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ydl_standings.asp?fixtureID=241" growShrinkType="overwriteClear" preserveFormatting="0" connectionId="48" xr16:uid="{00000000-0016-0000-0000-00002D000000}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=223&amp;matchno=2_1" growShrinkType="overwriteClear" connectionId="5" xr16:uid="{00000000-0016-0000-0000-00002C000000}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=211&amp;matchno=3_9" growShrinkType="overwriteClear" connectionId="33" xr16:uid="{00000000-0016-0000-0000-00002B000000}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=223&amp;matchno=2" growShrinkType="overwriteClear" connectionId="4" xr16:uid="{00000000-0016-0000-0000-00002A000000}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AG_records_4" growShrinkType="overwriteClear" connectionId="23" xr16:uid="{00000000-0016-0000-0000-000029000000}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=211&amp;matchno=3_1" growShrinkType="overwriteClear" connectionId="1" xr16:uid="{00000000-0016-0000-0000-000028000000}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=223&amp;matchno=2_4" growShrinkType="overwriteClear" connectionId="8" xr16:uid="{00000000-0016-0000-0000-000027000000}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=231&amp;matchno=1_1" growShrinkType="overwriteClear" connectionId="64" xr16:uid="{00000000-0016-0000-0000-000026000000}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=201&amp;matchno=1" growShrinkType="overwriteClear" connectionId="49" xr16:uid="{00000000-0016-0000-0000-000025000000}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=211&amp;matchno=3_2" growShrinkType="overwriteClear" connectionId="26" xr16:uid="{00000000-0016-0000-0000-000024000000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ydl_standings.asp?fixtureID=223_1" growShrinkType="overwriteClear" preserveFormatting="0" connectionId="18" xr16:uid="{00000000-0016-0000-0000-000047000000}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=223&amp;matchno=3_3" growShrinkType="overwriteClear" connectionId="1" xr16:uid="{00000000-0016-0000-0000-000023000000}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=223&amp;matchno=2_6" growShrinkType="overwriteClear" connectionId="10" xr16:uid="{00000000-0016-0000-0000-000022000000}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=221&amp;matchno=1" growShrinkType="overwriteClear" connectionId="1" xr16:uid="{00000000-0016-0000-0000-000021000000}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=223&amp;matchno=3" growShrinkType="overwriteClear" connectionId="14" xr16:uid="{00000000-0016-0000-0000-000020000000}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=223&amp;matchno=2_2" growShrinkType="overwriteClear" connectionId="6" xr16:uid="{00000000-0016-0000-0000-00001F000000}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=207&amp;matchno=1_1" growShrinkType="overwriteClear" connectionId="56" xr16:uid="{00000000-0016-0000-0000-00001E000000}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=211&amp;matchno=3_12" growShrinkType="overwriteClear" connectionId="37" xr16:uid="{00000000-0016-0000-0000-00001D000000}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=231&amp;matchno=1_3" growShrinkType="overwriteClear" connectionId="3" xr16:uid="{00000000-0016-0000-0000-00001C000000}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ydl_standings.asp?fixtureID=235_1" growShrinkType="overwriteClear" preserveFormatting="0" connectionId="55" xr16:uid="{00000000-0016-0000-0000-00001B000000}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=221&amp;matchno=2" growShrinkType="overwriteClear" connectionId="2" xr16:uid="{00000000-0016-0000-0000-00001A000000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AG_records_1" growShrinkType="overwriteClear" connectionId="17" xr16:uid="{00000000-0016-0000-0000-000046000000}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ydl_standings.asp?fixtureID=223_2" growShrinkType="overwriteClear" preserveFormatting="0" connectionId="20" xr16:uid="{00000000-0016-0000-0000-000019000000}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=211&amp;matchno=3_3" growShrinkType="overwriteClear" connectionId="27" xr16:uid="{00000000-0016-0000-0000-000018000000}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AG_records_2" growShrinkType="overwriteClear" connectionId="19" xr16:uid="{00000000-0016-0000-0000-000017000000}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=218&amp;matchno=1" growShrinkType="overwriteClear" connectionId="46" xr16:uid="{00000000-0016-0000-0000-000016000000}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=211&amp;matchno=3_11" growShrinkType="overwriteClear" connectionId="36" xr16:uid="{00000000-0016-0000-0000-000015000000}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=211&amp;matchno=3_13" growShrinkType="overwriteClear" connectionId="39" xr16:uid="{00000000-0016-0000-0000-000014000000}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AG_records_7" growShrinkType="overwriteClear" connectionId="47" xr16:uid="{00000000-0016-0000-0000-000013000000}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=211&amp;matchno=3" growShrinkType="overwriteClear" connectionId="16" xr16:uid="{00000000-0016-0000-0000-000012000000}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=211&amp;matchno=3_10" growShrinkType="overwriteClear" connectionId="34" xr16:uid="{00000000-0016-0000-0000-000011000000}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=223&amp;matchno=2_5" growShrinkType="overwriteClear" connectionId="9" xr16:uid="{00000000-0016-0000-0000-000010000000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ydl_standings.asp?fixtureID=211" growShrinkType="overwriteClear" preserveFormatting="0" connectionId="25" xr16:uid="{00000000-0016-0000-0000-000045000000}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AG_records_6" growShrinkType="overwriteClear" connectionId="1" xr16:uid="{00000000-0016-0000-0000-00000F000000}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ydl_standings.asp?fixtureID=223_3" growShrinkType="overwriteClear" preserveFormatting="0" connectionId="22" xr16:uid="{00000000-0016-0000-0000-00000E000000}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ydl_standings.asp?fixtureID=211_2" growShrinkType="overwriteClear" preserveFormatting="0" connectionId="43" xr16:uid="{00000000-0016-0000-0000-00000D000000}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_223_matchno_1_1" growShrinkType="overwriteClear" connectionId="50" xr16:uid="{00000000-0016-0000-0000-00000C000000}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=207&amp;matchno=1_3" growShrinkType="overwriteClear" connectionId="1" xr16:uid="{00000000-0016-0000-0000-00000B000000}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=223&amp;matchno=1" growShrinkType="overwriteClear" connectionId="24" xr16:uid="{00000000-0016-0000-0000-00000A000000}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=207&amp;matchno=1_5" growShrinkType="overwriteClear" connectionId="62" xr16:uid="{00000000-0016-0000-0000-000009000000}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=207&amp;matchno=1_2" growShrinkType="overwriteClear" connectionId="58" xr16:uid="{00000000-0016-0000-0000-000008000000}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ydl_standings.asp?fixtureID=235" growShrinkType="overwriteClear" preserveFormatting="0" connectionId="54" xr16:uid="{00000000-0016-0000-0000-000007000000}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=212&amp;matchno=1" growShrinkType="overwriteClear" connectionId="57" xr16:uid="{00000000-0016-0000-0000-000006000000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=211&amp;matchno=1" growShrinkType="overwriteClear" connectionId="35" xr16:uid="{00000000-0016-0000-0000-000044000000}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=207&amp;matchno=1" growShrinkType="overwriteClear" connectionId="1" xr16:uid="{00000000-0016-0000-0000-000005000000}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AG_records.asp" growShrinkType="overwriteClear" connectionId="15" xr16:uid="{00000000-0016-0000-0000-000004000000}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AG_records_5" growShrinkType="overwriteClear" connectionId="41" xr16:uid="{00000000-0016-0000-0000-000003000000}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AG_records_9" growShrinkType="overwriteClear" connectionId="1" xr16:uid="{00000000-0016-0000-0000-000002000000}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=242&amp;matchno=4" growShrinkType="overwriteClear" connectionId="1" xr16:uid="{00000000-0016-0000-0000-000001000000}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_lower_decs.asp?fixtureID=231&amp;matchno=1_2" growShrinkType="overwriteClear" connectionId="65" xr16:uid="{00000000-0016-0000-0000-000000000000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AG_records_8" growShrinkType="overwriteClear" connectionId="53" xr16:uid="{00000000-0016-0000-0000-000043000000}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ydl_standings.asp?fixtureID=211_1" growShrinkType="overwriteClear" preserveFormatting="0" connectionId="42" xr16:uid="{00000000-0016-0000-0000-000042000000}" autoFormatId="16" applyNumberFormats="0" applyBorderFormats="0" applyFontFormats="1" applyPatternFormats="1" applyAlignmentFormats="0" applyWidthHeightFormats="0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7" displayName="Table7" ref="E3:G61" totalsRowShown="0" headerRowDxfId="104" dataDxfId="103">
  <autoFilter ref="E3:G61" xr:uid="{00000000-0009-0000-0100-000003000000}"/>
  <tableColumns count="3">
    <tableColumn id="1" xr3:uid="{00000000-0010-0000-0000-000001000000}" name="Input Results" dataDxfId="102">
      <calculatedColumnFormula>VLOOKUP(B4,Timetables!$A:$C,3,FALSE)&amp;" "&amp;VLOOKUP(B4,Timetables!$A:$C,2,FALSE)</calculatedColumnFormula>
    </tableColumn>
    <tableColumn id="2" xr3:uid="{00000000-0010-0000-0000-000002000000}" name="Go To" dataDxfId="101" dataCellStyle="Hyperlink">
      <calculatedColumnFormula>IFERROR(HYPERLINK("#"&amp;VLOOKUP(#REF!,timetables,144,FALSE),"X"),"")</calculatedColumnFormula>
    </tableColumn>
    <tableColumn id="3" xr3:uid="{00000000-0010-0000-0000-000003000000}" name="Scored" dataDxfId="100">
      <calculatedColumnFormula>IFERROR(IF(INDIRECT(VLOOKUP(B4,timetables,149,FALSE))=1,"þ",""),"")</calculatedColumnFormula>
    </tableColumn>
  </tableColumns>
  <tableStyleInfo name="TableStyleMedium1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e1" displayName="Table1" ref="B12:J20" totalsRowShown="0" headerRowDxfId="99" dataDxfId="98" dataCellStyle="Comma">
  <tableColumns count="9">
    <tableColumn id="1" xr3:uid="{00000000-0010-0000-0100-000001000000}" name="Bib" dataDxfId="97"/>
    <tableColumn id="2" xr3:uid="{00000000-0010-0000-0100-000002000000}" name="Team Name" dataDxfId="96">
      <calculatedColumnFormula>IFERROR(VLOOKUP($O$9&amp;$C$4&amp;$B13,Teams!$A:$E,4,FALSE),"")</calculatedColumnFormula>
    </tableColumn>
    <tableColumn id="3" xr3:uid="{00000000-0010-0000-0100-000003000000}" name="Abbrev." dataDxfId="95">
      <calculatedColumnFormula>IFERROR(VLOOKUP($O$9&amp;$C$4&amp;$B13,Teams!$A:$E,5,FALSE),"")</calculatedColumnFormula>
    </tableColumn>
    <tableColumn id="4" xr3:uid="{00000000-0010-0000-0100-000004000000}" name="Officials" dataDxfId="94" dataCellStyle="Comma"/>
    <tableColumn id="5" xr3:uid="{00000000-0010-0000-0100-000005000000}" name="Track1" dataDxfId="93" dataCellStyle="Comma">
      <calculatedColumnFormula>SUMIF(Track1!$G:$G,MatchDay!D13,Track1!$R:$R)+SUMIF(Track1!$N:$N,MatchDay!D13,Track1!$S:$S)</calculatedColumnFormula>
    </tableColumn>
    <tableColumn id="6" xr3:uid="{00000000-0010-0000-0100-000006000000}" name="Track2" dataDxfId="92" dataCellStyle="Comma">
      <calculatedColumnFormula>SUMIF(Track2!$G:$G,MatchDay!D13,Track2!$R:$R)+SUMIF(Track2!$N:$N,MatchDay!D13,Track2!$S:$S)</calculatedColumnFormula>
    </tableColumn>
    <tableColumn id="7" xr3:uid="{00000000-0010-0000-0100-000007000000}" name="Relays" dataDxfId="91" dataCellStyle="Comma">
      <calculatedColumnFormula>SUMIF(Relays!$D:$D,MatchDay!D13,Relays!$L:$L)</calculatedColumnFormula>
    </tableColumn>
    <tableColumn id="8" xr3:uid="{00000000-0010-0000-0100-000008000000}" name="Field" dataDxfId="90" dataCellStyle="Comma">
      <calculatedColumnFormula>SUMIF(Field!$G:$G,MatchDay!D13,Field!$R:$R)+SUMIF(Field!$N:$N,MatchDay!D13,Field!$S:$S)</calculatedColumnFormula>
    </tableColumn>
    <tableColumn id="9" xr3:uid="{00000000-0010-0000-0100-000009000000}" name="Total" dataDxfId="89" dataCellStyle="Comma">
      <calculatedColumnFormula>IFERROR(IF(F13+I13+G13+H13+I13=0,"",F13+I13+G13+H13+E13),"")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le2" displayName="Table2" ref="B22:J30" totalsRowShown="0" headerRowDxfId="88" dataDxfId="87">
  <tableColumns count="9">
    <tableColumn id="1" xr3:uid="{00000000-0010-0000-0200-000001000000}" name="Posn" dataDxfId="86">
      <calculatedColumnFormula>IFERROR(VLOOKUP(A23,$A$13:$M$20,11,FALSE),"")</calculatedColumnFormula>
    </tableColumn>
    <tableColumn id="2" xr3:uid="{00000000-0010-0000-0200-000002000000}" name="Team Name" dataDxfId="85">
      <calculatedColumnFormula>IFERROR(IF($D$35=58,VLOOKUP(A23,downloads!$Z$3:$AD$10,2,FALSE),VLOOKUP($A23,$A$13:$M$20,3,FALSE)),"")</calculatedColumnFormula>
    </tableColumn>
    <tableColumn id="3" xr3:uid="{00000000-0010-0000-0200-000003000000}" name="Points" dataDxfId="84" dataCellStyle="Comma">
      <calculatedColumnFormula>IFERROR(VLOOKUP($A23,$A$13:$M$20,10,FALSE),0)</calculatedColumnFormula>
    </tableColumn>
    <tableColumn id="4" xr3:uid="{00000000-0010-0000-0200-000004000000}" name="League" dataDxfId="83">
      <calculatedColumnFormula>IFERROR(VLOOKUP(Table2[[#This Row],[Posn]],$P$13:$S$20,4,FALSE),0)</calculatedColumnFormula>
    </tableColumn>
    <tableColumn id="5" xr3:uid="{00000000-0010-0000-0200-000005000000}" name="B/fwd M" dataDxfId="82">
      <calculatedColumnFormula>IFERROR(VLOOKUP(Table2[[#This Row],[Team Name]],downloads!$T$2:$AF$9,13,FALSE),0)</calculatedColumnFormula>
    </tableColumn>
    <tableColumn id="6" xr3:uid="{00000000-0010-0000-0200-000006000000}" name="B/fwd L" dataDxfId="81">
      <calculatedColumnFormula>IFERROR(VLOOKUP(Table2[[#This Row],[Team Name]],downloads!$T$2:$AF$9,12,FALSE),0)</calculatedColumnFormula>
    </tableColumn>
    <tableColumn id="7" xr3:uid="{00000000-0010-0000-0200-000007000000}" name="Total Pts" dataDxfId="80">
      <calculatedColumnFormula>Table2[[#This Row],[Points]]+Table2[[#This Row],[B/fwd M]]</calculatedColumnFormula>
    </tableColumn>
    <tableColumn id="8" xr3:uid="{00000000-0010-0000-0200-000008000000}" name="Total L" dataDxfId="79">
      <calculatedColumnFormula>Table2[[#This Row],[League]]+Table2[[#This Row],[B/fwd L]]</calculatedColumnFormula>
    </tableColumn>
    <tableColumn id="9" xr3:uid="{00000000-0010-0000-0200-000009000000}" name="Standings" dataDxfId="78">
      <calculatedColumnFormula>IF(Table2[[#This Row],[Posn]]="","",IF(RANK(M23,$M$23:$M$30,0)&gt;$U$2,"",RANK(M23,$M$23:$M$30,0)))</calculatedColumnFormula>
    </tableColumn>
  </tableColumns>
  <tableStyleInfo name="TableStyleMedium25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queryTable" Target="../queryTables/queryTable25.xml"/><Relationship Id="rId21" Type="http://schemas.openxmlformats.org/officeDocument/2006/relationships/queryTable" Target="../queryTables/queryTable20.xml"/><Relationship Id="rId42" Type="http://schemas.openxmlformats.org/officeDocument/2006/relationships/queryTable" Target="../queryTables/queryTable41.xml"/><Relationship Id="rId47" Type="http://schemas.openxmlformats.org/officeDocument/2006/relationships/queryTable" Target="../queryTables/queryTable46.xml"/><Relationship Id="rId63" Type="http://schemas.openxmlformats.org/officeDocument/2006/relationships/queryTable" Target="../queryTables/queryTable62.xml"/><Relationship Id="rId68" Type="http://schemas.openxmlformats.org/officeDocument/2006/relationships/queryTable" Target="../queryTables/queryTable67.xml"/><Relationship Id="rId2" Type="http://schemas.openxmlformats.org/officeDocument/2006/relationships/queryTable" Target="../queryTables/queryTable1.xml"/><Relationship Id="rId16" Type="http://schemas.openxmlformats.org/officeDocument/2006/relationships/queryTable" Target="../queryTables/queryTable15.xml"/><Relationship Id="rId29" Type="http://schemas.openxmlformats.org/officeDocument/2006/relationships/queryTable" Target="../queryTables/queryTable28.xml"/><Relationship Id="rId11" Type="http://schemas.openxmlformats.org/officeDocument/2006/relationships/queryTable" Target="../queryTables/queryTable10.xml"/><Relationship Id="rId24" Type="http://schemas.openxmlformats.org/officeDocument/2006/relationships/queryTable" Target="../queryTables/queryTable23.xml"/><Relationship Id="rId32" Type="http://schemas.openxmlformats.org/officeDocument/2006/relationships/queryTable" Target="../queryTables/queryTable31.xml"/><Relationship Id="rId37" Type="http://schemas.openxmlformats.org/officeDocument/2006/relationships/queryTable" Target="../queryTables/queryTable36.xml"/><Relationship Id="rId40" Type="http://schemas.openxmlformats.org/officeDocument/2006/relationships/queryTable" Target="../queryTables/queryTable39.xml"/><Relationship Id="rId45" Type="http://schemas.openxmlformats.org/officeDocument/2006/relationships/queryTable" Target="../queryTables/queryTable44.xml"/><Relationship Id="rId53" Type="http://schemas.openxmlformats.org/officeDocument/2006/relationships/queryTable" Target="../queryTables/queryTable52.xml"/><Relationship Id="rId58" Type="http://schemas.openxmlformats.org/officeDocument/2006/relationships/queryTable" Target="../queryTables/queryTable57.xml"/><Relationship Id="rId66" Type="http://schemas.openxmlformats.org/officeDocument/2006/relationships/queryTable" Target="../queryTables/queryTable65.xml"/><Relationship Id="rId74" Type="http://schemas.openxmlformats.org/officeDocument/2006/relationships/queryTable" Target="../queryTables/queryTable73.xml"/><Relationship Id="rId5" Type="http://schemas.openxmlformats.org/officeDocument/2006/relationships/queryTable" Target="../queryTables/queryTable4.xml"/><Relationship Id="rId61" Type="http://schemas.openxmlformats.org/officeDocument/2006/relationships/queryTable" Target="../queryTables/queryTable60.xml"/><Relationship Id="rId19" Type="http://schemas.openxmlformats.org/officeDocument/2006/relationships/queryTable" Target="../queryTables/queryTable18.xml"/><Relationship Id="rId14" Type="http://schemas.openxmlformats.org/officeDocument/2006/relationships/queryTable" Target="../queryTables/queryTable13.xml"/><Relationship Id="rId22" Type="http://schemas.openxmlformats.org/officeDocument/2006/relationships/queryTable" Target="../queryTables/queryTable21.xml"/><Relationship Id="rId27" Type="http://schemas.openxmlformats.org/officeDocument/2006/relationships/queryTable" Target="../queryTables/queryTable26.xml"/><Relationship Id="rId30" Type="http://schemas.openxmlformats.org/officeDocument/2006/relationships/queryTable" Target="../queryTables/queryTable29.xml"/><Relationship Id="rId35" Type="http://schemas.openxmlformats.org/officeDocument/2006/relationships/queryTable" Target="../queryTables/queryTable34.xml"/><Relationship Id="rId43" Type="http://schemas.openxmlformats.org/officeDocument/2006/relationships/queryTable" Target="../queryTables/queryTable42.xml"/><Relationship Id="rId48" Type="http://schemas.openxmlformats.org/officeDocument/2006/relationships/queryTable" Target="../queryTables/queryTable47.xml"/><Relationship Id="rId56" Type="http://schemas.openxmlformats.org/officeDocument/2006/relationships/queryTable" Target="../queryTables/queryTable55.xml"/><Relationship Id="rId64" Type="http://schemas.openxmlformats.org/officeDocument/2006/relationships/queryTable" Target="../queryTables/queryTable63.xml"/><Relationship Id="rId69" Type="http://schemas.openxmlformats.org/officeDocument/2006/relationships/queryTable" Target="../queryTables/queryTable68.xml"/><Relationship Id="rId8" Type="http://schemas.openxmlformats.org/officeDocument/2006/relationships/queryTable" Target="../queryTables/queryTable7.xml"/><Relationship Id="rId51" Type="http://schemas.openxmlformats.org/officeDocument/2006/relationships/queryTable" Target="../queryTables/queryTable50.xml"/><Relationship Id="rId72" Type="http://schemas.openxmlformats.org/officeDocument/2006/relationships/queryTable" Target="../queryTables/queryTable71.xml"/><Relationship Id="rId3" Type="http://schemas.openxmlformats.org/officeDocument/2006/relationships/queryTable" Target="../queryTables/queryTable2.xml"/><Relationship Id="rId12" Type="http://schemas.openxmlformats.org/officeDocument/2006/relationships/queryTable" Target="../queryTables/queryTable11.xml"/><Relationship Id="rId17" Type="http://schemas.openxmlformats.org/officeDocument/2006/relationships/queryTable" Target="../queryTables/queryTable16.xml"/><Relationship Id="rId25" Type="http://schemas.openxmlformats.org/officeDocument/2006/relationships/queryTable" Target="../queryTables/queryTable24.xml"/><Relationship Id="rId33" Type="http://schemas.openxmlformats.org/officeDocument/2006/relationships/queryTable" Target="../queryTables/queryTable32.xml"/><Relationship Id="rId38" Type="http://schemas.openxmlformats.org/officeDocument/2006/relationships/queryTable" Target="../queryTables/queryTable37.xml"/><Relationship Id="rId46" Type="http://schemas.openxmlformats.org/officeDocument/2006/relationships/queryTable" Target="../queryTables/queryTable45.xml"/><Relationship Id="rId59" Type="http://schemas.openxmlformats.org/officeDocument/2006/relationships/queryTable" Target="../queryTables/queryTable58.xml"/><Relationship Id="rId67" Type="http://schemas.openxmlformats.org/officeDocument/2006/relationships/queryTable" Target="../queryTables/queryTable66.xml"/><Relationship Id="rId20" Type="http://schemas.openxmlformats.org/officeDocument/2006/relationships/queryTable" Target="../queryTables/queryTable19.xml"/><Relationship Id="rId41" Type="http://schemas.openxmlformats.org/officeDocument/2006/relationships/queryTable" Target="../queryTables/queryTable40.xml"/><Relationship Id="rId54" Type="http://schemas.openxmlformats.org/officeDocument/2006/relationships/queryTable" Target="../queryTables/queryTable53.xml"/><Relationship Id="rId62" Type="http://schemas.openxmlformats.org/officeDocument/2006/relationships/queryTable" Target="../queryTables/queryTable61.xml"/><Relationship Id="rId70" Type="http://schemas.openxmlformats.org/officeDocument/2006/relationships/queryTable" Target="../queryTables/queryTable69.xml"/><Relationship Id="rId75" Type="http://schemas.openxmlformats.org/officeDocument/2006/relationships/queryTable" Target="../queryTables/queryTable74.xml"/><Relationship Id="rId1" Type="http://schemas.openxmlformats.org/officeDocument/2006/relationships/printerSettings" Target="../printerSettings/printerSettings1.bin"/><Relationship Id="rId6" Type="http://schemas.openxmlformats.org/officeDocument/2006/relationships/queryTable" Target="../queryTables/queryTable5.xml"/><Relationship Id="rId15" Type="http://schemas.openxmlformats.org/officeDocument/2006/relationships/queryTable" Target="../queryTables/queryTable14.xml"/><Relationship Id="rId23" Type="http://schemas.openxmlformats.org/officeDocument/2006/relationships/queryTable" Target="../queryTables/queryTable22.xml"/><Relationship Id="rId28" Type="http://schemas.openxmlformats.org/officeDocument/2006/relationships/queryTable" Target="../queryTables/queryTable27.xml"/><Relationship Id="rId36" Type="http://schemas.openxmlformats.org/officeDocument/2006/relationships/queryTable" Target="../queryTables/queryTable35.xml"/><Relationship Id="rId49" Type="http://schemas.openxmlformats.org/officeDocument/2006/relationships/queryTable" Target="../queryTables/queryTable48.xml"/><Relationship Id="rId57" Type="http://schemas.openxmlformats.org/officeDocument/2006/relationships/queryTable" Target="../queryTables/queryTable56.xml"/><Relationship Id="rId10" Type="http://schemas.openxmlformats.org/officeDocument/2006/relationships/queryTable" Target="../queryTables/queryTable9.xml"/><Relationship Id="rId31" Type="http://schemas.openxmlformats.org/officeDocument/2006/relationships/queryTable" Target="../queryTables/queryTable30.xml"/><Relationship Id="rId44" Type="http://schemas.openxmlformats.org/officeDocument/2006/relationships/queryTable" Target="../queryTables/queryTable43.xml"/><Relationship Id="rId52" Type="http://schemas.openxmlformats.org/officeDocument/2006/relationships/queryTable" Target="../queryTables/queryTable51.xml"/><Relationship Id="rId60" Type="http://schemas.openxmlformats.org/officeDocument/2006/relationships/queryTable" Target="../queryTables/queryTable59.xml"/><Relationship Id="rId65" Type="http://schemas.openxmlformats.org/officeDocument/2006/relationships/queryTable" Target="../queryTables/queryTable64.xml"/><Relationship Id="rId73" Type="http://schemas.openxmlformats.org/officeDocument/2006/relationships/queryTable" Target="../queryTables/queryTable72.xml"/><Relationship Id="rId4" Type="http://schemas.openxmlformats.org/officeDocument/2006/relationships/queryTable" Target="../queryTables/queryTable3.xml"/><Relationship Id="rId9" Type="http://schemas.openxmlformats.org/officeDocument/2006/relationships/queryTable" Target="../queryTables/queryTable8.xml"/><Relationship Id="rId13" Type="http://schemas.openxmlformats.org/officeDocument/2006/relationships/queryTable" Target="../queryTables/queryTable12.xml"/><Relationship Id="rId18" Type="http://schemas.openxmlformats.org/officeDocument/2006/relationships/queryTable" Target="../queryTables/queryTable17.xml"/><Relationship Id="rId39" Type="http://schemas.openxmlformats.org/officeDocument/2006/relationships/queryTable" Target="../queryTables/queryTable38.xml"/><Relationship Id="rId34" Type="http://schemas.openxmlformats.org/officeDocument/2006/relationships/queryTable" Target="../queryTables/queryTable33.xml"/><Relationship Id="rId50" Type="http://schemas.openxmlformats.org/officeDocument/2006/relationships/queryTable" Target="../queryTables/queryTable49.xml"/><Relationship Id="rId55" Type="http://schemas.openxmlformats.org/officeDocument/2006/relationships/queryTable" Target="../queryTables/queryTable54.xml"/><Relationship Id="rId76" Type="http://schemas.openxmlformats.org/officeDocument/2006/relationships/queryTable" Target="../queryTables/queryTable75.xml"/><Relationship Id="rId7" Type="http://schemas.openxmlformats.org/officeDocument/2006/relationships/queryTable" Target="../queryTables/queryTable6.xml"/><Relationship Id="rId71" Type="http://schemas.openxmlformats.org/officeDocument/2006/relationships/queryTable" Target="../queryTables/queryTable70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omments" Target="../comments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8">
    <tabColor theme="9" tint="-0.249977111117893"/>
  </sheetPr>
  <dimension ref="A1:AY1000"/>
  <sheetViews>
    <sheetView workbookViewId="0">
      <pane ySplit="1" topLeftCell="A2" activePane="bottomLeft" state="frozen"/>
      <selection activeCell="K3" sqref="K3:N3"/>
      <selection pane="bottomLeft" sqref="A1:D1048576"/>
    </sheetView>
  </sheetViews>
  <sheetFormatPr defaultColWidth="9.28515625" defaultRowHeight="15" customHeight="1" x14ac:dyDescent="0.2"/>
  <cols>
    <col min="1" max="1" width="7.28515625" style="274" customWidth="1"/>
    <col min="2" max="2" width="21.42578125" style="274" customWidth="1"/>
    <col min="3" max="3" width="9.140625" style="274" customWidth="1"/>
    <col min="4" max="4" width="12.28515625" style="277" customWidth="1"/>
    <col min="5" max="5" width="9.28515625" style="275" customWidth="1"/>
    <col min="6" max="6" width="9.28515625" style="277" customWidth="1"/>
    <col min="7" max="10" width="9.28515625" style="275" customWidth="1"/>
    <col min="11" max="11" width="9.5703125" style="275" customWidth="1"/>
    <col min="12" max="12" width="10.28515625" style="275" customWidth="1"/>
    <col min="13" max="13" width="54.140625" style="275" customWidth="1"/>
    <col min="14" max="14" width="6.7109375" style="283" customWidth="1"/>
    <col min="15" max="15" width="22.42578125" style="275" bestFit="1" customWidth="1"/>
    <col min="16" max="16" width="9.28515625" style="275"/>
    <col min="17" max="17" width="3.7109375" style="275" customWidth="1"/>
    <col min="18" max="18" width="7" style="275" customWidth="1"/>
    <col min="19" max="19" width="3.42578125" style="275" customWidth="1"/>
    <col min="20" max="20" width="26.7109375" style="275" customWidth="1"/>
    <col min="21" max="21" width="6.140625" style="275" customWidth="1"/>
    <col min="22" max="22" width="8.140625" style="275" customWidth="1"/>
    <col min="23" max="23" width="3.5703125" style="275" bestFit="1" customWidth="1"/>
    <col min="24" max="24" width="4.28515625" style="275" customWidth="1"/>
    <col min="25" max="25" width="3.5703125" style="275" bestFit="1" customWidth="1"/>
    <col min="26" max="26" width="4.28515625" style="275" customWidth="1"/>
    <col min="27" max="27" width="3.5703125" style="275" bestFit="1" customWidth="1"/>
    <col min="28" max="28" width="4.28515625" style="275" customWidth="1"/>
    <col min="29" max="29" width="3.5703125" style="275" bestFit="1" customWidth="1"/>
    <col min="30" max="30" width="4.28515625" style="275" customWidth="1"/>
    <col min="31" max="31" width="11.28515625" style="275" customWidth="1"/>
    <col min="32" max="32" width="11" style="275" customWidth="1"/>
    <col min="33" max="33" width="4.42578125" style="275" bestFit="1" customWidth="1"/>
    <col min="34" max="34" width="3.5703125" style="275" bestFit="1" customWidth="1"/>
    <col min="35" max="35" width="4.42578125" style="275" bestFit="1" customWidth="1"/>
    <col min="36" max="36" width="3.5703125" style="275" bestFit="1" customWidth="1"/>
    <col min="37" max="37" width="4.42578125" style="275" bestFit="1" customWidth="1"/>
    <col min="38" max="38" width="3.5703125" style="275" bestFit="1" customWidth="1"/>
    <col min="39" max="39" width="4.42578125" style="275" bestFit="1" customWidth="1"/>
    <col min="40" max="40" width="12.28515625" style="275" bestFit="1" customWidth="1"/>
    <col min="41" max="41" width="11.5703125" style="275" bestFit="1" customWidth="1"/>
    <col min="42" max="16384" width="9.28515625" style="275"/>
  </cols>
  <sheetData>
    <row r="1" spans="1:51" ht="24.75" x14ac:dyDescent="0.25">
      <c r="A1" s="273" t="s">
        <v>558</v>
      </c>
      <c r="B1" s="274" t="s">
        <v>569</v>
      </c>
      <c r="C1" s="274" t="s">
        <v>775</v>
      </c>
      <c r="D1" s="277" t="s">
        <v>776</v>
      </c>
      <c r="F1" s="277" t="s">
        <v>780</v>
      </c>
      <c r="J1" s="348" t="s">
        <v>565</v>
      </c>
      <c r="K1" s="348" t="s">
        <v>785</v>
      </c>
      <c r="L1" s="348" t="s">
        <v>566</v>
      </c>
      <c r="M1" s="348" t="s">
        <v>786</v>
      </c>
      <c r="N1" s="348" t="s">
        <v>567</v>
      </c>
      <c r="O1" s="348"/>
      <c r="S1" t="s">
        <v>563</v>
      </c>
      <c r="T1" t="s">
        <v>65</v>
      </c>
      <c r="U1" t="s">
        <v>746</v>
      </c>
      <c r="V1" t="s">
        <v>747</v>
      </c>
      <c r="W1" t="s">
        <v>952</v>
      </c>
      <c r="X1" t="s">
        <v>953</v>
      </c>
      <c r="Y1" t="s">
        <v>954</v>
      </c>
      <c r="Z1" t="s">
        <v>955</v>
      </c>
      <c r="AA1" t="s">
        <v>956</v>
      </c>
      <c r="AB1" t="s">
        <v>957</v>
      </c>
      <c r="AC1" t="s">
        <v>958</v>
      </c>
      <c r="AD1" t="s">
        <v>959</v>
      </c>
      <c r="AE1" t="s">
        <v>960</v>
      </c>
      <c r="AF1" t="s">
        <v>961</v>
      </c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</row>
    <row r="2" spans="1:51" ht="24.75" x14ac:dyDescent="0.25">
      <c r="A2" s="276" t="s">
        <v>1621</v>
      </c>
      <c r="B2" s="276" t="s">
        <v>1622</v>
      </c>
      <c r="C2" s="276">
        <v>45585</v>
      </c>
      <c r="D2" s="277">
        <v>1</v>
      </c>
      <c r="F2" s="277">
        <f>COUNTIF(C:C,C2)</f>
        <v>4</v>
      </c>
      <c r="G2" s="277"/>
      <c r="J2" s="349" t="s">
        <v>44</v>
      </c>
      <c r="K2" s="349" t="s">
        <v>787</v>
      </c>
      <c r="L2" s="349" t="s">
        <v>16</v>
      </c>
      <c r="M2" s="349" t="s">
        <v>788</v>
      </c>
      <c r="N2" s="350">
        <v>11</v>
      </c>
      <c r="O2" s="349"/>
      <c r="S2">
        <v>2</v>
      </c>
      <c r="T2" t="s">
        <v>387</v>
      </c>
      <c r="U2">
        <v>22</v>
      </c>
      <c r="V2">
        <v>207</v>
      </c>
      <c r="W2">
        <v>5</v>
      </c>
      <c r="X2">
        <v>339</v>
      </c>
      <c r="Y2">
        <v>5</v>
      </c>
      <c r="Z2">
        <v>429</v>
      </c>
      <c r="AA2">
        <v>4</v>
      </c>
      <c r="AB2">
        <v>340</v>
      </c>
      <c r="AC2">
        <v>0</v>
      </c>
      <c r="AD2">
        <v>0</v>
      </c>
      <c r="AE2">
        <v>14</v>
      </c>
      <c r="AF2">
        <v>1108</v>
      </c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</row>
    <row r="3" spans="1:51" x14ac:dyDescent="0.25">
      <c r="A3" s="276" t="s">
        <v>1074</v>
      </c>
      <c r="B3" s="276" t="s">
        <v>1137</v>
      </c>
      <c r="C3" s="276">
        <v>51056</v>
      </c>
      <c r="D3" s="277">
        <v>1</v>
      </c>
      <c r="F3" s="277">
        <f t="shared" ref="F3:F66" si="0">COUNTIF(C:C,C3)</f>
        <v>3</v>
      </c>
      <c r="J3" s="278" t="s">
        <v>47</v>
      </c>
      <c r="K3" s="278" t="s">
        <v>787</v>
      </c>
      <c r="L3" s="278" t="s">
        <v>17</v>
      </c>
      <c r="M3" s="278" t="s">
        <v>788</v>
      </c>
      <c r="N3" s="279">
        <v>11</v>
      </c>
      <c r="O3" s="278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</row>
    <row r="4" spans="1:51" x14ac:dyDescent="0.25">
      <c r="A4" s="276" t="s">
        <v>1623</v>
      </c>
      <c r="B4" s="276" t="s">
        <v>1139</v>
      </c>
      <c r="C4" s="276">
        <v>62006</v>
      </c>
      <c r="D4" s="277">
        <v>1</v>
      </c>
      <c r="F4" s="277">
        <f t="shared" si="0"/>
        <v>4</v>
      </c>
      <c r="J4" s="278" t="s">
        <v>39</v>
      </c>
      <c r="K4" s="278" t="s">
        <v>787</v>
      </c>
      <c r="L4" s="278" t="s">
        <v>11</v>
      </c>
      <c r="M4" s="278" t="s">
        <v>789</v>
      </c>
      <c r="N4" s="279">
        <v>22.2</v>
      </c>
      <c r="O4" s="278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</row>
    <row r="5" spans="1:51" x14ac:dyDescent="0.25">
      <c r="A5" s="276" t="s">
        <v>1075</v>
      </c>
      <c r="B5" s="276" t="s">
        <v>1138</v>
      </c>
      <c r="C5" s="276">
        <v>61975</v>
      </c>
      <c r="D5" s="277">
        <v>1</v>
      </c>
      <c r="F5" s="277">
        <f t="shared" si="0"/>
        <v>3</v>
      </c>
      <c r="J5" s="278" t="s">
        <v>356</v>
      </c>
      <c r="K5" s="278" t="s">
        <v>787</v>
      </c>
      <c r="L5" s="278" t="s">
        <v>18</v>
      </c>
      <c r="M5" s="278" t="s">
        <v>790</v>
      </c>
      <c r="N5" s="279">
        <v>35.4</v>
      </c>
      <c r="O5" s="278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</row>
    <row r="6" spans="1:51" x14ac:dyDescent="0.25">
      <c r="A6" s="276" t="s">
        <v>1076</v>
      </c>
      <c r="B6" s="276" t="s">
        <v>1139</v>
      </c>
      <c r="C6" s="276">
        <v>62006</v>
      </c>
      <c r="D6" s="277">
        <v>1</v>
      </c>
      <c r="F6" s="277">
        <f t="shared" si="0"/>
        <v>4</v>
      </c>
      <c r="J6" s="278" t="s">
        <v>351</v>
      </c>
      <c r="K6" s="278" t="s">
        <v>787</v>
      </c>
      <c r="L6" s="278" t="s">
        <v>12</v>
      </c>
      <c r="M6" s="278" t="s">
        <v>791</v>
      </c>
      <c r="N6" s="279">
        <v>1.3854166666666667E-3</v>
      </c>
      <c r="O6" s="278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</row>
    <row r="7" spans="1:51" x14ac:dyDescent="0.25">
      <c r="A7" s="276" t="s">
        <v>1140</v>
      </c>
      <c r="B7" s="280" t="s">
        <v>1141</v>
      </c>
      <c r="C7" s="280">
        <v>44248</v>
      </c>
      <c r="D7" s="277">
        <v>1</v>
      </c>
      <c r="F7" s="277">
        <f t="shared" si="0"/>
        <v>4</v>
      </c>
      <c r="J7" s="278" t="s">
        <v>355</v>
      </c>
      <c r="K7" s="278" t="s">
        <v>787</v>
      </c>
      <c r="L7" s="278" t="s">
        <v>13</v>
      </c>
      <c r="M7" s="278" t="s">
        <v>791</v>
      </c>
      <c r="N7" s="351">
        <v>1.3854166666666667E-3</v>
      </c>
      <c r="O7" s="278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</row>
    <row r="8" spans="1:51" x14ac:dyDescent="0.25">
      <c r="A8" s="276" t="s">
        <v>1142</v>
      </c>
      <c r="B8" s="276" t="s">
        <v>1143</v>
      </c>
      <c r="C8" s="276">
        <v>42718</v>
      </c>
      <c r="D8" s="277">
        <v>1</v>
      </c>
      <c r="F8" s="277">
        <f t="shared" si="0"/>
        <v>2</v>
      </c>
      <c r="J8" s="278" t="s">
        <v>179</v>
      </c>
      <c r="K8" s="278" t="s">
        <v>792</v>
      </c>
      <c r="L8" s="278" t="s">
        <v>21</v>
      </c>
      <c r="M8" s="278" t="s">
        <v>793</v>
      </c>
      <c r="N8" s="351">
        <v>55.15</v>
      </c>
      <c r="O8" s="27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</row>
    <row r="9" spans="1:51" ht="15" customHeight="1" x14ac:dyDescent="0.2">
      <c r="A9" s="276" t="s">
        <v>1144</v>
      </c>
      <c r="B9" s="276" t="s">
        <v>1145</v>
      </c>
      <c r="C9" s="280">
        <v>67356</v>
      </c>
      <c r="D9" s="277">
        <v>0</v>
      </c>
      <c r="F9" s="277">
        <f t="shared" si="0"/>
        <v>4</v>
      </c>
      <c r="J9" s="278" t="s">
        <v>191</v>
      </c>
      <c r="K9" s="278" t="s">
        <v>792</v>
      </c>
      <c r="L9" s="278" t="s">
        <v>28</v>
      </c>
      <c r="M9" s="278" t="s">
        <v>794</v>
      </c>
      <c r="N9" s="351">
        <v>45.76</v>
      </c>
      <c r="O9" s="278"/>
      <c r="AB9" s="278"/>
      <c r="AC9" s="278"/>
      <c r="AD9" s="278"/>
      <c r="AE9" s="278"/>
      <c r="AF9" s="278"/>
      <c r="AG9" s="278"/>
      <c r="AH9" s="278"/>
      <c r="AI9" s="278"/>
      <c r="AJ9" s="278"/>
      <c r="AK9" s="278"/>
    </row>
    <row r="10" spans="1:51" ht="15" customHeight="1" x14ac:dyDescent="0.2">
      <c r="A10" s="276" t="s">
        <v>1624</v>
      </c>
      <c r="B10" s="276" t="s">
        <v>1631</v>
      </c>
      <c r="C10" s="276">
        <v>51238</v>
      </c>
      <c r="D10" s="277">
        <v>1</v>
      </c>
      <c r="F10" s="277">
        <f t="shared" si="0"/>
        <v>4</v>
      </c>
      <c r="J10" s="278" t="s">
        <v>264</v>
      </c>
      <c r="K10" s="278" t="s">
        <v>792</v>
      </c>
      <c r="L10" s="278" t="s">
        <v>335</v>
      </c>
      <c r="M10" s="278" t="s">
        <v>795</v>
      </c>
      <c r="N10" s="279">
        <v>48.61</v>
      </c>
      <c r="O10" s="278"/>
      <c r="AB10" s="278"/>
      <c r="AC10" s="278"/>
      <c r="AD10" s="278"/>
      <c r="AE10" s="278"/>
      <c r="AF10" s="278"/>
      <c r="AG10" s="278"/>
      <c r="AH10" s="278"/>
      <c r="AI10" s="278"/>
      <c r="AJ10" s="278"/>
      <c r="AK10" s="278"/>
    </row>
    <row r="11" spans="1:51" ht="15" customHeight="1" x14ac:dyDescent="0.2">
      <c r="A11" s="276" t="s">
        <v>1625</v>
      </c>
      <c r="B11" s="280" t="s">
        <v>1202</v>
      </c>
      <c r="C11" s="280">
        <v>56529</v>
      </c>
      <c r="D11" s="277">
        <v>1</v>
      </c>
      <c r="F11" s="277">
        <f t="shared" si="0"/>
        <v>4</v>
      </c>
      <c r="J11" s="278" t="s">
        <v>260</v>
      </c>
      <c r="K11" s="278" t="s">
        <v>792</v>
      </c>
      <c r="L11" s="278" t="s">
        <v>337</v>
      </c>
      <c r="M11" s="278" t="s">
        <v>796</v>
      </c>
      <c r="N11" s="279">
        <v>1.9575231481481483E-3</v>
      </c>
      <c r="O11" s="278"/>
    </row>
    <row r="12" spans="1:51" ht="15" customHeight="1" x14ac:dyDescent="0.2">
      <c r="A12" s="276" t="s">
        <v>1077</v>
      </c>
      <c r="B12" s="276" t="s">
        <v>1137</v>
      </c>
      <c r="C12" s="276">
        <v>51056</v>
      </c>
      <c r="D12" s="277">
        <v>1</v>
      </c>
      <c r="F12" s="277">
        <f t="shared" si="0"/>
        <v>3</v>
      </c>
      <c r="J12" s="278" t="s">
        <v>40</v>
      </c>
      <c r="K12" s="278" t="s">
        <v>797</v>
      </c>
      <c r="L12" s="278" t="s">
        <v>14</v>
      </c>
      <c r="M12" s="278" t="s">
        <v>798</v>
      </c>
      <c r="N12" s="279">
        <v>9.5</v>
      </c>
      <c r="O12" s="278"/>
    </row>
    <row r="13" spans="1:51" ht="15" customHeight="1" x14ac:dyDescent="0.2">
      <c r="A13" s="276" t="s">
        <v>1626</v>
      </c>
      <c r="B13" s="276" t="s">
        <v>1627</v>
      </c>
      <c r="C13" s="280">
        <v>64713</v>
      </c>
      <c r="D13" s="277">
        <v>1</v>
      </c>
      <c r="F13" s="277">
        <f t="shared" si="0"/>
        <v>3</v>
      </c>
      <c r="J13" s="278" t="s">
        <v>41</v>
      </c>
      <c r="K13" s="278" t="s">
        <v>797</v>
      </c>
      <c r="L13" s="278" t="s">
        <v>15</v>
      </c>
      <c r="M13" s="278" t="s">
        <v>798</v>
      </c>
      <c r="N13" s="279">
        <v>9.5</v>
      </c>
      <c r="O13" s="278"/>
    </row>
    <row r="14" spans="1:51" ht="15" customHeight="1" x14ac:dyDescent="0.2">
      <c r="A14" s="276" t="s">
        <v>1147</v>
      </c>
      <c r="B14" s="276" t="s">
        <v>1148</v>
      </c>
      <c r="C14" s="276">
        <v>44253</v>
      </c>
      <c r="D14" s="277">
        <v>1</v>
      </c>
      <c r="F14" s="277">
        <f t="shared" si="0"/>
        <v>4</v>
      </c>
      <c r="J14" s="278" t="s">
        <v>36</v>
      </c>
      <c r="K14" s="278" t="s">
        <v>797</v>
      </c>
      <c r="L14" s="278" t="s">
        <v>10</v>
      </c>
      <c r="M14" s="278" t="s">
        <v>799</v>
      </c>
      <c r="N14" s="279">
        <v>18.7</v>
      </c>
      <c r="O14" s="278"/>
    </row>
    <row r="15" spans="1:51" ht="15" customHeight="1" x14ac:dyDescent="0.2">
      <c r="A15" s="276" t="s">
        <v>1149</v>
      </c>
      <c r="B15" s="276" t="s">
        <v>1143</v>
      </c>
      <c r="C15" s="276">
        <v>42718</v>
      </c>
      <c r="D15" s="277">
        <v>1</v>
      </c>
      <c r="F15" s="277">
        <f t="shared" si="0"/>
        <v>2</v>
      </c>
      <c r="J15" s="278" t="s">
        <v>348</v>
      </c>
      <c r="K15" s="278" t="s">
        <v>797</v>
      </c>
      <c r="L15" s="278" t="s">
        <v>12</v>
      </c>
      <c r="M15" s="278" t="s">
        <v>800</v>
      </c>
      <c r="N15" s="279">
        <v>1.6157407407407407E-3</v>
      </c>
      <c r="O15" s="278"/>
    </row>
    <row r="16" spans="1:51" ht="15" customHeight="1" x14ac:dyDescent="0.2">
      <c r="A16" s="276" t="s">
        <v>1150</v>
      </c>
      <c r="B16" s="276" t="s">
        <v>1151</v>
      </c>
      <c r="C16" s="280">
        <v>39697</v>
      </c>
      <c r="D16" s="277">
        <v>1</v>
      </c>
      <c r="F16" s="277">
        <f t="shared" si="0"/>
        <v>4</v>
      </c>
      <c r="J16" s="278" t="s">
        <v>352</v>
      </c>
      <c r="K16" s="278" t="s">
        <v>797</v>
      </c>
      <c r="L16" s="278" t="s">
        <v>13</v>
      </c>
      <c r="M16" s="278" t="s">
        <v>800</v>
      </c>
      <c r="N16" s="279">
        <v>1.6157407407407407E-3</v>
      </c>
      <c r="O16" s="278"/>
    </row>
    <row r="17" spans="1:15" ht="15" customHeight="1" x14ac:dyDescent="0.2">
      <c r="A17" s="276" t="s">
        <v>1599</v>
      </c>
      <c r="B17" s="276" t="s">
        <v>1162</v>
      </c>
      <c r="C17" s="280">
        <v>62496</v>
      </c>
      <c r="D17" s="277">
        <v>1</v>
      </c>
      <c r="F17" s="277">
        <f t="shared" si="0"/>
        <v>4</v>
      </c>
      <c r="J17" s="278" t="s">
        <v>256</v>
      </c>
      <c r="K17" s="278" t="s">
        <v>797</v>
      </c>
      <c r="L17" s="281" t="s">
        <v>19</v>
      </c>
      <c r="M17" s="278" t="s">
        <v>801</v>
      </c>
      <c r="N17" s="279">
        <v>2.5648148148148149E-3</v>
      </c>
      <c r="O17" s="278"/>
    </row>
    <row r="18" spans="1:15" ht="15" customHeight="1" x14ac:dyDescent="0.2">
      <c r="A18" s="276" t="s">
        <v>1628</v>
      </c>
      <c r="B18" s="280" t="s">
        <v>1622</v>
      </c>
      <c r="C18" s="280">
        <v>45585</v>
      </c>
      <c r="D18" s="277">
        <v>1</v>
      </c>
      <c r="F18" s="277">
        <f t="shared" si="0"/>
        <v>4</v>
      </c>
      <c r="J18" s="278" t="s">
        <v>32</v>
      </c>
      <c r="K18" s="278" t="s">
        <v>797</v>
      </c>
      <c r="L18" s="281" t="s">
        <v>340</v>
      </c>
      <c r="M18" s="278" t="s">
        <v>802</v>
      </c>
      <c r="N18" s="279">
        <v>10.9</v>
      </c>
      <c r="O18" s="278"/>
    </row>
    <row r="19" spans="1:15" ht="15" customHeight="1" x14ac:dyDescent="0.2">
      <c r="A19" s="276" t="s">
        <v>1807</v>
      </c>
      <c r="B19" s="276" t="s">
        <v>1644</v>
      </c>
      <c r="C19" s="276">
        <v>45584</v>
      </c>
      <c r="D19" s="277">
        <v>1</v>
      </c>
      <c r="F19" s="277">
        <f t="shared" si="0"/>
        <v>3</v>
      </c>
      <c r="J19" s="278" t="s">
        <v>185</v>
      </c>
      <c r="K19" s="278" t="s">
        <v>797</v>
      </c>
      <c r="L19" s="281" t="s">
        <v>23</v>
      </c>
      <c r="M19" s="278" t="s">
        <v>803</v>
      </c>
      <c r="N19" s="351">
        <v>1.61</v>
      </c>
      <c r="O19" s="278"/>
    </row>
    <row r="20" spans="1:15" ht="15" customHeight="1" x14ac:dyDescent="0.2">
      <c r="A20" s="276" t="s">
        <v>1152</v>
      </c>
      <c r="B20" s="276" t="s">
        <v>1153</v>
      </c>
      <c r="C20" s="280">
        <v>56045</v>
      </c>
      <c r="D20" s="277">
        <v>1</v>
      </c>
      <c r="F20" s="277">
        <f t="shared" si="0"/>
        <v>4</v>
      </c>
      <c r="J20" s="278" t="s">
        <v>246</v>
      </c>
      <c r="K20" s="278" t="s">
        <v>797</v>
      </c>
      <c r="L20" s="278" t="s">
        <v>22</v>
      </c>
      <c r="M20" s="278" t="s">
        <v>804</v>
      </c>
      <c r="N20" s="279">
        <v>5.23</v>
      </c>
      <c r="O20" s="278"/>
    </row>
    <row r="21" spans="1:15" ht="15" customHeight="1" x14ac:dyDescent="0.2">
      <c r="A21" s="276" t="s">
        <v>1078</v>
      </c>
      <c r="B21" s="280" t="s">
        <v>1154</v>
      </c>
      <c r="C21" s="280">
        <v>45778</v>
      </c>
      <c r="D21" s="277">
        <v>1</v>
      </c>
      <c r="F21" s="277">
        <f t="shared" si="0"/>
        <v>4</v>
      </c>
      <c r="J21" s="278" t="s">
        <v>183</v>
      </c>
      <c r="K21" s="278" t="s">
        <v>797</v>
      </c>
      <c r="L21" s="278" t="s">
        <v>334</v>
      </c>
      <c r="M21" s="278" t="s">
        <v>805</v>
      </c>
      <c r="N21" s="279">
        <v>12.19</v>
      </c>
      <c r="O21" s="278"/>
    </row>
    <row r="22" spans="1:15" ht="15" customHeight="1" x14ac:dyDescent="0.2">
      <c r="A22" s="276" t="s">
        <v>1079</v>
      </c>
      <c r="B22" s="276" t="s">
        <v>1156</v>
      </c>
      <c r="C22" s="276">
        <v>68781</v>
      </c>
      <c r="D22" s="277">
        <v>1</v>
      </c>
      <c r="F22" s="277">
        <f t="shared" si="0"/>
        <v>4</v>
      </c>
      <c r="J22" s="278" t="s">
        <v>195</v>
      </c>
      <c r="K22" s="278" t="s">
        <v>797</v>
      </c>
      <c r="L22" s="278" t="s">
        <v>28</v>
      </c>
      <c r="M22" s="278" t="s">
        <v>806</v>
      </c>
      <c r="N22" s="279">
        <v>44.02</v>
      </c>
      <c r="O22" s="278"/>
    </row>
    <row r="23" spans="1:15" ht="15" customHeight="1" x14ac:dyDescent="0.2">
      <c r="A23" s="276" t="s">
        <v>1080</v>
      </c>
      <c r="B23" s="276" t="s">
        <v>1146</v>
      </c>
      <c r="C23" s="280">
        <v>62724</v>
      </c>
      <c r="D23" s="277">
        <v>1</v>
      </c>
      <c r="F23" s="277">
        <f t="shared" si="0"/>
        <v>3</v>
      </c>
      <c r="J23" s="278" t="s">
        <v>262</v>
      </c>
      <c r="K23" s="278" t="s">
        <v>797</v>
      </c>
      <c r="L23" s="278" t="s">
        <v>335</v>
      </c>
      <c r="M23" s="278" t="s">
        <v>807</v>
      </c>
      <c r="N23" s="279">
        <v>52</v>
      </c>
      <c r="O23" s="278"/>
    </row>
    <row r="24" spans="1:15" ht="15" customHeight="1" x14ac:dyDescent="0.2">
      <c r="A24" s="276" t="s">
        <v>1157</v>
      </c>
      <c r="B24" s="280" t="s">
        <v>1158</v>
      </c>
      <c r="C24" s="280">
        <v>43104</v>
      </c>
      <c r="D24" s="277">
        <v>1</v>
      </c>
      <c r="F24" s="277">
        <f t="shared" si="0"/>
        <v>3</v>
      </c>
      <c r="J24" s="278" t="s">
        <v>262</v>
      </c>
      <c r="K24" s="278" t="s">
        <v>797</v>
      </c>
      <c r="L24" s="278" t="s">
        <v>335</v>
      </c>
      <c r="M24" s="278" t="s">
        <v>807</v>
      </c>
      <c r="N24" s="279">
        <v>52</v>
      </c>
      <c r="O24" s="278"/>
    </row>
    <row r="25" spans="1:15" ht="15" customHeight="1" x14ac:dyDescent="0.2">
      <c r="A25" s="276" t="s">
        <v>1159</v>
      </c>
      <c r="B25" s="276" t="s">
        <v>1160</v>
      </c>
      <c r="C25" s="276">
        <v>39694</v>
      </c>
      <c r="D25" s="277">
        <v>1</v>
      </c>
      <c r="F25" s="277">
        <f t="shared" si="0"/>
        <v>4</v>
      </c>
      <c r="J25" s="278" t="s">
        <v>607</v>
      </c>
      <c r="K25" s="278" t="s">
        <v>808</v>
      </c>
      <c r="L25" s="278" t="s">
        <v>16</v>
      </c>
      <c r="M25" s="278" t="s">
        <v>809</v>
      </c>
      <c r="N25" s="279">
        <v>10.3</v>
      </c>
      <c r="O25" s="278"/>
    </row>
    <row r="26" spans="1:15" ht="15" customHeight="1" x14ac:dyDescent="0.2">
      <c r="A26" s="276" t="s">
        <v>1161</v>
      </c>
      <c r="B26" s="276" t="s">
        <v>1151</v>
      </c>
      <c r="C26" s="276">
        <v>39697</v>
      </c>
      <c r="D26" s="277">
        <v>1</v>
      </c>
      <c r="F26" s="277">
        <f t="shared" si="0"/>
        <v>4</v>
      </c>
      <c r="J26" s="278" t="s">
        <v>608</v>
      </c>
      <c r="K26" s="278" t="s">
        <v>808</v>
      </c>
      <c r="L26" s="278" t="s">
        <v>11</v>
      </c>
      <c r="M26" s="278" t="s">
        <v>810</v>
      </c>
      <c r="N26" s="351">
        <v>20.74</v>
      </c>
      <c r="O26" s="278"/>
    </row>
    <row r="27" spans="1:15" ht="15" customHeight="1" x14ac:dyDescent="0.2">
      <c r="A27" s="276" t="s">
        <v>1629</v>
      </c>
      <c r="B27" s="280" t="s">
        <v>1622</v>
      </c>
      <c r="C27" s="280">
        <v>45585</v>
      </c>
      <c r="D27" s="277">
        <v>1</v>
      </c>
      <c r="F27" s="277">
        <f t="shared" si="0"/>
        <v>4</v>
      </c>
      <c r="J27" s="278" t="s">
        <v>609</v>
      </c>
      <c r="K27" s="278" t="s">
        <v>808</v>
      </c>
      <c r="L27" s="278" t="s">
        <v>610</v>
      </c>
      <c r="M27" s="278" t="s">
        <v>811</v>
      </c>
      <c r="N27" s="351">
        <v>47.91</v>
      </c>
      <c r="O27" s="278"/>
    </row>
    <row r="28" spans="1:15" ht="15" customHeight="1" x14ac:dyDescent="0.2">
      <c r="A28" s="276" t="s">
        <v>1630</v>
      </c>
      <c r="B28" s="280" t="s">
        <v>1631</v>
      </c>
      <c r="C28" s="280">
        <v>51238</v>
      </c>
      <c r="D28" s="277">
        <v>1</v>
      </c>
      <c r="F28" s="277">
        <f t="shared" si="0"/>
        <v>4</v>
      </c>
      <c r="J28" s="278" t="s">
        <v>611</v>
      </c>
      <c r="K28" s="278" t="s">
        <v>808</v>
      </c>
      <c r="L28" s="278" t="s">
        <v>12</v>
      </c>
      <c r="M28" s="278" t="s">
        <v>812</v>
      </c>
      <c r="N28" s="279">
        <v>1.2905092592592593E-3</v>
      </c>
      <c r="O28" s="278"/>
    </row>
    <row r="29" spans="1:15" ht="15" customHeight="1" x14ac:dyDescent="0.2">
      <c r="A29" s="276" t="s">
        <v>1081</v>
      </c>
      <c r="B29" s="276" t="s">
        <v>1154</v>
      </c>
      <c r="C29" s="276">
        <v>45778</v>
      </c>
      <c r="D29" s="277">
        <v>1</v>
      </c>
      <c r="F29" s="277">
        <f t="shared" si="0"/>
        <v>4</v>
      </c>
      <c r="J29" s="278" t="s">
        <v>612</v>
      </c>
      <c r="K29" s="278" t="s">
        <v>808</v>
      </c>
      <c r="L29" s="278" t="s">
        <v>20</v>
      </c>
      <c r="M29" s="278" t="s">
        <v>813</v>
      </c>
      <c r="N29" s="279">
        <v>2.642361111111111E-3</v>
      </c>
      <c r="O29" s="278"/>
    </row>
    <row r="30" spans="1:15" ht="15" customHeight="1" x14ac:dyDescent="0.2">
      <c r="A30" s="276" t="s">
        <v>1082</v>
      </c>
      <c r="B30" s="276" t="s">
        <v>1156</v>
      </c>
      <c r="C30" s="276">
        <v>68781</v>
      </c>
      <c r="D30" s="277">
        <v>1</v>
      </c>
      <c r="F30" s="277">
        <f t="shared" si="0"/>
        <v>4</v>
      </c>
      <c r="J30" s="278" t="s">
        <v>613</v>
      </c>
      <c r="K30" s="278" t="s">
        <v>808</v>
      </c>
      <c r="L30" s="278" t="s">
        <v>614</v>
      </c>
      <c r="M30" s="278" t="s">
        <v>1128</v>
      </c>
      <c r="N30" s="279">
        <v>5.8709490740740744E-3</v>
      </c>
      <c r="O30" s="278"/>
    </row>
    <row r="31" spans="1:15" ht="15" customHeight="1" x14ac:dyDescent="0.2">
      <c r="A31" s="276" t="s">
        <v>1164</v>
      </c>
      <c r="B31" s="276" t="s">
        <v>1165</v>
      </c>
      <c r="C31" s="276">
        <v>44245</v>
      </c>
      <c r="D31" s="277">
        <v>1</v>
      </c>
      <c r="F31" s="277">
        <f t="shared" si="0"/>
        <v>4</v>
      </c>
      <c r="J31" s="278" t="s">
        <v>615</v>
      </c>
      <c r="K31" s="278" t="s">
        <v>808</v>
      </c>
      <c r="L31" s="278" t="s">
        <v>616</v>
      </c>
      <c r="M31" s="278" t="s">
        <v>814</v>
      </c>
      <c r="N31" s="279">
        <v>13.6</v>
      </c>
      <c r="O31" s="278"/>
    </row>
    <row r="32" spans="1:15" ht="15" customHeight="1" x14ac:dyDescent="0.2">
      <c r="A32" s="276" t="s">
        <v>1166</v>
      </c>
      <c r="B32" s="276" t="s">
        <v>1167</v>
      </c>
      <c r="C32" s="276">
        <v>62251</v>
      </c>
      <c r="D32" s="277">
        <v>1</v>
      </c>
      <c r="F32" s="277">
        <f t="shared" si="0"/>
        <v>2</v>
      </c>
      <c r="J32" s="278" t="s">
        <v>617</v>
      </c>
      <c r="K32" s="278" t="s">
        <v>808</v>
      </c>
      <c r="L32" s="278" t="s">
        <v>564</v>
      </c>
      <c r="M32" s="278" t="s">
        <v>815</v>
      </c>
      <c r="N32" s="279">
        <v>52.03</v>
      </c>
      <c r="O32" s="278"/>
    </row>
    <row r="33" spans="1:15" ht="15" customHeight="1" x14ac:dyDescent="0.2">
      <c r="A33" s="276" t="s">
        <v>1168</v>
      </c>
      <c r="B33" s="276" t="s">
        <v>1158</v>
      </c>
      <c r="C33" s="276">
        <v>43104</v>
      </c>
      <c r="D33" s="277">
        <v>1</v>
      </c>
      <c r="F33" s="277">
        <f t="shared" si="0"/>
        <v>3</v>
      </c>
      <c r="J33" s="278" t="s">
        <v>618</v>
      </c>
      <c r="K33" s="278" t="s">
        <v>808</v>
      </c>
      <c r="L33" s="278" t="s">
        <v>619</v>
      </c>
      <c r="M33" s="278" t="s">
        <v>816</v>
      </c>
      <c r="N33" s="279">
        <v>4.1098379629629636E-3</v>
      </c>
      <c r="O33" s="278"/>
    </row>
    <row r="34" spans="1:15" ht="15" customHeight="1" x14ac:dyDescent="0.2">
      <c r="A34" s="276" t="s">
        <v>1169</v>
      </c>
      <c r="B34" s="280" t="s">
        <v>1197</v>
      </c>
      <c r="C34" s="276">
        <v>57318</v>
      </c>
      <c r="D34" s="277">
        <v>1</v>
      </c>
      <c r="F34" s="277">
        <f t="shared" si="0"/>
        <v>2</v>
      </c>
      <c r="J34" s="278" t="s">
        <v>620</v>
      </c>
      <c r="K34" s="278" t="s">
        <v>808</v>
      </c>
      <c r="L34" s="278" t="s">
        <v>23</v>
      </c>
      <c r="M34" s="278" t="s">
        <v>817</v>
      </c>
      <c r="N34" s="279">
        <v>2.14</v>
      </c>
      <c r="O34" s="278"/>
    </row>
    <row r="35" spans="1:15" ht="15" customHeight="1" x14ac:dyDescent="0.2">
      <c r="A35" s="276" t="s">
        <v>1171</v>
      </c>
      <c r="B35" s="276" t="s">
        <v>1172</v>
      </c>
      <c r="C35" s="276">
        <v>39706</v>
      </c>
      <c r="D35" s="277">
        <v>1</v>
      </c>
      <c r="F35" s="277">
        <f t="shared" si="0"/>
        <v>4</v>
      </c>
      <c r="J35" s="278" t="s">
        <v>621</v>
      </c>
      <c r="K35" s="278" t="s">
        <v>808</v>
      </c>
      <c r="L35" s="281" t="s">
        <v>27</v>
      </c>
      <c r="M35" s="278" t="s">
        <v>818</v>
      </c>
      <c r="N35" s="279">
        <v>5.25</v>
      </c>
      <c r="O35" s="278"/>
    </row>
    <row r="36" spans="1:15" ht="15" customHeight="1" x14ac:dyDescent="0.2">
      <c r="A36" s="276" t="s">
        <v>1173</v>
      </c>
      <c r="B36" s="276" t="s">
        <v>1160</v>
      </c>
      <c r="C36" s="276">
        <v>39694</v>
      </c>
      <c r="D36" s="277">
        <v>1</v>
      </c>
      <c r="F36" s="277">
        <f t="shared" si="0"/>
        <v>4</v>
      </c>
      <c r="J36" s="278" t="s">
        <v>622</v>
      </c>
      <c r="K36" s="278" t="s">
        <v>808</v>
      </c>
      <c r="L36" s="281" t="s">
        <v>22</v>
      </c>
      <c r="M36" s="278" t="s">
        <v>819</v>
      </c>
      <c r="N36" s="279">
        <v>7.37</v>
      </c>
      <c r="O36" s="278"/>
    </row>
    <row r="37" spans="1:15" ht="15" customHeight="1" x14ac:dyDescent="0.2">
      <c r="A37" s="276" t="s">
        <v>1174</v>
      </c>
      <c r="B37" s="276" t="s">
        <v>1177</v>
      </c>
      <c r="C37" s="276">
        <v>53355</v>
      </c>
      <c r="D37" s="277">
        <v>1</v>
      </c>
      <c r="F37" s="277">
        <f t="shared" si="0"/>
        <v>4</v>
      </c>
      <c r="J37" s="278" t="s">
        <v>623</v>
      </c>
      <c r="K37" s="278" t="s">
        <v>808</v>
      </c>
      <c r="L37" s="278" t="s">
        <v>31</v>
      </c>
      <c r="M37" s="278" t="s">
        <v>820</v>
      </c>
      <c r="N37" s="279">
        <v>14.9</v>
      </c>
      <c r="O37" s="278"/>
    </row>
    <row r="38" spans="1:15" ht="15" customHeight="1" x14ac:dyDescent="0.2">
      <c r="A38" s="276" t="s">
        <v>1176</v>
      </c>
      <c r="B38" s="276" t="s">
        <v>1163</v>
      </c>
      <c r="C38" s="276">
        <v>40514</v>
      </c>
      <c r="D38" s="277">
        <v>1</v>
      </c>
      <c r="F38" s="277">
        <f t="shared" si="0"/>
        <v>4</v>
      </c>
      <c r="J38" s="278" t="s">
        <v>624</v>
      </c>
      <c r="K38" s="278" t="s">
        <v>808</v>
      </c>
      <c r="L38" s="278" t="s">
        <v>334</v>
      </c>
      <c r="M38" s="278" t="s">
        <v>1129</v>
      </c>
      <c r="N38" s="279">
        <v>18.04</v>
      </c>
      <c r="O38" s="278"/>
    </row>
    <row r="39" spans="1:15" ht="15" customHeight="1" x14ac:dyDescent="0.2">
      <c r="A39" s="276" t="s">
        <v>1632</v>
      </c>
      <c r="B39" s="276" t="s">
        <v>1633</v>
      </c>
      <c r="C39" s="280">
        <v>69528</v>
      </c>
      <c r="D39" s="277">
        <v>1</v>
      </c>
      <c r="F39" s="277">
        <f t="shared" si="0"/>
        <v>4</v>
      </c>
      <c r="J39" s="278" t="s">
        <v>625</v>
      </c>
      <c r="K39" s="278" t="s">
        <v>808</v>
      </c>
      <c r="L39" s="278" t="s">
        <v>25</v>
      </c>
      <c r="M39" s="278" t="s">
        <v>821</v>
      </c>
      <c r="N39" s="279">
        <v>60.75</v>
      </c>
      <c r="O39" s="278"/>
    </row>
    <row r="40" spans="1:15" ht="15" customHeight="1" x14ac:dyDescent="0.2">
      <c r="A40" s="276" t="s">
        <v>1634</v>
      </c>
      <c r="B40" s="276" t="s">
        <v>1631</v>
      </c>
      <c r="C40" s="280">
        <v>51238</v>
      </c>
      <c r="D40" s="277">
        <v>1</v>
      </c>
      <c r="F40" s="277">
        <f t="shared" si="0"/>
        <v>4</v>
      </c>
      <c r="J40" s="278" t="s">
        <v>626</v>
      </c>
      <c r="K40" s="278" t="s">
        <v>808</v>
      </c>
      <c r="L40" s="278" t="s">
        <v>21</v>
      </c>
      <c r="M40" s="278" t="s">
        <v>822</v>
      </c>
      <c r="N40" s="279">
        <v>79.150000000000006</v>
      </c>
      <c r="O40" s="278"/>
    </row>
    <row r="41" spans="1:15" ht="15" customHeight="1" x14ac:dyDescent="0.2">
      <c r="A41" s="276" t="s">
        <v>1178</v>
      </c>
      <c r="B41" s="276" t="s">
        <v>1179</v>
      </c>
      <c r="C41" s="276">
        <v>67215</v>
      </c>
      <c r="D41" s="277">
        <v>1</v>
      </c>
      <c r="F41" s="277">
        <f t="shared" si="0"/>
        <v>4</v>
      </c>
      <c r="J41" s="278" t="s">
        <v>627</v>
      </c>
      <c r="K41" s="278" t="s">
        <v>808</v>
      </c>
      <c r="L41" s="278" t="s">
        <v>28</v>
      </c>
      <c r="M41" s="278" t="s">
        <v>823</v>
      </c>
      <c r="N41" s="279">
        <v>73.400000000000006</v>
      </c>
      <c r="O41" s="278"/>
    </row>
    <row r="42" spans="1:15" ht="15" customHeight="1" x14ac:dyDescent="0.2">
      <c r="A42" s="276" t="s">
        <v>1180</v>
      </c>
      <c r="B42" s="276" t="s">
        <v>1153</v>
      </c>
      <c r="C42" s="276">
        <v>56045</v>
      </c>
      <c r="D42" s="277">
        <v>1</v>
      </c>
      <c r="F42" s="277">
        <f t="shared" si="0"/>
        <v>4</v>
      </c>
      <c r="J42" s="278" t="s">
        <v>628</v>
      </c>
      <c r="K42" s="278" t="s">
        <v>808</v>
      </c>
      <c r="L42" s="278" t="s">
        <v>335</v>
      </c>
      <c r="M42" s="278" t="s">
        <v>824</v>
      </c>
      <c r="N42" s="279">
        <v>41.11</v>
      </c>
      <c r="O42" s="278"/>
    </row>
    <row r="43" spans="1:15" ht="15" customHeight="1" x14ac:dyDescent="0.2">
      <c r="A43" s="276" t="s">
        <v>1083</v>
      </c>
      <c r="B43" s="276" t="s">
        <v>1155</v>
      </c>
      <c r="C43" s="276">
        <v>45771</v>
      </c>
      <c r="D43" s="277">
        <v>1</v>
      </c>
      <c r="F43" s="277">
        <f t="shared" si="0"/>
        <v>3</v>
      </c>
      <c r="J43" s="278" t="s">
        <v>629</v>
      </c>
      <c r="K43" s="278" t="s">
        <v>808</v>
      </c>
      <c r="L43" s="278" t="s">
        <v>630</v>
      </c>
      <c r="M43" s="278" t="s">
        <v>825</v>
      </c>
      <c r="N43" s="279">
        <v>2.3217592592592591E-3</v>
      </c>
      <c r="O43" s="278"/>
    </row>
    <row r="44" spans="1:15" ht="15" customHeight="1" x14ac:dyDescent="0.2">
      <c r="A44" s="276" t="s">
        <v>1084</v>
      </c>
      <c r="B44" s="276" t="s">
        <v>1154</v>
      </c>
      <c r="C44" s="280">
        <v>45778</v>
      </c>
      <c r="D44" s="277">
        <v>1</v>
      </c>
      <c r="F44" s="277">
        <f t="shared" si="0"/>
        <v>4</v>
      </c>
      <c r="J44" s="278" t="s">
        <v>631</v>
      </c>
      <c r="K44" s="278" t="s">
        <v>826</v>
      </c>
      <c r="L44" s="278" t="s">
        <v>16</v>
      </c>
      <c r="M44" s="278" t="s">
        <v>827</v>
      </c>
      <c r="N44" s="279">
        <v>10.62</v>
      </c>
      <c r="O44" s="278"/>
    </row>
    <row r="45" spans="1:15" ht="15" customHeight="1" x14ac:dyDescent="0.2">
      <c r="A45" s="276" t="s">
        <v>1181</v>
      </c>
      <c r="B45" s="280" t="s">
        <v>1182</v>
      </c>
      <c r="C45" s="280">
        <v>66753</v>
      </c>
      <c r="D45" s="277">
        <v>1</v>
      </c>
      <c r="F45" s="277">
        <f t="shared" si="0"/>
        <v>4</v>
      </c>
      <c r="J45" s="278" t="s">
        <v>632</v>
      </c>
      <c r="K45" s="278" t="s">
        <v>826</v>
      </c>
      <c r="L45" s="278" t="s">
        <v>11</v>
      </c>
      <c r="M45" s="278" t="s">
        <v>828</v>
      </c>
      <c r="N45" s="279">
        <v>21.64</v>
      </c>
      <c r="O45" s="278"/>
    </row>
    <row r="46" spans="1:15" ht="15" customHeight="1" x14ac:dyDescent="0.2">
      <c r="A46" s="276" t="s">
        <v>1085</v>
      </c>
      <c r="B46" s="280" t="s">
        <v>1177</v>
      </c>
      <c r="C46" s="280">
        <v>53355</v>
      </c>
      <c r="D46" s="277">
        <v>1</v>
      </c>
      <c r="F46" s="277">
        <f t="shared" si="0"/>
        <v>4</v>
      </c>
      <c r="J46" s="278" t="s">
        <v>633</v>
      </c>
      <c r="K46" s="278" t="s">
        <v>826</v>
      </c>
      <c r="L46" s="278" t="s">
        <v>610</v>
      </c>
      <c r="M46" s="278" t="s">
        <v>949</v>
      </c>
      <c r="N46" s="279">
        <v>48.61</v>
      </c>
      <c r="O46" s="278"/>
    </row>
    <row r="47" spans="1:15" ht="15" customHeight="1" x14ac:dyDescent="0.2">
      <c r="A47" s="276" t="s">
        <v>1635</v>
      </c>
      <c r="B47" s="276" t="s">
        <v>1633</v>
      </c>
      <c r="C47" s="280">
        <v>69528</v>
      </c>
      <c r="D47" s="277">
        <v>1</v>
      </c>
      <c r="F47" s="277">
        <f t="shared" si="0"/>
        <v>4</v>
      </c>
      <c r="J47" s="278" t="s">
        <v>634</v>
      </c>
      <c r="K47" s="278" t="s">
        <v>826</v>
      </c>
      <c r="L47" s="278" t="s">
        <v>12</v>
      </c>
      <c r="M47" s="278" t="s">
        <v>829</v>
      </c>
      <c r="N47" s="279">
        <v>1.3368055555555555E-3</v>
      </c>
      <c r="O47" s="278"/>
    </row>
    <row r="48" spans="1:15" ht="15" customHeight="1" x14ac:dyDescent="0.2">
      <c r="A48" s="276" t="s">
        <v>1086</v>
      </c>
      <c r="B48" s="276" t="s">
        <v>1156</v>
      </c>
      <c r="C48" s="276">
        <v>68781</v>
      </c>
      <c r="D48" s="277">
        <v>1</v>
      </c>
      <c r="F48" s="277">
        <f t="shared" si="0"/>
        <v>4</v>
      </c>
      <c r="J48" s="278" t="s">
        <v>635</v>
      </c>
      <c r="K48" s="278" t="s">
        <v>826</v>
      </c>
      <c r="L48" s="278" t="s">
        <v>20</v>
      </c>
      <c r="M48" s="278" t="s">
        <v>830</v>
      </c>
      <c r="N48" s="279">
        <v>2.7395833333333335E-3</v>
      </c>
      <c r="O48" s="278"/>
    </row>
    <row r="49" spans="1:15" ht="15" customHeight="1" x14ac:dyDescent="0.2">
      <c r="A49" s="276" t="s">
        <v>1087</v>
      </c>
      <c r="B49" s="276" t="s">
        <v>1138</v>
      </c>
      <c r="C49" s="276">
        <v>61975</v>
      </c>
      <c r="D49" s="277">
        <v>1</v>
      </c>
      <c r="F49" s="277">
        <f t="shared" si="0"/>
        <v>3</v>
      </c>
      <c r="J49" s="278" t="s">
        <v>636</v>
      </c>
      <c r="K49" s="278" t="s">
        <v>826</v>
      </c>
      <c r="L49" s="278" t="s">
        <v>614</v>
      </c>
      <c r="M49" s="278" t="s">
        <v>831</v>
      </c>
      <c r="N49" s="279">
        <v>5.9754629629629628E-3</v>
      </c>
      <c r="O49" s="278"/>
    </row>
    <row r="50" spans="1:15" ht="15" customHeight="1" x14ac:dyDescent="0.2">
      <c r="A50" s="276" t="s">
        <v>1183</v>
      </c>
      <c r="B50" s="276" t="s">
        <v>1165</v>
      </c>
      <c r="C50" s="276">
        <v>44245</v>
      </c>
      <c r="D50" s="277">
        <v>1</v>
      </c>
      <c r="F50" s="277">
        <f t="shared" si="0"/>
        <v>4</v>
      </c>
      <c r="J50" s="278" t="s">
        <v>637</v>
      </c>
      <c r="K50" s="278" t="s">
        <v>826</v>
      </c>
      <c r="L50" s="278" t="s">
        <v>638</v>
      </c>
      <c r="M50" s="278" t="s">
        <v>832</v>
      </c>
      <c r="N50" s="279">
        <v>12.8</v>
      </c>
      <c r="O50" s="278"/>
    </row>
    <row r="51" spans="1:15" ht="15" customHeight="1" x14ac:dyDescent="0.2">
      <c r="A51" s="276" t="s">
        <v>1184</v>
      </c>
      <c r="B51" s="280" t="s">
        <v>1185</v>
      </c>
      <c r="C51" s="280">
        <v>63524</v>
      </c>
      <c r="D51" s="277">
        <v>1</v>
      </c>
      <c r="F51" s="277">
        <f t="shared" si="0"/>
        <v>3</v>
      </c>
      <c r="J51" s="278" t="s">
        <v>639</v>
      </c>
      <c r="K51" s="278" t="s">
        <v>826</v>
      </c>
      <c r="L51" s="278" t="s">
        <v>564</v>
      </c>
      <c r="M51" s="278" t="s">
        <v>833</v>
      </c>
      <c r="N51" s="279">
        <v>54.05</v>
      </c>
      <c r="O51" s="278"/>
    </row>
    <row r="52" spans="1:15" ht="15" customHeight="1" x14ac:dyDescent="0.2">
      <c r="A52" s="276" t="s">
        <v>1186</v>
      </c>
      <c r="B52" s="276" t="s">
        <v>1158</v>
      </c>
      <c r="C52" s="276">
        <v>43104</v>
      </c>
      <c r="D52" s="277">
        <v>1</v>
      </c>
      <c r="F52" s="277">
        <f t="shared" si="0"/>
        <v>3</v>
      </c>
      <c r="J52" s="278" t="s">
        <v>640</v>
      </c>
      <c r="K52" s="278" t="s">
        <v>826</v>
      </c>
      <c r="L52" s="281" t="s">
        <v>641</v>
      </c>
      <c r="M52" s="278" t="s">
        <v>834</v>
      </c>
      <c r="N52" s="279">
        <v>3.0370370370370364E-3</v>
      </c>
      <c r="O52" s="278"/>
    </row>
    <row r="53" spans="1:15" ht="15" customHeight="1" x14ac:dyDescent="0.2">
      <c r="A53" s="276" t="s">
        <v>1187</v>
      </c>
      <c r="B53" s="276" t="s">
        <v>1182</v>
      </c>
      <c r="C53" s="276">
        <v>66753</v>
      </c>
      <c r="D53" s="277">
        <v>1</v>
      </c>
      <c r="F53" s="277">
        <f t="shared" si="0"/>
        <v>4</v>
      </c>
      <c r="J53" s="278" t="s">
        <v>642</v>
      </c>
      <c r="K53" s="278" t="s">
        <v>826</v>
      </c>
      <c r="L53" s="281" t="s">
        <v>23</v>
      </c>
      <c r="M53" s="278" t="s">
        <v>835</v>
      </c>
      <c r="N53" s="279">
        <v>2.1</v>
      </c>
      <c r="O53" s="278"/>
    </row>
    <row r="54" spans="1:15" ht="15" customHeight="1" x14ac:dyDescent="0.2">
      <c r="A54" s="276" t="s">
        <v>1188</v>
      </c>
      <c r="B54" s="276" t="s">
        <v>1189</v>
      </c>
      <c r="C54" s="276">
        <v>68806</v>
      </c>
      <c r="D54" s="277">
        <v>1</v>
      </c>
      <c r="F54" s="277">
        <f t="shared" si="0"/>
        <v>1</v>
      </c>
      <c r="J54" s="278" t="s">
        <v>643</v>
      </c>
      <c r="K54" s="278" t="s">
        <v>826</v>
      </c>
      <c r="L54" s="281" t="s">
        <v>27</v>
      </c>
      <c r="M54" s="278" t="s">
        <v>836</v>
      </c>
      <c r="N54" s="279">
        <v>4.8</v>
      </c>
      <c r="O54" s="278"/>
    </row>
    <row r="55" spans="1:15" ht="15" customHeight="1" x14ac:dyDescent="0.2">
      <c r="A55" s="276" t="s">
        <v>1190</v>
      </c>
      <c r="B55" s="276" t="s">
        <v>1191</v>
      </c>
      <c r="C55" s="280">
        <v>39704</v>
      </c>
      <c r="D55" s="277">
        <v>1</v>
      </c>
      <c r="F55" s="277">
        <f t="shared" si="0"/>
        <v>3</v>
      </c>
      <c r="J55" s="278" t="s">
        <v>644</v>
      </c>
      <c r="K55" s="278" t="s">
        <v>826</v>
      </c>
      <c r="L55" s="278" t="s">
        <v>22</v>
      </c>
      <c r="M55" s="278" t="s">
        <v>837</v>
      </c>
      <c r="N55" s="279">
        <v>6.97</v>
      </c>
      <c r="O55" s="278"/>
    </row>
    <row r="56" spans="1:15" ht="15" customHeight="1" x14ac:dyDescent="0.2">
      <c r="A56" s="276" t="s">
        <v>1088</v>
      </c>
      <c r="B56" s="280" t="s">
        <v>1163</v>
      </c>
      <c r="C56" s="280">
        <v>40514</v>
      </c>
      <c r="D56" s="277">
        <v>1</v>
      </c>
      <c r="F56" s="277">
        <f t="shared" si="0"/>
        <v>4</v>
      </c>
      <c r="J56" s="278" t="s">
        <v>645</v>
      </c>
      <c r="K56" s="278" t="s">
        <v>826</v>
      </c>
      <c r="L56" s="278" t="s">
        <v>31</v>
      </c>
      <c r="M56" s="278" t="s">
        <v>838</v>
      </c>
      <c r="N56" s="279">
        <v>14.62</v>
      </c>
      <c r="O56" s="278"/>
    </row>
    <row r="57" spans="1:15" ht="15" customHeight="1" x14ac:dyDescent="0.2">
      <c r="A57" s="276" t="s">
        <v>1636</v>
      </c>
      <c r="B57" s="280" t="s">
        <v>1637</v>
      </c>
      <c r="C57" s="280">
        <v>60167</v>
      </c>
      <c r="D57" s="277">
        <v>1</v>
      </c>
      <c r="F57" s="277">
        <f t="shared" si="0"/>
        <v>2</v>
      </c>
      <c r="J57" s="278" t="s">
        <v>646</v>
      </c>
      <c r="K57" s="278" t="s">
        <v>826</v>
      </c>
      <c r="L57" s="278" t="s">
        <v>334</v>
      </c>
      <c r="M57" s="278" t="s">
        <v>839</v>
      </c>
      <c r="N57" s="279">
        <v>18.260000000000002</v>
      </c>
      <c r="O57" s="278"/>
    </row>
    <row r="58" spans="1:15" ht="15" customHeight="1" x14ac:dyDescent="0.2">
      <c r="A58" s="276" t="s">
        <v>1638</v>
      </c>
      <c r="B58" s="280" t="s">
        <v>1639</v>
      </c>
      <c r="C58" s="280">
        <v>69761</v>
      </c>
      <c r="D58" s="277">
        <v>1</v>
      </c>
      <c r="F58" s="277">
        <f t="shared" si="0"/>
        <v>3</v>
      </c>
      <c r="J58" s="278" t="s">
        <v>647</v>
      </c>
      <c r="K58" s="278" t="s">
        <v>826</v>
      </c>
      <c r="L58" s="278" t="s">
        <v>25</v>
      </c>
      <c r="M58" s="278" t="s">
        <v>840</v>
      </c>
      <c r="N58" s="279">
        <v>57.43</v>
      </c>
      <c r="O58" s="278"/>
    </row>
    <row r="59" spans="1:15" ht="15" customHeight="1" x14ac:dyDescent="0.2">
      <c r="A59" s="276" t="s">
        <v>1192</v>
      </c>
      <c r="B59" s="280" t="s">
        <v>1179</v>
      </c>
      <c r="C59" s="280">
        <v>67215</v>
      </c>
      <c r="D59" s="277">
        <v>1</v>
      </c>
      <c r="F59" s="277">
        <f t="shared" si="0"/>
        <v>4</v>
      </c>
      <c r="J59" s="278" t="s">
        <v>648</v>
      </c>
      <c r="K59" s="278" t="s">
        <v>826</v>
      </c>
      <c r="L59" s="278" t="s">
        <v>21</v>
      </c>
      <c r="M59" s="278" t="s">
        <v>841</v>
      </c>
      <c r="N59" s="279">
        <v>73.25</v>
      </c>
      <c r="O59" s="278"/>
    </row>
    <row r="60" spans="1:15" ht="15" customHeight="1" x14ac:dyDescent="0.2">
      <c r="A60" s="276" t="s">
        <v>1193</v>
      </c>
      <c r="B60" s="280" t="s">
        <v>1202</v>
      </c>
      <c r="C60" s="280">
        <v>56529</v>
      </c>
      <c r="D60" s="277">
        <v>1</v>
      </c>
      <c r="F60" s="277">
        <f t="shared" si="0"/>
        <v>4</v>
      </c>
      <c r="J60" s="278" t="s">
        <v>649</v>
      </c>
      <c r="K60" s="278" t="s">
        <v>826</v>
      </c>
      <c r="L60" s="278" t="s">
        <v>28</v>
      </c>
      <c r="M60" s="278" t="s">
        <v>842</v>
      </c>
      <c r="N60" s="279">
        <v>69.959999999999994</v>
      </c>
      <c r="O60" s="278"/>
    </row>
    <row r="61" spans="1:15" ht="15" customHeight="1" x14ac:dyDescent="0.2">
      <c r="A61" s="276" t="s">
        <v>1089</v>
      </c>
      <c r="B61" s="276" t="s">
        <v>1155</v>
      </c>
      <c r="C61" s="276">
        <v>45771</v>
      </c>
      <c r="D61" s="277">
        <v>1</v>
      </c>
      <c r="F61" s="277">
        <f t="shared" si="0"/>
        <v>3</v>
      </c>
      <c r="J61" s="278" t="s">
        <v>650</v>
      </c>
      <c r="K61" s="278" t="s">
        <v>826</v>
      </c>
      <c r="L61" s="278" t="s">
        <v>335</v>
      </c>
      <c r="M61" s="278" t="s">
        <v>843</v>
      </c>
      <c r="N61" s="279">
        <v>42.6</v>
      </c>
      <c r="O61" s="278"/>
    </row>
    <row r="62" spans="1:15" ht="15" customHeight="1" x14ac:dyDescent="0.2">
      <c r="A62" s="276" t="s">
        <v>1090</v>
      </c>
      <c r="B62" s="276" t="s">
        <v>1138</v>
      </c>
      <c r="C62" s="276">
        <v>61975</v>
      </c>
      <c r="D62" s="277">
        <v>1</v>
      </c>
      <c r="F62" s="277">
        <f t="shared" si="0"/>
        <v>3</v>
      </c>
      <c r="J62" s="278" t="s">
        <v>651</v>
      </c>
      <c r="K62" s="278" t="s">
        <v>826</v>
      </c>
      <c r="L62" s="278" t="s">
        <v>630</v>
      </c>
      <c r="M62" s="278" t="s">
        <v>844</v>
      </c>
      <c r="N62" s="279">
        <v>2.3899305555555553E-3</v>
      </c>
      <c r="O62" s="278"/>
    </row>
    <row r="63" spans="1:15" ht="15" customHeight="1" x14ac:dyDescent="0.2">
      <c r="A63" s="276" t="s">
        <v>1194</v>
      </c>
      <c r="B63" s="276" t="s">
        <v>1165</v>
      </c>
      <c r="C63" s="276">
        <v>44245</v>
      </c>
      <c r="D63" s="277">
        <v>1</v>
      </c>
      <c r="F63" s="277">
        <f t="shared" si="0"/>
        <v>4</v>
      </c>
      <c r="J63" s="278" t="s">
        <v>652</v>
      </c>
      <c r="K63" s="278" t="s">
        <v>845</v>
      </c>
      <c r="L63" s="278" t="s">
        <v>16</v>
      </c>
      <c r="M63" s="278" t="s">
        <v>846</v>
      </c>
      <c r="N63" s="279">
        <v>11.49</v>
      </c>
      <c r="O63" s="278"/>
    </row>
    <row r="64" spans="1:15" ht="15" customHeight="1" x14ac:dyDescent="0.2">
      <c r="A64" s="276" t="s">
        <v>1195</v>
      </c>
      <c r="B64" s="280" t="s">
        <v>1185</v>
      </c>
      <c r="C64" s="280">
        <v>63524</v>
      </c>
      <c r="D64" s="277">
        <v>1</v>
      </c>
      <c r="F64" s="277">
        <f t="shared" si="0"/>
        <v>3</v>
      </c>
      <c r="J64" s="278" t="s">
        <v>653</v>
      </c>
      <c r="K64" s="278" t="s">
        <v>845</v>
      </c>
      <c r="L64" s="278" t="s">
        <v>11</v>
      </c>
      <c r="M64" s="278" t="s">
        <v>847</v>
      </c>
      <c r="N64" s="279">
        <v>23.08</v>
      </c>
      <c r="O64" s="278"/>
    </row>
    <row r="65" spans="1:15" ht="15" customHeight="1" x14ac:dyDescent="0.2">
      <c r="A65" s="276" t="s">
        <v>1196</v>
      </c>
      <c r="B65" s="280" t="s">
        <v>1197</v>
      </c>
      <c r="C65" s="280">
        <v>57318</v>
      </c>
      <c r="D65" s="277">
        <v>1</v>
      </c>
      <c r="F65" s="277">
        <f t="shared" si="0"/>
        <v>2</v>
      </c>
      <c r="J65" s="278" t="s">
        <v>654</v>
      </c>
      <c r="K65" s="278" t="s">
        <v>845</v>
      </c>
      <c r="L65" s="281" t="s">
        <v>610</v>
      </c>
      <c r="M65" s="278" t="s">
        <v>848</v>
      </c>
      <c r="N65" s="279">
        <v>54.38</v>
      </c>
      <c r="O65" s="278"/>
    </row>
    <row r="66" spans="1:15" ht="15" customHeight="1" x14ac:dyDescent="0.2">
      <c r="A66" s="276" t="s">
        <v>1198</v>
      </c>
      <c r="B66" s="280" t="s">
        <v>1151</v>
      </c>
      <c r="C66" s="280">
        <v>39697</v>
      </c>
      <c r="D66" s="277">
        <v>1</v>
      </c>
      <c r="F66" s="277">
        <f t="shared" si="0"/>
        <v>4</v>
      </c>
      <c r="J66" s="278" t="s">
        <v>655</v>
      </c>
      <c r="K66" s="278" t="s">
        <v>845</v>
      </c>
      <c r="L66" s="281" t="s">
        <v>12</v>
      </c>
      <c r="M66" s="278" t="s">
        <v>849</v>
      </c>
      <c r="N66" s="279">
        <v>1.4840277777777777E-3</v>
      </c>
      <c r="O66" s="278"/>
    </row>
    <row r="67" spans="1:15" ht="15" customHeight="1" x14ac:dyDescent="0.2">
      <c r="A67" s="276" t="s">
        <v>1199</v>
      </c>
      <c r="B67" s="280" t="s">
        <v>1160</v>
      </c>
      <c r="C67" s="280">
        <v>39694</v>
      </c>
      <c r="D67" s="277">
        <v>1</v>
      </c>
      <c r="F67" s="277">
        <f t="shared" ref="F67:F130" si="1">COUNTIF(C:C,C67)</f>
        <v>4</v>
      </c>
      <c r="J67" s="278" t="s">
        <v>656</v>
      </c>
      <c r="K67" s="278" t="s">
        <v>845</v>
      </c>
      <c r="L67" s="281" t="s">
        <v>20</v>
      </c>
      <c r="M67" s="278" t="s">
        <v>850</v>
      </c>
      <c r="N67" s="279">
        <v>3.1238425925925926E-3</v>
      </c>
      <c r="O67" s="278"/>
    </row>
    <row r="68" spans="1:15" ht="15" customHeight="1" x14ac:dyDescent="0.2">
      <c r="A68" s="276" t="s">
        <v>1200</v>
      </c>
      <c r="B68" s="280" t="s">
        <v>1177</v>
      </c>
      <c r="C68" s="280">
        <v>53355</v>
      </c>
      <c r="D68" s="277">
        <v>1</v>
      </c>
      <c r="F68" s="277">
        <f t="shared" si="1"/>
        <v>4</v>
      </c>
      <c r="J68" s="278" t="s">
        <v>657</v>
      </c>
      <c r="K68" s="278" t="s">
        <v>845</v>
      </c>
      <c r="L68" s="281" t="s">
        <v>614</v>
      </c>
      <c r="M68" s="278" t="s">
        <v>851</v>
      </c>
      <c r="N68" s="279">
        <v>6.6847222222222212E-3</v>
      </c>
      <c r="O68" s="278"/>
    </row>
    <row r="69" spans="1:15" ht="15" customHeight="1" x14ac:dyDescent="0.2">
      <c r="A69" s="276" t="s">
        <v>1640</v>
      </c>
      <c r="B69" s="276" t="s">
        <v>1633</v>
      </c>
      <c r="C69" s="276">
        <v>69528</v>
      </c>
      <c r="D69" s="277">
        <v>1</v>
      </c>
      <c r="F69" s="277">
        <f t="shared" si="1"/>
        <v>4</v>
      </c>
      <c r="J69" s="278" t="s">
        <v>658</v>
      </c>
      <c r="K69" s="278" t="s">
        <v>845</v>
      </c>
      <c r="L69" s="278" t="s">
        <v>638</v>
      </c>
      <c r="M69" s="278" t="s">
        <v>852</v>
      </c>
      <c r="N69" s="279">
        <v>13.85</v>
      </c>
      <c r="O69" s="278"/>
    </row>
    <row r="70" spans="1:15" ht="15" customHeight="1" x14ac:dyDescent="0.2">
      <c r="A70" s="276" t="s">
        <v>1813</v>
      </c>
      <c r="B70" s="280" t="s">
        <v>1639</v>
      </c>
      <c r="C70" s="280">
        <v>69761</v>
      </c>
      <c r="D70" s="277">
        <v>1</v>
      </c>
      <c r="F70" s="277">
        <f t="shared" si="1"/>
        <v>3</v>
      </c>
      <c r="J70" s="278" t="s">
        <v>659</v>
      </c>
      <c r="K70" s="278" t="s">
        <v>845</v>
      </c>
      <c r="L70" s="278" t="s">
        <v>564</v>
      </c>
      <c r="M70" s="278" t="s">
        <v>853</v>
      </c>
      <c r="N70" s="279">
        <v>57.91</v>
      </c>
      <c r="O70" s="278"/>
    </row>
    <row r="71" spans="1:15" ht="15" customHeight="1" x14ac:dyDescent="0.2">
      <c r="A71" s="276" t="s">
        <v>1201</v>
      </c>
      <c r="B71" s="280" t="s">
        <v>1202</v>
      </c>
      <c r="C71" s="280">
        <v>56529</v>
      </c>
      <c r="D71" s="277">
        <v>1</v>
      </c>
      <c r="F71" s="277">
        <f t="shared" si="1"/>
        <v>4</v>
      </c>
      <c r="J71" s="278" t="s">
        <v>660</v>
      </c>
      <c r="K71" s="278" t="s">
        <v>845</v>
      </c>
      <c r="L71" s="278" t="s">
        <v>641</v>
      </c>
      <c r="M71" s="278" t="s">
        <v>854</v>
      </c>
      <c r="N71" s="279">
        <v>3.3761574074074071E-3</v>
      </c>
      <c r="O71" s="278"/>
    </row>
    <row r="72" spans="1:15" ht="15" customHeight="1" x14ac:dyDescent="0.2">
      <c r="A72" s="276" t="s">
        <v>1203</v>
      </c>
      <c r="B72" s="276" t="s">
        <v>1153</v>
      </c>
      <c r="C72" s="280">
        <v>56045</v>
      </c>
      <c r="D72" s="277">
        <v>1</v>
      </c>
      <c r="F72" s="277">
        <f t="shared" si="1"/>
        <v>4</v>
      </c>
      <c r="J72" s="278" t="s">
        <v>661</v>
      </c>
      <c r="K72" s="278" t="s">
        <v>845</v>
      </c>
      <c r="L72" s="278" t="s">
        <v>23</v>
      </c>
      <c r="M72" s="278" t="s">
        <v>855</v>
      </c>
      <c r="N72" s="279">
        <v>1.8</v>
      </c>
      <c r="O72" s="278"/>
    </row>
    <row r="73" spans="1:15" ht="15" customHeight="1" x14ac:dyDescent="0.2">
      <c r="A73" s="276" t="s">
        <v>1641</v>
      </c>
      <c r="B73" s="280" t="s">
        <v>1627</v>
      </c>
      <c r="C73" s="280">
        <v>64713</v>
      </c>
      <c r="D73" s="277">
        <v>1</v>
      </c>
      <c r="F73" s="277">
        <f t="shared" si="1"/>
        <v>3</v>
      </c>
      <c r="J73" s="278" t="s">
        <v>662</v>
      </c>
      <c r="K73" s="278" t="s">
        <v>845</v>
      </c>
      <c r="L73" s="278" t="s">
        <v>27</v>
      </c>
      <c r="M73" s="278" t="s">
        <v>856</v>
      </c>
      <c r="N73" s="279">
        <v>3.95</v>
      </c>
      <c r="O73" s="278"/>
    </row>
    <row r="74" spans="1:15" ht="15" customHeight="1" x14ac:dyDescent="0.2">
      <c r="A74" s="276" t="s">
        <v>1204</v>
      </c>
      <c r="B74" s="276" t="s">
        <v>1167</v>
      </c>
      <c r="C74" s="276">
        <v>62251</v>
      </c>
      <c r="D74" s="277">
        <v>1</v>
      </c>
      <c r="F74" s="277">
        <f t="shared" si="1"/>
        <v>2</v>
      </c>
      <c r="J74" s="278" t="s">
        <v>663</v>
      </c>
      <c r="K74" s="278" t="s">
        <v>845</v>
      </c>
      <c r="L74" s="278" t="s">
        <v>22</v>
      </c>
      <c r="M74" s="278" t="s">
        <v>857</v>
      </c>
      <c r="N74" s="279">
        <v>6.26</v>
      </c>
      <c r="O74" s="278"/>
    </row>
    <row r="75" spans="1:15" ht="15" customHeight="1" x14ac:dyDescent="0.2">
      <c r="A75" s="276" t="s">
        <v>1205</v>
      </c>
      <c r="B75" s="276" t="s">
        <v>1206</v>
      </c>
      <c r="C75" s="276">
        <v>39686</v>
      </c>
      <c r="D75" s="277">
        <v>1</v>
      </c>
      <c r="F75" s="277">
        <f t="shared" si="1"/>
        <v>2</v>
      </c>
      <c r="J75" s="278" t="s">
        <v>664</v>
      </c>
      <c r="K75" s="278" t="s">
        <v>845</v>
      </c>
      <c r="L75" s="278" t="s">
        <v>31</v>
      </c>
      <c r="M75" s="278" t="s">
        <v>858</v>
      </c>
      <c r="N75" s="279">
        <v>12.94</v>
      </c>
      <c r="O75" s="278"/>
    </row>
    <row r="76" spans="1:15" ht="15" customHeight="1" x14ac:dyDescent="0.2">
      <c r="A76" s="276" t="s">
        <v>1207</v>
      </c>
      <c r="B76" s="276" t="s">
        <v>1191</v>
      </c>
      <c r="C76" s="276">
        <v>39704</v>
      </c>
      <c r="D76" s="277">
        <v>1</v>
      </c>
      <c r="F76" s="277">
        <f t="shared" si="1"/>
        <v>3</v>
      </c>
      <c r="J76" s="278" t="s">
        <v>665</v>
      </c>
      <c r="K76" s="278" t="s">
        <v>845</v>
      </c>
      <c r="L76" s="278" t="s">
        <v>334</v>
      </c>
      <c r="M76" s="278" t="s">
        <v>962</v>
      </c>
      <c r="N76" s="279">
        <v>15.16</v>
      </c>
      <c r="O76" s="278"/>
    </row>
    <row r="77" spans="1:15" ht="15" customHeight="1" x14ac:dyDescent="0.2">
      <c r="A77" s="276" t="s">
        <v>1091</v>
      </c>
      <c r="B77" s="276" t="s">
        <v>1139</v>
      </c>
      <c r="C77" s="276">
        <v>62006</v>
      </c>
      <c r="D77" s="277">
        <v>1</v>
      </c>
      <c r="F77" s="277">
        <f t="shared" si="1"/>
        <v>4</v>
      </c>
      <c r="J77" s="278" t="s">
        <v>666</v>
      </c>
      <c r="K77" s="278" t="s">
        <v>845</v>
      </c>
      <c r="L77" s="278" t="s">
        <v>25</v>
      </c>
      <c r="M77" s="278" t="s">
        <v>859</v>
      </c>
      <c r="N77" s="279">
        <v>51.89</v>
      </c>
      <c r="O77" s="278"/>
    </row>
    <row r="78" spans="1:15" ht="15" customHeight="1" x14ac:dyDescent="0.2">
      <c r="A78" s="276" t="s">
        <v>1092</v>
      </c>
      <c r="B78" s="280" t="s">
        <v>1146</v>
      </c>
      <c r="C78" s="280">
        <v>62724</v>
      </c>
      <c r="D78" s="277">
        <v>1</v>
      </c>
      <c r="F78" s="277">
        <f t="shared" si="1"/>
        <v>3</v>
      </c>
      <c r="J78" s="278" t="s">
        <v>667</v>
      </c>
      <c r="K78" s="278" t="s">
        <v>845</v>
      </c>
      <c r="L78" s="278" t="s">
        <v>21</v>
      </c>
      <c r="M78" s="278" t="s">
        <v>860</v>
      </c>
      <c r="N78" s="279">
        <v>62.87</v>
      </c>
      <c r="O78" s="278"/>
    </row>
    <row r="79" spans="1:15" ht="15" customHeight="1" x14ac:dyDescent="0.2">
      <c r="A79" s="276" t="s">
        <v>1208</v>
      </c>
      <c r="B79" s="276" t="s">
        <v>1209</v>
      </c>
      <c r="C79" s="276">
        <v>44247</v>
      </c>
      <c r="D79" s="277">
        <v>1</v>
      </c>
      <c r="F79" s="277">
        <f t="shared" si="1"/>
        <v>4</v>
      </c>
      <c r="J79" s="278" t="s">
        <v>668</v>
      </c>
      <c r="K79" s="278" t="s">
        <v>845</v>
      </c>
      <c r="L79" s="278" t="s">
        <v>28</v>
      </c>
      <c r="M79" s="278" t="s">
        <v>861</v>
      </c>
      <c r="N79" s="279">
        <v>49.94</v>
      </c>
      <c r="O79" s="278"/>
    </row>
    <row r="80" spans="1:15" ht="15" customHeight="1" x14ac:dyDescent="0.2">
      <c r="A80" s="276" t="s">
        <v>1642</v>
      </c>
      <c r="B80" s="276" t="s">
        <v>1148</v>
      </c>
      <c r="C80" s="276">
        <v>44253</v>
      </c>
      <c r="D80" s="277">
        <v>1</v>
      </c>
      <c r="F80" s="277">
        <f t="shared" si="1"/>
        <v>4</v>
      </c>
      <c r="J80" s="278" t="s">
        <v>669</v>
      </c>
      <c r="K80" s="278" t="s">
        <v>845</v>
      </c>
      <c r="L80" s="278" t="s">
        <v>335</v>
      </c>
      <c r="M80" s="278" t="s">
        <v>862</v>
      </c>
      <c r="N80" s="279">
        <v>46.32</v>
      </c>
      <c r="O80" s="278"/>
    </row>
    <row r="81" spans="1:15" ht="15" customHeight="1" x14ac:dyDescent="0.2">
      <c r="A81" s="276" t="s">
        <v>1210</v>
      </c>
      <c r="B81" s="276" t="s">
        <v>1145</v>
      </c>
      <c r="C81" s="276">
        <v>67356</v>
      </c>
      <c r="D81" s="277">
        <v>0</v>
      </c>
      <c r="F81" s="277">
        <f t="shared" si="1"/>
        <v>4</v>
      </c>
      <c r="J81" s="278" t="s">
        <v>670</v>
      </c>
      <c r="K81" s="278" t="s">
        <v>845</v>
      </c>
      <c r="L81" s="278" t="s">
        <v>630</v>
      </c>
      <c r="M81" s="278" t="s">
        <v>863</v>
      </c>
      <c r="N81" s="279">
        <v>2.653935185185185E-3</v>
      </c>
      <c r="O81" s="278"/>
    </row>
    <row r="82" spans="1:15" ht="15" customHeight="1" x14ac:dyDescent="0.2">
      <c r="A82" s="276" t="s">
        <v>1211</v>
      </c>
      <c r="B82" s="276" t="s">
        <v>1212</v>
      </c>
      <c r="C82" s="276">
        <v>68804</v>
      </c>
      <c r="D82" s="277">
        <v>1</v>
      </c>
      <c r="F82" s="277">
        <f t="shared" si="1"/>
        <v>3</v>
      </c>
      <c r="J82" s="278" t="s">
        <v>671</v>
      </c>
      <c r="K82" s="278" t="s">
        <v>864</v>
      </c>
      <c r="L82" s="278" t="s">
        <v>16</v>
      </c>
      <c r="M82" s="278" t="s">
        <v>865</v>
      </c>
      <c r="N82" s="279">
        <v>11.85</v>
      </c>
      <c r="O82" s="278"/>
    </row>
    <row r="83" spans="1:15" ht="15" customHeight="1" x14ac:dyDescent="0.2">
      <c r="A83" s="276" t="s">
        <v>1213</v>
      </c>
      <c r="B83" s="276" t="s">
        <v>1162</v>
      </c>
      <c r="C83" s="276">
        <v>62496</v>
      </c>
      <c r="D83" s="277">
        <v>1</v>
      </c>
      <c r="F83" s="277">
        <f t="shared" si="1"/>
        <v>4</v>
      </c>
      <c r="J83" s="278" t="s">
        <v>672</v>
      </c>
      <c r="K83" s="278" t="s">
        <v>864</v>
      </c>
      <c r="L83" s="278" t="s">
        <v>11</v>
      </c>
      <c r="M83" s="278" t="s">
        <v>866</v>
      </c>
      <c r="N83" s="279">
        <v>23.92</v>
      </c>
      <c r="O83" s="278"/>
    </row>
    <row r="84" spans="1:15" ht="15" customHeight="1" x14ac:dyDescent="0.2">
      <c r="A84" s="276" t="s">
        <v>1643</v>
      </c>
      <c r="B84" s="276" t="s">
        <v>1644</v>
      </c>
      <c r="C84" s="276">
        <v>45584</v>
      </c>
      <c r="D84" s="277">
        <v>1</v>
      </c>
      <c r="F84" s="277">
        <f t="shared" si="1"/>
        <v>3</v>
      </c>
      <c r="J84" s="278" t="s">
        <v>673</v>
      </c>
      <c r="K84" s="278" t="s">
        <v>864</v>
      </c>
      <c r="L84" s="281" t="s">
        <v>18</v>
      </c>
      <c r="M84" s="278" t="s">
        <v>867</v>
      </c>
      <c r="N84" s="279">
        <v>38.47</v>
      </c>
      <c r="O84" s="278"/>
    </row>
    <row r="85" spans="1:15" ht="15" customHeight="1" x14ac:dyDescent="0.2">
      <c r="A85" s="276" t="s">
        <v>1645</v>
      </c>
      <c r="B85" s="276" t="s">
        <v>1637</v>
      </c>
      <c r="C85" s="276">
        <v>60167</v>
      </c>
      <c r="D85" s="277">
        <v>1</v>
      </c>
      <c r="F85" s="277">
        <f t="shared" si="1"/>
        <v>2</v>
      </c>
      <c r="J85" s="278" t="s">
        <v>674</v>
      </c>
      <c r="K85" s="278" t="s">
        <v>864</v>
      </c>
      <c r="L85" s="281" t="s">
        <v>12</v>
      </c>
      <c r="M85" s="278" t="s">
        <v>868</v>
      </c>
      <c r="N85" s="279">
        <v>1.4675925925925926E-3</v>
      </c>
      <c r="O85" s="278"/>
    </row>
    <row r="86" spans="1:15" ht="15" customHeight="1" x14ac:dyDescent="0.2">
      <c r="A86" s="276" t="s">
        <v>1214</v>
      </c>
      <c r="B86" s="276" t="s">
        <v>1179</v>
      </c>
      <c r="C86" s="276">
        <v>67215</v>
      </c>
      <c r="D86" s="277">
        <v>1</v>
      </c>
      <c r="F86" s="277">
        <f t="shared" si="1"/>
        <v>4</v>
      </c>
      <c r="J86" s="278" t="s">
        <v>675</v>
      </c>
      <c r="K86" s="278" t="s">
        <v>864</v>
      </c>
      <c r="L86" s="281" t="s">
        <v>20</v>
      </c>
      <c r="M86" s="278" t="s">
        <v>869</v>
      </c>
      <c r="N86" s="279">
        <v>3.1145833333333338E-3</v>
      </c>
      <c r="O86" s="278"/>
    </row>
    <row r="87" spans="1:15" ht="15" customHeight="1" x14ac:dyDescent="0.2">
      <c r="A87" s="276" t="s">
        <v>1215</v>
      </c>
      <c r="B87" s="276" t="s">
        <v>1141</v>
      </c>
      <c r="C87" s="276">
        <v>44248</v>
      </c>
      <c r="D87" s="277">
        <v>1</v>
      </c>
      <c r="F87" s="277">
        <f t="shared" si="1"/>
        <v>4</v>
      </c>
      <c r="J87" s="278" t="s">
        <v>676</v>
      </c>
      <c r="K87" s="278" t="s">
        <v>864</v>
      </c>
      <c r="L87" s="281" t="s">
        <v>614</v>
      </c>
      <c r="M87" s="278" t="s">
        <v>1130</v>
      </c>
      <c r="N87" s="279">
        <v>6.7143518518518524E-3</v>
      </c>
      <c r="O87" s="278"/>
    </row>
    <row r="88" spans="1:15" ht="15" customHeight="1" x14ac:dyDescent="0.2">
      <c r="A88" s="276" t="s">
        <v>1216</v>
      </c>
      <c r="B88" s="280" t="s">
        <v>1217</v>
      </c>
      <c r="C88" s="276">
        <v>44250</v>
      </c>
      <c r="D88" s="277">
        <v>1</v>
      </c>
      <c r="F88" s="277">
        <f t="shared" si="1"/>
        <v>2</v>
      </c>
      <c r="J88" s="278" t="s">
        <v>677</v>
      </c>
      <c r="K88" s="278" t="s">
        <v>864</v>
      </c>
      <c r="L88" s="278" t="s">
        <v>336</v>
      </c>
      <c r="M88" s="278" t="s">
        <v>870</v>
      </c>
      <c r="N88" s="279">
        <v>11.2</v>
      </c>
      <c r="O88" s="278"/>
    </row>
    <row r="89" spans="1:15" ht="15" customHeight="1" x14ac:dyDescent="0.2">
      <c r="A89" s="276" t="s">
        <v>1218</v>
      </c>
      <c r="B89" s="276" t="s">
        <v>1219</v>
      </c>
      <c r="C89" s="276">
        <v>58681</v>
      </c>
      <c r="D89" s="277">
        <v>1</v>
      </c>
      <c r="F89" s="277">
        <f t="shared" si="1"/>
        <v>2</v>
      </c>
      <c r="J89" s="278" t="s">
        <v>678</v>
      </c>
      <c r="K89" s="278" t="s">
        <v>864</v>
      </c>
      <c r="L89" s="278" t="s">
        <v>679</v>
      </c>
      <c r="M89" s="278" t="s">
        <v>871</v>
      </c>
      <c r="N89" s="279">
        <v>43.2</v>
      </c>
      <c r="O89" s="278"/>
    </row>
    <row r="90" spans="1:15" ht="15" customHeight="1" x14ac:dyDescent="0.2">
      <c r="A90" s="276" t="s">
        <v>1220</v>
      </c>
      <c r="B90" s="276" t="s">
        <v>1221</v>
      </c>
      <c r="C90" s="276">
        <v>66752</v>
      </c>
      <c r="D90" s="277">
        <v>1</v>
      </c>
      <c r="F90" s="277">
        <f t="shared" si="1"/>
        <v>2</v>
      </c>
      <c r="J90" s="278" t="s">
        <v>680</v>
      </c>
      <c r="K90" s="278" t="s">
        <v>864</v>
      </c>
      <c r="L90" s="278" t="s">
        <v>641</v>
      </c>
      <c r="M90" s="278" t="s">
        <v>872</v>
      </c>
      <c r="N90" s="279">
        <v>3.4664351851851852E-3</v>
      </c>
      <c r="O90" s="278"/>
    </row>
    <row r="91" spans="1:15" ht="15" customHeight="1" x14ac:dyDescent="0.2">
      <c r="A91" s="276" t="s">
        <v>1222</v>
      </c>
      <c r="B91" s="276" t="s">
        <v>1223</v>
      </c>
      <c r="C91" s="276">
        <v>39764</v>
      </c>
      <c r="D91" s="277">
        <v>1</v>
      </c>
      <c r="F91" s="277">
        <f t="shared" si="1"/>
        <v>2</v>
      </c>
      <c r="J91" s="278" t="s">
        <v>681</v>
      </c>
      <c r="K91" s="278" t="s">
        <v>864</v>
      </c>
      <c r="L91" s="278" t="s">
        <v>23</v>
      </c>
      <c r="M91" s="278" t="s">
        <v>873</v>
      </c>
      <c r="N91" s="279">
        <v>1.8</v>
      </c>
      <c r="O91" s="278"/>
    </row>
    <row r="92" spans="1:15" ht="15" customHeight="1" x14ac:dyDescent="0.2">
      <c r="A92" s="276" t="s">
        <v>1224</v>
      </c>
      <c r="B92" s="276" t="s">
        <v>1225</v>
      </c>
      <c r="C92" s="276">
        <v>56725</v>
      </c>
      <c r="D92" s="277">
        <v>1</v>
      </c>
      <c r="F92" s="277">
        <f t="shared" si="1"/>
        <v>1</v>
      </c>
      <c r="J92" s="278" t="s">
        <v>682</v>
      </c>
      <c r="K92" s="278" t="s">
        <v>864</v>
      </c>
      <c r="L92" s="278" t="s">
        <v>27</v>
      </c>
      <c r="M92" s="278" t="s">
        <v>874</v>
      </c>
      <c r="N92" s="279">
        <v>4.0599999999999996</v>
      </c>
      <c r="O92" s="278"/>
    </row>
    <row r="93" spans="1:15" ht="15" customHeight="1" x14ac:dyDescent="0.2">
      <c r="A93" s="276" t="s">
        <v>1226</v>
      </c>
      <c r="B93" s="276" t="s">
        <v>1162</v>
      </c>
      <c r="C93" s="280">
        <v>62496</v>
      </c>
      <c r="D93" s="277">
        <v>1</v>
      </c>
      <c r="F93" s="277">
        <f t="shared" si="1"/>
        <v>4</v>
      </c>
      <c r="J93" s="278" t="s">
        <v>683</v>
      </c>
      <c r="K93" s="278" t="s">
        <v>864</v>
      </c>
      <c r="L93" s="278" t="s">
        <v>22</v>
      </c>
      <c r="M93" s="278" t="s">
        <v>950</v>
      </c>
      <c r="N93" s="279">
        <v>6.18</v>
      </c>
      <c r="O93" s="278"/>
    </row>
    <row r="94" spans="1:15" ht="15" customHeight="1" x14ac:dyDescent="0.2">
      <c r="A94" s="276" t="s">
        <v>1646</v>
      </c>
      <c r="B94" s="276" t="s">
        <v>1647</v>
      </c>
      <c r="C94" s="276">
        <v>59100</v>
      </c>
      <c r="D94" s="277">
        <v>1</v>
      </c>
      <c r="F94" s="277">
        <f t="shared" si="1"/>
        <v>1</v>
      </c>
      <c r="J94" s="278" t="s">
        <v>684</v>
      </c>
      <c r="K94" s="278" t="s">
        <v>864</v>
      </c>
      <c r="L94" s="278" t="s">
        <v>31</v>
      </c>
      <c r="M94" s="278" t="s">
        <v>875</v>
      </c>
      <c r="N94" s="279">
        <v>12.45</v>
      </c>
      <c r="O94" s="278"/>
    </row>
    <row r="95" spans="1:15" ht="15" customHeight="1" x14ac:dyDescent="0.2">
      <c r="A95" s="276" t="s">
        <v>1093</v>
      </c>
      <c r="B95" s="276" t="s">
        <v>1137</v>
      </c>
      <c r="C95" s="276">
        <v>51056</v>
      </c>
      <c r="D95" s="277">
        <v>1</v>
      </c>
      <c r="F95" s="277">
        <f t="shared" si="1"/>
        <v>3</v>
      </c>
      <c r="J95" s="278" t="s">
        <v>685</v>
      </c>
      <c r="K95" s="278" t="s">
        <v>864</v>
      </c>
      <c r="L95" s="278" t="s">
        <v>334</v>
      </c>
      <c r="M95" s="278" t="s">
        <v>876</v>
      </c>
      <c r="N95" s="279">
        <v>15.55</v>
      </c>
      <c r="O95" s="278"/>
    </row>
    <row r="96" spans="1:15" ht="15" customHeight="1" x14ac:dyDescent="0.2">
      <c r="A96" s="276" t="s">
        <v>1094</v>
      </c>
      <c r="B96" s="276" t="s">
        <v>1146</v>
      </c>
      <c r="C96" s="280">
        <v>62724</v>
      </c>
      <c r="D96" s="277">
        <v>1</v>
      </c>
      <c r="F96" s="277">
        <f t="shared" si="1"/>
        <v>3</v>
      </c>
      <c r="J96" s="278" t="s">
        <v>686</v>
      </c>
      <c r="K96" s="278" t="s">
        <v>864</v>
      </c>
      <c r="L96" s="278" t="s">
        <v>25</v>
      </c>
      <c r="M96" s="278" t="s">
        <v>877</v>
      </c>
      <c r="N96" s="279">
        <v>45.41</v>
      </c>
      <c r="O96" s="278"/>
    </row>
    <row r="97" spans="1:15" ht="15" customHeight="1" x14ac:dyDescent="0.2">
      <c r="A97" s="276" t="s">
        <v>1227</v>
      </c>
      <c r="B97" s="276" t="s">
        <v>1209</v>
      </c>
      <c r="C97" s="276">
        <v>44247</v>
      </c>
      <c r="D97" s="277">
        <v>1</v>
      </c>
      <c r="F97" s="277">
        <f t="shared" si="1"/>
        <v>4</v>
      </c>
      <c r="J97" s="278" t="s">
        <v>687</v>
      </c>
      <c r="K97" s="278" t="s">
        <v>864</v>
      </c>
      <c r="L97" s="278" t="s">
        <v>21</v>
      </c>
      <c r="M97" s="278" t="s">
        <v>878</v>
      </c>
      <c r="N97" s="279">
        <v>61.76</v>
      </c>
      <c r="O97" s="278"/>
    </row>
    <row r="98" spans="1:15" ht="15" customHeight="1" x14ac:dyDescent="0.2">
      <c r="A98" s="276" t="s">
        <v>1228</v>
      </c>
      <c r="B98" s="276" t="s">
        <v>1148</v>
      </c>
      <c r="C98" s="276">
        <v>44253</v>
      </c>
      <c r="D98" s="277">
        <v>1</v>
      </c>
      <c r="F98" s="277">
        <f t="shared" si="1"/>
        <v>4</v>
      </c>
      <c r="J98" s="278" t="s">
        <v>688</v>
      </c>
      <c r="K98" s="278" t="s">
        <v>864</v>
      </c>
      <c r="L98" s="278" t="s">
        <v>28</v>
      </c>
      <c r="M98" s="278" t="s">
        <v>879</v>
      </c>
      <c r="N98" s="279">
        <v>57.14</v>
      </c>
      <c r="O98" s="278"/>
    </row>
    <row r="99" spans="1:15" ht="15" customHeight="1" x14ac:dyDescent="0.2">
      <c r="A99" s="276" t="s">
        <v>1229</v>
      </c>
      <c r="B99" s="276" t="s">
        <v>1170</v>
      </c>
      <c r="C99" s="276">
        <v>40108</v>
      </c>
      <c r="D99" s="277">
        <v>1</v>
      </c>
      <c r="F99" s="277">
        <f t="shared" si="1"/>
        <v>1</v>
      </c>
      <c r="J99" s="278" t="s">
        <v>689</v>
      </c>
      <c r="K99" s="278" t="s">
        <v>864</v>
      </c>
      <c r="L99" s="278" t="s">
        <v>335</v>
      </c>
      <c r="M99" s="278" t="s">
        <v>880</v>
      </c>
      <c r="N99" s="279">
        <v>46.71</v>
      </c>
      <c r="O99" s="278"/>
    </row>
    <row r="100" spans="1:15" ht="15" customHeight="1" x14ac:dyDescent="0.2">
      <c r="A100" s="276" t="s">
        <v>1230</v>
      </c>
      <c r="B100" s="276" t="s">
        <v>1145</v>
      </c>
      <c r="C100" s="280">
        <v>67356</v>
      </c>
      <c r="D100" s="277">
        <v>0</v>
      </c>
      <c r="F100" s="277">
        <f t="shared" si="1"/>
        <v>4</v>
      </c>
      <c r="J100" s="278" t="s">
        <v>690</v>
      </c>
      <c r="K100" s="278" t="s">
        <v>864</v>
      </c>
      <c r="L100" s="278" t="s">
        <v>337</v>
      </c>
      <c r="M100" s="278" t="s">
        <v>881</v>
      </c>
      <c r="N100" s="279">
        <v>1.9054398148148149E-3</v>
      </c>
      <c r="O100" s="278"/>
    </row>
    <row r="101" spans="1:15" ht="15" customHeight="1" x14ac:dyDescent="0.2">
      <c r="A101" s="276" t="s">
        <v>1231</v>
      </c>
      <c r="B101" s="276" t="s">
        <v>1172</v>
      </c>
      <c r="C101" s="276">
        <v>39706</v>
      </c>
      <c r="D101" s="277">
        <v>1</v>
      </c>
      <c r="F101" s="277">
        <f t="shared" si="1"/>
        <v>4</v>
      </c>
      <c r="J101" s="278" t="s">
        <v>623</v>
      </c>
      <c r="K101" s="278" t="s">
        <v>808</v>
      </c>
      <c r="L101" s="278" t="s">
        <v>31</v>
      </c>
      <c r="M101" s="278" t="s">
        <v>882</v>
      </c>
      <c r="N101" s="279">
        <v>14.76</v>
      </c>
      <c r="O101" s="278"/>
    </row>
    <row r="102" spans="1:15" ht="15" customHeight="1" x14ac:dyDescent="0.2">
      <c r="A102" s="276" t="s">
        <v>1232</v>
      </c>
      <c r="B102" s="276" t="s">
        <v>1212</v>
      </c>
      <c r="C102" s="280">
        <v>68804</v>
      </c>
      <c r="D102" s="277">
        <v>1</v>
      </c>
      <c r="F102" s="277">
        <f t="shared" si="1"/>
        <v>3</v>
      </c>
      <c r="J102" s="278" t="s">
        <v>259</v>
      </c>
      <c r="K102" s="278" t="s">
        <v>787</v>
      </c>
      <c r="L102" s="278" t="s">
        <v>20</v>
      </c>
      <c r="M102" s="278" t="s">
        <v>1131</v>
      </c>
      <c r="N102" s="279">
        <v>2.858912037037037E-3</v>
      </c>
      <c r="O102" s="278"/>
    </row>
    <row r="103" spans="1:15" ht="15" customHeight="1" x14ac:dyDescent="0.2">
      <c r="A103" s="276" t="s">
        <v>1233</v>
      </c>
      <c r="B103" s="276" t="s">
        <v>1163</v>
      </c>
      <c r="C103" s="276">
        <v>40514</v>
      </c>
      <c r="D103" s="277">
        <v>1</v>
      </c>
      <c r="F103" s="277">
        <f t="shared" si="1"/>
        <v>4</v>
      </c>
      <c r="J103" s="278" t="s">
        <v>35</v>
      </c>
      <c r="K103" s="278" t="s">
        <v>787</v>
      </c>
      <c r="L103" s="278" t="s">
        <v>336</v>
      </c>
      <c r="M103" s="278" t="s">
        <v>883</v>
      </c>
      <c r="N103" s="279">
        <v>11</v>
      </c>
      <c r="O103" s="278"/>
    </row>
    <row r="104" spans="1:15" ht="15" customHeight="1" x14ac:dyDescent="0.2">
      <c r="A104" s="276" t="s">
        <v>1648</v>
      </c>
      <c r="B104" s="276" t="s">
        <v>1644</v>
      </c>
      <c r="C104" s="276">
        <v>45584</v>
      </c>
      <c r="D104" s="277">
        <v>1</v>
      </c>
      <c r="F104" s="277">
        <f t="shared" si="1"/>
        <v>3</v>
      </c>
      <c r="J104" s="278" t="s">
        <v>188</v>
      </c>
      <c r="K104" s="278" t="s">
        <v>787</v>
      </c>
      <c r="L104" s="278" t="s">
        <v>23</v>
      </c>
      <c r="M104" s="278" t="s">
        <v>884</v>
      </c>
      <c r="N104" s="279">
        <v>1.93</v>
      </c>
      <c r="O104" s="278"/>
    </row>
    <row r="105" spans="1:15" ht="15" customHeight="1" x14ac:dyDescent="0.2">
      <c r="A105" s="276" t="s">
        <v>1649</v>
      </c>
      <c r="B105" s="276" t="s">
        <v>1627</v>
      </c>
      <c r="C105" s="276">
        <v>64713</v>
      </c>
      <c r="D105" s="277">
        <v>1</v>
      </c>
      <c r="F105" s="277">
        <f t="shared" si="1"/>
        <v>3</v>
      </c>
      <c r="J105" s="278" t="s">
        <v>186</v>
      </c>
      <c r="K105" s="278" t="s">
        <v>787</v>
      </c>
      <c r="L105" s="281" t="s">
        <v>27</v>
      </c>
      <c r="M105" s="278" t="s">
        <v>885</v>
      </c>
      <c r="N105" s="279">
        <v>4.32</v>
      </c>
      <c r="O105" s="278"/>
    </row>
    <row r="106" spans="1:15" ht="15" customHeight="1" x14ac:dyDescent="0.2">
      <c r="A106" s="276" t="s">
        <v>1234</v>
      </c>
      <c r="B106" s="280" t="s">
        <v>1182</v>
      </c>
      <c r="C106" s="276">
        <v>66753</v>
      </c>
      <c r="D106" s="277">
        <v>1</v>
      </c>
      <c r="F106" s="277">
        <f t="shared" si="1"/>
        <v>4</v>
      </c>
      <c r="J106" s="278" t="s">
        <v>247</v>
      </c>
      <c r="K106" s="278" t="s">
        <v>787</v>
      </c>
      <c r="L106" s="281" t="s">
        <v>22</v>
      </c>
      <c r="M106" s="278" t="s">
        <v>886</v>
      </c>
      <c r="N106" s="279">
        <v>6.82</v>
      </c>
      <c r="O106" s="278"/>
    </row>
    <row r="107" spans="1:15" ht="15" customHeight="1" x14ac:dyDescent="0.2">
      <c r="A107" s="276" t="s">
        <v>1235</v>
      </c>
      <c r="B107" s="276" t="s">
        <v>1141</v>
      </c>
      <c r="C107" s="276">
        <v>44248</v>
      </c>
      <c r="D107" s="277">
        <v>1</v>
      </c>
      <c r="F107" s="277">
        <f t="shared" si="1"/>
        <v>4</v>
      </c>
      <c r="J107" s="278" t="s">
        <v>189</v>
      </c>
      <c r="K107" s="278" t="s">
        <v>787</v>
      </c>
      <c r="L107" s="281" t="s">
        <v>334</v>
      </c>
      <c r="M107" s="278" t="s">
        <v>887</v>
      </c>
      <c r="N107" s="279">
        <v>15.49</v>
      </c>
      <c r="O107" s="278"/>
    </row>
    <row r="108" spans="1:15" ht="15" customHeight="1" x14ac:dyDescent="0.2">
      <c r="A108" s="276" t="s">
        <v>1236</v>
      </c>
      <c r="B108" s="276" t="s">
        <v>1182</v>
      </c>
      <c r="C108" s="276">
        <v>66753</v>
      </c>
      <c r="D108" s="277">
        <v>1</v>
      </c>
      <c r="F108" s="277">
        <f t="shared" si="1"/>
        <v>4</v>
      </c>
      <c r="J108" s="278" t="s">
        <v>184</v>
      </c>
      <c r="K108" s="278" t="s">
        <v>787</v>
      </c>
      <c r="L108" s="281" t="s">
        <v>25</v>
      </c>
      <c r="M108" s="278" t="s">
        <v>888</v>
      </c>
      <c r="N108" s="279">
        <v>49.53</v>
      </c>
      <c r="O108" s="278"/>
    </row>
    <row r="109" spans="1:15" ht="15" customHeight="1" x14ac:dyDescent="0.2">
      <c r="A109" s="276" t="s">
        <v>1805</v>
      </c>
      <c r="B109" s="276" t="s">
        <v>1206</v>
      </c>
      <c r="C109" s="276">
        <v>39686</v>
      </c>
      <c r="D109" s="277">
        <v>1</v>
      </c>
      <c r="F109" s="277">
        <f t="shared" si="1"/>
        <v>2</v>
      </c>
      <c r="J109" s="278" t="s">
        <v>178</v>
      </c>
      <c r="K109" s="278" t="s">
        <v>787</v>
      </c>
      <c r="L109" s="278" t="s">
        <v>21</v>
      </c>
      <c r="M109" s="278" t="s">
        <v>889</v>
      </c>
      <c r="N109" s="279">
        <v>59.79</v>
      </c>
      <c r="O109" s="278"/>
    </row>
    <row r="110" spans="1:15" ht="15" customHeight="1" x14ac:dyDescent="0.2">
      <c r="A110" s="276" t="s">
        <v>1237</v>
      </c>
      <c r="B110" s="276" t="s">
        <v>1148</v>
      </c>
      <c r="C110" s="276">
        <v>44253</v>
      </c>
      <c r="D110" s="277">
        <v>1</v>
      </c>
      <c r="F110" s="277">
        <f t="shared" si="1"/>
        <v>4</v>
      </c>
      <c r="J110" s="278" t="s">
        <v>190</v>
      </c>
      <c r="K110" s="278" t="s">
        <v>787</v>
      </c>
      <c r="L110" s="278" t="s">
        <v>28</v>
      </c>
      <c r="M110" s="278" t="s">
        <v>890</v>
      </c>
      <c r="N110" s="279">
        <v>61.4</v>
      </c>
      <c r="O110" s="278"/>
    </row>
    <row r="111" spans="1:15" ht="15" customHeight="1" x14ac:dyDescent="0.2">
      <c r="A111" s="276" t="s">
        <v>1238</v>
      </c>
      <c r="B111" s="276" t="s">
        <v>1219</v>
      </c>
      <c r="C111" s="276">
        <v>58681</v>
      </c>
      <c r="D111" s="277">
        <v>1</v>
      </c>
      <c r="F111" s="277">
        <f t="shared" si="1"/>
        <v>2</v>
      </c>
      <c r="J111" s="278" t="s">
        <v>265</v>
      </c>
      <c r="K111" s="278" t="s">
        <v>787</v>
      </c>
      <c r="L111" s="278" t="s">
        <v>335</v>
      </c>
      <c r="M111" s="278" t="s">
        <v>891</v>
      </c>
      <c r="N111" s="279">
        <v>44.6</v>
      </c>
      <c r="O111" s="278"/>
    </row>
    <row r="112" spans="1:15" ht="15" customHeight="1" x14ac:dyDescent="0.2">
      <c r="A112" s="276" t="s">
        <v>1239</v>
      </c>
      <c r="B112" s="276" t="s">
        <v>1223</v>
      </c>
      <c r="C112" s="276">
        <v>39764</v>
      </c>
      <c r="D112" s="277">
        <v>1</v>
      </c>
      <c r="F112" s="277">
        <f t="shared" si="1"/>
        <v>2</v>
      </c>
      <c r="J112" s="278" t="s">
        <v>261</v>
      </c>
      <c r="K112" s="278" t="s">
        <v>787</v>
      </c>
      <c r="L112" s="278" t="s">
        <v>337</v>
      </c>
      <c r="M112" s="278" t="s">
        <v>892</v>
      </c>
      <c r="N112" s="279">
        <v>1.7754629629629631E-3</v>
      </c>
      <c r="O112" s="278"/>
    </row>
    <row r="113" spans="1:15" ht="15" customHeight="1" x14ac:dyDescent="0.2">
      <c r="A113" s="276" t="s">
        <v>1240</v>
      </c>
      <c r="B113" s="276" t="s">
        <v>1217</v>
      </c>
      <c r="C113" s="276">
        <v>44250</v>
      </c>
      <c r="D113" s="277">
        <v>1</v>
      </c>
      <c r="F113" s="277">
        <f t="shared" si="1"/>
        <v>2</v>
      </c>
      <c r="J113" s="278" t="s">
        <v>42</v>
      </c>
      <c r="K113" s="278" t="s">
        <v>893</v>
      </c>
      <c r="L113" s="278" t="s">
        <v>14</v>
      </c>
      <c r="M113" s="278" t="s">
        <v>894</v>
      </c>
      <c r="N113" s="279">
        <v>9.33</v>
      </c>
      <c r="O113" s="278"/>
    </row>
    <row r="114" spans="1:15" ht="15" customHeight="1" x14ac:dyDescent="0.2">
      <c r="A114" s="276" t="s">
        <v>1241</v>
      </c>
      <c r="B114" s="276" t="s">
        <v>1221</v>
      </c>
      <c r="C114" s="276">
        <v>66752</v>
      </c>
      <c r="D114" s="277">
        <v>1</v>
      </c>
      <c r="F114" s="277">
        <f t="shared" si="1"/>
        <v>2</v>
      </c>
      <c r="J114" s="278" t="s">
        <v>45</v>
      </c>
      <c r="K114" s="278" t="s">
        <v>893</v>
      </c>
      <c r="L114" s="278" t="s">
        <v>15</v>
      </c>
      <c r="M114" s="278" t="s">
        <v>894</v>
      </c>
      <c r="N114" s="279">
        <v>9.33</v>
      </c>
      <c r="O114" s="278"/>
    </row>
    <row r="115" spans="1:15" ht="15" customHeight="1" x14ac:dyDescent="0.2">
      <c r="A115" s="276" t="s">
        <v>1242</v>
      </c>
      <c r="B115" s="276" t="s">
        <v>1212</v>
      </c>
      <c r="C115" s="280">
        <v>68804</v>
      </c>
      <c r="D115" s="277">
        <v>1</v>
      </c>
      <c r="F115" s="277">
        <f t="shared" si="1"/>
        <v>3</v>
      </c>
      <c r="J115" s="278" t="s">
        <v>37</v>
      </c>
      <c r="K115" s="278" t="s">
        <v>893</v>
      </c>
      <c r="L115" s="278" t="s">
        <v>10</v>
      </c>
      <c r="M115" s="278" t="s">
        <v>951</v>
      </c>
      <c r="N115" s="279">
        <v>18.399999999999999</v>
      </c>
      <c r="O115" s="278"/>
    </row>
    <row r="116" spans="1:15" ht="15" customHeight="1" x14ac:dyDescent="0.2">
      <c r="A116" s="276" t="s">
        <v>1243</v>
      </c>
      <c r="B116" s="276" t="s">
        <v>1209</v>
      </c>
      <c r="C116" s="276">
        <v>44247</v>
      </c>
      <c r="D116" s="277">
        <v>1</v>
      </c>
      <c r="F116" s="277">
        <f t="shared" si="1"/>
        <v>4</v>
      </c>
      <c r="J116" s="278" t="s">
        <v>349</v>
      </c>
      <c r="K116" s="278" t="s">
        <v>893</v>
      </c>
      <c r="L116" s="278" t="s">
        <v>12</v>
      </c>
      <c r="M116" s="278" t="s">
        <v>895</v>
      </c>
      <c r="N116" s="279">
        <v>1.4988425925925924E-3</v>
      </c>
      <c r="O116" s="278"/>
    </row>
    <row r="117" spans="1:15" ht="15" customHeight="1" x14ac:dyDescent="0.2">
      <c r="A117" s="276" t="s">
        <v>1244</v>
      </c>
      <c r="B117" s="280" t="s">
        <v>1145</v>
      </c>
      <c r="C117" s="280">
        <v>67356</v>
      </c>
      <c r="D117" s="277">
        <v>0</v>
      </c>
      <c r="F117" s="277">
        <f t="shared" si="1"/>
        <v>4</v>
      </c>
      <c r="J117" s="278" t="s">
        <v>353</v>
      </c>
      <c r="K117" s="278" t="s">
        <v>893</v>
      </c>
      <c r="L117" s="278" t="s">
        <v>13</v>
      </c>
      <c r="M117" s="278" t="s">
        <v>895</v>
      </c>
      <c r="N117" s="279">
        <v>1.4988425925925924E-3</v>
      </c>
      <c r="O117" s="278"/>
    </row>
    <row r="118" spans="1:15" ht="15" customHeight="1" x14ac:dyDescent="0.2">
      <c r="A118" s="276" t="s">
        <v>1245</v>
      </c>
      <c r="B118" s="276" t="s">
        <v>1172</v>
      </c>
      <c r="C118" s="280">
        <v>39706</v>
      </c>
      <c r="D118" s="277">
        <v>1</v>
      </c>
      <c r="F118" s="277">
        <f t="shared" si="1"/>
        <v>4</v>
      </c>
      <c r="J118" s="278" t="s">
        <v>257</v>
      </c>
      <c r="K118" s="278" t="s">
        <v>893</v>
      </c>
      <c r="L118" s="278" t="s">
        <v>19</v>
      </c>
      <c r="M118" s="278" t="s">
        <v>1132</v>
      </c>
      <c r="N118" s="279">
        <v>2.4130787037037037E-3</v>
      </c>
      <c r="O118" s="278"/>
    </row>
    <row r="119" spans="1:15" ht="15" customHeight="1" x14ac:dyDescent="0.2">
      <c r="A119" s="276" t="s">
        <v>1095</v>
      </c>
      <c r="B119" s="276" t="s">
        <v>1154</v>
      </c>
      <c r="C119" s="280">
        <v>45778</v>
      </c>
      <c r="D119" s="277">
        <v>1</v>
      </c>
      <c r="F119" s="277">
        <f t="shared" si="1"/>
        <v>4</v>
      </c>
      <c r="J119" s="278" t="s">
        <v>33</v>
      </c>
      <c r="K119" s="278" t="s">
        <v>893</v>
      </c>
      <c r="L119" s="278" t="s">
        <v>339</v>
      </c>
      <c r="M119" s="278" t="s">
        <v>896</v>
      </c>
      <c r="N119" s="279">
        <v>11.15</v>
      </c>
      <c r="O119" s="278"/>
    </row>
    <row r="120" spans="1:15" ht="15" customHeight="1" x14ac:dyDescent="0.2">
      <c r="A120" s="276" t="s">
        <v>1246</v>
      </c>
      <c r="B120" s="280" t="s">
        <v>1185</v>
      </c>
      <c r="C120" s="280">
        <v>63524</v>
      </c>
      <c r="D120" s="277">
        <v>1</v>
      </c>
      <c r="F120" s="277">
        <f t="shared" si="1"/>
        <v>3</v>
      </c>
      <c r="J120" s="278" t="s">
        <v>181</v>
      </c>
      <c r="K120" s="278" t="s">
        <v>893</v>
      </c>
      <c r="L120" s="278" t="s">
        <v>23</v>
      </c>
      <c r="M120" s="278" t="s">
        <v>1133</v>
      </c>
      <c r="N120" s="279">
        <v>1.64</v>
      </c>
      <c r="O120" s="278"/>
    </row>
    <row r="121" spans="1:15" ht="15" customHeight="1" x14ac:dyDescent="0.2">
      <c r="A121" s="276" t="s">
        <v>1247</v>
      </c>
      <c r="B121" s="276" t="s">
        <v>1172</v>
      </c>
      <c r="C121" s="280">
        <v>39706</v>
      </c>
      <c r="D121" s="277">
        <v>1</v>
      </c>
      <c r="F121" s="277">
        <f t="shared" si="1"/>
        <v>4</v>
      </c>
      <c r="J121" s="278" t="s">
        <v>244</v>
      </c>
      <c r="K121" s="278" t="s">
        <v>893</v>
      </c>
      <c r="L121" s="278" t="s">
        <v>22</v>
      </c>
      <c r="M121" s="278" t="s">
        <v>897</v>
      </c>
      <c r="N121" s="279">
        <v>5.45</v>
      </c>
      <c r="O121" s="278"/>
    </row>
    <row r="122" spans="1:15" ht="15" customHeight="1" x14ac:dyDescent="0.2">
      <c r="A122" s="276" t="s">
        <v>1248</v>
      </c>
      <c r="B122" s="276" t="s">
        <v>1177</v>
      </c>
      <c r="C122" s="276">
        <v>53355</v>
      </c>
      <c r="D122" s="277">
        <v>1</v>
      </c>
      <c r="F122" s="277">
        <f t="shared" si="1"/>
        <v>4</v>
      </c>
      <c r="J122" s="278" t="s">
        <v>192</v>
      </c>
      <c r="K122" s="278" t="s">
        <v>893</v>
      </c>
      <c r="L122" s="278" t="s">
        <v>334</v>
      </c>
      <c r="M122" s="278" t="s">
        <v>898</v>
      </c>
      <c r="N122" s="279">
        <v>12.35</v>
      </c>
      <c r="O122" s="278"/>
    </row>
    <row r="123" spans="1:15" ht="15" customHeight="1" x14ac:dyDescent="0.2">
      <c r="A123" s="276" t="s">
        <v>1650</v>
      </c>
      <c r="B123" s="276" t="s">
        <v>1633</v>
      </c>
      <c r="C123" s="276">
        <v>69528</v>
      </c>
      <c r="D123" s="277">
        <v>1</v>
      </c>
      <c r="F123" s="277">
        <f t="shared" si="1"/>
        <v>4</v>
      </c>
      <c r="J123" s="278" t="s">
        <v>193</v>
      </c>
      <c r="K123" s="278" t="s">
        <v>893</v>
      </c>
      <c r="L123" s="278" t="s">
        <v>28</v>
      </c>
      <c r="M123" s="278" t="s">
        <v>899</v>
      </c>
      <c r="N123" s="279">
        <v>49.49</v>
      </c>
      <c r="O123" s="278"/>
    </row>
    <row r="124" spans="1:15" ht="15" customHeight="1" x14ac:dyDescent="0.2">
      <c r="A124" s="276" t="s">
        <v>1249</v>
      </c>
      <c r="B124" s="276" t="s">
        <v>1153</v>
      </c>
      <c r="C124" s="276">
        <v>56045</v>
      </c>
      <c r="D124" s="277">
        <v>1</v>
      </c>
      <c r="F124" s="277">
        <f t="shared" si="1"/>
        <v>4</v>
      </c>
      <c r="J124" s="278" t="s">
        <v>263</v>
      </c>
      <c r="K124" s="278" t="s">
        <v>893</v>
      </c>
      <c r="L124" s="281" t="s">
        <v>335</v>
      </c>
      <c r="M124" s="278" t="s">
        <v>900</v>
      </c>
      <c r="N124" s="279">
        <v>50.3</v>
      </c>
      <c r="O124" s="278"/>
    </row>
    <row r="125" spans="1:15" ht="15" customHeight="1" x14ac:dyDescent="0.2">
      <c r="A125" s="276" t="s">
        <v>1096</v>
      </c>
      <c r="B125" s="276" t="s">
        <v>1156</v>
      </c>
      <c r="C125" s="276">
        <v>68781</v>
      </c>
      <c r="D125" s="277">
        <v>1</v>
      </c>
      <c r="F125" s="277">
        <f t="shared" si="1"/>
        <v>4</v>
      </c>
      <c r="J125" s="278" t="s">
        <v>43</v>
      </c>
      <c r="K125" s="278" t="s">
        <v>792</v>
      </c>
      <c r="L125" s="281" t="s">
        <v>16</v>
      </c>
      <c r="M125" s="278" t="s">
        <v>901</v>
      </c>
      <c r="N125" s="279">
        <v>11.97</v>
      </c>
      <c r="O125" s="278"/>
    </row>
    <row r="126" spans="1:15" ht="15" customHeight="1" x14ac:dyDescent="0.2">
      <c r="A126" s="276" t="s">
        <v>1250</v>
      </c>
      <c r="B126" s="280" t="s">
        <v>1209</v>
      </c>
      <c r="C126" s="276">
        <v>44247</v>
      </c>
      <c r="D126" s="277">
        <v>1</v>
      </c>
      <c r="F126" s="277">
        <f t="shared" si="1"/>
        <v>4</v>
      </c>
      <c r="J126" s="278" t="s">
        <v>46</v>
      </c>
      <c r="K126" s="278" t="s">
        <v>792</v>
      </c>
      <c r="L126" s="281" t="s">
        <v>17</v>
      </c>
      <c r="M126" s="278" t="s">
        <v>901</v>
      </c>
      <c r="N126" s="279">
        <v>11.97</v>
      </c>
      <c r="O126" s="278"/>
    </row>
    <row r="127" spans="1:15" ht="15" customHeight="1" x14ac:dyDescent="0.2">
      <c r="A127" s="276" t="s">
        <v>1251</v>
      </c>
      <c r="B127" s="276" t="s">
        <v>1191</v>
      </c>
      <c r="C127" s="280">
        <v>39704</v>
      </c>
      <c r="D127" s="277">
        <v>1</v>
      </c>
      <c r="F127" s="277">
        <f t="shared" si="1"/>
        <v>3</v>
      </c>
      <c r="J127" s="278" t="s">
        <v>38</v>
      </c>
      <c r="K127" s="278" t="s">
        <v>792</v>
      </c>
      <c r="L127" s="281" t="s">
        <v>11</v>
      </c>
      <c r="M127" s="278" t="s">
        <v>902</v>
      </c>
      <c r="N127" s="279">
        <v>24.55</v>
      </c>
      <c r="O127" s="278"/>
    </row>
    <row r="128" spans="1:15" ht="15" customHeight="1" x14ac:dyDescent="0.2">
      <c r="A128" s="276" t="s">
        <v>1252</v>
      </c>
      <c r="B128" s="276" t="s">
        <v>1175</v>
      </c>
      <c r="C128" s="276">
        <v>67887</v>
      </c>
      <c r="D128" s="277">
        <v>1</v>
      </c>
      <c r="F128" s="277">
        <f t="shared" si="1"/>
        <v>1</v>
      </c>
      <c r="J128" s="278" t="s">
        <v>48</v>
      </c>
      <c r="K128" s="278" t="s">
        <v>792</v>
      </c>
      <c r="L128" s="278" t="s">
        <v>18</v>
      </c>
      <c r="M128" s="278" t="s">
        <v>903</v>
      </c>
      <c r="N128" s="279">
        <v>40.11</v>
      </c>
      <c r="O128" s="278"/>
    </row>
    <row r="129" spans="1:15" ht="15" customHeight="1" x14ac:dyDescent="0.2">
      <c r="A129" s="276" t="s">
        <v>1651</v>
      </c>
      <c r="B129" s="276" t="s">
        <v>1631</v>
      </c>
      <c r="C129" s="280">
        <v>51238</v>
      </c>
      <c r="D129" s="277">
        <v>1</v>
      </c>
      <c r="F129" s="277">
        <f t="shared" si="1"/>
        <v>4</v>
      </c>
      <c r="J129" s="278" t="s">
        <v>350</v>
      </c>
      <c r="K129" s="278" t="s">
        <v>792</v>
      </c>
      <c r="L129" s="278" t="s">
        <v>12</v>
      </c>
      <c r="M129" s="278" t="s">
        <v>904</v>
      </c>
      <c r="N129" s="279">
        <v>1.4791666666666666E-3</v>
      </c>
      <c r="O129" s="278"/>
    </row>
    <row r="130" spans="1:15" ht="15" customHeight="1" x14ac:dyDescent="0.2">
      <c r="A130" s="276" t="s">
        <v>1253</v>
      </c>
      <c r="B130" s="276" t="s">
        <v>1179</v>
      </c>
      <c r="C130" s="276">
        <v>67215</v>
      </c>
      <c r="D130" s="277">
        <v>1</v>
      </c>
      <c r="F130" s="277">
        <f t="shared" si="1"/>
        <v>4</v>
      </c>
      <c r="J130" s="278" t="s">
        <v>354</v>
      </c>
      <c r="K130" s="278" t="s">
        <v>792</v>
      </c>
      <c r="L130" s="278" t="s">
        <v>13</v>
      </c>
      <c r="M130" s="278" t="s">
        <v>904</v>
      </c>
      <c r="N130" s="279">
        <v>1.4791666666666666E-3</v>
      </c>
      <c r="O130" s="278"/>
    </row>
    <row r="131" spans="1:15" ht="15" customHeight="1" x14ac:dyDescent="0.2">
      <c r="A131" s="276" t="s">
        <v>1097</v>
      </c>
      <c r="B131" s="276" t="s">
        <v>1139</v>
      </c>
      <c r="C131" s="276">
        <v>62006</v>
      </c>
      <c r="D131" s="277">
        <v>1</v>
      </c>
      <c r="F131" s="277">
        <f t="shared" ref="F131:F194" si="2">COUNTIF(C:C,C131)</f>
        <v>4</v>
      </c>
      <c r="J131" s="278" t="s">
        <v>258</v>
      </c>
      <c r="K131" s="278" t="s">
        <v>792</v>
      </c>
      <c r="L131" s="278" t="s">
        <v>20</v>
      </c>
      <c r="M131" s="278" t="s">
        <v>905</v>
      </c>
      <c r="N131" s="279">
        <v>3.1932870370370374E-3</v>
      </c>
      <c r="O131" s="278"/>
    </row>
    <row r="132" spans="1:15" ht="15" customHeight="1" x14ac:dyDescent="0.2">
      <c r="A132" s="276" t="s">
        <v>1254</v>
      </c>
      <c r="B132" s="276" t="s">
        <v>1141</v>
      </c>
      <c r="C132" s="280">
        <v>44248</v>
      </c>
      <c r="D132" s="277">
        <v>1</v>
      </c>
      <c r="F132" s="277">
        <f t="shared" si="2"/>
        <v>4</v>
      </c>
      <c r="J132" s="278" t="s">
        <v>34</v>
      </c>
      <c r="K132" s="278" t="s">
        <v>792</v>
      </c>
      <c r="L132" s="278" t="s">
        <v>339</v>
      </c>
      <c r="M132" s="278" t="s">
        <v>906</v>
      </c>
      <c r="N132" s="279">
        <v>11</v>
      </c>
      <c r="O132" s="278"/>
    </row>
    <row r="133" spans="1:15" ht="15" customHeight="1" x14ac:dyDescent="0.2">
      <c r="A133" s="276" t="s">
        <v>1255</v>
      </c>
      <c r="B133" s="276" t="s">
        <v>1160</v>
      </c>
      <c r="C133" s="276">
        <v>39694</v>
      </c>
      <c r="D133" s="277">
        <v>1</v>
      </c>
      <c r="F133" s="277">
        <f t="shared" si="2"/>
        <v>4</v>
      </c>
      <c r="J133" s="278" t="s">
        <v>180</v>
      </c>
      <c r="K133" s="278" t="s">
        <v>792</v>
      </c>
      <c r="L133" s="278" t="s">
        <v>23</v>
      </c>
      <c r="M133" s="278" t="s">
        <v>907</v>
      </c>
      <c r="N133" s="279">
        <v>1.73</v>
      </c>
      <c r="O133" s="278"/>
    </row>
    <row r="134" spans="1:15" ht="15" customHeight="1" x14ac:dyDescent="0.2">
      <c r="A134" s="276" t="s">
        <v>1256</v>
      </c>
      <c r="B134" s="276" t="s">
        <v>1163</v>
      </c>
      <c r="C134" s="276">
        <v>40514</v>
      </c>
      <c r="D134" s="277">
        <v>1</v>
      </c>
      <c r="F134" s="277">
        <f t="shared" si="2"/>
        <v>4</v>
      </c>
      <c r="J134" s="278" t="s">
        <v>180</v>
      </c>
      <c r="K134" s="278" t="s">
        <v>792</v>
      </c>
      <c r="L134" s="278" t="s">
        <v>23</v>
      </c>
      <c r="M134" s="278" t="s">
        <v>908</v>
      </c>
      <c r="N134" s="279">
        <v>1.73</v>
      </c>
      <c r="O134" s="278"/>
    </row>
    <row r="135" spans="1:15" ht="15" customHeight="1" x14ac:dyDescent="0.2">
      <c r="A135" s="276" t="s">
        <v>1652</v>
      </c>
      <c r="B135" s="280" t="s">
        <v>1639</v>
      </c>
      <c r="C135" s="280">
        <v>69761</v>
      </c>
      <c r="D135" s="277">
        <v>1</v>
      </c>
      <c r="F135" s="277">
        <f t="shared" si="2"/>
        <v>3</v>
      </c>
      <c r="J135" s="278" t="s">
        <v>187</v>
      </c>
      <c r="K135" s="278" t="s">
        <v>792</v>
      </c>
      <c r="L135" s="278" t="s">
        <v>27</v>
      </c>
      <c r="M135" s="278" t="s">
        <v>909</v>
      </c>
      <c r="N135" s="279">
        <v>3.43</v>
      </c>
      <c r="O135" s="278"/>
    </row>
    <row r="136" spans="1:15" ht="15" customHeight="1" x14ac:dyDescent="0.2">
      <c r="A136" s="276" t="s">
        <v>1098</v>
      </c>
      <c r="B136" s="280" t="s">
        <v>1155</v>
      </c>
      <c r="C136" s="280">
        <v>45771</v>
      </c>
      <c r="D136" s="277">
        <v>1</v>
      </c>
      <c r="F136" s="277">
        <f t="shared" si="2"/>
        <v>3</v>
      </c>
      <c r="J136" s="278" t="s">
        <v>245</v>
      </c>
      <c r="K136" s="278" t="s">
        <v>792</v>
      </c>
      <c r="L136" s="278" t="s">
        <v>22</v>
      </c>
      <c r="M136" s="278" t="s">
        <v>910</v>
      </c>
      <c r="N136" s="279">
        <v>5.65</v>
      </c>
      <c r="O136" s="278"/>
    </row>
    <row r="137" spans="1:15" ht="15" customHeight="1" x14ac:dyDescent="0.2">
      <c r="A137" s="276" t="s">
        <v>1257</v>
      </c>
      <c r="B137" s="276" t="s">
        <v>1165</v>
      </c>
      <c r="C137" s="276">
        <v>44245</v>
      </c>
      <c r="D137" s="277">
        <v>1</v>
      </c>
      <c r="F137" s="277">
        <f t="shared" si="2"/>
        <v>4</v>
      </c>
      <c r="J137" s="278" t="s">
        <v>194</v>
      </c>
      <c r="K137" s="278" t="s">
        <v>792</v>
      </c>
      <c r="L137" s="278" t="s">
        <v>334</v>
      </c>
      <c r="M137" s="278" t="s">
        <v>911</v>
      </c>
      <c r="N137" s="279">
        <v>13.72</v>
      </c>
      <c r="O137" s="278"/>
    </row>
    <row r="138" spans="1:15" ht="15" customHeight="1" x14ac:dyDescent="0.2">
      <c r="A138" s="276" t="s">
        <v>1258</v>
      </c>
      <c r="B138" s="276" t="s">
        <v>1151</v>
      </c>
      <c r="C138" s="276">
        <v>39697</v>
      </c>
      <c r="D138" s="277">
        <v>1</v>
      </c>
      <c r="F138" s="277">
        <f t="shared" si="2"/>
        <v>4</v>
      </c>
      <c r="J138" s="278" t="s">
        <v>182</v>
      </c>
      <c r="K138" s="278" t="s">
        <v>792</v>
      </c>
      <c r="L138" s="278" t="s">
        <v>25</v>
      </c>
      <c r="M138" s="278" t="s">
        <v>912</v>
      </c>
      <c r="N138" s="279">
        <v>39.94</v>
      </c>
      <c r="O138" s="278"/>
    </row>
    <row r="139" spans="1:15" ht="15" customHeight="1" x14ac:dyDescent="0.2">
      <c r="A139" s="276" t="s">
        <v>1259</v>
      </c>
      <c r="B139" s="276" t="s">
        <v>1162</v>
      </c>
      <c r="C139" s="276">
        <v>62496</v>
      </c>
      <c r="D139" s="277">
        <v>1</v>
      </c>
      <c r="F139" s="277">
        <f t="shared" si="2"/>
        <v>4</v>
      </c>
      <c r="J139" s="278"/>
      <c r="K139" s="278"/>
      <c r="L139" s="278"/>
      <c r="M139" s="278"/>
      <c r="N139" s="279"/>
      <c r="O139" s="278"/>
    </row>
    <row r="140" spans="1:15" ht="15" customHeight="1" x14ac:dyDescent="0.2">
      <c r="A140" s="276" t="s">
        <v>1653</v>
      </c>
      <c r="B140" s="276" t="s">
        <v>1622</v>
      </c>
      <c r="C140" s="276">
        <v>45585</v>
      </c>
      <c r="D140" s="277">
        <v>1</v>
      </c>
      <c r="F140" s="277">
        <f t="shared" si="2"/>
        <v>4</v>
      </c>
      <c r="J140" s="278"/>
      <c r="K140" s="278"/>
      <c r="L140" s="278"/>
      <c r="M140" s="278"/>
      <c r="N140" s="279"/>
      <c r="O140" s="278"/>
    </row>
    <row r="141" spans="1:15" ht="15" customHeight="1" x14ac:dyDescent="0.2">
      <c r="A141" s="276" t="s">
        <v>1260</v>
      </c>
      <c r="B141" s="276" t="s">
        <v>1202</v>
      </c>
      <c r="C141" s="276">
        <v>56529</v>
      </c>
      <c r="D141" s="277">
        <v>1</v>
      </c>
      <c r="F141" s="277">
        <f t="shared" si="2"/>
        <v>4</v>
      </c>
      <c r="J141" s="278"/>
      <c r="K141" s="278"/>
      <c r="L141" s="278"/>
      <c r="M141" s="278"/>
      <c r="N141" s="279"/>
      <c r="O141" s="278"/>
    </row>
    <row r="142" spans="1:15" ht="15" customHeight="1" x14ac:dyDescent="0.2">
      <c r="A142" s="276" t="s">
        <v>559</v>
      </c>
      <c r="B142" s="280" t="s">
        <v>569</v>
      </c>
      <c r="C142" s="280" t="s">
        <v>775</v>
      </c>
      <c r="D142" s="277" t="s">
        <v>776</v>
      </c>
      <c r="F142" s="277">
        <f t="shared" si="2"/>
        <v>4</v>
      </c>
      <c r="J142" s="278"/>
      <c r="K142" s="278"/>
      <c r="L142" s="278"/>
      <c r="M142" s="278"/>
      <c r="N142" s="279"/>
      <c r="O142" s="278"/>
    </row>
    <row r="143" spans="1:15" ht="15" customHeight="1" x14ac:dyDescent="0.2">
      <c r="A143" s="276" t="s">
        <v>1655</v>
      </c>
      <c r="B143" s="276" t="s">
        <v>1656</v>
      </c>
      <c r="C143" s="276">
        <v>45587</v>
      </c>
      <c r="D143" s="277">
        <v>1</v>
      </c>
      <c r="F143" s="277">
        <f t="shared" si="2"/>
        <v>4</v>
      </c>
      <c r="J143" s="278"/>
      <c r="K143" s="278"/>
      <c r="L143" s="281"/>
      <c r="M143" s="278"/>
      <c r="N143" s="279"/>
      <c r="O143" s="278"/>
    </row>
    <row r="144" spans="1:15" ht="15" customHeight="1" x14ac:dyDescent="0.2">
      <c r="A144" s="276" t="s">
        <v>1657</v>
      </c>
      <c r="B144" s="276" t="s">
        <v>1658</v>
      </c>
      <c r="C144" s="276">
        <v>45916</v>
      </c>
      <c r="D144" s="277">
        <v>1</v>
      </c>
      <c r="F144" s="277">
        <f t="shared" si="2"/>
        <v>4</v>
      </c>
      <c r="J144" s="278"/>
      <c r="K144" s="278"/>
      <c r="L144" s="281"/>
      <c r="M144" s="278"/>
      <c r="N144" s="279"/>
      <c r="O144" s="278"/>
    </row>
    <row r="145" spans="1:12" ht="15" customHeight="1" x14ac:dyDescent="0.2">
      <c r="A145" s="276" t="s">
        <v>1659</v>
      </c>
      <c r="B145" s="276" t="s">
        <v>1660</v>
      </c>
      <c r="C145" s="276">
        <v>57703</v>
      </c>
      <c r="D145" s="277">
        <v>1</v>
      </c>
      <c r="F145" s="277">
        <f t="shared" si="2"/>
        <v>3</v>
      </c>
      <c r="L145" s="282"/>
    </row>
    <row r="146" spans="1:12" ht="15" customHeight="1" x14ac:dyDescent="0.2">
      <c r="A146" s="276" t="s">
        <v>1261</v>
      </c>
      <c r="B146" s="280" t="s">
        <v>1262</v>
      </c>
      <c r="C146" s="280">
        <v>57400</v>
      </c>
      <c r="D146" s="277">
        <v>1</v>
      </c>
      <c r="F146" s="277">
        <f t="shared" si="2"/>
        <v>4</v>
      </c>
      <c r="L146" s="282"/>
    </row>
    <row r="147" spans="1:12" ht="15" customHeight="1" x14ac:dyDescent="0.2">
      <c r="A147" s="276" t="s">
        <v>1263</v>
      </c>
      <c r="B147" s="276" t="s">
        <v>1264</v>
      </c>
      <c r="C147" s="276">
        <v>56806</v>
      </c>
      <c r="D147" s="277">
        <v>1</v>
      </c>
      <c r="F147" s="277">
        <f t="shared" si="2"/>
        <v>3</v>
      </c>
    </row>
    <row r="148" spans="1:12" ht="15" customHeight="1" x14ac:dyDescent="0.2">
      <c r="A148" s="276" t="s">
        <v>1265</v>
      </c>
      <c r="B148" s="276" t="s">
        <v>1654</v>
      </c>
      <c r="C148" s="276">
        <v>69197</v>
      </c>
      <c r="D148" s="277">
        <v>0</v>
      </c>
      <c r="F148" s="277">
        <f t="shared" si="2"/>
        <v>2</v>
      </c>
    </row>
    <row r="149" spans="1:12" ht="15" customHeight="1" x14ac:dyDescent="0.2">
      <c r="A149" s="276" t="s">
        <v>1661</v>
      </c>
      <c r="B149" s="276" t="s">
        <v>1658</v>
      </c>
      <c r="C149" s="276">
        <v>45916</v>
      </c>
      <c r="D149" s="277">
        <v>1</v>
      </c>
      <c r="F149" s="277">
        <f t="shared" si="2"/>
        <v>4</v>
      </c>
    </row>
    <row r="150" spans="1:12" ht="15" customHeight="1" x14ac:dyDescent="0.2">
      <c r="A150" s="276" t="s">
        <v>1662</v>
      </c>
      <c r="B150" s="276" t="s">
        <v>1663</v>
      </c>
      <c r="C150" s="276">
        <v>45880</v>
      </c>
      <c r="D150" s="277">
        <v>1</v>
      </c>
      <c r="F150" s="277">
        <f t="shared" si="2"/>
        <v>4</v>
      </c>
    </row>
    <row r="151" spans="1:12" ht="15" customHeight="1" x14ac:dyDescent="0.2">
      <c r="A151" s="276" t="s">
        <v>1267</v>
      </c>
      <c r="B151" s="276" t="s">
        <v>1268</v>
      </c>
      <c r="C151" s="276">
        <v>42914</v>
      </c>
      <c r="D151" s="277">
        <v>1</v>
      </c>
      <c r="F151" s="277">
        <f t="shared" si="2"/>
        <v>4</v>
      </c>
    </row>
    <row r="152" spans="1:12" ht="15" customHeight="1" x14ac:dyDescent="0.2">
      <c r="A152" s="276" t="s">
        <v>1269</v>
      </c>
      <c r="B152" s="276" t="s">
        <v>1270</v>
      </c>
      <c r="C152" s="276">
        <v>58043</v>
      </c>
      <c r="D152" s="277">
        <v>1</v>
      </c>
      <c r="F152" s="277">
        <f t="shared" si="2"/>
        <v>2</v>
      </c>
    </row>
    <row r="153" spans="1:12" ht="15" customHeight="1" x14ac:dyDescent="0.2">
      <c r="A153" s="276" t="s">
        <v>1099</v>
      </c>
      <c r="B153" s="276" t="s">
        <v>1264</v>
      </c>
      <c r="C153" s="276">
        <v>56806</v>
      </c>
      <c r="D153" s="277">
        <v>1</v>
      </c>
      <c r="F153" s="277">
        <f t="shared" si="2"/>
        <v>3</v>
      </c>
    </row>
    <row r="154" spans="1:12" ht="15" customHeight="1" x14ac:dyDescent="0.2">
      <c r="A154" s="276" t="s">
        <v>1271</v>
      </c>
      <c r="B154" s="276" t="s">
        <v>1654</v>
      </c>
      <c r="C154" s="276">
        <v>69197</v>
      </c>
      <c r="D154" s="277">
        <v>0</v>
      </c>
      <c r="F154" s="277">
        <f t="shared" si="2"/>
        <v>2</v>
      </c>
    </row>
    <row r="155" spans="1:12" ht="15" customHeight="1" x14ac:dyDescent="0.2">
      <c r="A155" s="276" t="s">
        <v>1664</v>
      </c>
      <c r="B155" s="276" t="s">
        <v>1665</v>
      </c>
      <c r="C155" s="276">
        <v>45586</v>
      </c>
      <c r="D155" s="277">
        <v>1</v>
      </c>
      <c r="F155" s="277">
        <f t="shared" si="2"/>
        <v>4</v>
      </c>
    </row>
    <row r="156" spans="1:12" ht="15" customHeight="1" x14ac:dyDescent="0.2">
      <c r="A156" s="276" t="s">
        <v>1273</v>
      </c>
      <c r="B156" s="276" t="s">
        <v>1274</v>
      </c>
      <c r="C156" s="276">
        <v>41745</v>
      </c>
      <c r="D156" s="277">
        <v>1</v>
      </c>
      <c r="F156" s="277">
        <f t="shared" si="2"/>
        <v>1</v>
      </c>
    </row>
    <row r="157" spans="1:12" ht="15" customHeight="1" x14ac:dyDescent="0.2">
      <c r="A157" s="276" t="s">
        <v>1275</v>
      </c>
      <c r="B157" s="276" t="s">
        <v>1276</v>
      </c>
      <c r="C157" s="276">
        <v>41741</v>
      </c>
      <c r="D157" s="277">
        <v>1</v>
      </c>
      <c r="F157" s="277">
        <f t="shared" si="2"/>
        <v>3</v>
      </c>
    </row>
    <row r="158" spans="1:12" ht="15" customHeight="1" x14ac:dyDescent="0.2">
      <c r="A158" s="276" t="s">
        <v>1666</v>
      </c>
      <c r="B158" s="276" t="s">
        <v>1663</v>
      </c>
      <c r="C158" s="280">
        <v>45880</v>
      </c>
      <c r="D158" s="277">
        <v>1</v>
      </c>
      <c r="F158" s="277">
        <f t="shared" si="2"/>
        <v>4</v>
      </c>
    </row>
    <row r="159" spans="1:12" ht="15" customHeight="1" x14ac:dyDescent="0.2">
      <c r="A159" s="276" t="s">
        <v>1667</v>
      </c>
      <c r="B159" s="280" t="s">
        <v>1668</v>
      </c>
      <c r="C159" s="280">
        <v>45915</v>
      </c>
      <c r="D159" s="277">
        <v>1</v>
      </c>
      <c r="F159" s="277">
        <f t="shared" si="2"/>
        <v>4</v>
      </c>
    </row>
    <row r="160" spans="1:12" ht="15" customHeight="1" x14ac:dyDescent="0.2">
      <c r="A160" s="276" t="s">
        <v>1277</v>
      </c>
      <c r="B160" s="276" t="s">
        <v>1278</v>
      </c>
      <c r="C160" s="280">
        <v>42919</v>
      </c>
      <c r="D160" s="277">
        <v>1</v>
      </c>
      <c r="F160" s="277">
        <f t="shared" si="2"/>
        <v>4</v>
      </c>
    </row>
    <row r="161" spans="1:6" ht="15" customHeight="1" x14ac:dyDescent="0.2">
      <c r="A161" s="276" t="s">
        <v>1279</v>
      </c>
      <c r="B161" s="276" t="s">
        <v>1280</v>
      </c>
      <c r="C161" s="276">
        <v>42917</v>
      </c>
      <c r="D161" s="277">
        <v>1</v>
      </c>
      <c r="F161" s="277">
        <f t="shared" si="2"/>
        <v>2</v>
      </c>
    </row>
    <row r="162" spans="1:6" ht="15" customHeight="1" x14ac:dyDescent="0.2">
      <c r="A162" s="276" t="s">
        <v>1281</v>
      </c>
      <c r="B162" s="276" t="s">
        <v>1262</v>
      </c>
      <c r="C162" s="276">
        <v>57400</v>
      </c>
      <c r="D162" s="277">
        <v>1</v>
      </c>
      <c r="F162" s="277">
        <f t="shared" si="2"/>
        <v>4</v>
      </c>
    </row>
    <row r="163" spans="1:6" ht="15" customHeight="1" x14ac:dyDescent="0.2">
      <c r="A163" s="276" t="s">
        <v>1282</v>
      </c>
      <c r="B163" s="276" t="s">
        <v>1283</v>
      </c>
      <c r="C163" s="276">
        <v>50759</v>
      </c>
      <c r="D163" s="277">
        <v>1</v>
      </c>
      <c r="F163" s="277">
        <f t="shared" si="2"/>
        <v>4</v>
      </c>
    </row>
    <row r="164" spans="1:6" ht="15" customHeight="1" x14ac:dyDescent="0.2">
      <c r="A164" s="276" t="s">
        <v>1284</v>
      </c>
      <c r="B164" s="276" t="s">
        <v>1264</v>
      </c>
      <c r="C164" s="276">
        <v>56806</v>
      </c>
      <c r="D164" s="277">
        <v>1</v>
      </c>
      <c r="F164" s="277">
        <f t="shared" si="2"/>
        <v>3</v>
      </c>
    </row>
    <row r="165" spans="1:6" ht="15" customHeight="1" x14ac:dyDescent="0.2">
      <c r="A165" s="276" t="s">
        <v>1285</v>
      </c>
      <c r="B165" s="276" t="s">
        <v>1286</v>
      </c>
      <c r="C165" s="276">
        <v>40503</v>
      </c>
      <c r="D165" s="277">
        <v>1</v>
      </c>
      <c r="F165" s="277">
        <f t="shared" si="2"/>
        <v>3</v>
      </c>
    </row>
    <row r="166" spans="1:6" ht="15" customHeight="1" x14ac:dyDescent="0.2">
      <c r="A166" s="276" t="s">
        <v>1669</v>
      </c>
      <c r="B166" s="276" t="s">
        <v>1656</v>
      </c>
      <c r="C166" s="276">
        <v>45587</v>
      </c>
      <c r="D166" s="277">
        <v>1</v>
      </c>
      <c r="F166" s="277">
        <f t="shared" si="2"/>
        <v>4</v>
      </c>
    </row>
    <row r="167" spans="1:6" ht="15" customHeight="1" x14ac:dyDescent="0.2">
      <c r="A167" s="276" t="s">
        <v>1287</v>
      </c>
      <c r="B167" s="276" t="s">
        <v>1288</v>
      </c>
      <c r="C167" s="276">
        <v>63404</v>
      </c>
      <c r="D167" s="277">
        <v>1</v>
      </c>
      <c r="F167" s="277">
        <f t="shared" si="2"/>
        <v>4</v>
      </c>
    </row>
    <row r="168" spans="1:6" ht="15" customHeight="1" x14ac:dyDescent="0.2">
      <c r="A168" s="276" t="s">
        <v>1289</v>
      </c>
      <c r="B168" s="276" t="s">
        <v>1290</v>
      </c>
      <c r="C168" s="276">
        <v>41769</v>
      </c>
      <c r="D168" s="277">
        <v>1</v>
      </c>
      <c r="F168" s="277">
        <f t="shared" si="2"/>
        <v>4</v>
      </c>
    </row>
    <row r="169" spans="1:6" ht="15" customHeight="1" x14ac:dyDescent="0.2">
      <c r="A169" s="276" t="s">
        <v>1670</v>
      </c>
      <c r="B169" s="276" t="s">
        <v>1671</v>
      </c>
      <c r="C169" s="280">
        <v>45883</v>
      </c>
      <c r="D169" s="277">
        <v>1</v>
      </c>
      <c r="F169" s="277">
        <f t="shared" si="2"/>
        <v>4</v>
      </c>
    </row>
    <row r="170" spans="1:6" ht="15" customHeight="1" x14ac:dyDescent="0.2">
      <c r="A170" s="276" t="s">
        <v>1672</v>
      </c>
      <c r="B170" s="280" t="s">
        <v>1658</v>
      </c>
      <c r="C170" s="280">
        <v>45916</v>
      </c>
      <c r="D170" s="277">
        <v>1</v>
      </c>
      <c r="F170" s="277">
        <f t="shared" si="2"/>
        <v>4</v>
      </c>
    </row>
    <row r="171" spans="1:6" ht="15" customHeight="1" x14ac:dyDescent="0.2">
      <c r="A171" s="276" t="s">
        <v>1291</v>
      </c>
      <c r="B171" s="280" t="s">
        <v>1292</v>
      </c>
      <c r="C171" s="280">
        <v>40069</v>
      </c>
      <c r="D171" s="277">
        <v>1</v>
      </c>
      <c r="F171" s="277">
        <f t="shared" si="2"/>
        <v>4</v>
      </c>
    </row>
    <row r="172" spans="1:6" ht="15" customHeight="1" x14ac:dyDescent="0.2">
      <c r="A172" s="276" t="s">
        <v>1293</v>
      </c>
      <c r="B172" s="276" t="s">
        <v>1294</v>
      </c>
      <c r="C172" s="276">
        <v>13907</v>
      </c>
      <c r="D172" s="277">
        <v>1</v>
      </c>
      <c r="F172" s="277">
        <f t="shared" si="2"/>
        <v>4</v>
      </c>
    </row>
    <row r="173" spans="1:6" ht="15" customHeight="1" x14ac:dyDescent="0.2">
      <c r="A173" s="276" t="s">
        <v>1295</v>
      </c>
      <c r="B173" s="276" t="s">
        <v>1286</v>
      </c>
      <c r="C173" s="276">
        <v>40503</v>
      </c>
      <c r="D173" s="277">
        <v>1</v>
      </c>
      <c r="F173" s="277">
        <f t="shared" si="2"/>
        <v>3</v>
      </c>
    </row>
    <row r="174" spans="1:6" ht="15" customHeight="1" x14ac:dyDescent="0.2">
      <c r="A174" s="276" t="s">
        <v>1297</v>
      </c>
      <c r="B174" s="276" t="s">
        <v>1288</v>
      </c>
      <c r="C174" s="276">
        <v>63404</v>
      </c>
      <c r="D174" s="277">
        <v>1</v>
      </c>
      <c r="F174" s="277">
        <f t="shared" si="2"/>
        <v>4</v>
      </c>
    </row>
    <row r="175" spans="1:6" ht="15" customHeight="1" x14ac:dyDescent="0.2">
      <c r="A175" s="276" t="s">
        <v>1298</v>
      </c>
      <c r="B175" s="276" t="s">
        <v>1299</v>
      </c>
      <c r="C175" s="276">
        <v>41737</v>
      </c>
      <c r="D175" s="277">
        <v>1</v>
      </c>
      <c r="F175" s="277">
        <f t="shared" si="2"/>
        <v>4</v>
      </c>
    </row>
    <row r="176" spans="1:6" ht="15" customHeight="1" x14ac:dyDescent="0.2">
      <c r="A176" s="276" t="s">
        <v>1300</v>
      </c>
      <c r="B176" s="276" t="s">
        <v>1301</v>
      </c>
      <c r="C176" s="276">
        <v>41726</v>
      </c>
      <c r="D176" s="277">
        <v>1</v>
      </c>
      <c r="F176" s="277">
        <f t="shared" si="2"/>
        <v>2</v>
      </c>
    </row>
    <row r="177" spans="1:6" ht="15" customHeight="1" x14ac:dyDescent="0.2">
      <c r="A177" s="276" t="s">
        <v>1302</v>
      </c>
      <c r="B177" s="276" t="s">
        <v>1290</v>
      </c>
      <c r="C177" s="276">
        <v>41769</v>
      </c>
      <c r="D177" s="277">
        <v>1</v>
      </c>
      <c r="F177" s="277">
        <f t="shared" si="2"/>
        <v>4</v>
      </c>
    </row>
    <row r="178" spans="1:6" ht="15" customHeight="1" x14ac:dyDescent="0.2">
      <c r="A178" s="276" t="s">
        <v>1673</v>
      </c>
      <c r="B178" s="276" t="s">
        <v>1671</v>
      </c>
      <c r="C178" s="276">
        <v>45883</v>
      </c>
      <c r="D178" s="277">
        <v>1</v>
      </c>
      <c r="F178" s="277">
        <f t="shared" si="2"/>
        <v>4</v>
      </c>
    </row>
    <row r="179" spans="1:6" ht="15" customHeight="1" x14ac:dyDescent="0.2">
      <c r="A179" s="276" t="s">
        <v>1674</v>
      </c>
      <c r="B179" s="276" t="s">
        <v>1675</v>
      </c>
      <c r="C179" s="280">
        <v>51051</v>
      </c>
      <c r="D179" s="277">
        <v>1</v>
      </c>
      <c r="F179" s="277">
        <f t="shared" si="2"/>
        <v>3</v>
      </c>
    </row>
    <row r="180" spans="1:6" ht="15" customHeight="1" x14ac:dyDescent="0.2">
      <c r="A180" s="276" t="s">
        <v>1303</v>
      </c>
      <c r="B180" s="280" t="s">
        <v>1304</v>
      </c>
      <c r="C180" s="276">
        <v>42907</v>
      </c>
      <c r="D180" s="277">
        <v>1</v>
      </c>
      <c r="F180" s="277">
        <f t="shared" si="2"/>
        <v>4</v>
      </c>
    </row>
    <row r="181" spans="1:6" ht="15" customHeight="1" x14ac:dyDescent="0.2">
      <c r="A181" s="276" t="s">
        <v>1305</v>
      </c>
      <c r="B181" s="276" t="s">
        <v>1283</v>
      </c>
      <c r="C181" s="276">
        <v>50759</v>
      </c>
      <c r="D181" s="277">
        <v>1</v>
      </c>
      <c r="F181" s="277">
        <f t="shared" si="2"/>
        <v>4</v>
      </c>
    </row>
    <row r="182" spans="1:6" ht="15" customHeight="1" x14ac:dyDescent="0.2">
      <c r="A182" s="276" t="s">
        <v>1306</v>
      </c>
      <c r="B182" s="276" t="s">
        <v>1307</v>
      </c>
      <c r="C182" s="280">
        <v>43110</v>
      </c>
      <c r="D182" s="277">
        <v>1</v>
      </c>
      <c r="F182" s="277">
        <f t="shared" si="2"/>
        <v>3</v>
      </c>
    </row>
    <row r="183" spans="1:6" ht="15" customHeight="1" x14ac:dyDescent="0.2">
      <c r="A183" s="276" t="s">
        <v>1676</v>
      </c>
      <c r="B183" s="276" t="s">
        <v>1677</v>
      </c>
      <c r="C183" s="280">
        <v>39724</v>
      </c>
      <c r="D183" s="277">
        <v>1</v>
      </c>
      <c r="F183" s="277">
        <f t="shared" si="2"/>
        <v>3</v>
      </c>
    </row>
    <row r="184" spans="1:6" ht="15" customHeight="1" x14ac:dyDescent="0.2">
      <c r="A184" s="276" t="s">
        <v>1678</v>
      </c>
      <c r="B184" s="276" t="s">
        <v>1679</v>
      </c>
      <c r="C184" s="280">
        <v>39726</v>
      </c>
      <c r="D184" s="277">
        <v>1</v>
      </c>
      <c r="F184" s="277">
        <f t="shared" si="2"/>
        <v>2</v>
      </c>
    </row>
    <row r="185" spans="1:6" ht="15" customHeight="1" x14ac:dyDescent="0.2">
      <c r="A185" s="276" t="s">
        <v>1308</v>
      </c>
      <c r="B185" s="276" t="s">
        <v>1296</v>
      </c>
      <c r="C185" s="276">
        <v>62493</v>
      </c>
      <c r="D185" s="277">
        <v>1</v>
      </c>
      <c r="F185" s="277">
        <f t="shared" si="2"/>
        <v>4</v>
      </c>
    </row>
    <row r="186" spans="1:6" ht="15" customHeight="1" x14ac:dyDescent="0.2">
      <c r="A186" s="276" t="s">
        <v>1309</v>
      </c>
      <c r="B186" s="276" t="s">
        <v>1310</v>
      </c>
      <c r="C186" s="276">
        <v>45106</v>
      </c>
      <c r="D186" s="277">
        <v>1</v>
      </c>
      <c r="F186" s="277">
        <f t="shared" si="2"/>
        <v>4</v>
      </c>
    </row>
    <row r="187" spans="1:6" ht="15" customHeight="1" x14ac:dyDescent="0.2">
      <c r="A187" s="276" t="s">
        <v>1680</v>
      </c>
      <c r="B187" s="280" t="s">
        <v>1665</v>
      </c>
      <c r="C187" s="280">
        <v>45586</v>
      </c>
      <c r="D187" s="277">
        <v>1</v>
      </c>
      <c r="F187" s="277">
        <f t="shared" si="2"/>
        <v>4</v>
      </c>
    </row>
    <row r="188" spans="1:6" ht="15" customHeight="1" x14ac:dyDescent="0.2">
      <c r="A188" s="276" t="s">
        <v>1311</v>
      </c>
      <c r="B188" s="276" t="s">
        <v>1312</v>
      </c>
      <c r="C188" s="276">
        <v>67074</v>
      </c>
      <c r="D188" s="277">
        <v>1</v>
      </c>
      <c r="F188" s="277">
        <f t="shared" si="2"/>
        <v>3</v>
      </c>
    </row>
    <row r="189" spans="1:6" ht="15" customHeight="1" x14ac:dyDescent="0.2">
      <c r="A189" s="276" t="s">
        <v>1313</v>
      </c>
      <c r="B189" s="276" t="s">
        <v>1314</v>
      </c>
      <c r="C189" s="276">
        <v>41760</v>
      </c>
      <c r="D189" s="277">
        <v>1</v>
      </c>
      <c r="F189" s="277">
        <f t="shared" si="2"/>
        <v>4</v>
      </c>
    </row>
    <row r="190" spans="1:6" ht="15" customHeight="1" x14ac:dyDescent="0.2">
      <c r="A190" s="276" t="s">
        <v>1682</v>
      </c>
      <c r="B190" s="276" t="s">
        <v>1668</v>
      </c>
      <c r="C190" s="276">
        <v>45915</v>
      </c>
      <c r="D190" s="277">
        <v>1</v>
      </c>
      <c r="F190" s="277">
        <f t="shared" si="2"/>
        <v>4</v>
      </c>
    </row>
    <row r="191" spans="1:6" ht="15" customHeight="1" x14ac:dyDescent="0.2">
      <c r="A191" s="276" t="s">
        <v>1683</v>
      </c>
      <c r="B191" s="276" t="s">
        <v>1675</v>
      </c>
      <c r="C191" s="276">
        <v>51051</v>
      </c>
      <c r="D191" s="277">
        <v>1</v>
      </c>
      <c r="F191" s="277">
        <f t="shared" si="2"/>
        <v>3</v>
      </c>
    </row>
    <row r="192" spans="1:6" ht="15" customHeight="1" x14ac:dyDescent="0.2">
      <c r="A192" s="276" t="s">
        <v>1315</v>
      </c>
      <c r="B192" s="276" t="s">
        <v>1316</v>
      </c>
      <c r="C192" s="276">
        <v>42912</v>
      </c>
      <c r="D192" s="277">
        <v>1</v>
      </c>
      <c r="F192" s="277">
        <f t="shared" si="2"/>
        <v>4</v>
      </c>
    </row>
    <row r="193" spans="1:6" ht="15" customHeight="1" x14ac:dyDescent="0.2">
      <c r="A193" s="276" t="s">
        <v>1317</v>
      </c>
      <c r="B193" s="276" t="s">
        <v>1318</v>
      </c>
      <c r="C193" s="276">
        <v>43618</v>
      </c>
      <c r="D193" s="277">
        <v>1</v>
      </c>
      <c r="F193" s="277">
        <f t="shared" si="2"/>
        <v>3</v>
      </c>
    </row>
    <row r="194" spans="1:6" ht="15" customHeight="1" x14ac:dyDescent="0.2">
      <c r="A194" s="276" t="s">
        <v>1319</v>
      </c>
      <c r="B194" s="276" t="s">
        <v>1283</v>
      </c>
      <c r="C194" s="276">
        <v>50759</v>
      </c>
      <c r="D194" s="277">
        <v>1</v>
      </c>
      <c r="F194" s="277">
        <f t="shared" si="2"/>
        <v>4</v>
      </c>
    </row>
    <row r="195" spans="1:6" ht="15" customHeight="1" x14ac:dyDescent="0.2">
      <c r="A195" s="276" t="s">
        <v>1684</v>
      </c>
      <c r="B195" s="276" t="s">
        <v>1677</v>
      </c>
      <c r="C195" s="276">
        <v>39724</v>
      </c>
      <c r="D195" s="277">
        <v>1</v>
      </c>
      <c r="F195" s="277">
        <f t="shared" ref="F195:F258" si="3">COUNTIF(C:C,C195)</f>
        <v>3</v>
      </c>
    </row>
    <row r="196" spans="1:6" ht="15" customHeight="1" x14ac:dyDescent="0.2">
      <c r="A196" s="276" t="s">
        <v>1685</v>
      </c>
      <c r="B196" s="276" t="s">
        <v>1686</v>
      </c>
      <c r="C196" s="280">
        <v>57086</v>
      </c>
      <c r="D196" s="277">
        <v>1</v>
      </c>
      <c r="F196" s="277">
        <f t="shared" si="3"/>
        <v>2</v>
      </c>
    </row>
    <row r="197" spans="1:6" ht="15" customHeight="1" x14ac:dyDescent="0.2">
      <c r="A197" s="276" t="s">
        <v>1100</v>
      </c>
      <c r="B197" s="276" t="s">
        <v>1266</v>
      </c>
      <c r="C197" s="276">
        <v>45112</v>
      </c>
      <c r="D197" s="277">
        <v>1</v>
      </c>
      <c r="F197" s="277">
        <f t="shared" si="3"/>
        <v>3</v>
      </c>
    </row>
    <row r="198" spans="1:6" ht="15" customHeight="1" x14ac:dyDescent="0.2">
      <c r="A198" s="276" t="s">
        <v>1687</v>
      </c>
      <c r="B198" s="276" t="s">
        <v>1665</v>
      </c>
      <c r="C198" s="280">
        <v>45586</v>
      </c>
      <c r="D198" s="277">
        <v>1</v>
      </c>
      <c r="F198" s="277">
        <f t="shared" si="3"/>
        <v>4</v>
      </c>
    </row>
    <row r="199" spans="1:6" ht="15" customHeight="1" x14ac:dyDescent="0.2">
      <c r="A199" s="276" t="s">
        <v>1320</v>
      </c>
      <c r="B199" s="276" t="s">
        <v>1288</v>
      </c>
      <c r="C199" s="280">
        <v>63404</v>
      </c>
      <c r="D199" s="277">
        <v>1</v>
      </c>
      <c r="F199" s="277">
        <f t="shared" si="3"/>
        <v>4</v>
      </c>
    </row>
    <row r="200" spans="1:6" ht="15" customHeight="1" x14ac:dyDescent="0.2">
      <c r="A200" s="276" t="s">
        <v>1688</v>
      </c>
      <c r="B200" s="280" t="s">
        <v>1689</v>
      </c>
      <c r="C200" s="276">
        <v>57784</v>
      </c>
      <c r="D200" s="277">
        <v>1</v>
      </c>
      <c r="F200" s="277">
        <f t="shared" si="3"/>
        <v>3</v>
      </c>
    </row>
    <row r="201" spans="1:6" ht="15" customHeight="1" x14ac:dyDescent="0.2">
      <c r="A201" s="276" t="s">
        <v>1690</v>
      </c>
      <c r="B201" s="276" t="s">
        <v>1691</v>
      </c>
      <c r="C201" s="276">
        <v>45866</v>
      </c>
      <c r="D201" s="277">
        <v>1</v>
      </c>
      <c r="F201" s="277">
        <f t="shared" si="3"/>
        <v>1</v>
      </c>
    </row>
    <row r="202" spans="1:6" ht="15" customHeight="1" x14ac:dyDescent="0.2">
      <c r="A202" s="276" t="s">
        <v>1321</v>
      </c>
      <c r="B202" s="276" t="s">
        <v>1316</v>
      </c>
      <c r="C202" s="280">
        <v>42912</v>
      </c>
      <c r="D202" s="277">
        <v>1</v>
      </c>
      <c r="F202" s="277">
        <f t="shared" si="3"/>
        <v>4</v>
      </c>
    </row>
    <row r="203" spans="1:6" ht="15" customHeight="1" x14ac:dyDescent="0.2">
      <c r="A203" s="276" t="s">
        <v>1322</v>
      </c>
      <c r="B203" s="276" t="s">
        <v>1304</v>
      </c>
      <c r="C203" s="276">
        <v>42907</v>
      </c>
      <c r="D203" s="277">
        <v>1</v>
      </c>
      <c r="F203" s="277">
        <f t="shared" si="3"/>
        <v>4</v>
      </c>
    </row>
    <row r="204" spans="1:6" ht="15" customHeight="1" x14ac:dyDescent="0.2">
      <c r="A204" s="276" t="s">
        <v>1323</v>
      </c>
      <c r="B204" s="276" t="s">
        <v>1292</v>
      </c>
      <c r="C204" s="276">
        <v>40069</v>
      </c>
      <c r="D204" s="277">
        <v>1</v>
      </c>
      <c r="F204" s="277">
        <f t="shared" si="3"/>
        <v>4</v>
      </c>
    </row>
    <row r="205" spans="1:6" ht="15" customHeight="1" x14ac:dyDescent="0.2">
      <c r="A205" s="276" t="s">
        <v>1324</v>
      </c>
      <c r="B205" s="276" t="s">
        <v>1325</v>
      </c>
      <c r="C205" s="280">
        <v>51039</v>
      </c>
      <c r="D205" s="277">
        <v>0</v>
      </c>
      <c r="F205" s="277">
        <f t="shared" si="3"/>
        <v>2</v>
      </c>
    </row>
    <row r="206" spans="1:6" ht="15" customHeight="1" x14ac:dyDescent="0.2">
      <c r="A206" s="276" t="s">
        <v>1692</v>
      </c>
      <c r="B206" s="280" t="s">
        <v>1677</v>
      </c>
      <c r="C206" s="280">
        <v>39724</v>
      </c>
      <c r="D206" s="277">
        <v>1</v>
      </c>
      <c r="F206" s="277">
        <f t="shared" si="3"/>
        <v>3</v>
      </c>
    </row>
    <row r="207" spans="1:6" ht="15" customHeight="1" x14ac:dyDescent="0.2">
      <c r="A207" s="276" t="s">
        <v>1693</v>
      </c>
      <c r="B207" s="280" t="s">
        <v>1694</v>
      </c>
      <c r="C207" s="280">
        <v>62388</v>
      </c>
      <c r="D207" s="277">
        <v>1</v>
      </c>
      <c r="F207" s="277">
        <f t="shared" si="3"/>
        <v>1</v>
      </c>
    </row>
    <row r="208" spans="1:6" ht="15" customHeight="1" x14ac:dyDescent="0.2">
      <c r="A208" s="276" t="s">
        <v>1326</v>
      </c>
      <c r="B208" s="280" t="s">
        <v>1310</v>
      </c>
      <c r="C208" s="280">
        <v>45106</v>
      </c>
      <c r="D208" s="277">
        <v>1</v>
      </c>
      <c r="F208" s="277">
        <f t="shared" si="3"/>
        <v>4</v>
      </c>
    </row>
    <row r="209" spans="1:6" ht="15" customHeight="1" x14ac:dyDescent="0.2">
      <c r="A209" s="276" t="s">
        <v>1327</v>
      </c>
      <c r="B209" s="280" t="s">
        <v>1286</v>
      </c>
      <c r="C209" s="280">
        <v>40503</v>
      </c>
      <c r="D209" s="277">
        <v>1</v>
      </c>
      <c r="F209" s="277">
        <f t="shared" si="3"/>
        <v>3</v>
      </c>
    </row>
    <row r="210" spans="1:6" ht="15" customHeight="1" x14ac:dyDescent="0.2">
      <c r="A210" s="276" t="s">
        <v>1328</v>
      </c>
      <c r="B210" s="280" t="s">
        <v>1299</v>
      </c>
      <c r="C210" s="280">
        <v>41737</v>
      </c>
      <c r="D210" s="277">
        <v>1</v>
      </c>
      <c r="F210" s="277">
        <f t="shared" si="3"/>
        <v>4</v>
      </c>
    </row>
    <row r="211" spans="1:6" ht="15" customHeight="1" x14ac:dyDescent="0.2">
      <c r="A211" s="276" t="s">
        <v>1329</v>
      </c>
      <c r="B211" s="276" t="s">
        <v>1314</v>
      </c>
      <c r="C211" s="276">
        <v>41760</v>
      </c>
      <c r="D211" s="277">
        <v>1</v>
      </c>
      <c r="F211" s="277">
        <f t="shared" si="3"/>
        <v>4</v>
      </c>
    </row>
    <row r="212" spans="1:6" ht="15" customHeight="1" x14ac:dyDescent="0.2">
      <c r="A212" s="276" t="s">
        <v>1695</v>
      </c>
      <c r="B212" s="276" t="s">
        <v>1689</v>
      </c>
      <c r="C212" s="276">
        <v>57784</v>
      </c>
      <c r="D212" s="277">
        <v>1</v>
      </c>
      <c r="F212" s="277">
        <f t="shared" si="3"/>
        <v>3</v>
      </c>
    </row>
    <row r="213" spans="1:6" ht="15" customHeight="1" x14ac:dyDescent="0.2">
      <c r="A213" s="276" t="s">
        <v>1696</v>
      </c>
      <c r="B213" s="276" t="s">
        <v>1668</v>
      </c>
      <c r="C213" s="276">
        <v>45915</v>
      </c>
      <c r="D213" s="277">
        <v>1</v>
      </c>
      <c r="F213" s="277">
        <f t="shared" si="3"/>
        <v>4</v>
      </c>
    </row>
    <row r="214" spans="1:6" ht="15" customHeight="1" x14ac:dyDescent="0.2">
      <c r="A214" s="276" t="s">
        <v>1330</v>
      </c>
      <c r="B214" s="280" t="s">
        <v>1316</v>
      </c>
      <c r="C214" s="280">
        <v>42912</v>
      </c>
      <c r="D214" s="277">
        <v>1</v>
      </c>
      <c r="F214" s="277">
        <f t="shared" si="3"/>
        <v>4</v>
      </c>
    </row>
    <row r="215" spans="1:6" ht="15" customHeight="1" x14ac:dyDescent="0.2">
      <c r="A215" s="276" t="s">
        <v>1331</v>
      </c>
      <c r="B215" s="276" t="s">
        <v>1280</v>
      </c>
      <c r="C215" s="276">
        <v>42917</v>
      </c>
      <c r="D215" s="277">
        <v>1</v>
      </c>
      <c r="F215" s="277">
        <f t="shared" si="3"/>
        <v>2</v>
      </c>
    </row>
    <row r="216" spans="1:6" ht="15" customHeight="1" x14ac:dyDescent="0.2">
      <c r="A216" s="276" t="s">
        <v>1332</v>
      </c>
      <c r="B216" s="280" t="s">
        <v>1307</v>
      </c>
      <c r="C216" s="280">
        <v>43110</v>
      </c>
      <c r="D216" s="277">
        <v>1</v>
      </c>
      <c r="F216" s="277">
        <f t="shared" si="3"/>
        <v>3</v>
      </c>
    </row>
    <row r="217" spans="1:6" ht="15" customHeight="1" x14ac:dyDescent="0.2">
      <c r="A217" s="276" t="s">
        <v>1333</v>
      </c>
      <c r="B217" s="280" t="s">
        <v>1262</v>
      </c>
      <c r="C217" s="280">
        <v>57400</v>
      </c>
      <c r="D217" s="277">
        <v>1</v>
      </c>
      <c r="F217" s="277">
        <f t="shared" si="3"/>
        <v>4</v>
      </c>
    </row>
    <row r="218" spans="1:6" ht="15" customHeight="1" x14ac:dyDescent="0.2">
      <c r="A218" s="276" t="s">
        <v>1697</v>
      </c>
      <c r="B218" s="280" t="s">
        <v>1686</v>
      </c>
      <c r="C218" s="280">
        <v>57086</v>
      </c>
      <c r="D218" s="277">
        <v>1</v>
      </c>
      <c r="F218" s="277">
        <f t="shared" si="3"/>
        <v>2</v>
      </c>
    </row>
    <row r="219" spans="1:6" ht="15" customHeight="1" x14ac:dyDescent="0.2">
      <c r="A219" s="276" t="s">
        <v>1101</v>
      </c>
      <c r="B219" s="276" t="s">
        <v>1296</v>
      </c>
      <c r="C219" s="276">
        <v>62493</v>
      </c>
      <c r="D219" s="277">
        <v>1</v>
      </c>
      <c r="F219" s="277">
        <f t="shared" si="3"/>
        <v>4</v>
      </c>
    </row>
    <row r="220" spans="1:6" ht="15" customHeight="1" x14ac:dyDescent="0.2">
      <c r="A220" s="276" t="s">
        <v>1334</v>
      </c>
      <c r="B220" s="280" t="s">
        <v>1266</v>
      </c>
      <c r="C220" s="280">
        <v>45112</v>
      </c>
      <c r="D220" s="277">
        <v>1</v>
      </c>
      <c r="F220" s="277">
        <f t="shared" si="3"/>
        <v>3</v>
      </c>
    </row>
    <row r="221" spans="1:6" ht="15" customHeight="1" x14ac:dyDescent="0.2">
      <c r="A221" s="276" t="s">
        <v>1698</v>
      </c>
      <c r="B221" s="280" t="s">
        <v>1656</v>
      </c>
      <c r="C221" s="280">
        <v>45587</v>
      </c>
      <c r="D221" s="277">
        <v>1</v>
      </c>
      <c r="F221" s="277">
        <f t="shared" si="3"/>
        <v>4</v>
      </c>
    </row>
    <row r="222" spans="1:6" ht="15" customHeight="1" x14ac:dyDescent="0.2">
      <c r="A222" s="276" t="s">
        <v>1699</v>
      </c>
      <c r="B222" s="280" t="s">
        <v>1700</v>
      </c>
      <c r="C222" s="280">
        <v>62646</v>
      </c>
      <c r="D222" s="277">
        <v>1</v>
      </c>
      <c r="F222" s="277">
        <f t="shared" si="3"/>
        <v>3</v>
      </c>
    </row>
    <row r="223" spans="1:6" ht="15" customHeight="1" x14ac:dyDescent="0.2">
      <c r="A223" s="276" t="s">
        <v>1335</v>
      </c>
      <c r="B223" s="280" t="s">
        <v>1314</v>
      </c>
      <c r="C223" s="280">
        <v>41760</v>
      </c>
      <c r="D223" s="277">
        <v>1</v>
      </c>
      <c r="F223" s="277">
        <f t="shared" si="3"/>
        <v>4</v>
      </c>
    </row>
    <row r="224" spans="1:6" ht="15" customHeight="1" x14ac:dyDescent="0.2">
      <c r="A224" s="276" t="s">
        <v>1336</v>
      </c>
      <c r="B224" s="276" t="s">
        <v>1299</v>
      </c>
      <c r="C224" s="276">
        <v>41737</v>
      </c>
      <c r="D224" s="277">
        <v>1</v>
      </c>
      <c r="F224" s="277">
        <f t="shared" si="3"/>
        <v>4</v>
      </c>
    </row>
    <row r="225" spans="1:6" ht="15" customHeight="1" x14ac:dyDescent="0.2">
      <c r="A225" s="276" t="s">
        <v>1701</v>
      </c>
      <c r="B225" s="276" t="s">
        <v>1660</v>
      </c>
      <c r="C225" s="276">
        <v>57703</v>
      </c>
      <c r="D225" s="277">
        <v>1</v>
      </c>
      <c r="F225" s="277">
        <f t="shared" si="3"/>
        <v>3</v>
      </c>
    </row>
    <row r="226" spans="1:6" ht="15" customHeight="1" x14ac:dyDescent="0.2">
      <c r="A226" s="276" t="s">
        <v>1702</v>
      </c>
      <c r="B226" s="276" t="s">
        <v>1703</v>
      </c>
      <c r="C226" s="276">
        <v>51050</v>
      </c>
      <c r="D226" s="277">
        <v>1</v>
      </c>
      <c r="F226" s="277">
        <f t="shared" si="3"/>
        <v>3</v>
      </c>
    </row>
    <row r="227" spans="1:6" ht="15" customHeight="1" x14ac:dyDescent="0.2">
      <c r="A227" s="276" t="s">
        <v>1337</v>
      </c>
      <c r="B227" s="280" t="s">
        <v>1338</v>
      </c>
      <c r="C227" s="280">
        <v>63376</v>
      </c>
      <c r="D227" s="277">
        <v>0</v>
      </c>
      <c r="F227" s="277">
        <f t="shared" si="3"/>
        <v>2</v>
      </c>
    </row>
    <row r="228" spans="1:6" ht="15" customHeight="1" x14ac:dyDescent="0.2">
      <c r="A228" s="276" t="s">
        <v>1339</v>
      </c>
      <c r="B228" s="276" t="s">
        <v>1272</v>
      </c>
      <c r="C228" s="276">
        <v>45110</v>
      </c>
      <c r="D228" s="277">
        <v>1</v>
      </c>
      <c r="F228" s="277">
        <f t="shared" si="3"/>
        <v>3</v>
      </c>
    </row>
    <row r="229" spans="1:6" ht="15" customHeight="1" x14ac:dyDescent="0.2">
      <c r="A229" s="276" t="s">
        <v>1340</v>
      </c>
      <c r="B229" s="276" t="s">
        <v>1310</v>
      </c>
      <c r="C229" s="276">
        <v>45106</v>
      </c>
      <c r="D229" s="277">
        <v>1</v>
      </c>
      <c r="F229" s="277">
        <f t="shared" si="3"/>
        <v>4</v>
      </c>
    </row>
    <row r="230" spans="1:6" ht="15" customHeight="1" x14ac:dyDescent="0.2">
      <c r="A230" s="276" t="s">
        <v>1808</v>
      </c>
      <c r="B230" s="276" t="s">
        <v>1312</v>
      </c>
      <c r="C230" s="276">
        <v>67074</v>
      </c>
      <c r="D230" s="277">
        <v>1</v>
      </c>
      <c r="F230" s="277">
        <f t="shared" si="3"/>
        <v>3</v>
      </c>
    </row>
    <row r="231" spans="1:6" ht="15" customHeight="1" x14ac:dyDescent="0.2">
      <c r="A231" s="276" t="s">
        <v>1809</v>
      </c>
      <c r="B231" s="276" t="s">
        <v>1290</v>
      </c>
      <c r="C231" s="276">
        <v>41769</v>
      </c>
      <c r="D231" s="277">
        <v>1</v>
      </c>
      <c r="F231" s="277">
        <f t="shared" si="3"/>
        <v>4</v>
      </c>
    </row>
    <row r="232" spans="1:6" ht="15" customHeight="1" x14ac:dyDescent="0.2">
      <c r="A232" s="276" t="s">
        <v>1704</v>
      </c>
      <c r="B232" s="276" t="s">
        <v>1671</v>
      </c>
      <c r="C232" s="276">
        <v>45883</v>
      </c>
      <c r="D232" s="277">
        <v>1</v>
      </c>
      <c r="F232" s="277">
        <f t="shared" si="3"/>
        <v>4</v>
      </c>
    </row>
    <row r="233" spans="1:6" ht="15" customHeight="1" x14ac:dyDescent="0.2">
      <c r="A233" s="276" t="s">
        <v>1341</v>
      </c>
      <c r="B233" s="276" t="s">
        <v>1278</v>
      </c>
      <c r="C233" s="276">
        <v>42919</v>
      </c>
      <c r="D233" s="277">
        <v>1</v>
      </c>
      <c r="F233" s="277">
        <f t="shared" si="3"/>
        <v>4</v>
      </c>
    </row>
    <row r="234" spans="1:6" ht="15" customHeight="1" x14ac:dyDescent="0.2">
      <c r="A234" s="276" t="s">
        <v>1342</v>
      </c>
      <c r="B234" s="280" t="s">
        <v>1268</v>
      </c>
      <c r="C234" s="280">
        <v>42914</v>
      </c>
      <c r="D234" s="277">
        <v>1</v>
      </c>
      <c r="F234" s="277">
        <f t="shared" si="3"/>
        <v>4</v>
      </c>
    </row>
    <row r="235" spans="1:6" ht="15" customHeight="1" x14ac:dyDescent="0.2">
      <c r="A235" s="276" t="s">
        <v>1343</v>
      </c>
      <c r="B235" s="276" t="s">
        <v>1292</v>
      </c>
      <c r="C235" s="276">
        <v>40069</v>
      </c>
      <c r="D235" s="277">
        <v>1</v>
      </c>
      <c r="F235" s="277">
        <f t="shared" si="3"/>
        <v>4</v>
      </c>
    </row>
    <row r="236" spans="1:6" ht="15" customHeight="1" x14ac:dyDescent="0.2">
      <c r="A236" s="276" t="s">
        <v>1344</v>
      </c>
      <c r="B236" s="276" t="s">
        <v>1294</v>
      </c>
      <c r="C236" s="276">
        <v>13907</v>
      </c>
      <c r="D236" s="277">
        <v>1</v>
      </c>
      <c r="F236" s="277">
        <f t="shared" si="3"/>
        <v>4</v>
      </c>
    </row>
    <row r="237" spans="1:6" ht="15" customHeight="1" x14ac:dyDescent="0.2">
      <c r="A237" s="276" t="s">
        <v>1345</v>
      </c>
      <c r="B237" s="276" t="s">
        <v>1296</v>
      </c>
      <c r="C237" s="276">
        <v>62493</v>
      </c>
      <c r="D237" s="277">
        <v>1</v>
      </c>
      <c r="F237" s="277">
        <f t="shared" si="3"/>
        <v>4</v>
      </c>
    </row>
    <row r="238" spans="1:6" ht="15" customHeight="1" x14ac:dyDescent="0.2">
      <c r="A238" s="276" t="s">
        <v>1346</v>
      </c>
      <c r="B238" s="276" t="s">
        <v>1272</v>
      </c>
      <c r="C238" s="276">
        <v>45110</v>
      </c>
      <c r="D238" s="277">
        <v>1</v>
      </c>
      <c r="F238" s="277">
        <f t="shared" si="3"/>
        <v>3</v>
      </c>
    </row>
    <row r="239" spans="1:6" ht="15" customHeight="1" x14ac:dyDescent="0.2">
      <c r="A239" s="276" t="s">
        <v>1810</v>
      </c>
      <c r="B239" s="276" t="s">
        <v>1681</v>
      </c>
      <c r="C239" s="276">
        <v>62641</v>
      </c>
      <c r="D239" s="277">
        <v>1</v>
      </c>
      <c r="F239" s="277">
        <f t="shared" si="3"/>
        <v>2</v>
      </c>
    </row>
    <row r="240" spans="1:6" ht="15" customHeight="1" x14ac:dyDescent="0.2">
      <c r="A240" s="276" t="s">
        <v>1347</v>
      </c>
      <c r="B240" s="280" t="s">
        <v>1348</v>
      </c>
      <c r="C240" s="280">
        <v>66301</v>
      </c>
      <c r="D240" s="277">
        <v>1</v>
      </c>
      <c r="F240" s="277">
        <f t="shared" si="3"/>
        <v>1</v>
      </c>
    </row>
    <row r="241" spans="1:6" ht="15" customHeight="1" x14ac:dyDescent="0.2">
      <c r="A241" s="276" t="s">
        <v>1811</v>
      </c>
      <c r="B241" s="276" t="s">
        <v>1363</v>
      </c>
      <c r="C241" s="276">
        <v>41747</v>
      </c>
      <c r="D241" s="277">
        <v>1</v>
      </c>
      <c r="F241" s="277">
        <f t="shared" si="3"/>
        <v>3</v>
      </c>
    </row>
    <row r="242" spans="1:6" ht="15" customHeight="1" x14ac:dyDescent="0.2">
      <c r="A242" s="276" t="s">
        <v>1349</v>
      </c>
      <c r="B242" s="276" t="s">
        <v>1304</v>
      </c>
      <c r="C242" s="276">
        <v>42907</v>
      </c>
      <c r="D242" s="277">
        <v>1</v>
      </c>
      <c r="F242" s="277">
        <f t="shared" si="3"/>
        <v>4</v>
      </c>
    </row>
    <row r="243" spans="1:6" ht="15" customHeight="1" x14ac:dyDescent="0.2">
      <c r="A243" s="276" t="s">
        <v>1350</v>
      </c>
      <c r="B243" s="276" t="s">
        <v>1270</v>
      </c>
      <c r="C243" s="276">
        <v>58043</v>
      </c>
      <c r="D243" s="277">
        <v>1</v>
      </c>
      <c r="F243" s="277">
        <f t="shared" si="3"/>
        <v>2</v>
      </c>
    </row>
    <row r="244" spans="1:6" ht="15" customHeight="1" x14ac:dyDescent="0.2">
      <c r="A244" s="276" t="s">
        <v>1351</v>
      </c>
      <c r="B244" s="276" t="s">
        <v>1318</v>
      </c>
      <c r="C244" s="276">
        <v>43618</v>
      </c>
      <c r="D244" s="277">
        <v>1</v>
      </c>
      <c r="F244" s="277">
        <f t="shared" si="3"/>
        <v>3</v>
      </c>
    </row>
    <row r="245" spans="1:6" ht="15" customHeight="1" x14ac:dyDescent="0.2">
      <c r="A245" s="276" t="s">
        <v>1705</v>
      </c>
      <c r="B245" s="276" t="s">
        <v>1706</v>
      </c>
      <c r="C245" s="276">
        <v>69570</v>
      </c>
      <c r="D245" s="277">
        <v>1</v>
      </c>
      <c r="F245" s="277">
        <f t="shared" si="3"/>
        <v>1</v>
      </c>
    </row>
    <row r="246" spans="1:6" ht="15" customHeight="1" x14ac:dyDescent="0.2">
      <c r="A246" s="276" t="s">
        <v>1707</v>
      </c>
      <c r="B246" s="276" t="s">
        <v>1700</v>
      </c>
      <c r="C246" s="280">
        <v>62646</v>
      </c>
      <c r="D246" s="277">
        <v>1</v>
      </c>
      <c r="F246" s="277">
        <f t="shared" si="3"/>
        <v>3</v>
      </c>
    </row>
    <row r="247" spans="1:6" ht="15" customHeight="1" x14ac:dyDescent="0.2">
      <c r="A247" s="276" t="s">
        <v>1708</v>
      </c>
      <c r="B247" s="276" t="s">
        <v>1709</v>
      </c>
      <c r="C247" s="276">
        <v>69762</v>
      </c>
      <c r="D247" s="277">
        <v>1</v>
      </c>
      <c r="F247" s="277">
        <f t="shared" si="3"/>
        <v>1</v>
      </c>
    </row>
    <row r="248" spans="1:6" ht="15" customHeight="1" x14ac:dyDescent="0.2">
      <c r="A248" s="276" t="s">
        <v>1352</v>
      </c>
      <c r="B248" s="276" t="s">
        <v>1353</v>
      </c>
      <c r="C248" s="276">
        <v>41757</v>
      </c>
      <c r="D248" s="277">
        <v>1</v>
      </c>
      <c r="F248" s="277">
        <f t="shared" si="3"/>
        <v>1</v>
      </c>
    </row>
    <row r="249" spans="1:6" ht="15" customHeight="1" x14ac:dyDescent="0.2">
      <c r="A249" s="276" t="s">
        <v>1354</v>
      </c>
      <c r="B249" s="276" t="s">
        <v>1355</v>
      </c>
      <c r="C249" s="276">
        <v>41752</v>
      </c>
      <c r="D249" s="277">
        <v>0</v>
      </c>
      <c r="F249" s="277">
        <f t="shared" si="3"/>
        <v>1</v>
      </c>
    </row>
    <row r="250" spans="1:6" ht="15" customHeight="1" x14ac:dyDescent="0.2">
      <c r="A250" s="276" t="s">
        <v>1710</v>
      </c>
      <c r="B250" s="276" t="s">
        <v>1663</v>
      </c>
      <c r="C250" s="276">
        <v>45880</v>
      </c>
      <c r="D250" s="277">
        <v>1</v>
      </c>
      <c r="F250" s="277">
        <f t="shared" si="3"/>
        <v>4</v>
      </c>
    </row>
    <row r="251" spans="1:6" ht="15" customHeight="1" x14ac:dyDescent="0.2">
      <c r="A251" s="276" t="s">
        <v>1711</v>
      </c>
      <c r="B251" s="276" t="s">
        <v>1703</v>
      </c>
      <c r="C251" s="276">
        <v>51050</v>
      </c>
      <c r="D251" s="277">
        <v>1</v>
      </c>
      <c r="F251" s="277">
        <f t="shared" si="3"/>
        <v>3</v>
      </c>
    </row>
    <row r="252" spans="1:6" ht="15" customHeight="1" x14ac:dyDescent="0.2">
      <c r="A252" s="276" t="s">
        <v>1356</v>
      </c>
      <c r="B252" s="276" t="s">
        <v>1278</v>
      </c>
      <c r="C252" s="280">
        <v>42919</v>
      </c>
      <c r="D252" s="277">
        <v>1</v>
      </c>
      <c r="F252" s="277">
        <f t="shared" si="3"/>
        <v>4</v>
      </c>
    </row>
    <row r="253" spans="1:6" ht="15" customHeight="1" x14ac:dyDescent="0.2">
      <c r="A253" s="276" t="s">
        <v>1357</v>
      </c>
      <c r="B253" s="276" t="s">
        <v>1268</v>
      </c>
      <c r="C253" s="276">
        <v>42914</v>
      </c>
      <c r="D253" s="277">
        <v>1</v>
      </c>
      <c r="F253" s="277">
        <f t="shared" si="3"/>
        <v>4</v>
      </c>
    </row>
    <row r="254" spans="1:6" ht="15" customHeight="1" x14ac:dyDescent="0.2">
      <c r="A254" s="276" t="s">
        <v>1358</v>
      </c>
      <c r="B254" s="280" t="s">
        <v>1294</v>
      </c>
      <c r="C254" s="280">
        <v>13907</v>
      </c>
      <c r="D254" s="277">
        <v>1</v>
      </c>
      <c r="F254" s="277">
        <f t="shared" si="3"/>
        <v>4</v>
      </c>
    </row>
    <row r="255" spans="1:6" ht="15" customHeight="1" x14ac:dyDescent="0.2">
      <c r="A255" s="276" t="s">
        <v>1712</v>
      </c>
      <c r="B255" s="276" t="s">
        <v>1679</v>
      </c>
      <c r="C255" s="280">
        <v>39726</v>
      </c>
      <c r="D255" s="277">
        <v>1</v>
      </c>
      <c r="F255" s="277">
        <f t="shared" si="3"/>
        <v>2</v>
      </c>
    </row>
    <row r="256" spans="1:6" ht="15" customHeight="1" x14ac:dyDescent="0.2">
      <c r="A256" s="276" t="s">
        <v>1359</v>
      </c>
      <c r="B256" s="280" t="s">
        <v>1276</v>
      </c>
      <c r="C256" s="276">
        <v>41741</v>
      </c>
      <c r="D256" s="277">
        <v>1</v>
      </c>
      <c r="F256" s="277">
        <f t="shared" si="3"/>
        <v>3</v>
      </c>
    </row>
    <row r="257" spans="1:6" ht="15" customHeight="1" x14ac:dyDescent="0.2">
      <c r="A257" s="276" t="s">
        <v>1360</v>
      </c>
      <c r="B257" s="276" t="s">
        <v>1361</v>
      </c>
      <c r="C257" s="276">
        <v>41734</v>
      </c>
      <c r="D257" s="277">
        <v>1</v>
      </c>
      <c r="F257" s="277">
        <f t="shared" si="3"/>
        <v>1</v>
      </c>
    </row>
    <row r="258" spans="1:6" ht="15" customHeight="1" x14ac:dyDescent="0.2">
      <c r="A258" s="276" t="s">
        <v>1362</v>
      </c>
      <c r="B258" s="276" t="s">
        <v>1363</v>
      </c>
      <c r="C258" s="276">
        <v>41747</v>
      </c>
      <c r="D258" s="277">
        <v>1</v>
      </c>
      <c r="F258" s="277">
        <f t="shared" si="3"/>
        <v>3</v>
      </c>
    </row>
    <row r="259" spans="1:6" ht="15" customHeight="1" x14ac:dyDescent="0.2">
      <c r="A259" s="276" t="s">
        <v>1713</v>
      </c>
      <c r="B259" s="276" t="s">
        <v>1663</v>
      </c>
      <c r="C259" s="276">
        <v>45880</v>
      </c>
      <c r="D259" s="277">
        <v>1</v>
      </c>
      <c r="F259" s="277">
        <f t="shared" ref="F259:F322" si="4">COUNTIF(C:C,C259)</f>
        <v>4</v>
      </c>
    </row>
    <row r="260" spans="1:6" ht="15" customHeight="1" x14ac:dyDescent="0.2">
      <c r="A260" s="276" t="s">
        <v>1364</v>
      </c>
      <c r="B260" s="276" t="s">
        <v>1304</v>
      </c>
      <c r="C260" s="276">
        <v>42907</v>
      </c>
      <c r="D260" s="277">
        <v>1</v>
      </c>
      <c r="F260" s="277">
        <f t="shared" si="4"/>
        <v>4</v>
      </c>
    </row>
    <row r="261" spans="1:6" ht="15" customHeight="1" x14ac:dyDescent="0.2">
      <c r="A261" s="276" t="s">
        <v>1365</v>
      </c>
      <c r="B261" s="276" t="s">
        <v>1292</v>
      </c>
      <c r="C261" s="276">
        <v>40069</v>
      </c>
      <c r="D261" s="277">
        <v>1</v>
      </c>
      <c r="F261" s="277">
        <f t="shared" si="4"/>
        <v>4</v>
      </c>
    </row>
    <row r="262" spans="1:6" ht="15" customHeight="1" x14ac:dyDescent="0.2">
      <c r="A262" s="276" t="s">
        <v>1366</v>
      </c>
      <c r="B262" s="276" t="s">
        <v>1301</v>
      </c>
      <c r="C262" s="276">
        <v>41726</v>
      </c>
      <c r="D262" s="277">
        <v>1</v>
      </c>
      <c r="F262" s="277">
        <f t="shared" si="4"/>
        <v>2</v>
      </c>
    </row>
    <row r="263" spans="1:6" ht="15" customHeight="1" x14ac:dyDescent="0.2">
      <c r="A263" s="276" t="s">
        <v>1714</v>
      </c>
      <c r="B263" s="276" t="s">
        <v>1658</v>
      </c>
      <c r="C263" s="276">
        <v>45916</v>
      </c>
      <c r="D263" s="277">
        <v>1</v>
      </c>
      <c r="F263" s="277">
        <f t="shared" si="4"/>
        <v>4</v>
      </c>
    </row>
    <row r="264" spans="1:6" ht="15" customHeight="1" x14ac:dyDescent="0.2">
      <c r="A264" s="276" t="s">
        <v>1367</v>
      </c>
      <c r="B264" s="276" t="s">
        <v>1268</v>
      </c>
      <c r="C264" s="276">
        <v>42914</v>
      </c>
      <c r="D264" s="277">
        <v>1</v>
      </c>
      <c r="F264" s="277">
        <f t="shared" si="4"/>
        <v>4</v>
      </c>
    </row>
    <row r="265" spans="1:6" ht="15" customHeight="1" x14ac:dyDescent="0.2">
      <c r="A265" s="276" t="s">
        <v>1368</v>
      </c>
      <c r="B265" s="276" t="s">
        <v>1325</v>
      </c>
      <c r="C265" s="276">
        <v>51039</v>
      </c>
      <c r="D265" s="277">
        <v>0</v>
      </c>
      <c r="F265" s="277">
        <f t="shared" si="4"/>
        <v>2</v>
      </c>
    </row>
    <row r="266" spans="1:6" ht="15" customHeight="1" x14ac:dyDescent="0.2">
      <c r="A266" s="276" t="s">
        <v>1369</v>
      </c>
      <c r="B266" s="276" t="s">
        <v>1276</v>
      </c>
      <c r="C266" s="276">
        <v>41741</v>
      </c>
      <c r="D266" s="277">
        <v>1</v>
      </c>
      <c r="F266" s="277">
        <f t="shared" si="4"/>
        <v>3</v>
      </c>
    </row>
    <row r="267" spans="1:6" ht="15" customHeight="1" x14ac:dyDescent="0.2">
      <c r="A267" s="276" t="s">
        <v>1715</v>
      </c>
      <c r="B267" s="276" t="s">
        <v>1675</v>
      </c>
      <c r="C267" s="276">
        <v>51051</v>
      </c>
      <c r="D267" s="277">
        <v>1</v>
      </c>
      <c r="F267" s="277">
        <f t="shared" si="4"/>
        <v>3</v>
      </c>
    </row>
    <row r="268" spans="1:6" ht="15" customHeight="1" x14ac:dyDescent="0.2">
      <c r="A268" s="276" t="s">
        <v>1370</v>
      </c>
      <c r="B268" s="276" t="s">
        <v>1278</v>
      </c>
      <c r="C268" s="276">
        <v>42919</v>
      </c>
      <c r="D268" s="277">
        <v>1</v>
      </c>
      <c r="F268" s="277">
        <f t="shared" si="4"/>
        <v>4</v>
      </c>
    </row>
    <row r="269" spans="1:6" ht="15" customHeight="1" x14ac:dyDescent="0.2">
      <c r="A269" s="276" t="s">
        <v>1371</v>
      </c>
      <c r="B269" s="276" t="s">
        <v>1294</v>
      </c>
      <c r="C269" s="276">
        <v>13907</v>
      </c>
      <c r="D269" s="277">
        <v>1</v>
      </c>
      <c r="F269" s="277">
        <f t="shared" si="4"/>
        <v>4</v>
      </c>
    </row>
    <row r="270" spans="1:6" ht="15" customHeight="1" x14ac:dyDescent="0.2">
      <c r="A270" s="276" t="s">
        <v>1372</v>
      </c>
      <c r="B270" s="276" t="s">
        <v>1363</v>
      </c>
      <c r="C270" s="276">
        <v>41747</v>
      </c>
      <c r="D270" s="277">
        <v>1</v>
      </c>
      <c r="F270" s="277">
        <f t="shared" si="4"/>
        <v>3</v>
      </c>
    </row>
    <row r="271" spans="1:6" ht="15" customHeight="1" x14ac:dyDescent="0.2">
      <c r="A271" s="276" t="s">
        <v>1716</v>
      </c>
      <c r="B271" s="276" t="s">
        <v>1671</v>
      </c>
      <c r="C271" s="280">
        <v>45883</v>
      </c>
      <c r="D271" s="277">
        <v>1</v>
      </c>
      <c r="F271" s="277">
        <f t="shared" si="4"/>
        <v>4</v>
      </c>
    </row>
    <row r="272" spans="1:6" ht="15" customHeight="1" x14ac:dyDescent="0.2">
      <c r="A272" s="276" t="s">
        <v>1373</v>
      </c>
      <c r="B272" s="276" t="s">
        <v>1316</v>
      </c>
      <c r="C272" s="276">
        <v>42912</v>
      </c>
      <c r="D272" s="277">
        <v>1</v>
      </c>
      <c r="F272" s="277">
        <f t="shared" si="4"/>
        <v>4</v>
      </c>
    </row>
    <row r="273" spans="1:6" ht="15" customHeight="1" x14ac:dyDescent="0.2">
      <c r="A273" s="276" t="s">
        <v>1374</v>
      </c>
      <c r="B273" s="276" t="s">
        <v>1318</v>
      </c>
      <c r="C273" s="276">
        <v>43618</v>
      </c>
      <c r="D273" s="277">
        <v>1</v>
      </c>
      <c r="F273" s="277">
        <f t="shared" si="4"/>
        <v>3</v>
      </c>
    </row>
    <row r="274" spans="1:6" ht="15" customHeight="1" x14ac:dyDescent="0.2">
      <c r="A274" s="276" t="s">
        <v>1375</v>
      </c>
      <c r="B274" s="276" t="s">
        <v>1299</v>
      </c>
      <c r="C274" s="276">
        <v>41737</v>
      </c>
      <c r="D274" s="277">
        <v>1</v>
      </c>
      <c r="F274" s="277">
        <f t="shared" si="4"/>
        <v>4</v>
      </c>
    </row>
    <row r="275" spans="1:6" ht="15" customHeight="1" x14ac:dyDescent="0.2">
      <c r="A275" s="276" t="s">
        <v>1717</v>
      </c>
      <c r="B275" s="276" t="s">
        <v>1689</v>
      </c>
      <c r="C275" s="276">
        <v>57784</v>
      </c>
      <c r="D275" s="277">
        <v>1</v>
      </c>
      <c r="F275" s="277">
        <f t="shared" si="4"/>
        <v>3</v>
      </c>
    </row>
    <row r="276" spans="1:6" ht="15" customHeight="1" x14ac:dyDescent="0.2">
      <c r="A276" s="276" t="s">
        <v>1376</v>
      </c>
      <c r="B276" s="276" t="s">
        <v>1283</v>
      </c>
      <c r="C276" s="276">
        <v>50759</v>
      </c>
      <c r="D276" s="277">
        <v>1</v>
      </c>
      <c r="F276" s="277">
        <f t="shared" si="4"/>
        <v>4</v>
      </c>
    </row>
    <row r="277" spans="1:6" ht="15" customHeight="1" x14ac:dyDescent="0.2">
      <c r="A277" s="276" t="s">
        <v>1377</v>
      </c>
      <c r="B277" s="276" t="s">
        <v>1272</v>
      </c>
      <c r="C277" s="276">
        <v>45110</v>
      </c>
      <c r="D277" s="277">
        <v>1</v>
      </c>
      <c r="F277" s="277">
        <f t="shared" si="4"/>
        <v>3</v>
      </c>
    </row>
    <row r="278" spans="1:6" ht="15" customHeight="1" x14ac:dyDescent="0.2">
      <c r="A278" s="276" t="s">
        <v>1718</v>
      </c>
      <c r="B278" s="276" t="s">
        <v>1681</v>
      </c>
      <c r="C278" s="276">
        <v>62641</v>
      </c>
      <c r="D278" s="277">
        <v>1</v>
      </c>
      <c r="F278" s="277">
        <f t="shared" si="4"/>
        <v>2</v>
      </c>
    </row>
    <row r="279" spans="1:6" ht="15" customHeight="1" x14ac:dyDescent="0.2">
      <c r="A279" s="276" t="s">
        <v>1378</v>
      </c>
      <c r="B279" s="276" t="s">
        <v>1290</v>
      </c>
      <c r="C279" s="276">
        <v>41769</v>
      </c>
      <c r="D279" s="277">
        <v>1</v>
      </c>
      <c r="F279" s="277">
        <f t="shared" si="4"/>
        <v>4</v>
      </c>
    </row>
    <row r="280" spans="1:6" ht="15" customHeight="1" x14ac:dyDescent="0.2">
      <c r="A280" s="276" t="s">
        <v>1719</v>
      </c>
      <c r="B280" s="276" t="s">
        <v>1703</v>
      </c>
      <c r="C280" s="276">
        <v>51050</v>
      </c>
      <c r="D280" s="277">
        <v>1</v>
      </c>
      <c r="F280" s="277">
        <f t="shared" si="4"/>
        <v>3</v>
      </c>
    </row>
    <row r="281" spans="1:6" ht="15" customHeight="1" x14ac:dyDescent="0.2">
      <c r="A281" s="276" t="s">
        <v>1379</v>
      </c>
      <c r="B281" s="276" t="s">
        <v>1338</v>
      </c>
      <c r="C281" s="276">
        <v>63376</v>
      </c>
      <c r="D281" s="277">
        <v>0</v>
      </c>
      <c r="F281" s="277">
        <f t="shared" si="4"/>
        <v>2</v>
      </c>
    </row>
    <row r="282" spans="1:6" ht="15" customHeight="1" x14ac:dyDescent="0.2">
      <c r="A282" s="276" t="s">
        <v>1380</v>
      </c>
      <c r="B282" s="276" t="s">
        <v>1266</v>
      </c>
      <c r="C282" s="276">
        <v>45112</v>
      </c>
      <c r="D282" s="277">
        <v>1</v>
      </c>
      <c r="F282" s="277">
        <f t="shared" si="4"/>
        <v>3</v>
      </c>
    </row>
    <row r="283" spans="1:6" ht="15" customHeight="1" x14ac:dyDescent="0.2">
      <c r="A283" s="276" t="s">
        <v>1720</v>
      </c>
      <c r="B283" s="276" t="s">
        <v>1700</v>
      </c>
      <c r="C283" s="276">
        <v>62646</v>
      </c>
      <c r="D283" s="277">
        <v>1</v>
      </c>
      <c r="F283" s="277">
        <f t="shared" si="4"/>
        <v>3</v>
      </c>
    </row>
    <row r="284" spans="1:6" ht="15" customHeight="1" x14ac:dyDescent="0.2">
      <c r="A284" s="276" t="s">
        <v>1381</v>
      </c>
      <c r="B284" s="276" t="s">
        <v>1288</v>
      </c>
      <c r="C284" s="280">
        <v>63404</v>
      </c>
      <c r="D284" s="277">
        <v>1</v>
      </c>
      <c r="F284" s="277">
        <f t="shared" si="4"/>
        <v>4</v>
      </c>
    </row>
    <row r="285" spans="1:6" ht="15" customHeight="1" x14ac:dyDescent="0.2">
      <c r="A285" s="276" t="s">
        <v>1721</v>
      </c>
      <c r="B285" s="276" t="s">
        <v>1660</v>
      </c>
      <c r="C285" s="280">
        <v>57703</v>
      </c>
      <c r="D285" s="277">
        <v>1</v>
      </c>
      <c r="F285" s="277">
        <f t="shared" si="4"/>
        <v>3</v>
      </c>
    </row>
    <row r="286" spans="1:6" ht="15" customHeight="1" x14ac:dyDescent="0.2">
      <c r="A286" s="276" t="s">
        <v>1382</v>
      </c>
      <c r="B286" s="276" t="s">
        <v>1262</v>
      </c>
      <c r="C286" s="276">
        <v>57400</v>
      </c>
      <c r="D286" s="277">
        <v>1</v>
      </c>
      <c r="F286" s="277">
        <f t="shared" si="4"/>
        <v>4</v>
      </c>
    </row>
    <row r="287" spans="1:6" ht="15" customHeight="1" x14ac:dyDescent="0.2">
      <c r="A287" s="276" t="s">
        <v>1383</v>
      </c>
      <c r="B287" s="276" t="s">
        <v>1296</v>
      </c>
      <c r="C287" s="276">
        <v>62493</v>
      </c>
      <c r="D287" s="277">
        <v>1</v>
      </c>
      <c r="F287" s="277">
        <f t="shared" si="4"/>
        <v>4</v>
      </c>
    </row>
    <row r="288" spans="1:6" ht="15" customHeight="1" x14ac:dyDescent="0.2">
      <c r="A288" s="276" t="s">
        <v>1722</v>
      </c>
      <c r="B288" s="276" t="s">
        <v>1656</v>
      </c>
      <c r="C288" s="276">
        <v>45587</v>
      </c>
      <c r="D288" s="277">
        <v>1</v>
      </c>
      <c r="F288" s="277">
        <f t="shared" si="4"/>
        <v>4</v>
      </c>
    </row>
    <row r="289" spans="1:6" ht="15" customHeight="1" x14ac:dyDescent="0.2">
      <c r="A289" s="276" t="s">
        <v>1384</v>
      </c>
      <c r="B289" s="276" t="s">
        <v>1312</v>
      </c>
      <c r="C289" s="276">
        <v>67074</v>
      </c>
      <c r="D289" s="277">
        <v>1</v>
      </c>
      <c r="F289" s="277">
        <f t="shared" si="4"/>
        <v>3</v>
      </c>
    </row>
    <row r="290" spans="1:6" ht="15" customHeight="1" x14ac:dyDescent="0.2">
      <c r="A290" s="276" t="s">
        <v>1723</v>
      </c>
      <c r="B290" s="276" t="s">
        <v>1668</v>
      </c>
      <c r="C290" s="276">
        <v>45915</v>
      </c>
      <c r="D290" s="277">
        <v>1</v>
      </c>
      <c r="F290" s="277">
        <f t="shared" si="4"/>
        <v>4</v>
      </c>
    </row>
    <row r="291" spans="1:6" ht="15" customHeight="1" x14ac:dyDescent="0.2">
      <c r="A291" s="276" t="s">
        <v>1385</v>
      </c>
      <c r="B291" s="276" t="s">
        <v>1307</v>
      </c>
      <c r="C291" s="276">
        <v>43110</v>
      </c>
      <c r="D291" s="277">
        <v>1</v>
      </c>
      <c r="F291" s="277">
        <f t="shared" si="4"/>
        <v>3</v>
      </c>
    </row>
    <row r="292" spans="1:6" ht="15" customHeight="1" x14ac:dyDescent="0.2">
      <c r="A292" s="276" t="s">
        <v>1386</v>
      </c>
      <c r="B292" s="276" t="s">
        <v>1310</v>
      </c>
      <c r="C292" s="276">
        <v>45106</v>
      </c>
      <c r="D292" s="277">
        <v>1</v>
      </c>
      <c r="F292" s="277">
        <f t="shared" si="4"/>
        <v>4</v>
      </c>
    </row>
    <row r="293" spans="1:6" ht="15" customHeight="1" x14ac:dyDescent="0.2">
      <c r="A293" s="276" t="s">
        <v>1724</v>
      </c>
      <c r="B293" s="276" t="s">
        <v>1665</v>
      </c>
      <c r="C293" s="276">
        <v>45586</v>
      </c>
      <c r="D293" s="277">
        <v>1</v>
      </c>
      <c r="F293" s="277">
        <f t="shared" si="4"/>
        <v>4</v>
      </c>
    </row>
    <row r="294" spans="1:6" ht="15" customHeight="1" x14ac:dyDescent="0.2">
      <c r="A294" s="276" t="s">
        <v>1387</v>
      </c>
      <c r="B294" s="276" t="s">
        <v>1314</v>
      </c>
      <c r="C294" s="280">
        <v>41760</v>
      </c>
      <c r="D294" s="277">
        <v>1</v>
      </c>
      <c r="F294" s="277">
        <f t="shared" si="4"/>
        <v>4</v>
      </c>
    </row>
    <row r="295" spans="1:6" ht="15" customHeight="1" x14ac:dyDescent="0.2">
      <c r="A295" s="276" t="s">
        <v>560</v>
      </c>
      <c r="B295" s="276" t="s">
        <v>569</v>
      </c>
      <c r="C295" s="276" t="s">
        <v>775</v>
      </c>
      <c r="D295" s="277" t="s">
        <v>776</v>
      </c>
      <c r="F295" s="277">
        <f t="shared" si="4"/>
        <v>4</v>
      </c>
    </row>
    <row r="296" spans="1:6" ht="15" customHeight="1" x14ac:dyDescent="0.2">
      <c r="A296" s="276" t="s">
        <v>1600</v>
      </c>
      <c r="B296" s="276" t="s">
        <v>1601</v>
      </c>
      <c r="C296" s="280">
        <v>62722</v>
      </c>
      <c r="D296" s="277">
        <v>1</v>
      </c>
      <c r="F296" s="277">
        <f t="shared" si="4"/>
        <v>4</v>
      </c>
    </row>
    <row r="297" spans="1:6" ht="15" customHeight="1" x14ac:dyDescent="0.2">
      <c r="A297" s="276" t="s">
        <v>1602</v>
      </c>
      <c r="B297" s="276" t="s">
        <v>1603</v>
      </c>
      <c r="C297" s="276">
        <v>69188</v>
      </c>
      <c r="D297" s="277">
        <v>1</v>
      </c>
      <c r="F297" s="277">
        <f t="shared" si="4"/>
        <v>3</v>
      </c>
    </row>
    <row r="298" spans="1:6" ht="15" customHeight="1" x14ac:dyDescent="0.2">
      <c r="A298" s="276" t="s">
        <v>1102</v>
      </c>
      <c r="B298" s="276" t="s">
        <v>1388</v>
      </c>
      <c r="C298" s="276">
        <v>58049</v>
      </c>
      <c r="D298" s="277">
        <v>1</v>
      </c>
      <c r="F298" s="277">
        <f t="shared" si="4"/>
        <v>2</v>
      </c>
    </row>
    <row r="299" spans="1:6" ht="15" customHeight="1" x14ac:dyDescent="0.2">
      <c r="A299" s="276" t="s">
        <v>1103</v>
      </c>
      <c r="B299" s="276" t="s">
        <v>1389</v>
      </c>
      <c r="C299" s="276">
        <v>68948</v>
      </c>
      <c r="D299" s="277">
        <v>1</v>
      </c>
      <c r="F299" s="277">
        <f t="shared" si="4"/>
        <v>4</v>
      </c>
    </row>
    <row r="300" spans="1:6" ht="15" customHeight="1" x14ac:dyDescent="0.2">
      <c r="A300" s="276" t="s">
        <v>1390</v>
      </c>
      <c r="B300" s="276" t="s">
        <v>1391</v>
      </c>
      <c r="C300" s="276">
        <v>57322</v>
      </c>
      <c r="D300" s="277">
        <v>1</v>
      </c>
      <c r="F300" s="277">
        <f t="shared" si="4"/>
        <v>3</v>
      </c>
    </row>
    <row r="301" spans="1:6" ht="15" customHeight="1" x14ac:dyDescent="0.2">
      <c r="A301" s="276" t="s">
        <v>1392</v>
      </c>
      <c r="B301" s="276" t="s">
        <v>1393</v>
      </c>
      <c r="C301" s="276">
        <v>58217</v>
      </c>
      <c r="D301" s="277">
        <v>1</v>
      </c>
      <c r="F301" s="277">
        <f t="shared" si="4"/>
        <v>4</v>
      </c>
    </row>
    <row r="302" spans="1:6" ht="15" customHeight="1" x14ac:dyDescent="0.2">
      <c r="A302" s="276" t="s">
        <v>1725</v>
      </c>
      <c r="B302" s="276" t="s">
        <v>1726</v>
      </c>
      <c r="C302" s="276">
        <v>56726</v>
      </c>
      <c r="D302" s="277">
        <v>1</v>
      </c>
      <c r="F302" s="277">
        <f t="shared" si="4"/>
        <v>4</v>
      </c>
    </row>
    <row r="303" spans="1:6" ht="15" customHeight="1" x14ac:dyDescent="0.2">
      <c r="A303" s="276" t="s">
        <v>1727</v>
      </c>
      <c r="B303" s="276" t="s">
        <v>1728</v>
      </c>
      <c r="C303" s="276">
        <v>69157</v>
      </c>
      <c r="D303" s="277">
        <v>1</v>
      </c>
      <c r="F303" s="277">
        <f t="shared" si="4"/>
        <v>2</v>
      </c>
    </row>
    <row r="304" spans="1:6" ht="15" customHeight="1" x14ac:dyDescent="0.2">
      <c r="A304" s="276" t="s">
        <v>1394</v>
      </c>
      <c r="B304" s="280" t="s">
        <v>1395</v>
      </c>
      <c r="C304" s="280">
        <v>66878</v>
      </c>
      <c r="D304" s="277">
        <v>1</v>
      </c>
      <c r="F304" s="277">
        <f t="shared" si="4"/>
        <v>3</v>
      </c>
    </row>
    <row r="305" spans="1:6" ht="15" customHeight="1" x14ac:dyDescent="0.2">
      <c r="A305" s="276" t="s">
        <v>1396</v>
      </c>
      <c r="B305" s="276" t="s">
        <v>1397</v>
      </c>
      <c r="C305" s="276">
        <v>62285</v>
      </c>
      <c r="D305" s="277">
        <v>1</v>
      </c>
      <c r="F305" s="277">
        <f t="shared" si="4"/>
        <v>3</v>
      </c>
    </row>
    <row r="306" spans="1:6" ht="15" customHeight="1" x14ac:dyDescent="0.2">
      <c r="A306" s="276" t="s">
        <v>1604</v>
      </c>
      <c r="B306" s="276" t="s">
        <v>1729</v>
      </c>
      <c r="C306" s="276">
        <v>62721</v>
      </c>
      <c r="D306" s="277">
        <v>1</v>
      </c>
      <c r="F306" s="277">
        <f t="shared" si="4"/>
        <v>4</v>
      </c>
    </row>
    <row r="307" spans="1:6" ht="15" customHeight="1" x14ac:dyDescent="0.2">
      <c r="A307" s="276" t="s">
        <v>1730</v>
      </c>
      <c r="B307" s="280" t="s">
        <v>1605</v>
      </c>
      <c r="C307" s="280">
        <v>58283</v>
      </c>
      <c r="D307" s="277">
        <v>1</v>
      </c>
      <c r="F307" s="277">
        <f t="shared" si="4"/>
        <v>4</v>
      </c>
    </row>
    <row r="308" spans="1:6" ht="15" customHeight="1" x14ac:dyDescent="0.2">
      <c r="A308" s="276" t="s">
        <v>1104</v>
      </c>
      <c r="B308" s="276" t="s">
        <v>1388</v>
      </c>
      <c r="C308" s="280">
        <v>58049</v>
      </c>
      <c r="D308" s="277">
        <v>1</v>
      </c>
      <c r="F308" s="277">
        <f t="shared" si="4"/>
        <v>2</v>
      </c>
    </row>
    <row r="309" spans="1:6" ht="15" customHeight="1" x14ac:dyDescent="0.2">
      <c r="A309" s="276" t="s">
        <v>1105</v>
      </c>
      <c r="B309" s="276" t="s">
        <v>1398</v>
      </c>
      <c r="C309" s="280">
        <v>65724</v>
      </c>
      <c r="D309" s="277">
        <v>1</v>
      </c>
      <c r="F309" s="277">
        <f t="shared" si="4"/>
        <v>4</v>
      </c>
    </row>
    <row r="310" spans="1:6" ht="15" customHeight="1" x14ac:dyDescent="0.2">
      <c r="A310" s="276" t="s">
        <v>1399</v>
      </c>
      <c r="B310" s="280" t="s">
        <v>1400</v>
      </c>
      <c r="C310" s="280">
        <v>57315</v>
      </c>
      <c r="D310" s="277">
        <v>1</v>
      </c>
      <c r="F310" s="277">
        <f t="shared" si="4"/>
        <v>4</v>
      </c>
    </row>
    <row r="311" spans="1:6" ht="15" customHeight="1" x14ac:dyDescent="0.2">
      <c r="A311" s="276" t="s">
        <v>1401</v>
      </c>
      <c r="B311" s="276" t="s">
        <v>1402</v>
      </c>
      <c r="C311" s="276">
        <v>57320</v>
      </c>
      <c r="D311" s="277">
        <v>1</v>
      </c>
      <c r="F311" s="277">
        <f t="shared" si="4"/>
        <v>2</v>
      </c>
    </row>
    <row r="312" spans="1:6" ht="15" customHeight="1" x14ac:dyDescent="0.2">
      <c r="A312" s="276" t="s">
        <v>1731</v>
      </c>
      <c r="B312" s="276" t="s">
        <v>1728</v>
      </c>
      <c r="C312" s="276">
        <v>69157</v>
      </c>
      <c r="D312" s="277">
        <v>1</v>
      </c>
      <c r="F312" s="277">
        <f t="shared" si="4"/>
        <v>2</v>
      </c>
    </row>
    <row r="313" spans="1:6" ht="15" customHeight="1" x14ac:dyDescent="0.2">
      <c r="A313" s="276" t="s">
        <v>1732</v>
      </c>
      <c r="B313" s="276" t="s">
        <v>1733</v>
      </c>
      <c r="C313" s="276">
        <v>69151</v>
      </c>
      <c r="D313" s="277">
        <v>1</v>
      </c>
      <c r="F313" s="277">
        <f t="shared" si="4"/>
        <v>2</v>
      </c>
    </row>
    <row r="314" spans="1:6" ht="15" customHeight="1" x14ac:dyDescent="0.2">
      <c r="A314" s="276" t="s">
        <v>1403</v>
      </c>
      <c r="B314" s="280" t="s">
        <v>1404</v>
      </c>
      <c r="C314" s="280">
        <v>62284</v>
      </c>
      <c r="D314" s="277">
        <v>1</v>
      </c>
      <c r="F314" s="277">
        <f t="shared" si="4"/>
        <v>3</v>
      </c>
    </row>
    <row r="315" spans="1:6" ht="15" customHeight="1" x14ac:dyDescent="0.2">
      <c r="A315" s="276" t="s">
        <v>1405</v>
      </c>
      <c r="B315" s="280" t="s">
        <v>1395</v>
      </c>
      <c r="C315" s="276">
        <v>66878</v>
      </c>
      <c r="D315" s="277">
        <v>1</v>
      </c>
      <c r="F315" s="277">
        <f t="shared" si="4"/>
        <v>3</v>
      </c>
    </row>
    <row r="316" spans="1:6" ht="15" customHeight="1" x14ac:dyDescent="0.2">
      <c r="A316" s="276" t="s">
        <v>1606</v>
      </c>
      <c r="B316" s="280" t="s">
        <v>1603</v>
      </c>
      <c r="C316" s="280">
        <v>69188</v>
      </c>
      <c r="D316" s="277">
        <v>1</v>
      </c>
      <c r="F316" s="277">
        <f t="shared" si="4"/>
        <v>3</v>
      </c>
    </row>
    <row r="317" spans="1:6" ht="15" customHeight="1" x14ac:dyDescent="0.2">
      <c r="A317" s="276" t="s">
        <v>1734</v>
      </c>
      <c r="B317" s="280" t="s">
        <v>1729</v>
      </c>
      <c r="C317" s="280">
        <v>62721</v>
      </c>
      <c r="D317" s="277">
        <v>1</v>
      </c>
      <c r="F317" s="277">
        <f t="shared" si="4"/>
        <v>4</v>
      </c>
    </row>
    <row r="318" spans="1:6" ht="15" customHeight="1" x14ac:dyDescent="0.2">
      <c r="A318" s="276" t="s">
        <v>1106</v>
      </c>
      <c r="B318" s="276" t="s">
        <v>1406</v>
      </c>
      <c r="C318" s="276">
        <v>60063</v>
      </c>
      <c r="D318" s="277">
        <v>1</v>
      </c>
      <c r="F318" s="277">
        <f t="shared" si="4"/>
        <v>4</v>
      </c>
    </row>
    <row r="319" spans="1:6" ht="15" customHeight="1" x14ac:dyDescent="0.2">
      <c r="A319" s="276" t="s">
        <v>1407</v>
      </c>
      <c r="B319" s="276" t="s">
        <v>1391</v>
      </c>
      <c r="C319" s="276">
        <v>57322</v>
      </c>
      <c r="D319" s="277">
        <v>1</v>
      </c>
      <c r="F319" s="277">
        <f t="shared" si="4"/>
        <v>3</v>
      </c>
    </row>
    <row r="320" spans="1:6" ht="15" customHeight="1" x14ac:dyDescent="0.2">
      <c r="A320" s="276" t="s">
        <v>1735</v>
      </c>
      <c r="B320" s="280" t="s">
        <v>1736</v>
      </c>
      <c r="C320" s="280">
        <v>69152</v>
      </c>
      <c r="D320" s="277">
        <v>1</v>
      </c>
      <c r="F320" s="277">
        <f t="shared" si="4"/>
        <v>4</v>
      </c>
    </row>
    <row r="321" spans="1:6" ht="15" customHeight="1" x14ac:dyDescent="0.2">
      <c r="A321" s="276" t="s">
        <v>1408</v>
      </c>
      <c r="B321" s="280" t="s">
        <v>1409</v>
      </c>
      <c r="C321" s="280">
        <v>67885</v>
      </c>
      <c r="D321" s="277">
        <v>1</v>
      </c>
      <c r="F321" s="277">
        <f t="shared" si="4"/>
        <v>3</v>
      </c>
    </row>
    <row r="322" spans="1:6" ht="15" customHeight="1" x14ac:dyDescent="0.2">
      <c r="A322" s="276" t="s">
        <v>1410</v>
      </c>
      <c r="B322" s="276" t="s">
        <v>1404</v>
      </c>
      <c r="C322" s="276">
        <v>62284</v>
      </c>
      <c r="D322" s="277">
        <v>1</v>
      </c>
      <c r="F322" s="277">
        <f t="shared" si="4"/>
        <v>3</v>
      </c>
    </row>
    <row r="323" spans="1:6" ht="15" customHeight="1" x14ac:dyDescent="0.2">
      <c r="A323" s="276" t="s">
        <v>1411</v>
      </c>
      <c r="B323" s="276" t="s">
        <v>1412</v>
      </c>
      <c r="C323" s="276">
        <v>56047</v>
      </c>
      <c r="D323" s="277">
        <v>1</v>
      </c>
      <c r="F323" s="277">
        <f t="shared" ref="F323:F386" si="5">COUNTIF(C:C,C323)</f>
        <v>4</v>
      </c>
    </row>
    <row r="324" spans="1:6" ht="15" customHeight="1" x14ac:dyDescent="0.2">
      <c r="A324" s="276" t="s">
        <v>1607</v>
      </c>
      <c r="B324" s="276" t="s">
        <v>1609</v>
      </c>
      <c r="C324" s="276">
        <v>69186</v>
      </c>
      <c r="D324" s="277">
        <v>1</v>
      </c>
      <c r="F324" s="277">
        <f t="shared" si="5"/>
        <v>4</v>
      </c>
    </row>
    <row r="325" spans="1:6" ht="15" customHeight="1" x14ac:dyDescent="0.2">
      <c r="A325" s="276" t="s">
        <v>1608</v>
      </c>
      <c r="B325" s="276" t="s">
        <v>1729</v>
      </c>
      <c r="C325" s="276">
        <v>62721</v>
      </c>
      <c r="D325" s="277">
        <v>1</v>
      </c>
      <c r="F325" s="277">
        <f t="shared" si="5"/>
        <v>4</v>
      </c>
    </row>
    <row r="326" spans="1:6" ht="15" customHeight="1" x14ac:dyDescent="0.2">
      <c r="A326" s="276" t="s">
        <v>1107</v>
      </c>
      <c r="B326" s="276" t="s">
        <v>1389</v>
      </c>
      <c r="C326" s="276">
        <v>68948</v>
      </c>
      <c r="D326" s="277">
        <v>1</v>
      </c>
      <c r="F326" s="277">
        <f t="shared" si="5"/>
        <v>4</v>
      </c>
    </row>
    <row r="327" spans="1:6" ht="15" customHeight="1" x14ac:dyDescent="0.2">
      <c r="A327" s="276" t="s">
        <v>1108</v>
      </c>
      <c r="B327" s="276" t="s">
        <v>1413</v>
      </c>
      <c r="C327" s="276">
        <v>68950</v>
      </c>
      <c r="D327" s="277">
        <v>1</v>
      </c>
      <c r="F327" s="277">
        <f t="shared" si="5"/>
        <v>3</v>
      </c>
    </row>
    <row r="328" spans="1:6" ht="15" customHeight="1" x14ac:dyDescent="0.2">
      <c r="A328" s="276" t="s">
        <v>1414</v>
      </c>
      <c r="B328" s="276" t="s">
        <v>1400</v>
      </c>
      <c r="C328" s="276">
        <v>57315</v>
      </c>
      <c r="D328" s="277">
        <v>1</v>
      </c>
      <c r="F328" s="277">
        <f t="shared" si="5"/>
        <v>4</v>
      </c>
    </row>
    <row r="329" spans="1:6" ht="15" customHeight="1" x14ac:dyDescent="0.2">
      <c r="A329" s="276" t="s">
        <v>1415</v>
      </c>
      <c r="B329" s="276" t="s">
        <v>1393</v>
      </c>
      <c r="C329" s="276">
        <v>58217</v>
      </c>
      <c r="D329" s="277">
        <v>1</v>
      </c>
      <c r="F329" s="277">
        <f t="shared" si="5"/>
        <v>4</v>
      </c>
    </row>
    <row r="330" spans="1:6" ht="15" customHeight="1" x14ac:dyDescent="0.2">
      <c r="A330" s="276" t="s">
        <v>1737</v>
      </c>
      <c r="B330" s="276" t="s">
        <v>1736</v>
      </c>
      <c r="C330" s="280">
        <v>69152</v>
      </c>
      <c r="D330" s="277">
        <v>1</v>
      </c>
      <c r="F330" s="277">
        <f t="shared" si="5"/>
        <v>4</v>
      </c>
    </row>
    <row r="331" spans="1:6" ht="15" customHeight="1" x14ac:dyDescent="0.2">
      <c r="A331" s="276" t="s">
        <v>1738</v>
      </c>
      <c r="B331" s="280" t="s">
        <v>1739</v>
      </c>
      <c r="C331" s="280">
        <v>69147</v>
      </c>
      <c r="D331" s="277">
        <v>1</v>
      </c>
      <c r="F331" s="277">
        <f t="shared" si="5"/>
        <v>3</v>
      </c>
    </row>
    <row r="332" spans="1:6" ht="15" customHeight="1" x14ac:dyDescent="0.2">
      <c r="A332" s="276" t="s">
        <v>1740</v>
      </c>
      <c r="B332" s="280" t="s">
        <v>1741</v>
      </c>
      <c r="C332" s="280">
        <v>69520</v>
      </c>
      <c r="D332" s="277">
        <v>1</v>
      </c>
      <c r="F332" s="277">
        <f t="shared" si="5"/>
        <v>2</v>
      </c>
    </row>
    <row r="333" spans="1:6" ht="15" customHeight="1" x14ac:dyDescent="0.2">
      <c r="A333" s="276" t="s">
        <v>1814</v>
      </c>
      <c r="B333" s="276" t="s">
        <v>1747</v>
      </c>
      <c r="C333" s="276">
        <v>62645</v>
      </c>
      <c r="D333" s="277">
        <v>1</v>
      </c>
      <c r="F333" s="277">
        <f t="shared" si="5"/>
        <v>3</v>
      </c>
    </row>
    <row r="334" spans="1:6" ht="15" customHeight="1" x14ac:dyDescent="0.2">
      <c r="A334" s="276" t="s">
        <v>1416</v>
      </c>
      <c r="B334" s="276" t="s">
        <v>1417</v>
      </c>
      <c r="C334" s="276">
        <v>56053</v>
      </c>
      <c r="D334" s="277">
        <v>1</v>
      </c>
      <c r="F334" s="277">
        <f t="shared" si="5"/>
        <v>4</v>
      </c>
    </row>
    <row r="335" spans="1:6" ht="15" customHeight="1" x14ac:dyDescent="0.2">
      <c r="A335" s="276" t="s">
        <v>1418</v>
      </c>
      <c r="B335" s="280" t="s">
        <v>1419</v>
      </c>
      <c r="C335" s="276">
        <v>66874</v>
      </c>
      <c r="D335" s="277">
        <v>1</v>
      </c>
      <c r="F335" s="277">
        <f t="shared" si="5"/>
        <v>2</v>
      </c>
    </row>
    <row r="336" spans="1:6" ht="15" customHeight="1" x14ac:dyDescent="0.2">
      <c r="A336" s="276" t="s">
        <v>1610</v>
      </c>
      <c r="B336" s="276" t="s">
        <v>1601</v>
      </c>
      <c r="C336" s="276">
        <v>62722</v>
      </c>
      <c r="D336" s="277">
        <v>1</v>
      </c>
      <c r="F336" s="277">
        <f t="shared" si="5"/>
        <v>4</v>
      </c>
    </row>
    <row r="337" spans="1:6" ht="15" customHeight="1" x14ac:dyDescent="0.2">
      <c r="A337" s="276" t="s">
        <v>1420</v>
      </c>
      <c r="B337" s="280" t="s">
        <v>1421</v>
      </c>
      <c r="C337" s="280">
        <v>66689</v>
      </c>
      <c r="D337" s="277">
        <v>1</v>
      </c>
      <c r="F337" s="277">
        <f t="shared" si="5"/>
        <v>4</v>
      </c>
    </row>
    <row r="338" spans="1:6" ht="15" customHeight="1" x14ac:dyDescent="0.2">
      <c r="A338" s="276" t="s">
        <v>1422</v>
      </c>
      <c r="B338" s="276" t="s">
        <v>1393</v>
      </c>
      <c r="C338" s="276">
        <v>58217</v>
      </c>
      <c r="D338" s="277">
        <v>1</v>
      </c>
      <c r="F338" s="277">
        <f t="shared" si="5"/>
        <v>4</v>
      </c>
    </row>
    <row r="339" spans="1:6" ht="15" customHeight="1" x14ac:dyDescent="0.2">
      <c r="A339" s="276" t="s">
        <v>1742</v>
      </c>
      <c r="B339" s="280" t="s">
        <v>1733</v>
      </c>
      <c r="C339" s="280">
        <v>69151</v>
      </c>
      <c r="D339" s="277">
        <v>1</v>
      </c>
      <c r="F339" s="277">
        <f t="shared" si="5"/>
        <v>2</v>
      </c>
    </row>
    <row r="340" spans="1:6" ht="15" customHeight="1" x14ac:dyDescent="0.2">
      <c r="A340" s="276" t="s">
        <v>1611</v>
      </c>
      <c r="B340" s="276" t="s">
        <v>1601</v>
      </c>
      <c r="C340" s="276">
        <v>62722</v>
      </c>
      <c r="D340" s="277">
        <v>1</v>
      </c>
      <c r="F340" s="277">
        <f t="shared" si="5"/>
        <v>4</v>
      </c>
    </row>
    <row r="341" spans="1:6" ht="15" customHeight="1" x14ac:dyDescent="0.2">
      <c r="A341" s="276" t="s">
        <v>1612</v>
      </c>
      <c r="B341" s="276" t="s">
        <v>1605</v>
      </c>
      <c r="C341" s="280">
        <v>58283</v>
      </c>
      <c r="D341" s="277">
        <v>1</v>
      </c>
      <c r="F341" s="277">
        <f t="shared" si="5"/>
        <v>4</v>
      </c>
    </row>
    <row r="342" spans="1:6" ht="15" customHeight="1" x14ac:dyDescent="0.2">
      <c r="A342" s="276" t="s">
        <v>1109</v>
      </c>
      <c r="B342" s="280" t="s">
        <v>1406</v>
      </c>
      <c r="C342" s="280">
        <v>60063</v>
      </c>
      <c r="D342" s="277">
        <v>1</v>
      </c>
      <c r="F342" s="277">
        <f t="shared" si="5"/>
        <v>4</v>
      </c>
    </row>
    <row r="343" spans="1:6" ht="15" customHeight="1" x14ac:dyDescent="0.2">
      <c r="A343" s="276" t="s">
        <v>1110</v>
      </c>
      <c r="B343" s="276" t="s">
        <v>1423</v>
      </c>
      <c r="C343" s="276">
        <v>68947</v>
      </c>
      <c r="D343" s="277">
        <v>1</v>
      </c>
      <c r="F343" s="277">
        <f t="shared" si="5"/>
        <v>3</v>
      </c>
    </row>
    <row r="344" spans="1:6" ht="15" customHeight="1" x14ac:dyDescent="0.2">
      <c r="A344" s="276" t="s">
        <v>1424</v>
      </c>
      <c r="B344" s="276" t="s">
        <v>1421</v>
      </c>
      <c r="C344" s="276">
        <v>66689</v>
      </c>
      <c r="D344" s="277">
        <v>1</v>
      </c>
      <c r="F344" s="277">
        <f t="shared" si="5"/>
        <v>4</v>
      </c>
    </row>
    <row r="345" spans="1:6" ht="15" customHeight="1" x14ac:dyDescent="0.2">
      <c r="A345" s="276" t="s">
        <v>1425</v>
      </c>
      <c r="B345" s="276" t="s">
        <v>1426</v>
      </c>
      <c r="C345" s="276">
        <v>67573</v>
      </c>
      <c r="D345" s="277">
        <v>0</v>
      </c>
      <c r="F345" s="277">
        <f t="shared" si="5"/>
        <v>3</v>
      </c>
    </row>
    <row r="346" spans="1:6" ht="15" customHeight="1" x14ac:dyDescent="0.2">
      <c r="A346" s="276" t="s">
        <v>1743</v>
      </c>
      <c r="B346" s="280" t="s">
        <v>1726</v>
      </c>
      <c r="C346" s="280">
        <v>56726</v>
      </c>
      <c r="D346" s="277">
        <v>1</v>
      </c>
      <c r="F346" s="277">
        <f t="shared" si="5"/>
        <v>4</v>
      </c>
    </row>
    <row r="347" spans="1:6" ht="15" customHeight="1" x14ac:dyDescent="0.2">
      <c r="A347" s="276" t="s">
        <v>1744</v>
      </c>
      <c r="B347" s="280" t="s">
        <v>1745</v>
      </c>
      <c r="C347" s="276">
        <v>69156</v>
      </c>
      <c r="D347" s="277">
        <v>1</v>
      </c>
      <c r="F347" s="277">
        <f t="shared" si="5"/>
        <v>3</v>
      </c>
    </row>
    <row r="348" spans="1:6" ht="15" customHeight="1" x14ac:dyDescent="0.2">
      <c r="A348" s="276" t="s">
        <v>1427</v>
      </c>
      <c r="B348" s="280" t="s">
        <v>1409</v>
      </c>
      <c r="C348" s="276">
        <v>67885</v>
      </c>
      <c r="D348" s="277">
        <v>1</v>
      </c>
      <c r="F348" s="277">
        <f t="shared" si="5"/>
        <v>3</v>
      </c>
    </row>
    <row r="349" spans="1:6" ht="15" customHeight="1" x14ac:dyDescent="0.2">
      <c r="A349" s="276" t="s">
        <v>1746</v>
      </c>
      <c r="B349" s="276" t="s">
        <v>1747</v>
      </c>
      <c r="C349" s="276">
        <v>62645</v>
      </c>
      <c r="D349" s="277">
        <v>1</v>
      </c>
      <c r="F349" s="277">
        <f t="shared" si="5"/>
        <v>3</v>
      </c>
    </row>
    <row r="350" spans="1:6" ht="15" customHeight="1" x14ac:dyDescent="0.2">
      <c r="A350" s="276" t="s">
        <v>1748</v>
      </c>
      <c r="B350" s="276" t="s">
        <v>1741</v>
      </c>
      <c r="C350" s="276">
        <v>69520</v>
      </c>
      <c r="D350" s="277">
        <v>1</v>
      </c>
      <c r="F350" s="277">
        <f t="shared" si="5"/>
        <v>2</v>
      </c>
    </row>
    <row r="351" spans="1:6" ht="15" customHeight="1" x14ac:dyDescent="0.2">
      <c r="A351" s="276" t="s">
        <v>1428</v>
      </c>
      <c r="B351" s="280" t="s">
        <v>1417</v>
      </c>
      <c r="C351" s="280">
        <v>56053</v>
      </c>
      <c r="D351" s="277">
        <v>1</v>
      </c>
      <c r="F351" s="277">
        <f t="shared" si="5"/>
        <v>4</v>
      </c>
    </row>
    <row r="352" spans="1:6" ht="15" customHeight="1" x14ac:dyDescent="0.2">
      <c r="A352" s="276" t="s">
        <v>1429</v>
      </c>
      <c r="B352" s="280" t="s">
        <v>1412</v>
      </c>
      <c r="C352" s="280">
        <v>56047</v>
      </c>
      <c r="D352" s="277">
        <v>1</v>
      </c>
      <c r="F352" s="277">
        <f t="shared" si="5"/>
        <v>4</v>
      </c>
    </row>
    <row r="353" spans="1:6" ht="15" customHeight="1" x14ac:dyDescent="0.2">
      <c r="A353" s="276" t="s">
        <v>1613</v>
      </c>
      <c r="B353" s="276" t="s">
        <v>1609</v>
      </c>
      <c r="C353" s="276">
        <v>69186</v>
      </c>
      <c r="D353" s="277">
        <v>1</v>
      </c>
      <c r="F353" s="277">
        <f t="shared" si="5"/>
        <v>4</v>
      </c>
    </row>
    <row r="354" spans="1:6" ht="15" customHeight="1" x14ac:dyDescent="0.2">
      <c r="A354" s="276" t="s">
        <v>1614</v>
      </c>
      <c r="B354" s="276" t="s">
        <v>1603</v>
      </c>
      <c r="C354" s="276">
        <v>69188</v>
      </c>
      <c r="D354" s="277">
        <v>1</v>
      </c>
      <c r="F354" s="277">
        <f t="shared" si="5"/>
        <v>3</v>
      </c>
    </row>
    <row r="355" spans="1:6" ht="15" customHeight="1" x14ac:dyDescent="0.2">
      <c r="A355" s="276" t="s">
        <v>1111</v>
      </c>
      <c r="B355" s="276" t="s">
        <v>1406</v>
      </c>
      <c r="C355" s="280">
        <v>60063</v>
      </c>
      <c r="D355" s="277">
        <v>1</v>
      </c>
      <c r="F355" s="277">
        <f t="shared" si="5"/>
        <v>4</v>
      </c>
    </row>
    <row r="356" spans="1:6" ht="15" customHeight="1" x14ac:dyDescent="0.2">
      <c r="A356" s="276" t="s">
        <v>1112</v>
      </c>
      <c r="B356" s="280" t="s">
        <v>1398</v>
      </c>
      <c r="C356" s="280">
        <v>65724</v>
      </c>
      <c r="D356" s="277">
        <v>1</v>
      </c>
      <c r="F356" s="277">
        <f t="shared" si="5"/>
        <v>4</v>
      </c>
    </row>
    <row r="357" spans="1:6" ht="15" customHeight="1" x14ac:dyDescent="0.2">
      <c r="A357" s="276" t="s">
        <v>1430</v>
      </c>
      <c r="B357" s="276" t="s">
        <v>1421</v>
      </c>
      <c r="C357" s="280">
        <v>66689</v>
      </c>
      <c r="D357" s="277">
        <v>1</v>
      </c>
      <c r="F357" s="277">
        <f t="shared" si="5"/>
        <v>4</v>
      </c>
    </row>
    <row r="358" spans="1:6" ht="15" customHeight="1" x14ac:dyDescent="0.2">
      <c r="A358" s="276" t="s">
        <v>1431</v>
      </c>
      <c r="B358" s="280" t="s">
        <v>1400</v>
      </c>
      <c r="C358" s="280">
        <v>57315</v>
      </c>
      <c r="D358" s="277">
        <v>1</v>
      </c>
      <c r="F358" s="277">
        <f t="shared" si="5"/>
        <v>4</v>
      </c>
    </row>
    <row r="359" spans="1:6" ht="15" customHeight="1" x14ac:dyDescent="0.2">
      <c r="A359" s="276" t="s">
        <v>1749</v>
      </c>
      <c r="B359" s="280" t="s">
        <v>1739</v>
      </c>
      <c r="C359" s="280">
        <v>69147</v>
      </c>
      <c r="D359" s="277">
        <v>1</v>
      </c>
      <c r="F359" s="277">
        <f t="shared" si="5"/>
        <v>3</v>
      </c>
    </row>
    <row r="360" spans="1:6" ht="15" customHeight="1" x14ac:dyDescent="0.2">
      <c r="A360" s="276" t="s">
        <v>1750</v>
      </c>
      <c r="B360" s="280" t="s">
        <v>1747</v>
      </c>
      <c r="C360" s="280">
        <v>62645</v>
      </c>
      <c r="D360" s="277">
        <v>1</v>
      </c>
      <c r="F360" s="277">
        <f t="shared" si="5"/>
        <v>3</v>
      </c>
    </row>
    <row r="361" spans="1:6" ht="15" customHeight="1" x14ac:dyDescent="0.2">
      <c r="A361" s="276" t="s">
        <v>1432</v>
      </c>
      <c r="B361" s="276" t="s">
        <v>1417</v>
      </c>
      <c r="C361" s="276">
        <v>56053</v>
      </c>
      <c r="D361" s="277">
        <v>1</v>
      </c>
      <c r="F361" s="277">
        <f t="shared" si="5"/>
        <v>4</v>
      </c>
    </row>
    <row r="362" spans="1:6" ht="15" customHeight="1" x14ac:dyDescent="0.2">
      <c r="A362" s="276" t="s">
        <v>1433</v>
      </c>
      <c r="B362" s="280" t="s">
        <v>1397</v>
      </c>
      <c r="C362" s="280">
        <v>62285</v>
      </c>
      <c r="D362" s="277">
        <v>1</v>
      </c>
      <c r="F362" s="277">
        <f t="shared" si="5"/>
        <v>3</v>
      </c>
    </row>
    <row r="363" spans="1:6" ht="15" customHeight="1" x14ac:dyDescent="0.2">
      <c r="A363" s="276" t="s">
        <v>1113</v>
      </c>
      <c r="B363" s="276" t="s">
        <v>1413</v>
      </c>
      <c r="C363" s="280">
        <v>68950</v>
      </c>
      <c r="D363" s="277">
        <v>1</v>
      </c>
      <c r="F363" s="277">
        <f t="shared" si="5"/>
        <v>3</v>
      </c>
    </row>
    <row r="364" spans="1:6" ht="15" customHeight="1" x14ac:dyDescent="0.2">
      <c r="A364" s="276" t="s">
        <v>1435</v>
      </c>
      <c r="B364" s="276" t="s">
        <v>1436</v>
      </c>
      <c r="C364" s="280">
        <v>66749</v>
      </c>
      <c r="D364" s="277">
        <v>1</v>
      </c>
      <c r="F364" s="277">
        <f t="shared" si="5"/>
        <v>1</v>
      </c>
    </row>
    <row r="365" spans="1:6" ht="15" customHeight="1" x14ac:dyDescent="0.2">
      <c r="A365" s="276" t="s">
        <v>1437</v>
      </c>
      <c r="B365" s="276" t="s">
        <v>1426</v>
      </c>
      <c r="C365" s="276">
        <v>67573</v>
      </c>
      <c r="D365" s="277">
        <v>0</v>
      </c>
      <c r="F365" s="277">
        <f t="shared" si="5"/>
        <v>3</v>
      </c>
    </row>
    <row r="366" spans="1:6" ht="15" customHeight="1" x14ac:dyDescent="0.2">
      <c r="A366" s="276" t="s">
        <v>1114</v>
      </c>
      <c r="B366" s="280" t="s">
        <v>1389</v>
      </c>
      <c r="C366" s="280">
        <v>68948</v>
      </c>
      <c r="D366" s="277">
        <v>1</v>
      </c>
      <c r="F366" s="277">
        <f t="shared" si="5"/>
        <v>4</v>
      </c>
    </row>
    <row r="367" spans="1:6" ht="15" customHeight="1" x14ac:dyDescent="0.2">
      <c r="A367" s="276" t="s">
        <v>1438</v>
      </c>
      <c r="B367" s="280" t="s">
        <v>1398</v>
      </c>
      <c r="C367" s="280">
        <v>65724</v>
      </c>
      <c r="D367" s="277">
        <v>1</v>
      </c>
      <c r="F367" s="277">
        <f t="shared" si="5"/>
        <v>4</v>
      </c>
    </row>
    <row r="368" spans="1:6" ht="15" customHeight="1" x14ac:dyDescent="0.2">
      <c r="A368" s="276" t="s">
        <v>1439</v>
      </c>
      <c r="B368" s="280" t="s">
        <v>1446</v>
      </c>
      <c r="C368" s="280">
        <v>63398</v>
      </c>
      <c r="D368" s="277">
        <v>1</v>
      </c>
      <c r="F368" s="277">
        <f t="shared" si="5"/>
        <v>1</v>
      </c>
    </row>
    <row r="369" spans="1:6" ht="15" customHeight="1" x14ac:dyDescent="0.2">
      <c r="A369" s="276" t="s">
        <v>1440</v>
      </c>
      <c r="B369" s="276" t="s">
        <v>1441</v>
      </c>
      <c r="C369" s="276">
        <v>66750</v>
      </c>
      <c r="D369" s="277">
        <v>1</v>
      </c>
      <c r="F369" s="277">
        <f t="shared" si="5"/>
        <v>1</v>
      </c>
    </row>
    <row r="370" spans="1:6" ht="15" customHeight="1" x14ac:dyDescent="0.2">
      <c r="A370" s="276" t="s">
        <v>1751</v>
      </c>
      <c r="B370" s="280" t="s">
        <v>1745</v>
      </c>
      <c r="C370" s="280">
        <v>69156</v>
      </c>
      <c r="D370" s="277">
        <v>1</v>
      </c>
      <c r="F370" s="277">
        <f t="shared" si="5"/>
        <v>3</v>
      </c>
    </row>
    <row r="371" spans="1:6" ht="15" customHeight="1" x14ac:dyDescent="0.2">
      <c r="A371" s="276" t="s">
        <v>1442</v>
      </c>
      <c r="B371" s="276" t="s">
        <v>1409</v>
      </c>
      <c r="C371" s="276">
        <v>67885</v>
      </c>
      <c r="D371" s="277">
        <v>1</v>
      </c>
      <c r="F371" s="277">
        <f t="shared" si="5"/>
        <v>3</v>
      </c>
    </row>
    <row r="372" spans="1:6" ht="15" customHeight="1" x14ac:dyDescent="0.2">
      <c r="A372" s="276" t="s">
        <v>1443</v>
      </c>
      <c r="B372" s="280" t="s">
        <v>1404</v>
      </c>
      <c r="C372" s="280">
        <v>62284</v>
      </c>
      <c r="D372" s="277">
        <v>1</v>
      </c>
      <c r="F372" s="277">
        <f t="shared" si="5"/>
        <v>3</v>
      </c>
    </row>
    <row r="373" spans="1:6" ht="15" customHeight="1" x14ac:dyDescent="0.2">
      <c r="A373" s="276" t="s">
        <v>1615</v>
      </c>
      <c r="B373" s="280" t="s">
        <v>1609</v>
      </c>
      <c r="C373" s="280">
        <v>69186</v>
      </c>
      <c r="D373" s="277">
        <v>1</v>
      </c>
      <c r="F373" s="277">
        <f t="shared" si="5"/>
        <v>4</v>
      </c>
    </row>
    <row r="374" spans="1:6" ht="15" customHeight="1" x14ac:dyDescent="0.2">
      <c r="A374" s="276" t="s">
        <v>1616</v>
      </c>
      <c r="B374" s="276" t="s">
        <v>1605</v>
      </c>
      <c r="C374" s="280">
        <v>58283</v>
      </c>
      <c r="D374" s="277">
        <v>1</v>
      </c>
      <c r="F374" s="277">
        <f t="shared" si="5"/>
        <v>4</v>
      </c>
    </row>
    <row r="375" spans="1:6" ht="15" customHeight="1" x14ac:dyDescent="0.2">
      <c r="A375" s="276" t="s">
        <v>1115</v>
      </c>
      <c r="B375" s="276" t="s">
        <v>1434</v>
      </c>
      <c r="C375" s="276">
        <v>68953</v>
      </c>
      <c r="D375" s="277">
        <v>1</v>
      </c>
      <c r="F375" s="277">
        <f t="shared" si="5"/>
        <v>1</v>
      </c>
    </row>
    <row r="376" spans="1:6" ht="15" customHeight="1" x14ac:dyDescent="0.2">
      <c r="A376" s="276" t="s">
        <v>1444</v>
      </c>
      <c r="B376" s="280" t="s">
        <v>1423</v>
      </c>
      <c r="C376" s="276">
        <v>68947</v>
      </c>
      <c r="D376" s="277">
        <v>1</v>
      </c>
      <c r="F376" s="277">
        <f t="shared" si="5"/>
        <v>3</v>
      </c>
    </row>
    <row r="377" spans="1:6" ht="15" customHeight="1" x14ac:dyDescent="0.2">
      <c r="A377" s="276" t="s">
        <v>1445</v>
      </c>
      <c r="B377" s="276" t="s">
        <v>1402</v>
      </c>
      <c r="C377" s="276">
        <v>57320</v>
      </c>
      <c r="D377" s="277">
        <v>1</v>
      </c>
      <c r="F377" s="277">
        <f t="shared" si="5"/>
        <v>2</v>
      </c>
    </row>
    <row r="378" spans="1:6" ht="15" customHeight="1" x14ac:dyDescent="0.2">
      <c r="A378" s="276" t="s">
        <v>1447</v>
      </c>
      <c r="B378" s="276" t="s">
        <v>1391</v>
      </c>
      <c r="C378" s="276">
        <v>57322</v>
      </c>
      <c r="D378" s="277">
        <v>1</v>
      </c>
      <c r="F378" s="277">
        <f t="shared" si="5"/>
        <v>3</v>
      </c>
    </row>
    <row r="379" spans="1:6" ht="15" customHeight="1" x14ac:dyDescent="0.2">
      <c r="A379" s="276" t="s">
        <v>1752</v>
      </c>
      <c r="B379" s="276" t="s">
        <v>1726</v>
      </c>
      <c r="C379" s="276">
        <v>56726</v>
      </c>
      <c r="D379" s="277">
        <v>1</v>
      </c>
      <c r="F379" s="277">
        <f t="shared" si="5"/>
        <v>4</v>
      </c>
    </row>
    <row r="380" spans="1:6" ht="15" customHeight="1" x14ac:dyDescent="0.2">
      <c r="A380" s="276" t="s">
        <v>1753</v>
      </c>
      <c r="B380" s="276" t="s">
        <v>1736</v>
      </c>
      <c r="C380" s="276">
        <v>69152</v>
      </c>
      <c r="D380" s="277">
        <v>1</v>
      </c>
      <c r="F380" s="277">
        <f t="shared" si="5"/>
        <v>4</v>
      </c>
    </row>
    <row r="381" spans="1:6" ht="15" customHeight="1" x14ac:dyDescent="0.2">
      <c r="A381" s="276" t="s">
        <v>1448</v>
      </c>
      <c r="B381" s="276" t="s">
        <v>1395</v>
      </c>
      <c r="C381" s="276">
        <v>66878</v>
      </c>
      <c r="D381" s="277">
        <v>1</v>
      </c>
      <c r="F381" s="277">
        <f t="shared" si="5"/>
        <v>3</v>
      </c>
    </row>
    <row r="382" spans="1:6" ht="15" customHeight="1" x14ac:dyDescent="0.2">
      <c r="A382" s="276" t="s">
        <v>1449</v>
      </c>
      <c r="B382" s="280" t="s">
        <v>1412</v>
      </c>
      <c r="C382" s="280">
        <v>56047</v>
      </c>
      <c r="D382" s="277">
        <v>1</v>
      </c>
      <c r="F382" s="277">
        <f t="shared" si="5"/>
        <v>4</v>
      </c>
    </row>
    <row r="383" spans="1:6" ht="15" customHeight="1" x14ac:dyDescent="0.2">
      <c r="A383" s="276" t="s">
        <v>1450</v>
      </c>
      <c r="B383" s="276" t="s">
        <v>1413</v>
      </c>
      <c r="C383" s="276">
        <v>68950</v>
      </c>
      <c r="D383" s="277">
        <v>1</v>
      </c>
      <c r="F383" s="277">
        <f t="shared" si="5"/>
        <v>3</v>
      </c>
    </row>
    <row r="384" spans="1:6" ht="15" customHeight="1" x14ac:dyDescent="0.2">
      <c r="A384" s="276" t="s">
        <v>1617</v>
      </c>
      <c r="B384" s="276" t="s">
        <v>1605</v>
      </c>
      <c r="C384" s="276">
        <v>58283</v>
      </c>
      <c r="D384" s="277">
        <v>1</v>
      </c>
      <c r="F384" s="277">
        <f t="shared" si="5"/>
        <v>4</v>
      </c>
    </row>
    <row r="385" spans="1:6" ht="15" customHeight="1" x14ac:dyDescent="0.2">
      <c r="A385" s="276" t="s">
        <v>1116</v>
      </c>
      <c r="B385" s="280" t="s">
        <v>1406</v>
      </c>
      <c r="C385" s="276">
        <v>60063</v>
      </c>
      <c r="D385" s="277">
        <v>1</v>
      </c>
      <c r="F385" s="277">
        <f t="shared" si="5"/>
        <v>4</v>
      </c>
    </row>
    <row r="386" spans="1:6" ht="15" customHeight="1" x14ac:dyDescent="0.2">
      <c r="A386" s="276" t="s">
        <v>1451</v>
      </c>
      <c r="B386" s="276" t="s">
        <v>1393</v>
      </c>
      <c r="C386" s="276">
        <v>58217</v>
      </c>
      <c r="D386" s="277">
        <v>1</v>
      </c>
      <c r="F386" s="277">
        <f t="shared" si="5"/>
        <v>4</v>
      </c>
    </row>
    <row r="387" spans="1:6" ht="15" customHeight="1" x14ac:dyDescent="0.2">
      <c r="A387" s="276" t="s">
        <v>1754</v>
      </c>
      <c r="B387" s="276" t="s">
        <v>1745</v>
      </c>
      <c r="C387" s="276">
        <v>69156</v>
      </c>
      <c r="D387" s="277">
        <v>1</v>
      </c>
      <c r="F387" s="277">
        <f t="shared" ref="F387:F450" si="6">COUNTIF(C:C,C387)</f>
        <v>3</v>
      </c>
    </row>
    <row r="388" spans="1:6" ht="15" customHeight="1" x14ac:dyDescent="0.2">
      <c r="A388" s="276" t="s">
        <v>1452</v>
      </c>
      <c r="B388" s="276" t="s">
        <v>1419</v>
      </c>
      <c r="C388" s="280">
        <v>66874</v>
      </c>
      <c r="D388" s="277">
        <v>1</v>
      </c>
      <c r="F388" s="277">
        <f t="shared" si="6"/>
        <v>2</v>
      </c>
    </row>
    <row r="389" spans="1:6" ht="15" customHeight="1" x14ac:dyDescent="0.2">
      <c r="A389" s="276" t="s">
        <v>1618</v>
      </c>
      <c r="B389" s="280" t="s">
        <v>1729</v>
      </c>
      <c r="C389" s="280">
        <v>62721</v>
      </c>
      <c r="D389" s="277">
        <v>1</v>
      </c>
      <c r="F389" s="277">
        <f t="shared" si="6"/>
        <v>4</v>
      </c>
    </row>
    <row r="390" spans="1:6" ht="15" customHeight="1" x14ac:dyDescent="0.2">
      <c r="A390" s="276" t="s">
        <v>1117</v>
      </c>
      <c r="B390" s="276" t="s">
        <v>1398</v>
      </c>
      <c r="C390" s="276">
        <v>65724</v>
      </c>
      <c r="D390" s="277">
        <v>1</v>
      </c>
      <c r="F390" s="277">
        <f t="shared" si="6"/>
        <v>4</v>
      </c>
    </row>
    <row r="391" spans="1:6" ht="15" customHeight="1" x14ac:dyDescent="0.2">
      <c r="A391" s="276" t="s">
        <v>1453</v>
      </c>
      <c r="B391" s="276" t="s">
        <v>1426</v>
      </c>
      <c r="C391" s="280">
        <v>67573</v>
      </c>
      <c r="D391" s="277">
        <v>0</v>
      </c>
      <c r="F391" s="277">
        <f t="shared" si="6"/>
        <v>3</v>
      </c>
    </row>
    <row r="392" spans="1:6" ht="15" customHeight="1" x14ac:dyDescent="0.2">
      <c r="A392" s="276" t="s">
        <v>1755</v>
      </c>
      <c r="B392" s="276" t="s">
        <v>1726</v>
      </c>
      <c r="C392" s="276">
        <v>56726</v>
      </c>
      <c r="D392" s="277">
        <v>1</v>
      </c>
      <c r="F392" s="277">
        <f t="shared" si="6"/>
        <v>4</v>
      </c>
    </row>
    <row r="393" spans="1:6" ht="15" customHeight="1" x14ac:dyDescent="0.2">
      <c r="A393" s="276" t="s">
        <v>1454</v>
      </c>
      <c r="B393" s="276" t="s">
        <v>1412</v>
      </c>
      <c r="C393" s="276">
        <v>56047</v>
      </c>
      <c r="D393" s="277">
        <v>1</v>
      </c>
      <c r="F393" s="277">
        <f t="shared" si="6"/>
        <v>4</v>
      </c>
    </row>
    <row r="394" spans="1:6" ht="15" customHeight="1" x14ac:dyDescent="0.2">
      <c r="A394" s="276" t="s">
        <v>1619</v>
      </c>
      <c r="B394" s="276" t="s">
        <v>1609</v>
      </c>
      <c r="C394" s="276">
        <v>69186</v>
      </c>
      <c r="D394" s="277">
        <v>1</v>
      </c>
      <c r="F394" s="277">
        <f t="shared" si="6"/>
        <v>4</v>
      </c>
    </row>
    <row r="395" spans="1:6" ht="15" customHeight="1" x14ac:dyDescent="0.2">
      <c r="A395" s="276" t="s">
        <v>1118</v>
      </c>
      <c r="B395" s="276" t="s">
        <v>1423</v>
      </c>
      <c r="C395" s="280">
        <v>68947</v>
      </c>
      <c r="D395" s="277">
        <v>1</v>
      </c>
      <c r="F395" s="277">
        <f t="shared" si="6"/>
        <v>3</v>
      </c>
    </row>
    <row r="396" spans="1:6" ht="15" customHeight="1" x14ac:dyDescent="0.2">
      <c r="A396" s="276" t="s">
        <v>1455</v>
      </c>
      <c r="B396" s="280" t="s">
        <v>1400</v>
      </c>
      <c r="C396" s="280">
        <v>57315</v>
      </c>
      <c r="D396" s="277">
        <v>1</v>
      </c>
      <c r="F396" s="277">
        <f t="shared" si="6"/>
        <v>4</v>
      </c>
    </row>
    <row r="397" spans="1:6" ht="15" customHeight="1" x14ac:dyDescent="0.2">
      <c r="A397" s="276" t="s">
        <v>1756</v>
      </c>
      <c r="B397" s="276" t="s">
        <v>1739</v>
      </c>
      <c r="C397" s="280">
        <v>69147</v>
      </c>
      <c r="D397" s="277">
        <v>1</v>
      </c>
      <c r="F397" s="277">
        <f t="shared" si="6"/>
        <v>3</v>
      </c>
    </row>
    <row r="398" spans="1:6" ht="15" customHeight="1" x14ac:dyDescent="0.2">
      <c r="A398" s="276" t="s">
        <v>1456</v>
      </c>
      <c r="B398" s="276" t="s">
        <v>1397</v>
      </c>
      <c r="C398" s="280">
        <v>62285</v>
      </c>
      <c r="D398" s="277">
        <v>1</v>
      </c>
      <c r="F398" s="277">
        <f t="shared" si="6"/>
        <v>3</v>
      </c>
    </row>
    <row r="399" spans="1:6" ht="15" customHeight="1" x14ac:dyDescent="0.2">
      <c r="A399" s="276" t="s">
        <v>1620</v>
      </c>
      <c r="B399" s="276" t="s">
        <v>1601</v>
      </c>
      <c r="C399" s="280">
        <v>62722</v>
      </c>
      <c r="D399" s="277">
        <v>1</v>
      </c>
      <c r="F399" s="277">
        <f t="shared" si="6"/>
        <v>4</v>
      </c>
    </row>
    <row r="400" spans="1:6" ht="15" customHeight="1" x14ac:dyDescent="0.2">
      <c r="A400" s="276" t="s">
        <v>1119</v>
      </c>
      <c r="B400" s="276" t="s">
        <v>1389</v>
      </c>
      <c r="C400" s="276">
        <v>68948</v>
      </c>
      <c r="D400" s="277">
        <v>1</v>
      </c>
      <c r="F400" s="277">
        <f t="shared" si="6"/>
        <v>4</v>
      </c>
    </row>
    <row r="401" spans="1:6" ht="15" customHeight="1" x14ac:dyDescent="0.2">
      <c r="A401" s="276" t="s">
        <v>1457</v>
      </c>
      <c r="B401" s="276" t="s">
        <v>1421</v>
      </c>
      <c r="C401" s="280">
        <v>66689</v>
      </c>
      <c r="D401" s="277">
        <v>1</v>
      </c>
      <c r="F401" s="277">
        <f t="shared" si="6"/>
        <v>4</v>
      </c>
    </row>
    <row r="402" spans="1:6" ht="15" customHeight="1" x14ac:dyDescent="0.2">
      <c r="A402" s="276" t="s">
        <v>1757</v>
      </c>
      <c r="B402" s="276" t="s">
        <v>1736</v>
      </c>
      <c r="C402" s="276">
        <v>69152</v>
      </c>
      <c r="D402" s="277">
        <v>1</v>
      </c>
      <c r="F402" s="277">
        <f t="shared" si="6"/>
        <v>4</v>
      </c>
    </row>
    <row r="403" spans="1:6" ht="15" customHeight="1" x14ac:dyDescent="0.2">
      <c r="A403" s="276" t="s">
        <v>1458</v>
      </c>
      <c r="B403" s="276" t="s">
        <v>1417</v>
      </c>
      <c r="C403" s="276">
        <v>56053</v>
      </c>
      <c r="D403" s="277">
        <v>1</v>
      </c>
      <c r="F403" s="277">
        <f t="shared" si="6"/>
        <v>4</v>
      </c>
    </row>
    <row r="404" spans="1:6" ht="15" customHeight="1" x14ac:dyDescent="0.2">
      <c r="A404" s="276" t="s">
        <v>561</v>
      </c>
      <c r="B404" s="276" t="s">
        <v>569</v>
      </c>
      <c r="C404" s="276" t="s">
        <v>775</v>
      </c>
      <c r="D404" s="277" t="s">
        <v>776</v>
      </c>
      <c r="F404" s="277">
        <f t="shared" si="6"/>
        <v>4</v>
      </c>
    </row>
    <row r="405" spans="1:6" ht="15" customHeight="1" x14ac:dyDescent="0.2">
      <c r="A405" s="276" t="s">
        <v>1758</v>
      </c>
      <c r="B405" s="280" t="s">
        <v>1759</v>
      </c>
      <c r="C405" s="276">
        <v>57702</v>
      </c>
      <c r="D405" s="277">
        <v>1</v>
      </c>
      <c r="F405" s="277">
        <f t="shared" si="6"/>
        <v>4</v>
      </c>
    </row>
    <row r="406" spans="1:6" ht="15" customHeight="1" x14ac:dyDescent="0.2">
      <c r="A406" s="276" t="s">
        <v>1760</v>
      </c>
      <c r="B406" s="276" t="s">
        <v>1761</v>
      </c>
      <c r="C406" s="276">
        <v>68779</v>
      </c>
      <c r="D406" s="277">
        <v>1</v>
      </c>
      <c r="F406" s="277">
        <f t="shared" si="6"/>
        <v>3</v>
      </c>
    </row>
    <row r="407" spans="1:6" ht="15" customHeight="1" x14ac:dyDescent="0.2">
      <c r="A407" s="276" t="s">
        <v>1459</v>
      </c>
      <c r="B407" s="280" t="s">
        <v>1460</v>
      </c>
      <c r="C407" s="280">
        <v>58052</v>
      </c>
      <c r="D407" s="277">
        <v>1</v>
      </c>
      <c r="F407" s="277">
        <f t="shared" si="6"/>
        <v>4</v>
      </c>
    </row>
    <row r="408" spans="1:6" ht="15" customHeight="1" x14ac:dyDescent="0.2">
      <c r="A408" s="276" t="s">
        <v>1461</v>
      </c>
      <c r="B408" s="276" t="s">
        <v>1462</v>
      </c>
      <c r="C408" s="276">
        <v>60062</v>
      </c>
      <c r="D408" s="277">
        <v>1</v>
      </c>
      <c r="F408" s="277">
        <f t="shared" si="6"/>
        <v>1</v>
      </c>
    </row>
    <row r="409" spans="1:6" ht="15" customHeight="1" x14ac:dyDescent="0.2">
      <c r="A409" s="276" t="s">
        <v>1463</v>
      </c>
      <c r="B409" s="276" t="s">
        <v>1464</v>
      </c>
      <c r="C409" s="276">
        <v>58149</v>
      </c>
      <c r="D409" s="277">
        <v>1</v>
      </c>
      <c r="F409" s="277">
        <f t="shared" si="6"/>
        <v>3</v>
      </c>
    </row>
    <row r="410" spans="1:6" ht="15" customHeight="1" x14ac:dyDescent="0.2">
      <c r="A410" s="276" t="s">
        <v>1465</v>
      </c>
      <c r="B410" s="276" t="s">
        <v>1466</v>
      </c>
      <c r="C410" s="276">
        <v>65889</v>
      </c>
      <c r="D410" s="277">
        <v>1</v>
      </c>
      <c r="F410" s="277">
        <f t="shared" si="6"/>
        <v>2</v>
      </c>
    </row>
    <row r="411" spans="1:6" ht="15" customHeight="1" x14ac:dyDescent="0.2">
      <c r="A411" s="276" t="s">
        <v>1467</v>
      </c>
      <c r="B411" s="276" t="s">
        <v>1468</v>
      </c>
      <c r="C411" s="276">
        <v>57093</v>
      </c>
      <c r="D411" s="277">
        <v>1</v>
      </c>
      <c r="F411" s="277">
        <f t="shared" si="6"/>
        <v>2</v>
      </c>
    </row>
    <row r="412" spans="1:6" ht="15" customHeight="1" x14ac:dyDescent="0.2">
      <c r="A412" s="276" t="s">
        <v>1469</v>
      </c>
      <c r="B412" s="276" t="s">
        <v>1470</v>
      </c>
      <c r="C412" s="276">
        <v>57090</v>
      </c>
      <c r="D412" s="277">
        <v>1</v>
      </c>
      <c r="F412" s="277">
        <f t="shared" si="6"/>
        <v>3</v>
      </c>
    </row>
    <row r="413" spans="1:6" ht="15" customHeight="1" x14ac:dyDescent="0.2">
      <c r="A413" s="276" t="s">
        <v>1471</v>
      </c>
      <c r="B413" s="276" t="s">
        <v>1472</v>
      </c>
      <c r="C413" s="276">
        <v>65599</v>
      </c>
      <c r="D413" s="277">
        <v>1</v>
      </c>
      <c r="F413" s="277">
        <f t="shared" si="6"/>
        <v>4</v>
      </c>
    </row>
    <row r="414" spans="1:6" ht="15" customHeight="1" x14ac:dyDescent="0.2">
      <c r="A414" s="276" t="s">
        <v>1762</v>
      </c>
      <c r="B414" s="280" t="s">
        <v>1763</v>
      </c>
      <c r="C414" s="280">
        <v>69523</v>
      </c>
      <c r="D414" s="277">
        <v>1</v>
      </c>
      <c r="F414" s="277">
        <f t="shared" si="6"/>
        <v>3</v>
      </c>
    </row>
    <row r="415" spans="1:6" ht="15" customHeight="1" x14ac:dyDescent="0.2">
      <c r="A415" s="276" t="s">
        <v>1764</v>
      </c>
      <c r="B415" s="276" t="s">
        <v>1765</v>
      </c>
      <c r="C415" s="280">
        <v>69525</v>
      </c>
      <c r="D415" s="277">
        <v>1</v>
      </c>
      <c r="F415" s="277">
        <f t="shared" si="6"/>
        <v>3</v>
      </c>
    </row>
    <row r="416" spans="1:6" ht="15" customHeight="1" x14ac:dyDescent="0.2">
      <c r="A416" s="276" t="s">
        <v>1473</v>
      </c>
      <c r="B416" s="280" t="s">
        <v>1474</v>
      </c>
      <c r="C416" s="280">
        <v>56099</v>
      </c>
      <c r="D416" s="277">
        <v>1</v>
      </c>
      <c r="F416" s="277">
        <f t="shared" si="6"/>
        <v>3</v>
      </c>
    </row>
    <row r="417" spans="1:6" ht="15" customHeight="1" x14ac:dyDescent="0.2">
      <c r="A417" s="276" t="s">
        <v>1475</v>
      </c>
      <c r="B417" s="276" t="s">
        <v>1476</v>
      </c>
      <c r="C417" s="280">
        <v>56063</v>
      </c>
      <c r="D417" s="277">
        <v>0</v>
      </c>
      <c r="F417" s="277">
        <f t="shared" si="6"/>
        <v>3</v>
      </c>
    </row>
    <row r="418" spans="1:6" ht="15" customHeight="1" x14ac:dyDescent="0.2">
      <c r="A418" s="276" t="s">
        <v>1766</v>
      </c>
      <c r="B418" s="280" t="s">
        <v>1767</v>
      </c>
      <c r="C418" s="280">
        <v>57705</v>
      </c>
      <c r="D418" s="277">
        <v>1</v>
      </c>
      <c r="F418" s="277">
        <f t="shared" si="6"/>
        <v>3</v>
      </c>
    </row>
    <row r="419" spans="1:6" ht="15" customHeight="1" x14ac:dyDescent="0.2">
      <c r="A419" s="276" t="s">
        <v>1768</v>
      </c>
      <c r="B419" s="276" t="s">
        <v>1761</v>
      </c>
      <c r="C419" s="276">
        <v>68779</v>
      </c>
      <c r="D419" s="277">
        <v>1</v>
      </c>
      <c r="F419" s="277">
        <f t="shared" si="6"/>
        <v>3</v>
      </c>
    </row>
    <row r="420" spans="1:6" ht="15" customHeight="1" x14ac:dyDescent="0.2">
      <c r="A420" s="276" t="s">
        <v>1477</v>
      </c>
      <c r="B420" s="276" t="s">
        <v>1460</v>
      </c>
      <c r="C420" s="276">
        <v>58052</v>
      </c>
      <c r="D420" s="277">
        <v>1</v>
      </c>
      <c r="F420" s="277">
        <f t="shared" si="6"/>
        <v>4</v>
      </c>
    </row>
    <row r="421" spans="1:6" ht="15" customHeight="1" x14ac:dyDescent="0.2">
      <c r="A421" s="276" t="s">
        <v>1478</v>
      </c>
      <c r="B421" s="280" t="s">
        <v>1479</v>
      </c>
      <c r="C421" s="280">
        <v>58053</v>
      </c>
      <c r="D421" s="277">
        <v>1</v>
      </c>
      <c r="F421" s="277">
        <f t="shared" si="6"/>
        <v>3</v>
      </c>
    </row>
    <row r="422" spans="1:6" ht="15" customHeight="1" x14ac:dyDescent="0.2">
      <c r="A422" s="276" t="s">
        <v>1480</v>
      </c>
      <c r="B422" s="276" t="s">
        <v>1464</v>
      </c>
      <c r="C422" s="276">
        <v>58149</v>
      </c>
      <c r="D422" s="277">
        <v>1</v>
      </c>
      <c r="F422" s="277">
        <f t="shared" si="6"/>
        <v>3</v>
      </c>
    </row>
    <row r="423" spans="1:6" ht="15" customHeight="1" x14ac:dyDescent="0.2">
      <c r="A423" s="276" t="s">
        <v>1481</v>
      </c>
      <c r="B423" s="280" t="s">
        <v>1466</v>
      </c>
      <c r="C423" s="280">
        <v>65889</v>
      </c>
      <c r="D423" s="277">
        <v>1</v>
      </c>
      <c r="F423" s="277">
        <f t="shared" si="6"/>
        <v>2</v>
      </c>
    </row>
    <row r="424" spans="1:6" ht="15" customHeight="1" x14ac:dyDescent="0.2">
      <c r="A424" s="276" t="s">
        <v>1482</v>
      </c>
      <c r="B424" s="280" t="s">
        <v>1483</v>
      </c>
      <c r="C424" s="276">
        <v>69047</v>
      </c>
      <c r="D424" s="277">
        <v>1</v>
      </c>
      <c r="F424" s="277">
        <f t="shared" si="6"/>
        <v>3</v>
      </c>
    </row>
    <row r="425" spans="1:6" ht="15" customHeight="1" x14ac:dyDescent="0.2">
      <c r="A425" s="276" t="s">
        <v>1484</v>
      </c>
      <c r="B425" s="276" t="s">
        <v>1485</v>
      </c>
      <c r="C425" s="276">
        <v>69066</v>
      </c>
      <c r="D425" s="277">
        <v>1</v>
      </c>
      <c r="F425" s="277">
        <f t="shared" si="6"/>
        <v>3</v>
      </c>
    </row>
    <row r="426" spans="1:6" ht="15" customHeight="1" x14ac:dyDescent="0.2">
      <c r="A426" s="276" t="s">
        <v>1486</v>
      </c>
      <c r="B426" s="276" t="s">
        <v>1476</v>
      </c>
      <c r="C426" s="276">
        <v>56063</v>
      </c>
      <c r="D426" s="277">
        <v>0</v>
      </c>
      <c r="F426" s="277">
        <f t="shared" si="6"/>
        <v>3</v>
      </c>
    </row>
    <row r="427" spans="1:6" ht="15" customHeight="1" x14ac:dyDescent="0.2">
      <c r="A427" s="276" t="s">
        <v>1487</v>
      </c>
      <c r="B427" s="276" t="s">
        <v>1488</v>
      </c>
      <c r="C427" s="276">
        <v>56101</v>
      </c>
      <c r="D427" s="277">
        <v>1</v>
      </c>
      <c r="F427" s="277">
        <f t="shared" si="6"/>
        <v>3</v>
      </c>
    </row>
    <row r="428" spans="1:6" ht="15" customHeight="1" x14ac:dyDescent="0.2">
      <c r="A428" s="276" t="s">
        <v>1769</v>
      </c>
      <c r="B428" s="276" t="s">
        <v>1770</v>
      </c>
      <c r="C428" s="276">
        <v>68783</v>
      </c>
      <c r="D428" s="277">
        <v>1</v>
      </c>
      <c r="F428" s="277">
        <f t="shared" si="6"/>
        <v>4</v>
      </c>
    </row>
    <row r="429" spans="1:6" ht="15" customHeight="1" x14ac:dyDescent="0.2">
      <c r="A429" s="276" t="s">
        <v>1771</v>
      </c>
      <c r="B429" s="280" t="s">
        <v>1767</v>
      </c>
      <c r="C429" s="280">
        <v>57705</v>
      </c>
      <c r="D429" s="277">
        <v>1</v>
      </c>
      <c r="F429" s="277">
        <f t="shared" si="6"/>
        <v>3</v>
      </c>
    </row>
    <row r="430" spans="1:6" ht="15" customHeight="1" x14ac:dyDescent="0.2">
      <c r="A430" s="276" t="s">
        <v>1489</v>
      </c>
      <c r="B430" s="276" t="s">
        <v>1460</v>
      </c>
      <c r="C430" s="280">
        <v>58052</v>
      </c>
      <c r="D430" s="277">
        <v>1</v>
      </c>
      <c r="F430" s="277">
        <f t="shared" si="6"/>
        <v>4</v>
      </c>
    </row>
    <row r="431" spans="1:6" ht="15" customHeight="1" x14ac:dyDescent="0.2">
      <c r="A431" s="276" t="s">
        <v>1490</v>
      </c>
      <c r="B431" s="280" t="s">
        <v>1491</v>
      </c>
      <c r="C431" s="280">
        <v>65725</v>
      </c>
      <c r="D431" s="277">
        <v>1</v>
      </c>
      <c r="F431" s="277">
        <f t="shared" si="6"/>
        <v>3</v>
      </c>
    </row>
    <row r="432" spans="1:6" ht="15" customHeight="1" x14ac:dyDescent="0.2">
      <c r="A432" s="276" t="s">
        <v>1492</v>
      </c>
      <c r="B432" s="280" t="s">
        <v>1493</v>
      </c>
      <c r="C432" s="280">
        <v>57373</v>
      </c>
      <c r="D432" s="277">
        <v>1</v>
      </c>
      <c r="F432" s="277">
        <f t="shared" si="6"/>
        <v>4</v>
      </c>
    </row>
    <row r="433" spans="1:6" ht="15" customHeight="1" x14ac:dyDescent="0.2">
      <c r="A433" s="276" t="s">
        <v>1494</v>
      </c>
      <c r="B433" s="276" t="s">
        <v>1495</v>
      </c>
      <c r="C433" s="276">
        <v>57376</v>
      </c>
      <c r="D433" s="277">
        <v>1</v>
      </c>
      <c r="F433" s="277">
        <f t="shared" si="6"/>
        <v>3</v>
      </c>
    </row>
    <row r="434" spans="1:6" ht="15" customHeight="1" x14ac:dyDescent="0.2">
      <c r="A434" s="276" t="s">
        <v>1496</v>
      </c>
      <c r="B434" s="276" t="s">
        <v>1470</v>
      </c>
      <c r="C434" s="276">
        <v>57090</v>
      </c>
      <c r="D434" s="277">
        <v>1</v>
      </c>
      <c r="F434" s="277">
        <f t="shared" si="6"/>
        <v>3</v>
      </c>
    </row>
    <row r="435" spans="1:6" ht="15" customHeight="1" x14ac:dyDescent="0.2">
      <c r="A435" s="276" t="s">
        <v>1497</v>
      </c>
      <c r="B435" s="276" t="s">
        <v>1483</v>
      </c>
      <c r="C435" s="276">
        <v>69047</v>
      </c>
      <c r="D435" s="277">
        <v>1</v>
      </c>
      <c r="F435" s="277">
        <f t="shared" si="6"/>
        <v>3</v>
      </c>
    </row>
    <row r="436" spans="1:6" ht="15" customHeight="1" x14ac:dyDescent="0.2">
      <c r="A436" s="276" t="s">
        <v>1120</v>
      </c>
      <c r="B436" s="276" t="s">
        <v>1498</v>
      </c>
      <c r="C436" s="276">
        <v>56805</v>
      </c>
      <c r="D436" s="277">
        <v>1</v>
      </c>
      <c r="F436" s="277">
        <f t="shared" si="6"/>
        <v>4</v>
      </c>
    </row>
    <row r="437" spans="1:6" ht="15" customHeight="1" x14ac:dyDescent="0.2">
      <c r="A437" s="276" t="s">
        <v>1499</v>
      </c>
      <c r="B437" s="276" t="s">
        <v>1474</v>
      </c>
      <c r="C437" s="276">
        <v>56099</v>
      </c>
      <c r="D437" s="277">
        <v>1</v>
      </c>
      <c r="F437" s="277">
        <f t="shared" si="6"/>
        <v>3</v>
      </c>
    </row>
    <row r="438" spans="1:6" ht="15" customHeight="1" x14ac:dyDescent="0.2">
      <c r="A438" s="276" t="s">
        <v>1500</v>
      </c>
      <c r="B438" s="276" t="s">
        <v>1501</v>
      </c>
      <c r="C438" s="276">
        <v>66863</v>
      </c>
      <c r="D438" s="277">
        <v>1</v>
      </c>
      <c r="F438" s="277">
        <f t="shared" si="6"/>
        <v>3</v>
      </c>
    </row>
    <row r="439" spans="1:6" ht="15" customHeight="1" x14ac:dyDescent="0.2">
      <c r="A439" s="276" t="s">
        <v>1772</v>
      </c>
      <c r="B439" s="280" t="s">
        <v>1773</v>
      </c>
      <c r="C439" s="280">
        <v>58282</v>
      </c>
      <c r="D439" s="277">
        <v>1</v>
      </c>
      <c r="F439" s="277">
        <f t="shared" si="6"/>
        <v>4</v>
      </c>
    </row>
    <row r="440" spans="1:6" ht="15" customHeight="1" x14ac:dyDescent="0.2">
      <c r="A440" s="276" t="s">
        <v>1774</v>
      </c>
      <c r="B440" s="276" t="s">
        <v>1775</v>
      </c>
      <c r="C440" s="276">
        <v>68776</v>
      </c>
      <c r="D440" s="277">
        <v>1</v>
      </c>
      <c r="F440" s="277">
        <f t="shared" si="6"/>
        <v>2</v>
      </c>
    </row>
    <row r="441" spans="1:6" ht="15" customHeight="1" x14ac:dyDescent="0.2">
      <c r="A441" s="276" t="s">
        <v>1502</v>
      </c>
      <c r="B441" s="276" t="s">
        <v>1503</v>
      </c>
      <c r="C441" s="276">
        <v>58054</v>
      </c>
      <c r="D441" s="277">
        <v>1</v>
      </c>
      <c r="F441" s="277">
        <f t="shared" si="6"/>
        <v>4</v>
      </c>
    </row>
    <row r="442" spans="1:6" ht="15" customHeight="1" x14ac:dyDescent="0.2">
      <c r="A442" s="276" t="s">
        <v>1776</v>
      </c>
      <c r="B442" s="276" t="s">
        <v>1575</v>
      </c>
      <c r="C442" s="276">
        <v>68942</v>
      </c>
      <c r="D442" s="277">
        <v>1</v>
      </c>
      <c r="F442" s="277">
        <f t="shared" si="6"/>
        <v>1</v>
      </c>
    </row>
    <row r="443" spans="1:6" ht="15" customHeight="1" x14ac:dyDescent="0.2">
      <c r="A443" s="276" t="s">
        <v>1504</v>
      </c>
      <c r="B443" s="280" t="s">
        <v>1505</v>
      </c>
      <c r="C443" s="276">
        <v>57375</v>
      </c>
      <c r="D443" s="277">
        <v>1</v>
      </c>
      <c r="F443" s="277">
        <f t="shared" si="6"/>
        <v>4</v>
      </c>
    </row>
    <row r="444" spans="1:6" ht="15" customHeight="1" x14ac:dyDescent="0.2">
      <c r="A444" s="276" t="s">
        <v>1506</v>
      </c>
      <c r="B444" s="276" t="s">
        <v>1507</v>
      </c>
      <c r="C444" s="276">
        <v>66754</v>
      </c>
      <c r="D444" s="277">
        <v>1</v>
      </c>
      <c r="F444" s="277">
        <f t="shared" si="6"/>
        <v>3</v>
      </c>
    </row>
    <row r="445" spans="1:6" ht="15" customHeight="1" x14ac:dyDescent="0.2">
      <c r="A445" s="276" t="s">
        <v>1508</v>
      </c>
      <c r="B445" s="276" t="s">
        <v>1509</v>
      </c>
      <c r="C445" s="276">
        <v>56729</v>
      </c>
      <c r="D445" s="277">
        <v>1</v>
      </c>
      <c r="F445" s="277">
        <f t="shared" si="6"/>
        <v>4</v>
      </c>
    </row>
    <row r="446" spans="1:6" ht="15" customHeight="1" x14ac:dyDescent="0.2">
      <c r="A446" s="276" t="s">
        <v>1510</v>
      </c>
      <c r="B446" s="280" t="s">
        <v>1511</v>
      </c>
      <c r="C446" s="280">
        <v>69052</v>
      </c>
      <c r="D446" s="277">
        <v>1</v>
      </c>
      <c r="F446" s="277">
        <f t="shared" si="6"/>
        <v>3</v>
      </c>
    </row>
    <row r="447" spans="1:6" ht="15" customHeight="1" x14ac:dyDescent="0.2">
      <c r="A447" s="276" t="s">
        <v>1121</v>
      </c>
      <c r="B447" s="276" t="s">
        <v>1512</v>
      </c>
      <c r="C447" s="276">
        <v>56815</v>
      </c>
      <c r="D447" s="277">
        <v>1</v>
      </c>
      <c r="F447" s="277">
        <f t="shared" si="6"/>
        <v>4</v>
      </c>
    </row>
    <row r="448" spans="1:6" ht="15" customHeight="1" x14ac:dyDescent="0.2">
      <c r="A448" s="276" t="s">
        <v>1122</v>
      </c>
      <c r="B448" s="276" t="s">
        <v>1513</v>
      </c>
      <c r="C448" s="276">
        <v>65595</v>
      </c>
      <c r="D448" s="277">
        <v>1</v>
      </c>
      <c r="F448" s="277">
        <f t="shared" si="6"/>
        <v>4</v>
      </c>
    </row>
    <row r="449" spans="1:6" ht="15" customHeight="1" x14ac:dyDescent="0.2">
      <c r="A449" s="276" t="s">
        <v>1777</v>
      </c>
      <c r="B449" s="276" t="s">
        <v>1765</v>
      </c>
      <c r="C449" s="276">
        <v>69525</v>
      </c>
      <c r="D449" s="277">
        <v>1</v>
      </c>
      <c r="F449" s="277">
        <f t="shared" si="6"/>
        <v>3</v>
      </c>
    </row>
    <row r="450" spans="1:6" ht="15" customHeight="1" x14ac:dyDescent="0.2">
      <c r="A450" s="276" t="s">
        <v>1514</v>
      </c>
      <c r="B450" s="276" t="s">
        <v>1515</v>
      </c>
      <c r="C450" s="276">
        <v>66868</v>
      </c>
      <c r="D450" s="277">
        <v>1</v>
      </c>
      <c r="F450" s="277">
        <f t="shared" si="6"/>
        <v>3</v>
      </c>
    </row>
    <row r="451" spans="1:6" ht="15" customHeight="1" x14ac:dyDescent="0.2">
      <c r="A451" s="276" t="s">
        <v>1516</v>
      </c>
      <c r="B451" s="276" t="s">
        <v>1517</v>
      </c>
      <c r="C451" s="276">
        <v>68144</v>
      </c>
      <c r="D451" s="277">
        <v>1</v>
      </c>
      <c r="F451" s="277">
        <f t="shared" ref="F451:F514" si="7">COUNTIF(C:C,C451)</f>
        <v>4</v>
      </c>
    </row>
    <row r="452" spans="1:6" ht="15" customHeight="1" x14ac:dyDescent="0.2">
      <c r="A452" s="276" t="s">
        <v>1778</v>
      </c>
      <c r="B452" s="276" t="s">
        <v>1767</v>
      </c>
      <c r="C452" s="276">
        <v>57705</v>
      </c>
      <c r="D452" s="277">
        <v>1</v>
      </c>
      <c r="F452" s="277">
        <f t="shared" si="7"/>
        <v>3</v>
      </c>
    </row>
    <row r="453" spans="1:6" ht="15" customHeight="1" x14ac:dyDescent="0.2">
      <c r="A453" s="276" t="s">
        <v>1779</v>
      </c>
      <c r="B453" s="276" t="s">
        <v>1773</v>
      </c>
      <c r="C453" s="276">
        <v>58282</v>
      </c>
      <c r="D453" s="277">
        <v>1</v>
      </c>
      <c r="F453" s="277">
        <f t="shared" si="7"/>
        <v>4</v>
      </c>
    </row>
    <row r="454" spans="1:6" ht="15" customHeight="1" x14ac:dyDescent="0.2">
      <c r="A454" s="276" t="s">
        <v>1518</v>
      </c>
      <c r="B454" s="276" t="s">
        <v>1519</v>
      </c>
      <c r="C454" s="276">
        <v>58051</v>
      </c>
      <c r="D454" s="277">
        <v>1</v>
      </c>
      <c r="F454" s="277">
        <f t="shared" si="7"/>
        <v>4</v>
      </c>
    </row>
    <row r="455" spans="1:6" ht="15" customHeight="1" x14ac:dyDescent="0.2">
      <c r="A455" s="276" t="s">
        <v>1520</v>
      </c>
      <c r="B455" s="276" t="s">
        <v>1493</v>
      </c>
      <c r="C455" s="276">
        <v>57373</v>
      </c>
      <c r="D455" s="277">
        <v>1</v>
      </c>
      <c r="F455" s="277">
        <f t="shared" si="7"/>
        <v>4</v>
      </c>
    </row>
    <row r="456" spans="1:6" ht="15" customHeight="1" x14ac:dyDescent="0.2">
      <c r="A456" s="276" t="s">
        <v>1521</v>
      </c>
      <c r="B456" s="276" t="s">
        <v>1505</v>
      </c>
      <c r="C456" s="276">
        <v>57375</v>
      </c>
      <c r="D456" s="277">
        <v>1</v>
      </c>
      <c r="F456" s="277">
        <f t="shared" si="7"/>
        <v>4</v>
      </c>
    </row>
    <row r="457" spans="1:6" ht="15" customHeight="1" x14ac:dyDescent="0.2">
      <c r="A457" s="276" t="s">
        <v>1522</v>
      </c>
      <c r="B457" s="280" t="s">
        <v>1523</v>
      </c>
      <c r="C457" s="280">
        <v>69058</v>
      </c>
      <c r="D457" s="277">
        <v>1</v>
      </c>
      <c r="F457" s="277">
        <f t="shared" si="7"/>
        <v>2</v>
      </c>
    </row>
    <row r="458" spans="1:6" ht="15" customHeight="1" x14ac:dyDescent="0.2">
      <c r="A458" s="276" t="s">
        <v>1524</v>
      </c>
      <c r="B458" s="280" t="s">
        <v>1470</v>
      </c>
      <c r="C458" s="280">
        <v>57090</v>
      </c>
      <c r="D458" s="277">
        <v>1</v>
      </c>
      <c r="F458" s="277">
        <f t="shared" si="7"/>
        <v>3</v>
      </c>
    </row>
    <row r="459" spans="1:6" ht="15" customHeight="1" x14ac:dyDescent="0.2">
      <c r="A459" s="276" t="s">
        <v>1525</v>
      </c>
      <c r="B459" s="280" t="s">
        <v>1488</v>
      </c>
      <c r="C459" s="280">
        <v>56101</v>
      </c>
      <c r="D459" s="277">
        <v>1</v>
      </c>
      <c r="F459" s="277">
        <f t="shared" si="7"/>
        <v>3</v>
      </c>
    </row>
    <row r="460" spans="1:6" ht="15" customHeight="1" x14ac:dyDescent="0.2">
      <c r="A460" s="276" t="s">
        <v>1526</v>
      </c>
      <c r="B460" s="276" t="s">
        <v>1527</v>
      </c>
      <c r="C460" s="280">
        <v>66865</v>
      </c>
      <c r="D460" s="277">
        <v>1</v>
      </c>
      <c r="F460" s="277">
        <f t="shared" si="7"/>
        <v>3</v>
      </c>
    </row>
    <row r="461" spans="1:6" ht="15" customHeight="1" x14ac:dyDescent="0.2">
      <c r="A461" s="276" t="s">
        <v>1780</v>
      </c>
      <c r="B461" s="276" t="s">
        <v>1773</v>
      </c>
      <c r="C461" s="276">
        <v>58282</v>
      </c>
      <c r="D461" s="277">
        <v>1</v>
      </c>
      <c r="F461" s="277">
        <f t="shared" si="7"/>
        <v>4</v>
      </c>
    </row>
    <row r="462" spans="1:6" ht="15" customHeight="1" x14ac:dyDescent="0.2">
      <c r="A462" s="276" t="s">
        <v>1781</v>
      </c>
      <c r="B462" s="276" t="s">
        <v>1759</v>
      </c>
      <c r="C462" s="276">
        <v>57702</v>
      </c>
      <c r="D462" s="277">
        <v>1</v>
      </c>
      <c r="F462" s="277">
        <f t="shared" si="7"/>
        <v>4</v>
      </c>
    </row>
    <row r="463" spans="1:6" ht="15" customHeight="1" x14ac:dyDescent="0.2">
      <c r="A463" s="276" t="s">
        <v>1528</v>
      </c>
      <c r="B463" s="276" t="s">
        <v>1519</v>
      </c>
      <c r="C463" s="276">
        <v>58051</v>
      </c>
      <c r="D463" s="277">
        <v>1</v>
      </c>
      <c r="F463" s="277">
        <f t="shared" si="7"/>
        <v>4</v>
      </c>
    </row>
    <row r="464" spans="1:6" ht="15" customHeight="1" x14ac:dyDescent="0.2">
      <c r="A464" s="276" t="s">
        <v>1529</v>
      </c>
      <c r="B464" s="280" t="s">
        <v>1503</v>
      </c>
      <c r="C464" s="280">
        <v>58054</v>
      </c>
      <c r="D464" s="277">
        <v>1</v>
      </c>
      <c r="F464" s="277">
        <f t="shared" si="7"/>
        <v>4</v>
      </c>
    </row>
    <row r="465" spans="1:6" ht="15" customHeight="1" x14ac:dyDescent="0.2">
      <c r="A465" s="276" t="s">
        <v>1530</v>
      </c>
      <c r="B465" s="276" t="s">
        <v>1493</v>
      </c>
      <c r="C465" s="276">
        <v>57373</v>
      </c>
      <c r="D465" s="277">
        <v>1</v>
      </c>
      <c r="F465" s="277">
        <f t="shared" si="7"/>
        <v>4</v>
      </c>
    </row>
    <row r="466" spans="1:6" ht="15" customHeight="1" x14ac:dyDescent="0.2">
      <c r="A466" s="276" t="s">
        <v>1531</v>
      </c>
      <c r="B466" s="280" t="s">
        <v>1464</v>
      </c>
      <c r="C466" s="280">
        <v>58149</v>
      </c>
      <c r="D466" s="277">
        <v>1</v>
      </c>
      <c r="F466" s="277">
        <f t="shared" si="7"/>
        <v>3</v>
      </c>
    </row>
    <row r="467" spans="1:6" ht="15" customHeight="1" x14ac:dyDescent="0.2">
      <c r="A467" s="276" t="s">
        <v>1532</v>
      </c>
      <c r="B467" s="276" t="s">
        <v>1509</v>
      </c>
      <c r="C467" s="280">
        <v>56729</v>
      </c>
      <c r="D467" s="277">
        <v>1</v>
      </c>
      <c r="F467" s="277">
        <f t="shared" si="7"/>
        <v>4</v>
      </c>
    </row>
    <row r="468" spans="1:6" ht="15" customHeight="1" x14ac:dyDescent="0.2">
      <c r="A468" s="276" t="s">
        <v>1533</v>
      </c>
      <c r="B468" s="276" t="s">
        <v>1534</v>
      </c>
      <c r="C468" s="276">
        <v>69063</v>
      </c>
      <c r="D468" s="277">
        <v>1</v>
      </c>
      <c r="F468" s="277">
        <f t="shared" si="7"/>
        <v>3</v>
      </c>
    </row>
    <row r="469" spans="1:6" ht="15" customHeight="1" x14ac:dyDescent="0.2">
      <c r="A469" s="276" t="s">
        <v>1123</v>
      </c>
      <c r="B469" s="276" t="s">
        <v>1513</v>
      </c>
      <c r="C469" s="276">
        <v>65595</v>
      </c>
      <c r="D469" s="277">
        <v>1</v>
      </c>
      <c r="F469" s="277">
        <f t="shared" si="7"/>
        <v>4</v>
      </c>
    </row>
    <row r="470" spans="1:6" ht="15" customHeight="1" x14ac:dyDescent="0.2">
      <c r="A470" s="276" t="s">
        <v>1124</v>
      </c>
      <c r="B470" s="280" t="s">
        <v>1498</v>
      </c>
      <c r="C470" s="280">
        <v>56805</v>
      </c>
      <c r="D470" s="277">
        <v>1</v>
      </c>
      <c r="F470" s="277">
        <f t="shared" si="7"/>
        <v>4</v>
      </c>
    </row>
    <row r="471" spans="1:6" ht="15" customHeight="1" x14ac:dyDescent="0.2">
      <c r="A471" s="276" t="s">
        <v>1782</v>
      </c>
      <c r="B471" s="280" t="s">
        <v>1763</v>
      </c>
      <c r="C471" s="280">
        <v>69523</v>
      </c>
      <c r="D471" s="277">
        <v>1</v>
      </c>
      <c r="F471" s="277">
        <f t="shared" si="7"/>
        <v>3</v>
      </c>
    </row>
    <row r="472" spans="1:6" ht="15" customHeight="1" x14ac:dyDescent="0.2">
      <c r="A472" s="276" t="s">
        <v>1783</v>
      </c>
      <c r="B472" s="280" t="s">
        <v>1784</v>
      </c>
      <c r="C472" s="280">
        <v>69526</v>
      </c>
      <c r="D472" s="277">
        <v>1</v>
      </c>
      <c r="F472" s="277">
        <f t="shared" si="7"/>
        <v>3</v>
      </c>
    </row>
    <row r="473" spans="1:6" ht="15" customHeight="1" x14ac:dyDescent="0.2">
      <c r="A473" s="276" t="s">
        <v>1535</v>
      </c>
      <c r="B473" s="276" t="s">
        <v>1527</v>
      </c>
      <c r="C473" s="276">
        <v>66865</v>
      </c>
      <c r="D473" s="277">
        <v>1</v>
      </c>
      <c r="F473" s="277">
        <f t="shared" si="7"/>
        <v>3</v>
      </c>
    </row>
    <row r="474" spans="1:6" ht="15" customHeight="1" x14ac:dyDescent="0.2">
      <c r="A474" s="276" t="s">
        <v>1536</v>
      </c>
      <c r="B474" s="276" t="s">
        <v>1517</v>
      </c>
      <c r="C474" s="276">
        <v>68144</v>
      </c>
      <c r="D474" s="277">
        <v>1</v>
      </c>
      <c r="F474" s="277">
        <f t="shared" si="7"/>
        <v>4</v>
      </c>
    </row>
    <row r="475" spans="1:6" ht="15" customHeight="1" x14ac:dyDescent="0.2">
      <c r="A475" s="276" t="s">
        <v>1785</v>
      </c>
      <c r="B475" s="276" t="s">
        <v>1786</v>
      </c>
      <c r="C475" s="276">
        <v>68778</v>
      </c>
      <c r="D475" s="277">
        <v>1</v>
      </c>
      <c r="F475" s="277">
        <f t="shared" si="7"/>
        <v>3</v>
      </c>
    </row>
    <row r="476" spans="1:6" ht="15" customHeight="1" x14ac:dyDescent="0.2">
      <c r="A476" s="276" t="s">
        <v>1787</v>
      </c>
      <c r="B476" s="276" t="s">
        <v>1761</v>
      </c>
      <c r="C476" s="276">
        <v>68779</v>
      </c>
      <c r="D476" s="277">
        <v>1</v>
      </c>
      <c r="F476" s="277">
        <f t="shared" si="7"/>
        <v>3</v>
      </c>
    </row>
    <row r="477" spans="1:6" ht="15" customHeight="1" x14ac:dyDescent="0.2">
      <c r="A477" s="276" t="s">
        <v>1537</v>
      </c>
      <c r="B477" s="276" t="s">
        <v>1519</v>
      </c>
      <c r="C477" s="276">
        <v>58051</v>
      </c>
      <c r="D477" s="277">
        <v>1</v>
      </c>
      <c r="F477" s="277">
        <f t="shared" si="7"/>
        <v>4</v>
      </c>
    </row>
    <row r="478" spans="1:6" ht="15" customHeight="1" x14ac:dyDescent="0.2">
      <c r="A478" s="276" t="s">
        <v>1538</v>
      </c>
      <c r="B478" s="276" t="s">
        <v>1503</v>
      </c>
      <c r="C478" s="276">
        <v>58054</v>
      </c>
      <c r="D478" s="277">
        <v>1</v>
      </c>
      <c r="F478" s="277">
        <f t="shared" si="7"/>
        <v>4</v>
      </c>
    </row>
    <row r="479" spans="1:6" ht="15" customHeight="1" x14ac:dyDescent="0.2">
      <c r="A479" s="276" t="s">
        <v>1539</v>
      </c>
      <c r="B479" s="276" t="s">
        <v>1505</v>
      </c>
      <c r="C479" s="276">
        <v>57375</v>
      </c>
      <c r="D479" s="277">
        <v>1</v>
      </c>
      <c r="F479" s="277">
        <f t="shared" si="7"/>
        <v>4</v>
      </c>
    </row>
    <row r="480" spans="1:6" ht="15" customHeight="1" x14ac:dyDescent="0.2">
      <c r="A480" s="276" t="s">
        <v>1540</v>
      </c>
      <c r="B480" s="276" t="s">
        <v>1507</v>
      </c>
      <c r="C480" s="276">
        <v>66754</v>
      </c>
      <c r="D480" s="277">
        <v>1</v>
      </c>
      <c r="F480" s="277">
        <f t="shared" si="7"/>
        <v>3</v>
      </c>
    </row>
    <row r="481" spans="1:6" ht="15" customHeight="1" x14ac:dyDescent="0.2">
      <c r="A481" s="276" t="s">
        <v>1541</v>
      </c>
      <c r="B481" s="276" t="s">
        <v>1509</v>
      </c>
      <c r="C481" s="276">
        <v>56729</v>
      </c>
      <c r="D481" s="277">
        <v>1</v>
      </c>
      <c r="F481" s="277">
        <f t="shared" si="7"/>
        <v>4</v>
      </c>
    </row>
    <row r="482" spans="1:6" ht="15" customHeight="1" x14ac:dyDescent="0.2">
      <c r="A482" s="276" t="s">
        <v>1542</v>
      </c>
      <c r="B482" s="280" t="s">
        <v>1534</v>
      </c>
      <c r="C482" s="280">
        <v>69063</v>
      </c>
      <c r="D482" s="277">
        <v>1</v>
      </c>
      <c r="F482" s="277">
        <f t="shared" si="7"/>
        <v>3</v>
      </c>
    </row>
    <row r="483" spans="1:6" ht="15" customHeight="1" x14ac:dyDescent="0.2">
      <c r="A483" s="276" t="s">
        <v>1125</v>
      </c>
      <c r="B483" s="276" t="s">
        <v>1513</v>
      </c>
      <c r="C483" s="280">
        <v>65595</v>
      </c>
      <c r="D483" s="277">
        <v>1</v>
      </c>
      <c r="F483" s="277">
        <f t="shared" si="7"/>
        <v>4</v>
      </c>
    </row>
    <row r="484" spans="1:6" ht="15" customHeight="1" x14ac:dyDescent="0.2">
      <c r="A484" s="276" t="s">
        <v>1126</v>
      </c>
      <c r="B484" s="276" t="s">
        <v>1512</v>
      </c>
      <c r="C484" s="276">
        <v>56815</v>
      </c>
      <c r="D484" s="277">
        <v>1</v>
      </c>
      <c r="F484" s="277">
        <f t="shared" si="7"/>
        <v>4</v>
      </c>
    </row>
    <row r="485" spans="1:6" ht="15" customHeight="1" x14ac:dyDescent="0.2">
      <c r="A485" s="276" t="s">
        <v>1788</v>
      </c>
      <c r="B485" s="276" t="s">
        <v>1784</v>
      </c>
      <c r="C485" s="276">
        <v>69526</v>
      </c>
      <c r="D485" s="277">
        <v>1</v>
      </c>
      <c r="F485" s="277">
        <f t="shared" si="7"/>
        <v>3</v>
      </c>
    </row>
    <row r="486" spans="1:6" ht="15" customHeight="1" x14ac:dyDescent="0.2">
      <c r="A486" s="276" t="s">
        <v>1789</v>
      </c>
      <c r="B486" s="276" t="s">
        <v>1763</v>
      </c>
      <c r="C486" s="276">
        <v>69523</v>
      </c>
      <c r="D486" s="277">
        <v>1</v>
      </c>
      <c r="F486" s="277">
        <f t="shared" si="7"/>
        <v>3</v>
      </c>
    </row>
    <row r="487" spans="1:6" ht="15" customHeight="1" x14ac:dyDescent="0.2">
      <c r="A487" s="276" t="s">
        <v>1543</v>
      </c>
      <c r="B487" s="276" t="s">
        <v>1501</v>
      </c>
      <c r="C487" s="276">
        <v>66863</v>
      </c>
      <c r="D487" s="277">
        <v>1</v>
      </c>
      <c r="F487" s="277">
        <f t="shared" si="7"/>
        <v>3</v>
      </c>
    </row>
    <row r="488" spans="1:6" ht="15" customHeight="1" x14ac:dyDescent="0.2">
      <c r="A488" s="276" t="s">
        <v>1544</v>
      </c>
      <c r="B488" s="276" t="s">
        <v>1515</v>
      </c>
      <c r="C488" s="276">
        <v>66868</v>
      </c>
      <c r="D488" s="277">
        <v>1</v>
      </c>
      <c r="F488" s="277">
        <f t="shared" si="7"/>
        <v>3</v>
      </c>
    </row>
    <row r="489" spans="1:6" ht="15" customHeight="1" x14ac:dyDescent="0.2">
      <c r="A489" s="276" t="s">
        <v>1790</v>
      </c>
      <c r="B489" s="280" t="s">
        <v>1791</v>
      </c>
      <c r="C489" s="280">
        <v>68780</v>
      </c>
      <c r="D489" s="277">
        <v>1</v>
      </c>
      <c r="F489" s="277">
        <f t="shared" si="7"/>
        <v>1</v>
      </c>
    </row>
    <row r="490" spans="1:6" ht="15" customHeight="1" x14ac:dyDescent="0.2">
      <c r="A490" s="276" t="s">
        <v>1792</v>
      </c>
      <c r="B490" s="276" t="s">
        <v>1770</v>
      </c>
      <c r="C490" s="276">
        <v>68783</v>
      </c>
      <c r="D490" s="277">
        <v>1</v>
      </c>
      <c r="F490" s="277">
        <f t="shared" si="7"/>
        <v>4</v>
      </c>
    </row>
    <row r="491" spans="1:6" ht="15" customHeight="1" x14ac:dyDescent="0.2">
      <c r="A491" s="276" t="s">
        <v>1545</v>
      </c>
      <c r="B491" s="276" t="s">
        <v>1546</v>
      </c>
      <c r="C491" s="276">
        <v>68945</v>
      </c>
      <c r="D491" s="277">
        <v>1</v>
      </c>
      <c r="F491" s="277">
        <f t="shared" si="7"/>
        <v>2</v>
      </c>
    </row>
    <row r="492" spans="1:6" ht="15" customHeight="1" x14ac:dyDescent="0.2">
      <c r="A492" s="276" t="s">
        <v>1547</v>
      </c>
      <c r="B492" s="276" t="s">
        <v>1491</v>
      </c>
      <c r="C492" s="276">
        <v>65725</v>
      </c>
      <c r="D492" s="277">
        <v>1</v>
      </c>
      <c r="F492" s="277">
        <f t="shared" si="7"/>
        <v>3</v>
      </c>
    </row>
    <row r="493" spans="1:6" ht="15" customHeight="1" x14ac:dyDescent="0.2">
      <c r="A493" s="276" t="s">
        <v>1793</v>
      </c>
      <c r="B493" s="280" t="s">
        <v>1794</v>
      </c>
      <c r="C493" s="280">
        <v>69435</v>
      </c>
      <c r="D493" s="277">
        <v>1</v>
      </c>
      <c r="F493" s="277">
        <f t="shared" si="7"/>
        <v>1</v>
      </c>
    </row>
    <row r="494" spans="1:6" ht="15" customHeight="1" x14ac:dyDescent="0.2">
      <c r="A494" s="276" t="s">
        <v>1548</v>
      </c>
      <c r="B494" s="276" t="s">
        <v>1483</v>
      </c>
      <c r="C494" s="276">
        <v>69047</v>
      </c>
      <c r="D494" s="277">
        <v>1</v>
      </c>
      <c r="F494" s="277">
        <f t="shared" si="7"/>
        <v>3</v>
      </c>
    </row>
    <row r="495" spans="1:6" ht="15" customHeight="1" x14ac:dyDescent="0.2">
      <c r="A495" s="276" t="s">
        <v>1549</v>
      </c>
      <c r="B495" s="276" t="s">
        <v>1485</v>
      </c>
      <c r="C495" s="276">
        <v>69066</v>
      </c>
      <c r="D495" s="277">
        <v>1</v>
      </c>
      <c r="F495" s="277">
        <f t="shared" si="7"/>
        <v>3</v>
      </c>
    </row>
    <row r="496" spans="1:6" ht="15" customHeight="1" x14ac:dyDescent="0.2">
      <c r="A496" s="276" t="s">
        <v>1550</v>
      </c>
      <c r="B496" s="280" t="s">
        <v>1472</v>
      </c>
      <c r="C496" s="280">
        <v>65599</v>
      </c>
      <c r="D496" s="277">
        <v>1</v>
      </c>
      <c r="F496" s="277">
        <f t="shared" si="7"/>
        <v>4</v>
      </c>
    </row>
    <row r="497" spans="1:6" ht="15" customHeight="1" x14ac:dyDescent="0.2">
      <c r="A497" s="276" t="s">
        <v>1551</v>
      </c>
      <c r="B497" s="276" t="s">
        <v>1552</v>
      </c>
      <c r="C497" s="276">
        <v>66870</v>
      </c>
      <c r="D497" s="277">
        <v>1</v>
      </c>
      <c r="F497" s="277">
        <f t="shared" si="7"/>
        <v>1</v>
      </c>
    </row>
    <row r="498" spans="1:6" ht="15" customHeight="1" x14ac:dyDescent="0.2">
      <c r="A498" s="276" t="s">
        <v>1795</v>
      </c>
      <c r="B498" s="276" t="s">
        <v>1775</v>
      </c>
      <c r="C498" s="276">
        <v>68776</v>
      </c>
      <c r="D498" s="277">
        <v>1</v>
      </c>
      <c r="F498" s="277">
        <f t="shared" si="7"/>
        <v>2</v>
      </c>
    </row>
    <row r="499" spans="1:6" ht="15" customHeight="1" x14ac:dyDescent="0.2">
      <c r="A499" s="276" t="s">
        <v>1796</v>
      </c>
      <c r="B499" s="276" t="s">
        <v>1786</v>
      </c>
      <c r="C499" s="280">
        <v>68778</v>
      </c>
      <c r="D499" s="277">
        <v>1</v>
      </c>
      <c r="F499" s="277">
        <f t="shared" si="7"/>
        <v>3</v>
      </c>
    </row>
    <row r="500" spans="1:6" ht="15" customHeight="1" x14ac:dyDescent="0.2">
      <c r="A500" s="276" t="s">
        <v>1553</v>
      </c>
      <c r="B500" s="276" t="s">
        <v>1479</v>
      </c>
      <c r="C500" s="276">
        <v>58053</v>
      </c>
      <c r="D500" s="277">
        <v>1</v>
      </c>
      <c r="F500" s="277">
        <f t="shared" si="7"/>
        <v>3</v>
      </c>
    </row>
    <row r="501" spans="1:6" ht="15" customHeight="1" x14ac:dyDescent="0.2">
      <c r="A501" s="276" t="s">
        <v>1554</v>
      </c>
      <c r="B501" s="276" t="s">
        <v>1491</v>
      </c>
      <c r="C501" s="276">
        <v>65725</v>
      </c>
      <c r="D501" s="277">
        <v>1</v>
      </c>
      <c r="F501" s="277">
        <f t="shared" si="7"/>
        <v>3</v>
      </c>
    </row>
    <row r="502" spans="1:6" ht="15" customHeight="1" x14ac:dyDescent="0.2">
      <c r="A502" s="276" t="s">
        <v>1555</v>
      </c>
      <c r="B502" s="276" t="s">
        <v>1556</v>
      </c>
      <c r="C502" s="276">
        <v>66755</v>
      </c>
      <c r="D502" s="277">
        <v>1</v>
      </c>
      <c r="F502" s="277">
        <f t="shared" si="7"/>
        <v>1</v>
      </c>
    </row>
    <row r="503" spans="1:6" ht="15" customHeight="1" x14ac:dyDescent="0.2">
      <c r="A503" s="276" t="s">
        <v>1557</v>
      </c>
      <c r="B503" s="276" t="s">
        <v>1558</v>
      </c>
      <c r="C503" s="276">
        <v>66757</v>
      </c>
      <c r="D503" s="277">
        <v>1</v>
      </c>
      <c r="F503" s="277">
        <f t="shared" si="7"/>
        <v>1</v>
      </c>
    </row>
    <row r="504" spans="1:6" ht="15" customHeight="1" x14ac:dyDescent="0.2">
      <c r="A504" s="276" t="s">
        <v>1559</v>
      </c>
      <c r="B504" s="276" t="s">
        <v>1511</v>
      </c>
      <c r="C504" s="276">
        <v>69052</v>
      </c>
      <c r="D504" s="277">
        <v>1</v>
      </c>
      <c r="F504" s="277">
        <f t="shared" si="7"/>
        <v>3</v>
      </c>
    </row>
    <row r="505" spans="1:6" ht="15" customHeight="1" x14ac:dyDescent="0.2">
      <c r="A505" s="276" t="s">
        <v>1560</v>
      </c>
      <c r="B505" s="280" t="s">
        <v>1468</v>
      </c>
      <c r="C505" s="280">
        <v>57093</v>
      </c>
      <c r="D505" s="277">
        <v>1</v>
      </c>
      <c r="F505" s="277">
        <f t="shared" si="7"/>
        <v>2</v>
      </c>
    </row>
    <row r="506" spans="1:6" ht="15" customHeight="1" x14ac:dyDescent="0.2">
      <c r="A506" s="276" t="s">
        <v>1561</v>
      </c>
      <c r="B506" s="280" t="s">
        <v>1498</v>
      </c>
      <c r="C506" s="280">
        <v>56805</v>
      </c>
      <c r="D506" s="277">
        <v>1</v>
      </c>
      <c r="F506" s="277">
        <f t="shared" si="7"/>
        <v>4</v>
      </c>
    </row>
    <row r="507" spans="1:6" ht="15" customHeight="1" x14ac:dyDescent="0.2">
      <c r="A507" s="276" t="s">
        <v>1562</v>
      </c>
      <c r="B507" s="276" t="s">
        <v>1472</v>
      </c>
      <c r="C507" s="276">
        <v>65599</v>
      </c>
      <c r="D507" s="277">
        <v>1</v>
      </c>
      <c r="F507" s="277">
        <f t="shared" si="7"/>
        <v>4</v>
      </c>
    </row>
    <row r="508" spans="1:6" ht="15" customHeight="1" x14ac:dyDescent="0.2">
      <c r="A508" s="276" t="s">
        <v>1797</v>
      </c>
      <c r="B508" s="280" t="s">
        <v>1784</v>
      </c>
      <c r="C508" s="280">
        <v>69526</v>
      </c>
      <c r="D508" s="277">
        <v>1</v>
      </c>
      <c r="F508" s="277">
        <f t="shared" si="7"/>
        <v>3</v>
      </c>
    </row>
    <row r="509" spans="1:6" ht="15" customHeight="1" x14ac:dyDescent="0.2">
      <c r="A509" s="276" t="s">
        <v>1563</v>
      </c>
      <c r="B509" s="280" t="s">
        <v>1476</v>
      </c>
      <c r="C509" s="280">
        <v>56063</v>
      </c>
      <c r="D509" s="277">
        <v>0</v>
      </c>
      <c r="F509" s="277">
        <f t="shared" si="7"/>
        <v>3</v>
      </c>
    </row>
    <row r="510" spans="1:6" ht="15" customHeight="1" x14ac:dyDescent="0.2">
      <c r="A510" s="276" t="s">
        <v>1564</v>
      </c>
      <c r="B510" s="280" t="s">
        <v>1474</v>
      </c>
      <c r="C510" s="280">
        <v>56099</v>
      </c>
      <c r="D510" s="277">
        <v>1</v>
      </c>
      <c r="F510" s="277">
        <f t="shared" si="7"/>
        <v>3</v>
      </c>
    </row>
    <row r="511" spans="1:6" ht="15" customHeight="1" x14ac:dyDescent="0.2">
      <c r="A511" s="276" t="s">
        <v>1798</v>
      </c>
      <c r="B511" s="276" t="s">
        <v>1759</v>
      </c>
      <c r="C511" s="276">
        <v>57702</v>
      </c>
      <c r="D511" s="277">
        <v>1</v>
      </c>
      <c r="F511" s="277">
        <f t="shared" si="7"/>
        <v>4</v>
      </c>
    </row>
    <row r="512" spans="1:6" ht="15" customHeight="1" x14ac:dyDescent="0.2">
      <c r="A512" s="276" t="s">
        <v>1799</v>
      </c>
      <c r="B512" s="276" t="s">
        <v>1770</v>
      </c>
      <c r="C512" s="276">
        <v>68783</v>
      </c>
      <c r="D512" s="277">
        <v>1</v>
      </c>
      <c r="F512" s="277">
        <f t="shared" si="7"/>
        <v>4</v>
      </c>
    </row>
    <row r="513" spans="1:6" ht="15" customHeight="1" x14ac:dyDescent="0.2">
      <c r="A513" s="276" t="s">
        <v>1565</v>
      </c>
      <c r="B513" s="276" t="s">
        <v>1546</v>
      </c>
      <c r="C513" s="276">
        <v>68945</v>
      </c>
      <c r="D513" s="277">
        <v>1</v>
      </c>
      <c r="F513" s="277">
        <f t="shared" si="7"/>
        <v>2</v>
      </c>
    </row>
    <row r="514" spans="1:6" ht="15" customHeight="1" x14ac:dyDescent="0.2">
      <c r="A514" s="276" t="s">
        <v>1566</v>
      </c>
      <c r="B514" s="276" t="s">
        <v>1576</v>
      </c>
      <c r="C514" s="276">
        <v>68951</v>
      </c>
      <c r="D514" s="277">
        <v>1</v>
      </c>
      <c r="F514" s="277">
        <f t="shared" si="7"/>
        <v>1</v>
      </c>
    </row>
    <row r="515" spans="1:6" ht="15" customHeight="1" x14ac:dyDescent="0.2">
      <c r="A515" s="276" t="s">
        <v>1567</v>
      </c>
      <c r="B515" s="276" t="s">
        <v>1495</v>
      </c>
      <c r="C515" s="276">
        <v>57376</v>
      </c>
      <c r="D515" s="277">
        <v>1</v>
      </c>
      <c r="F515" s="277">
        <f t="shared" ref="F515:F578" si="8">COUNTIF(C:C,C515)</f>
        <v>3</v>
      </c>
    </row>
    <row r="516" spans="1:6" ht="15" customHeight="1" x14ac:dyDescent="0.2">
      <c r="A516" s="276" t="s">
        <v>1568</v>
      </c>
      <c r="B516" s="280" t="s">
        <v>1577</v>
      </c>
      <c r="C516" s="280">
        <v>67357</v>
      </c>
      <c r="D516" s="277">
        <v>0</v>
      </c>
      <c r="F516" s="277">
        <f t="shared" si="8"/>
        <v>1</v>
      </c>
    </row>
    <row r="517" spans="1:6" ht="15" customHeight="1" x14ac:dyDescent="0.2">
      <c r="A517" s="276" t="s">
        <v>1569</v>
      </c>
      <c r="B517" s="280" t="s">
        <v>1523</v>
      </c>
      <c r="C517" s="280">
        <v>69058</v>
      </c>
      <c r="D517" s="277">
        <v>1</v>
      </c>
      <c r="F517" s="277">
        <f t="shared" si="8"/>
        <v>2</v>
      </c>
    </row>
    <row r="518" spans="1:6" ht="15" customHeight="1" x14ac:dyDescent="0.2">
      <c r="A518" s="276" t="s">
        <v>1570</v>
      </c>
      <c r="B518" s="280" t="s">
        <v>1571</v>
      </c>
      <c r="C518" s="280">
        <v>57087</v>
      </c>
      <c r="D518" s="277">
        <v>1</v>
      </c>
      <c r="F518" s="277">
        <f t="shared" si="8"/>
        <v>1</v>
      </c>
    </row>
    <row r="519" spans="1:6" ht="15" customHeight="1" x14ac:dyDescent="0.2">
      <c r="A519" s="276" t="s">
        <v>1127</v>
      </c>
      <c r="B519" s="276" t="s">
        <v>1512</v>
      </c>
      <c r="C519" s="276">
        <v>56815</v>
      </c>
      <c r="D519" s="277">
        <v>1</v>
      </c>
      <c r="F519" s="277">
        <f t="shared" si="8"/>
        <v>4</v>
      </c>
    </row>
    <row r="520" spans="1:6" ht="15" customHeight="1" x14ac:dyDescent="0.2">
      <c r="A520" s="276" t="s">
        <v>1800</v>
      </c>
      <c r="B520" s="280" t="s">
        <v>1765</v>
      </c>
      <c r="C520" s="280">
        <v>69525</v>
      </c>
      <c r="D520" s="277">
        <v>1</v>
      </c>
      <c r="F520" s="277">
        <f t="shared" si="8"/>
        <v>3</v>
      </c>
    </row>
    <row r="521" spans="1:6" ht="15" customHeight="1" x14ac:dyDescent="0.2">
      <c r="A521" s="276" t="s">
        <v>1572</v>
      </c>
      <c r="B521" s="276" t="s">
        <v>1573</v>
      </c>
      <c r="C521" s="276">
        <v>56102</v>
      </c>
      <c r="D521" s="277">
        <v>1</v>
      </c>
      <c r="F521" s="277">
        <f t="shared" si="8"/>
        <v>1</v>
      </c>
    </row>
    <row r="522" spans="1:6" ht="15" customHeight="1" x14ac:dyDescent="0.2">
      <c r="A522" s="276" t="s">
        <v>1574</v>
      </c>
      <c r="B522" s="276" t="s">
        <v>1517</v>
      </c>
      <c r="C522" s="280">
        <v>68144</v>
      </c>
      <c r="D522" s="277">
        <v>1</v>
      </c>
      <c r="F522" s="277">
        <f t="shared" si="8"/>
        <v>4</v>
      </c>
    </row>
    <row r="523" spans="1:6" ht="15" customHeight="1" x14ac:dyDescent="0.2">
      <c r="A523" s="276" t="s">
        <v>1578</v>
      </c>
      <c r="B523" s="280" t="s">
        <v>1488</v>
      </c>
      <c r="C523" s="276">
        <v>56101</v>
      </c>
      <c r="D523" s="277">
        <v>1</v>
      </c>
      <c r="F523" s="277">
        <f t="shared" si="8"/>
        <v>3</v>
      </c>
    </row>
    <row r="524" spans="1:6" ht="15" customHeight="1" x14ac:dyDescent="0.2">
      <c r="A524" s="276" t="s">
        <v>1801</v>
      </c>
      <c r="B524" s="280" t="s">
        <v>1759</v>
      </c>
      <c r="C524" s="280">
        <v>57702</v>
      </c>
      <c r="D524" s="277">
        <v>1</v>
      </c>
      <c r="F524" s="277">
        <f t="shared" si="8"/>
        <v>4</v>
      </c>
    </row>
    <row r="525" spans="1:6" ht="15" customHeight="1" x14ac:dyDescent="0.2">
      <c r="A525" s="276" t="s">
        <v>1579</v>
      </c>
      <c r="B525" s="276" t="s">
        <v>1460</v>
      </c>
      <c r="C525" s="276">
        <v>58052</v>
      </c>
      <c r="D525" s="277">
        <v>1</v>
      </c>
      <c r="F525" s="277">
        <f t="shared" si="8"/>
        <v>4</v>
      </c>
    </row>
    <row r="526" spans="1:6" ht="15" customHeight="1" x14ac:dyDescent="0.2">
      <c r="A526" s="276" t="s">
        <v>1580</v>
      </c>
      <c r="B526" s="276" t="s">
        <v>1507</v>
      </c>
      <c r="C526" s="276">
        <v>66754</v>
      </c>
      <c r="D526" s="277">
        <v>1</v>
      </c>
      <c r="F526" s="277">
        <f t="shared" si="8"/>
        <v>3</v>
      </c>
    </row>
    <row r="527" spans="1:6" ht="15" customHeight="1" x14ac:dyDescent="0.2">
      <c r="A527" s="276" t="s">
        <v>1581</v>
      </c>
      <c r="B527" s="276" t="s">
        <v>1511</v>
      </c>
      <c r="C527" s="276">
        <v>69052</v>
      </c>
      <c r="D527" s="277">
        <v>1</v>
      </c>
      <c r="F527" s="277">
        <f t="shared" si="8"/>
        <v>3</v>
      </c>
    </row>
    <row r="528" spans="1:6" ht="15" customHeight="1" x14ac:dyDescent="0.2">
      <c r="A528" s="276" t="s">
        <v>1582</v>
      </c>
      <c r="B528" s="276" t="s">
        <v>1513</v>
      </c>
      <c r="C528" s="276">
        <v>65595</v>
      </c>
      <c r="D528" s="277">
        <v>1</v>
      </c>
      <c r="F528" s="277">
        <f t="shared" si="8"/>
        <v>4</v>
      </c>
    </row>
    <row r="529" spans="1:6" ht="15" customHeight="1" x14ac:dyDescent="0.2">
      <c r="A529" s="276" t="s">
        <v>1583</v>
      </c>
      <c r="B529" s="276" t="s">
        <v>1527</v>
      </c>
      <c r="C529" s="276">
        <v>66865</v>
      </c>
      <c r="D529" s="277">
        <v>1</v>
      </c>
      <c r="F529" s="277">
        <f t="shared" si="8"/>
        <v>3</v>
      </c>
    </row>
    <row r="530" spans="1:6" ht="15" customHeight="1" x14ac:dyDescent="0.2">
      <c r="A530" s="276" t="s">
        <v>1802</v>
      </c>
      <c r="B530" s="276" t="s">
        <v>1773</v>
      </c>
      <c r="C530" s="276">
        <v>58282</v>
      </c>
      <c r="D530" s="277">
        <v>1</v>
      </c>
      <c r="F530" s="277">
        <f t="shared" si="8"/>
        <v>4</v>
      </c>
    </row>
    <row r="531" spans="1:6" ht="15" customHeight="1" x14ac:dyDescent="0.2">
      <c r="A531" s="276" t="s">
        <v>1584</v>
      </c>
      <c r="B531" s="276" t="s">
        <v>1503</v>
      </c>
      <c r="C531" s="276">
        <v>58054</v>
      </c>
      <c r="D531" s="277">
        <v>1</v>
      </c>
      <c r="F531" s="277">
        <f t="shared" si="8"/>
        <v>4</v>
      </c>
    </row>
    <row r="532" spans="1:6" ht="15" customHeight="1" x14ac:dyDescent="0.2">
      <c r="A532" s="276" t="s">
        <v>1585</v>
      </c>
      <c r="B532" s="280" t="s">
        <v>1505</v>
      </c>
      <c r="C532" s="280">
        <v>57375</v>
      </c>
      <c r="D532" s="277">
        <v>1</v>
      </c>
      <c r="F532" s="277">
        <f t="shared" si="8"/>
        <v>4</v>
      </c>
    </row>
    <row r="533" spans="1:6" ht="15" customHeight="1" x14ac:dyDescent="0.2">
      <c r="A533" s="276" t="s">
        <v>1586</v>
      </c>
      <c r="B533" s="276" t="s">
        <v>1485</v>
      </c>
      <c r="C533" s="276">
        <v>69066</v>
      </c>
      <c r="D533" s="277">
        <v>1</v>
      </c>
      <c r="F533" s="277">
        <f t="shared" si="8"/>
        <v>3</v>
      </c>
    </row>
    <row r="534" spans="1:6" ht="15" customHeight="1" x14ac:dyDescent="0.2">
      <c r="A534" s="276" t="s">
        <v>1587</v>
      </c>
      <c r="B534" s="276" t="s">
        <v>1498</v>
      </c>
      <c r="C534" s="276">
        <v>56805</v>
      </c>
      <c r="D534" s="277">
        <v>1</v>
      </c>
      <c r="F534" s="277">
        <f t="shared" si="8"/>
        <v>4</v>
      </c>
    </row>
    <row r="535" spans="1:6" ht="15" customHeight="1" x14ac:dyDescent="0.2">
      <c r="A535" s="276" t="s">
        <v>1588</v>
      </c>
      <c r="B535" s="276" t="s">
        <v>1515</v>
      </c>
      <c r="C535" s="276">
        <v>66868</v>
      </c>
      <c r="D535" s="277">
        <v>1</v>
      </c>
      <c r="F535" s="277">
        <f t="shared" si="8"/>
        <v>3</v>
      </c>
    </row>
    <row r="536" spans="1:6" ht="15" customHeight="1" x14ac:dyDescent="0.2">
      <c r="A536" s="276" t="s">
        <v>1803</v>
      </c>
      <c r="B536" s="276" t="s">
        <v>1770</v>
      </c>
      <c r="C536" s="276">
        <v>68783</v>
      </c>
      <c r="D536" s="277">
        <v>1</v>
      </c>
      <c r="F536" s="277">
        <f t="shared" si="8"/>
        <v>4</v>
      </c>
    </row>
    <row r="537" spans="1:6" ht="15" customHeight="1" x14ac:dyDescent="0.2">
      <c r="A537" s="276" t="s">
        <v>1589</v>
      </c>
      <c r="B537" s="276" t="s">
        <v>1479</v>
      </c>
      <c r="C537" s="276">
        <v>58053</v>
      </c>
      <c r="D537" s="277">
        <v>1</v>
      </c>
      <c r="F537" s="277">
        <f t="shared" si="8"/>
        <v>3</v>
      </c>
    </row>
    <row r="538" spans="1:6" ht="15" customHeight="1" x14ac:dyDescent="0.2">
      <c r="A538" s="276" t="s">
        <v>1590</v>
      </c>
      <c r="B538" s="276" t="s">
        <v>1495</v>
      </c>
      <c r="C538" s="276">
        <v>57376</v>
      </c>
      <c r="D538" s="277">
        <v>1</v>
      </c>
      <c r="F538" s="277">
        <f t="shared" si="8"/>
        <v>3</v>
      </c>
    </row>
    <row r="539" spans="1:6" ht="15" customHeight="1" x14ac:dyDescent="0.2">
      <c r="A539" s="276" t="s">
        <v>1591</v>
      </c>
      <c r="B539" s="280" t="s">
        <v>1534</v>
      </c>
      <c r="C539" s="280">
        <v>69063</v>
      </c>
      <c r="D539" s="277">
        <v>1</v>
      </c>
      <c r="F539" s="277">
        <f t="shared" si="8"/>
        <v>3</v>
      </c>
    </row>
    <row r="540" spans="1:6" ht="15" customHeight="1" x14ac:dyDescent="0.2">
      <c r="A540" s="276" t="s">
        <v>1592</v>
      </c>
      <c r="B540" s="276" t="s">
        <v>1512</v>
      </c>
      <c r="C540" s="276">
        <v>56815</v>
      </c>
      <c r="D540" s="277">
        <v>1</v>
      </c>
      <c r="F540" s="277">
        <f t="shared" si="8"/>
        <v>4</v>
      </c>
    </row>
    <row r="541" spans="1:6" ht="15" customHeight="1" x14ac:dyDescent="0.2">
      <c r="A541" s="276" t="s">
        <v>1593</v>
      </c>
      <c r="B541" s="276" t="s">
        <v>1501</v>
      </c>
      <c r="C541" s="276">
        <v>66863</v>
      </c>
      <c r="D541" s="277">
        <v>1</v>
      </c>
      <c r="F541" s="277">
        <f t="shared" si="8"/>
        <v>3</v>
      </c>
    </row>
    <row r="542" spans="1:6" ht="15" customHeight="1" x14ac:dyDescent="0.2">
      <c r="A542" s="276" t="s">
        <v>1804</v>
      </c>
      <c r="B542" s="276" t="s">
        <v>1786</v>
      </c>
      <c r="C542" s="276">
        <v>68778</v>
      </c>
      <c r="D542" s="277">
        <v>1</v>
      </c>
      <c r="F542" s="277">
        <f t="shared" si="8"/>
        <v>3</v>
      </c>
    </row>
    <row r="543" spans="1:6" ht="15" customHeight="1" x14ac:dyDescent="0.2">
      <c r="A543" s="276" t="s">
        <v>1594</v>
      </c>
      <c r="B543" s="276" t="s">
        <v>1519</v>
      </c>
      <c r="C543" s="276">
        <v>58051</v>
      </c>
      <c r="D543" s="277">
        <v>1</v>
      </c>
      <c r="F543" s="277">
        <f t="shared" si="8"/>
        <v>4</v>
      </c>
    </row>
    <row r="544" spans="1:6" ht="15" customHeight="1" x14ac:dyDescent="0.2">
      <c r="A544" s="276" t="s">
        <v>1595</v>
      </c>
      <c r="B544" s="276" t="s">
        <v>1493</v>
      </c>
      <c r="C544" s="276">
        <v>57373</v>
      </c>
      <c r="D544" s="277">
        <v>1</v>
      </c>
      <c r="F544" s="277">
        <f t="shared" si="8"/>
        <v>4</v>
      </c>
    </row>
    <row r="545" spans="1:6" ht="15" customHeight="1" x14ac:dyDescent="0.2">
      <c r="A545" s="276" t="s">
        <v>1596</v>
      </c>
      <c r="B545" s="276" t="s">
        <v>1509</v>
      </c>
      <c r="C545" s="276">
        <v>56729</v>
      </c>
      <c r="D545" s="277">
        <v>1</v>
      </c>
      <c r="F545" s="277">
        <f t="shared" si="8"/>
        <v>4</v>
      </c>
    </row>
    <row r="546" spans="1:6" ht="15" customHeight="1" x14ac:dyDescent="0.2">
      <c r="A546" s="276" t="s">
        <v>1597</v>
      </c>
      <c r="B546" s="280" t="s">
        <v>1472</v>
      </c>
      <c r="C546" s="280">
        <v>65599</v>
      </c>
      <c r="D546" s="277">
        <v>1</v>
      </c>
      <c r="F546" s="277">
        <f t="shared" si="8"/>
        <v>4</v>
      </c>
    </row>
    <row r="547" spans="1:6" ht="15" customHeight="1" x14ac:dyDescent="0.2">
      <c r="A547" s="276" t="s">
        <v>1598</v>
      </c>
      <c r="B547" s="280" t="s">
        <v>1517</v>
      </c>
      <c r="C547" s="280">
        <v>68144</v>
      </c>
      <c r="D547" s="277">
        <v>1</v>
      </c>
      <c r="F547" s="277">
        <f t="shared" si="8"/>
        <v>4</v>
      </c>
    </row>
    <row r="548" spans="1:6" ht="15" customHeight="1" x14ac:dyDescent="0.2">
      <c r="A548" s="276"/>
      <c r="B548" s="276"/>
      <c r="C548" s="276"/>
      <c r="F548" s="277">
        <f t="shared" si="8"/>
        <v>0</v>
      </c>
    </row>
    <row r="549" spans="1:6" ht="15" customHeight="1" x14ac:dyDescent="0.2">
      <c r="A549" s="276"/>
      <c r="B549" s="276"/>
      <c r="C549" s="276"/>
      <c r="F549" s="277">
        <f t="shared" si="8"/>
        <v>0</v>
      </c>
    </row>
    <row r="550" spans="1:6" ht="15" customHeight="1" x14ac:dyDescent="0.2">
      <c r="A550" s="276"/>
      <c r="B550" s="276"/>
      <c r="C550" s="280"/>
      <c r="F550" s="277">
        <f t="shared" si="8"/>
        <v>0</v>
      </c>
    </row>
    <row r="551" spans="1:6" ht="15" customHeight="1" x14ac:dyDescent="0.2">
      <c r="A551" s="276"/>
      <c r="B551" s="276"/>
      <c r="C551" s="280"/>
      <c r="F551" s="277">
        <f t="shared" si="8"/>
        <v>0</v>
      </c>
    </row>
    <row r="552" spans="1:6" ht="15" customHeight="1" x14ac:dyDescent="0.2">
      <c r="A552" s="276"/>
      <c r="B552" s="276"/>
      <c r="C552" s="276"/>
      <c r="F552" s="277">
        <f t="shared" si="8"/>
        <v>0</v>
      </c>
    </row>
    <row r="553" spans="1:6" ht="15" customHeight="1" x14ac:dyDescent="0.2">
      <c r="A553" s="276"/>
      <c r="B553" s="276"/>
      <c r="C553" s="280"/>
      <c r="F553" s="277">
        <f t="shared" si="8"/>
        <v>0</v>
      </c>
    </row>
    <row r="554" spans="1:6" ht="15" customHeight="1" x14ac:dyDescent="0.2">
      <c r="A554" s="276"/>
      <c r="B554" s="276"/>
      <c r="C554" s="276"/>
      <c r="F554" s="277">
        <f t="shared" si="8"/>
        <v>0</v>
      </c>
    </row>
    <row r="555" spans="1:6" ht="15" customHeight="1" x14ac:dyDescent="0.2">
      <c r="A555" s="276"/>
      <c r="B555" s="276"/>
      <c r="C555" s="276"/>
      <c r="F555" s="277">
        <f t="shared" si="8"/>
        <v>0</v>
      </c>
    </row>
    <row r="556" spans="1:6" ht="15" customHeight="1" x14ac:dyDescent="0.2">
      <c r="A556" s="276"/>
      <c r="B556" s="276"/>
      <c r="C556" s="276"/>
      <c r="F556" s="277">
        <f t="shared" si="8"/>
        <v>0</v>
      </c>
    </row>
    <row r="557" spans="1:6" ht="15" customHeight="1" x14ac:dyDescent="0.2">
      <c r="A557" s="276"/>
      <c r="B557" s="280"/>
      <c r="C557" s="280"/>
      <c r="F557" s="277">
        <f t="shared" si="8"/>
        <v>0</v>
      </c>
    </row>
    <row r="558" spans="1:6" ht="15" customHeight="1" x14ac:dyDescent="0.2">
      <c r="A558" s="276"/>
      <c r="B558" s="276"/>
      <c r="C558" s="276"/>
      <c r="F558" s="277">
        <f t="shared" si="8"/>
        <v>0</v>
      </c>
    </row>
    <row r="559" spans="1:6" ht="15" customHeight="1" x14ac:dyDescent="0.2">
      <c r="A559" s="276"/>
      <c r="B559" s="276"/>
      <c r="C559" s="280"/>
      <c r="F559" s="277">
        <f t="shared" si="8"/>
        <v>0</v>
      </c>
    </row>
    <row r="560" spans="1:6" ht="15" customHeight="1" x14ac:dyDescent="0.2">
      <c r="A560" s="276"/>
      <c r="B560" s="276"/>
      <c r="C560" s="276"/>
      <c r="F560" s="277">
        <f t="shared" si="8"/>
        <v>0</v>
      </c>
    </row>
    <row r="561" spans="1:6" ht="15" customHeight="1" x14ac:dyDescent="0.2">
      <c r="A561" s="276"/>
      <c r="B561" s="276"/>
      <c r="C561" s="280"/>
      <c r="F561" s="277">
        <f t="shared" si="8"/>
        <v>0</v>
      </c>
    </row>
    <row r="562" spans="1:6" ht="15" customHeight="1" x14ac:dyDescent="0.2">
      <c r="A562" s="276"/>
      <c r="B562" s="276"/>
      <c r="C562" s="276"/>
      <c r="F562" s="277">
        <f t="shared" si="8"/>
        <v>0</v>
      </c>
    </row>
    <row r="563" spans="1:6" ht="15" customHeight="1" x14ac:dyDescent="0.2">
      <c r="A563" s="276"/>
      <c r="B563" s="276"/>
      <c r="C563" s="280"/>
      <c r="F563" s="277">
        <f t="shared" si="8"/>
        <v>0</v>
      </c>
    </row>
    <row r="564" spans="1:6" ht="15" customHeight="1" x14ac:dyDescent="0.2">
      <c r="A564" s="276"/>
      <c r="B564" s="280"/>
      <c r="C564" s="280"/>
      <c r="F564" s="277">
        <f t="shared" si="8"/>
        <v>0</v>
      </c>
    </row>
    <row r="565" spans="1:6" ht="15" customHeight="1" x14ac:dyDescent="0.2">
      <c r="A565" s="276"/>
      <c r="B565" s="276"/>
      <c r="C565" s="276"/>
      <c r="F565" s="277">
        <f t="shared" si="8"/>
        <v>0</v>
      </c>
    </row>
    <row r="566" spans="1:6" ht="15" customHeight="1" x14ac:dyDescent="0.2">
      <c r="A566" s="276"/>
      <c r="B566" s="276"/>
      <c r="C566" s="276"/>
      <c r="F566" s="277">
        <f t="shared" si="8"/>
        <v>0</v>
      </c>
    </row>
    <row r="567" spans="1:6" ht="15" customHeight="1" x14ac:dyDescent="0.2">
      <c r="A567" s="276"/>
      <c r="B567" s="276"/>
      <c r="C567" s="276"/>
      <c r="F567" s="277">
        <f t="shared" si="8"/>
        <v>0</v>
      </c>
    </row>
    <row r="568" spans="1:6" ht="15" customHeight="1" x14ac:dyDescent="0.2">
      <c r="A568" s="276"/>
      <c r="B568" s="276"/>
      <c r="C568" s="276"/>
      <c r="F568" s="277">
        <f t="shared" si="8"/>
        <v>0</v>
      </c>
    </row>
    <row r="569" spans="1:6" ht="15" customHeight="1" x14ac:dyDescent="0.2">
      <c r="A569" s="276"/>
      <c r="B569" s="276"/>
      <c r="C569" s="276"/>
      <c r="F569" s="277">
        <f t="shared" si="8"/>
        <v>0</v>
      </c>
    </row>
    <row r="570" spans="1:6" ht="15" customHeight="1" x14ac:dyDescent="0.2">
      <c r="A570" s="276"/>
      <c r="B570" s="276"/>
      <c r="C570" s="276"/>
      <c r="F570" s="277">
        <f t="shared" si="8"/>
        <v>0</v>
      </c>
    </row>
    <row r="571" spans="1:6" ht="15" customHeight="1" x14ac:dyDescent="0.2">
      <c r="A571" s="276"/>
      <c r="B571" s="280"/>
      <c r="C571" s="280"/>
      <c r="F571" s="277">
        <f t="shared" si="8"/>
        <v>0</v>
      </c>
    </row>
    <row r="572" spans="1:6" ht="15" customHeight="1" x14ac:dyDescent="0.2">
      <c r="A572" s="276"/>
      <c r="B572" s="276"/>
      <c r="C572" s="276"/>
      <c r="F572" s="277">
        <f t="shared" si="8"/>
        <v>0</v>
      </c>
    </row>
    <row r="573" spans="1:6" ht="15" customHeight="1" x14ac:dyDescent="0.2">
      <c r="A573" s="276"/>
      <c r="B573" s="276"/>
      <c r="C573" s="276"/>
      <c r="F573" s="277">
        <f t="shared" si="8"/>
        <v>0</v>
      </c>
    </row>
    <row r="574" spans="1:6" ht="15" customHeight="1" x14ac:dyDescent="0.2">
      <c r="A574" s="276"/>
      <c r="B574" s="276"/>
      <c r="C574" s="280"/>
      <c r="F574" s="277">
        <f t="shared" si="8"/>
        <v>0</v>
      </c>
    </row>
    <row r="575" spans="1:6" ht="15" customHeight="1" x14ac:dyDescent="0.2">
      <c r="A575" s="276"/>
      <c r="B575" s="276"/>
      <c r="C575" s="276"/>
      <c r="F575" s="277">
        <f t="shared" si="8"/>
        <v>0</v>
      </c>
    </row>
    <row r="576" spans="1:6" ht="15" customHeight="1" x14ac:dyDescent="0.2">
      <c r="A576" s="276"/>
      <c r="B576" s="276"/>
      <c r="C576" s="276"/>
      <c r="F576" s="277">
        <f t="shared" si="8"/>
        <v>0</v>
      </c>
    </row>
    <row r="577" spans="1:6" ht="15" customHeight="1" x14ac:dyDescent="0.2">
      <c r="A577" s="276"/>
      <c r="B577" s="280"/>
      <c r="C577" s="280"/>
      <c r="F577" s="277">
        <f t="shared" si="8"/>
        <v>0</v>
      </c>
    </row>
    <row r="578" spans="1:6" ht="15" customHeight="1" x14ac:dyDescent="0.2">
      <c r="A578" s="276"/>
      <c r="B578" s="276"/>
      <c r="C578" s="276"/>
      <c r="F578" s="277">
        <f t="shared" si="8"/>
        <v>0</v>
      </c>
    </row>
    <row r="579" spans="1:6" ht="15" customHeight="1" x14ac:dyDescent="0.2">
      <c r="A579" s="276"/>
      <c r="B579" s="276"/>
      <c r="C579" s="276"/>
      <c r="F579" s="277">
        <f t="shared" ref="F579:F642" si="9">COUNTIF(C:C,C579)</f>
        <v>0</v>
      </c>
    </row>
    <row r="580" spans="1:6" ht="15" customHeight="1" x14ac:dyDescent="0.2">
      <c r="A580" s="276"/>
      <c r="B580" s="276"/>
      <c r="C580" s="280"/>
      <c r="F580" s="277">
        <f t="shared" si="9"/>
        <v>0</v>
      </c>
    </row>
    <row r="581" spans="1:6" ht="15" customHeight="1" x14ac:dyDescent="0.2">
      <c r="A581" s="276"/>
      <c r="B581" s="276"/>
      <c r="C581" s="276"/>
      <c r="F581" s="277">
        <f t="shared" si="9"/>
        <v>0</v>
      </c>
    </row>
    <row r="582" spans="1:6" ht="15" customHeight="1" x14ac:dyDescent="0.2">
      <c r="A582" s="276"/>
      <c r="B582" s="280"/>
      <c r="C582" s="280"/>
      <c r="F582" s="277">
        <f t="shared" si="9"/>
        <v>0</v>
      </c>
    </row>
    <row r="583" spans="1:6" ht="15" customHeight="1" x14ac:dyDescent="0.2">
      <c r="A583" s="276"/>
      <c r="B583" s="276"/>
      <c r="C583" s="276"/>
      <c r="F583" s="277">
        <f t="shared" si="9"/>
        <v>0</v>
      </c>
    </row>
    <row r="584" spans="1:6" ht="15" customHeight="1" x14ac:dyDescent="0.2">
      <c r="A584" s="276"/>
      <c r="B584" s="276"/>
      <c r="C584" s="276"/>
      <c r="F584" s="277">
        <f t="shared" si="9"/>
        <v>0</v>
      </c>
    </row>
    <row r="585" spans="1:6" ht="15" customHeight="1" x14ac:dyDescent="0.2">
      <c r="A585" s="276"/>
      <c r="B585" s="276"/>
      <c r="C585" s="276"/>
      <c r="F585" s="277">
        <f t="shared" si="9"/>
        <v>0</v>
      </c>
    </row>
    <row r="586" spans="1:6" ht="15" customHeight="1" x14ac:dyDescent="0.2">
      <c r="A586" s="276"/>
      <c r="B586" s="276"/>
      <c r="C586" s="276"/>
      <c r="F586" s="277">
        <f t="shared" si="9"/>
        <v>0</v>
      </c>
    </row>
    <row r="587" spans="1:6" ht="15" customHeight="1" x14ac:dyDescent="0.2">
      <c r="A587" s="276"/>
      <c r="B587" s="276"/>
      <c r="C587" s="276"/>
      <c r="F587" s="277">
        <f t="shared" si="9"/>
        <v>0</v>
      </c>
    </row>
    <row r="588" spans="1:6" ht="15" customHeight="1" x14ac:dyDescent="0.2">
      <c r="A588" s="276"/>
      <c r="B588" s="276"/>
      <c r="C588" s="276"/>
      <c r="F588" s="277">
        <f t="shared" si="9"/>
        <v>0</v>
      </c>
    </row>
    <row r="589" spans="1:6" ht="15" customHeight="1" x14ac:dyDescent="0.2">
      <c r="A589" s="276"/>
      <c r="B589" s="280"/>
      <c r="C589" s="280"/>
      <c r="F589" s="277">
        <f t="shared" si="9"/>
        <v>0</v>
      </c>
    </row>
    <row r="590" spans="1:6" ht="15" customHeight="1" x14ac:dyDescent="0.2">
      <c r="A590" s="276"/>
      <c r="B590" s="276"/>
      <c r="C590" s="276"/>
      <c r="F590" s="277">
        <f t="shared" si="9"/>
        <v>0</v>
      </c>
    </row>
    <row r="591" spans="1:6" ht="15" customHeight="1" x14ac:dyDescent="0.2">
      <c r="A591" s="276"/>
      <c r="B591" s="276"/>
      <c r="C591" s="276"/>
      <c r="F591" s="277">
        <f t="shared" si="9"/>
        <v>0</v>
      </c>
    </row>
    <row r="592" spans="1:6" ht="15" customHeight="1" x14ac:dyDescent="0.2">
      <c r="A592" s="276"/>
      <c r="B592" s="276"/>
      <c r="C592" s="276"/>
      <c r="F592" s="277">
        <f t="shared" si="9"/>
        <v>0</v>
      </c>
    </row>
    <row r="593" spans="1:6" ht="15" customHeight="1" x14ac:dyDescent="0.2">
      <c r="A593" s="276"/>
      <c r="B593" s="276"/>
      <c r="C593" s="276"/>
      <c r="F593" s="277">
        <f t="shared" si="9"/>
        <v>0</v>
      </c>
    </row>
    <row r="594" spans="1:6" ht="15" customHeight="1" x14ac:dyDescent="0.2">
      <c r="A594" s="276"/>
      <c r="B594" s="276"/>
      <c r="C594" s="276"/>
      <c r="F594" s="277">
        <f t="shared" si="9"/>
        <v>0</v>
      </c>
    </row>
    <row r="595" spans="1:6" ht="15" customHeight="1" x14ac:dyDescent="0.2">
      <c r="A595" s="276"/>
      <c r="B595" s="276"/>
      <c r="C595" s="276"/>
      <c r="F595" s="277">
        <f t="shared" si="9"/>
        <v>0</v>
      </c>
    </row>
    <row r="596" spans="1:6" ht="15" customHeight="1" x14ac:dyDescent="0.2">
      <c r="A596" s="276"/>
      <c r="B596" s="280"/>
      <c r="C596" s="280"/>
      <c r="F596" s="277">
        <f t="shared" si="9"/>
        <v>0</v>
      </c>
    </row>
    <row r="597" spans="1:6" ht="15" customHeight="1" x14ac:dyDescent="0.2">
      <c r="A597" s="276"/>
      <c r="B597" s="276"/>
      <c r="C597" s="276"/>
      <c r="F597" s="277">
        <f t="shared" si="9"/>
        <v>0</v>
      </c>
    </row>
    <row r="598" spans="1:6" ht="15" customHeight="1" x14ac:dyDescent="0.2">
      <c r="A598" s="276"/>
      <c r="B598" s="276"/>
      <c r="C598" s="276"/>
      <c r="F598" s="277">
        <f t="shared" si="9"/>
        <v>0</v>
      </c>
    </row>
    <row r="599" spans="1:6" ht="15" customHeight="1" x14ac:dyDescent="0.2">
      <c r="A599" s="276"/>
      <c r="B599" s="276"/>
      <c r="C599" s="276"/>
      <c r="F599" s="277">
        <f t="shared" si="9"/>
        <v>0</v>
      </c>
    </row>
    <row r="600" spans="1:6" ht="15" customHeight="1" x14ac:dyDescent="0.2">
      <c r="A600" s="276"/>
      <c r="B600" s="276"/>
      <c r="C600" s="276"/>
      <c r="F600" s="277">
        <f t="shared" si="9"/>
        <v>0</v>
      </c>
    </row>
    <row r="601" spans="1:6" ht="15" customHeight="1" x14ac:dyDescent="0.2">
      <c r="A601" s="276"/>
      <c r="B601" s="276"/>
      <c r="C601" s="276"/>
      <c r="F601" s="277">
        <f t="shared" si="9"/>
        <v>0</v>
      </c>
    </row>
    <row r="602" spans="1:6" ht="15" customHeight="1" x14ac:dyDescent="0.2">
      <c r="A602" s="276"/>
      <c r="B602" s="276"/>
      <c r="C602" s="276"/>
      <c r="F602" s="277">
        <f t="shared" si="9"/>
        <v>0</v>
      </c>
    </row>
    <row r="603" spans="1:6" ht="15" customHeight="1" x14ac:dyDescent="0.2">
      <c r="A603" s="276"/>
      <c r="B603" s="276"/>
      <c r="C603" s="276"/>
      <c r="F603" s="277">
        <f t="shared" si="9"/>
        <v>0</v>
      </c>
    </row>
    <row r="604" spans="1:6" ht="15" customHeight="1" x14ac:dyDescent="0.2">
      <c r="A604" s="276"/>
      <c r="B604" s="276"/>
      <c r="C604" s="276"/>
      <c r="F604" s="277">
        <f t="shared" si="9"/>
        <v>0</v>
      </c>
    </row>
    <row r="605" spans="1:6" ht="15" customHeight="1" x14ac:dyDescent="0.2">
      <c r="A605" s="276"/>
      <c r="B605" s="276"/>
      <c r="C605" s="276"/>
      <c r="F605" s="277">
        <f t="shared" si="9"/>
        <v>0</v>
      </c>
    </row>
    <row r="606" spans="1:6" ht="15" customHeight="1" x14ac:dyDescent="0.2">
      <c r="A606" s="276"/>
      <c r="B606" s="276"/>
      <c r="C606" s="276"/>
      <c r="F606" s="277">
        <f t="shared" si="9"/>
        <v>0</v>
      </c>
    </row>
    <row r="607" spans="1:6" ht="15" customHeight="1" x14ac:dyDescent="0.2">
      <c r="A607" s="276"/>
      <c r="B607" s="276"/>
      <c r="C607" s="276"/>
      <c r="F607" s="277">
        <f t="shared" si="9"/>
        <v>0</v>
      </c>
    </row>
    <row r="608" spans="1:6" ht="15" customHeight="1" x14ac:dyDescent="0.2">
      <c r="A608" s="276"/>
      <c r="B608" s="276"/>
      <c r="C608" s="276"/>
      <c r="F608" s="277">
        <f t="shared" si="9"/>
        <v>0</v>
      </c>
    </row>
    <row r="609" spans="1:6" ht="15" customHeight="1" x14ac:dyDescent="0.2">
      <c r="A609" s="276"/>
      <c r="B609" s="276"/>
      <c r="C609" s="276"/>
      <c r="F609" s="277">
        <f t="shared" si="9"/>
        <v>0</v>
      </c>
    </row>
    <row r="610" spans="1:6" ht="15" customHeight="1" x14ac:dyDescent="0.2">
      <c r="A610" s="276"/>
      <c r="B610" s="276"/>
      <c r="C610" s="276"/>
      <c r="F610" s="277">
        <f t="shared" si="9"/>
        <v>0</v>
      </c>
    </row>
    <row r="611" spans="1:6" ht="15" customHeight="1" x14ac:dyDescent="0.2">
      <c r="A611" s="276"/>
      <c r="B611" s="276"/>
      <c r="C611" s="276"/>
      <c r="F611" s="277">
        <f t="shared" si="9"/>
        <v>0</v>
      </c>
    </row>
    <row r="612" spans="1:6" ht="15" customHeight="1" x14ac:dyDescent="0.2">
      <c r="A612" s="276"/>
      <c r="B612" s="276"/>
      <c r="C612" s="276"/>
      <c r="F612" s="277">
        <f t="shared" si="9"/>
        <v>0</v>
      </c>
    </row>
    <row r="613" spans="1:6" ht="15" customHeight="1" x14ac:dyDescent="0.2">
      <c r="A613" s="276"/>
      <c r="B613" s="276"/>
      <c r="C613" s="276"/>
      <c r="F613" s="277">
        <f t="shared" si="9"/>
        <v>0</v>
      </c>
    </row>
    <row r="614" spans="1:6" ht="15" customHeight="1" x14ac:dyDescent="0.2">
      <c r="A614" s="276"/>
      <c r="B614" s="276"/>
      <c r="C614" s="276"/>
      <c r="F614" s="277">
        <f t="shared" si="9"/>
        <v>0</v>
      </c>
    </row>
    <row r="615" spans="1:6" ht="15" customHeight="1" x14ac:dyDescent="0.2">
      <c r="A615" s="276"/>
      <c r="B615" s="276"/>
      <c r="C615" s="276"/>
      <c r="F615" s="277">
        <f t="shared" si="9"/>
        <v>0</v>
      </c>
    </row>
    <row r="616" spans="1:6" ht="15" customHeight="1" x14ac:dyDescent="0.2">
      <c r="A616" s="276"/>
      <c r="B616" s="276"/>
      <c r="C616" s="276"/>
      <c r="F616" s="277">
        <f t="shared" si="9"/>
        <v>0</v>
      </c>
    </row>
    <row r="617" spans="1:6" ht="15" customHeight="1" x14ac:dyDescent="0.2">
      <c r="A617" s="276"/>
      <c r="B617" s="276"/>
      <c r="C617" s="280"/>
      <c r="F617" s="277">
        <f t="shared" si="9"/>
        <v>0</v>
      </c>
    </row>
    <row r="618" spans="1:6" ht="15" customHeight="1" x14ac:dyDescent="0.2">
      <c r="A618" s="276"/>
      <c r="B618" s="276"/>
      <c r="C618" s="276"/>
      <c r="F618" s="277">
        <f t="shared" si="9"/>
        <v>0</v>
      </c>
    </row>
    <row r="619" spans="1:6" ht="15" customHeight="1" x14ac:dyDescent="0.2">
      <c r="A619" s="276"/>
      <c r="B619" s="276"/>
      <c r="C619" s="276"/>
      <c r="F619" s="277">
        <f t="shared" si="9"/>
        <v>0</v>
      </c>
    </row>
    <row r="620" spans="1:6" ht="15" customHeight="1" x14ac:dyDescent="0.2">
      <c r="A620" s="276"/>
      <c r="B620" s="276"/>
      <c r="C620" s="276"/>
      <c r="F620" s="277">
        <f t="shared" si="9"/>
        <v>0</v>
      </c>
    </row>
    <row r="621" spans="1:6" ht="15" customHeight="1" x14ac:dyDescent="0.2">
      <c r="A621" s="276"/>
      <c r="B621" s="276"/>
      <c r="C621" s="276"/>
      <c r="F621" s="277">
        <f t="shared" si="9"/>
        <v>0</v>
      </c>
    </row>
    <row r="622" spans="1:6" ht="15" customHeight="1" x14ac:dyDescent="0.2">
      <c r="A622" s="276"/>
      <c r="B622" s="276"/>
      <c r="C622" s="276"/>
      <c r="F622" s="277">
        <f t="shared" si="9"/>
        <v>0</v>
      </c>
    </row>
    <row r="623" spans="1:6" ht="15" customHeight="1" x14ac:dyDescent="0.2">
      <c r="A623" s="276"/>
      <c r="B623" s="276"/>
      <c r="C623" s="276"/>
      <c r="F623" s="277">
        <f t="shared" si="9"/>
        <v>0</v>
      </c>
    </row>
    <row r="624" spans="1:6" ht="15" customHeight="1" x14ac:dyDescent="0.2">
      <c r="A624" s="276"/>
      <c r="B624" s="276"/>
      <c r="C624" s="276"/>
      <c r="F624" s="277">
        <f t="shared" si="9"/>
        <v>0</v>
      </c>
    </row>
    <row r="625" spans="1:6" ht="15" customHeight="1" x14ac:dyDescent="0.2">
      <c r="A625" s="276"/>
      <c r="B625" s="276"/>
      <c r="C625" s="276"/>
      <c r="F625" s="277">
        <f t="shared" si="9"/>
        <v>0</v>
      </c>
    </row>
    <row r="626" spans="1:6" ht="15" customHeight="1" x14ac:dyDescent="0.2">
      <c r="A626" s="276"/>
      <c r="B626" s="276"/>
      <c r="C626" s="276"/>
      <c r="F626" s="277">
        <f t="shared" si="9"/>
        <v>0</v>
      </c>
    </row>
    <row r="627" spans="1:6" ht="15" customHeight="1" x14ac:dyDescent="0.2">
      <c r="A627" s="276"/>
      <c r="B627" s="276"/>
      <c r="C627" s="280"/>
      <c r="F627" s="277">
        <f t="shared" si="9"/>
        <v>0</v>
      </c>
    </row>
    <row r="628" spans="1:6" ht="15" customHeight="1" x14ac:dyDescent="0.2">
      <c r="A628" s="276"/>
      <c r="B628" s="280"/>
      <c r="C628" s="280"/>
      <c r="F628" s="277">
        <f t="shared" si="9"/>
        <v>0</v>
      </c>
    </row>
    <row r="629" spans="1:6" ht="15" customHeight="1" x14ac:dyDescent="0.2">
      <c r="A629" s="276"/>
      <c r="B629" s="280"/>
      <c r="C629" s="276"/>
      <c r="F629" s="277">
        <f t="shared" si="9"/>
        <v>0</v>
      </c>
    </row>
    <row r="630" spans="1:6" ht="15" customHeight="1" x14ac:dyDescent="0.2">
      <c r="A630" s="276"/>
      <c r="B630" s="276"/>
      <c r="C630" s="276"/>
      <c r="F630" s="277">
        <f t="shared" si="9"/>
        <v>0</v>
      </c>
    </row>
    <row r="631" spans="1:6" ht="15" customHeight="1" x14ac:dyDescent="0.2">
      <c r="A631" s="276"/>
      <c r="B631" s="276"/>
      <c r="C631" s="276"/>
      <c r="F631" s="277">
        <f t="shared" si="9"/>
        <v>0</v>
      </c>
    </row>
    <row r="632" spans="1:6" ht="15" customHeight="1" x14ac:dyDescent="0.2">
      <c r="A632" s="276"/>
      <c r="B632" s="280"/>
      <c r="C632" s="280"/>
      <c r="F632" s="277">
        <f t="shared" si="9"/>
        <v>0</v>
      </c>
    </row>
    <row r="633" spans="1:6" ht="15" customHeight="1" x14ac:dyDescent="0.2">
      <c r="A633" s="276"/>
      <c r="B633" s="276"/>
      <c r="C633" s="276"/>
      <c r="F633" s="277">
        <f t="shared" si="9"/>
        <v>0</v>
      </c>
    </row>
    <row r="634" spans="1:6" ht="15" customHeight="1" x14ac:dyDescent="0.2">
      <c r="A634" s="276"/>
      <c r="B634" s="276"/>
      <c r="C634" s="276"/>
      <c r="F634" s="277">
        <f t="shared" si="9"/>
        <v>0</v>
      </c>
    </row>
    <row r="635" spans="1:6" ht="15" customHeight="1" x14ac:dyDescent="0.2">
      <c r="A635" s="276"/>
      <c r="B635" s="276"/>
      <c r="C635" s="276"/>
      <c r="F635" s="277">
        <f t="shared" si="9"/>
        <v>0</v>
      </c>
    </row>
    <row r="636" spans="1:6" ht="15" customHeight="1" x14ac:dyDescent="0.2">
      <c r="A636" s="276"/>
      <c r="B636" s="276"/>
      <c r="C636" s="276"/>
      <c r="F636" s="277">
        <f t="shared" si="9"/>
        <v>0</v>
      </c>
    </row>
    <row r="637" spans="1:6" ht="15" customHeight="1" x14ac:dyDescent="0.2">
      <c r="A637" s="276"/>
      <c r="B637" s="276"/>
      <c r="C637" s="276"/>
      <c r="F637" s="277">
        <f t="shared" si="9"/>
        <v>0</v>
      </c>
    </row>
    <row r="638" spans="1:6" ht="15" customHeight="1" x14ac:dyDescent="0.2">
      <c r="A638" s="276"/>
      <c r="B638" s="276"/>
      <c r="C638" s="276"/>
      <c r="F638" s="277">
        <f t="shared" si="9"/>
        <v>0</v>
      </c>
    </row>
    <row r="639" spans="1:6" ht="15" customHeight="1" x14ac:dyDescent="0.2">
      <c r="A639" s="276"/>
      <c r="B639" s="276"/>
      <c r="C639" s="276"/>
      <c r="F639" s="277">
        <f t="shared" si="9"/>
        <v>0</v>
      </c>
    </row>
    <row r="640" spans="1:6" ht="15" customHeight="1" x14ac:dyDescent="0.2">
      <c r="A640" s="276"/>
      <c r="B640" s="276"/>
      <c r="C640" s="276"/>
      <c r="F640" s="277">
        <f t="shared" si="9"/>
        <v>0</v>
      </c>
    </row>
    <row r="641" spans="1:6" ht="15" customHeight="1" x14ac:dyDescent="0.2">
      <c r="A641" s="276"/>
      <c r="B641" s="276"/>
      <c r="C641" s="276"/>
      <c r="F641" s="277">
        <f t="shared" si="9"/>
        <v>0</v>
      </c>
    </row>
    <row r="642" spans="1:6" ht="15" customHeight="1" x14ac:dyDescent="0.2">
      <c r="A642" s="276"/>
      <c r="B642" s="276"/>
      <c r="C642" s="276"/>
      <c r="F642" s="277">
        <f t="shared" si="9"/>
        <v>0</v>
      </c>
    </row>
    <row r="643" spans="1:6" ht="15" customHeight="1" x14ac:dyDescent="0.2">
      <c r="A643" s="276"/>
      <c r="B643" s="276"/>
      <c r="C643" s="276"/>
      <c r="F643" s="277">
        <f t="shared" ref="F643:F706" si="10">COUNTIF(C:C,C643)</f>
        <v>0</v>
      </c>
    </row>
    <row r="644" spans="1:6" ht="15" customHeight="1" x14ac:dyDescent="0.2">
      <c r="A644" s="276"/>
      <c r="B644" s="276"/>
      <c r="C644" s="280"/>
      <c r="F644" s="277">
        <f t="shared" si="10"/>
        <v>0</v>
      </c>
    </row>
    <row r="645" spans="1:6" ht="15" customHeight="1" x14ac:dyDescent="0.2">
      <c r="A645" s="276"/>
      <c r="B645" s="276"/>
      <c r="C645" s="276"/>
      <c r="F645" s="277">
        <f t="shared" si="10"/>
        <v>0</v>
      </c>
    </row>
    <row r="646" spans="1:6" ht="15" customHeight="1" x14ac:dyDescent="0.2">
      <c r="A646" s="276"/>
      <c r="B646" s="276"/>
      <c r="C646" s="276"/>
      <c r="F646" s="277">
        <f t="shared" si="10"/>
        <v>0</v>
      </c>
    </row>
    <row r="647" spans="1:6" ht="15" customHeight="1" x14ac:dyDescent="0.2">
      <c r="A647" s="276"/>
      <c r="B647" s="276"/>
      <c r="C647" s="276"/>
      <c r="F647" s="277">
        <f t="shared" si="10"/>
        <v>0</v>
      </c>
    </row>
    <row r="648" spans="1:6" ht="15" customHeight="1" x14ac:dyDescent="0.2">
      <c r="A648" s="276"/>
      <c r="B648" s="276"/>
      <c r="C648" s="276"/>
      <c r="F648" s="277">
        <f t="shared" si="10"/>
        <v>0</v>
      </c>
    </row>
    <row r="649" spans="1:6" ht="15" customHeight="1" x14ac:dyDescent="0.2">
      <c r="A649" s="276"/>
      <c r="B649" s="276"/>
      <c r="C649" s="276"/>
      <c r="F649" s="277">
        <f t="shared" si="10"/>
        <v>0</v>
      </c>
    </row>
    <row r="650" spans="1:6" ht="15" customHeight="1" x14ac:dyDescent="0.2">
      <c r="A650" s="276"/>
      <c r="B650" s="276"/>
      <c r="C650" s="276"/>
      <c r="F650" s="277">
        <f t="shared" si="10"/>
        <v>0</v>
      </c>
    </row>
    <row r="651" spans="1:6" ht="15" customHeight="1" x14ac:dyDescent="0.2">
      <c r="A651" s="276"/>
      <c r="B651" s="276"/>
      <c r="C651" s="276"/>
      <c r="F651" s="277">
        <f t="shared" si="10"/>
        <v>0</v>
      </c>
    </row>
    <row r="652" spans="1:6" ht="15" customHeight="1" x14ac:dyDescent="0.2">
      <c r="A652" s="276"/>
      <c r="B652" s="276"/>
      <c r="C652" s="276"/>
      <c r="F652" s="277">
        <f t="shared" si="10"/>
        <v>0</v>
      </c>
    </row>
    <row r="653" spans="1:6" ht="15" customHeight="1" x14ac:dyDescent="0.2">
      <c r="A653" s="276"/>
      <c r="B653" s="276"/>
      <c r="C653" s="276"/>
      <c r="F653" s="277">
        <f t="shared" si="10"/>
        <v>0</v>
      </c>
    </row>
    <row r="654" spans="1:6" ht="15" customHeight="1" x14ac:dyDescent="0.2">
      <c r="A654" s="276"/>
      <c r="B654" s="276"/>
      <c r="C654" s="280"/>
      <c r="F654" s="277">
        <f t="shared" si="10"/>
        <v>0</v>
      </c>
    </row>
    <row r="655" spans="1:6" ht="15" customHeight="1" x14ac:dyDescent="0.2">
      <c r="A655" s="276"/>
      <c r="B655" s="280"/>
      <c r="C655" s="280"/>
      <c r="F655" s="277">
        <f t="shared" si="10"/>
        <v>0</v>
      </c>
    </row>
    <row r="656" spans="1:6" ht="15" customHeight="1" x14ac:dyDescent="0.2">
      <c r="A656" s="276"/>
      <c r="B656" s="276"/>
      <c r="C656" s="276"/>
      <c r="F656" s="277">
        <f t="shared" si="10"/>
        <v>0</v>
      </c>
    </row>
    <row r="657" spans="1:6" ht="15" customHeight="1" x14ac:dyDescent="0.2">
      <c r="A657" s="276"/>
      <c r="B657" s="276"/>
      <c r="C657" s="276"/>
      <c r="F657" s="277">
        <f t="shared" si="10"/>
        <v>0</v>
      </c>
    </row>
    <row r="658" spans="1:6" ht="15" customHeight="1" x14ac:dyDescent="0.2">
      <c r="A658" s="276"/>
      <c r="B658" s="276"/>
      <c r="C658" s="276"/>
      <c r="F658" s="277">
        <f t="shared" si="10"/>
        <v>0</v>
      </c>
    </row>
    <row r="659" spans="1:6" ht="15" customHeight="1" x14ac:dyDescent="0.2">
      <c r="A659" s="276"/>
      <c r="B659" s="276"/>
      <c r="C659" s="276"/>
      <c r="F659" s="277">
        <f t="shared" si="10"/>
        <v>0</v>
      </c>
    </row>
    <row r="660" spans="1:6" ht="15" customHeight="1" x14ac:dyDescent="0.2">
      <c r="A660" s="276"/>
      <c r="B660" s="280"/>
      <c r="C660" s="280"/>
      <c r="F660" s="277">
        <f t="shared" si="10"/>
        <v>0</v>
      </c>
    </row>
    <row r="661" spans="1:6" ht="15" customHeight="1" x14ac:dyDescent="0.2">
      <c r="A661" s="276"/>
      <c r="B661" s="276"/>
      <c r="C661" s="280"/>
      <c r="F661" s="277">
        <f t="shared" si="10"/>
        <v>0</v>
      </c>
    </row>
    <row r="662" spans="1:6" ht="15" customHeight="1" x14ac:dyDescent="0.2">
      <c r="A662" s="276"/>
      <c r="B662" s="276"/>
      <c r="C662" s="276"/>
      <c r="F662" s="277">
        <f t="shared" si="10"/>
        <v>0</v>
      </c>
    </row>
    <row r="663" spans="1:6" ht="15" customHeight="1" x14ac:dyDescent="0.2">
      <c r="A663" s="276"/>
      <c r="B663" s="276"/>
      <c r="C663" s="276"/>
      <c r="F663" s="277">
        <f t="shared" si="10"/>
        <v>0</v>
      </c>
    </row>
    <row r="664" spans="1:6" ht="15" customHeight="1" x14ac:dyDescent="0.2">
      <c r="A664" s="276"/>
      <c r="B664" s="276"/>
      <c r="C664" s="276"/>
      <c r="F664" s="277">
        <f t="shared" si="10"/>
        <v>0</v>
      </c>
    </row>
    <row r="665" spans="1:6" ht="15" customHeight="1" x14ac:dyDescent="0.2">
      <c r="A665" s="276"/>
      <c r="B665" s="276"/>
      <c r="C665" s="276"/>
      <c r="F665" s="277">
        <f t="shared" si="10"/>
        <v>0</v>
      </c>
    </row>
    <row r="666" spans="1:6" ht="15" customHeight="1" x14ac:dyDescent="0.2">
      <c r="A666" s="276"/>
      <c r="B666" s="276"/>
      <c r="C666" s="276"/>
      <c r="F666" s="277">
        <f t="shared" si="10"/>
        <v>0</v>
      </c>
    </row>
    <row r="667" spans="1:6" ht="15" customHeight="1" x14ac:dyDescent="0.2">
      <c r="A667" s="276"/>
      <c r="B667" s="276"/>
      <c r="C667" s="280"/>
      <c r="F667" s="277">
        <f t="shared" si="10"/>
        <v>0</v>
      </c>
    </row>
    <row r="668" spans="1:6" ht="15" customHeight="1" x14ac:dyDescent="0.2">
      <c r="A668" s="276"/>
      <c r="B668" s="276"/>
      <c r="C668" s="276"/>
      <c r="F668" s="277">
        <f t="shared" si="10"/>
        <v>0</v>
      </c>
    </row>
    <row r="669" spans="1:6" ht="15" customHeight="1" x14ac:dyDescent="0.2">
      <c r="A669" s="276"/>
      <c r="B669" s="276"/>
      <c r="C669" s="276"/>
      <c r="F669" s="277">
        <f t="shared" si="10"/>
        <v>0</v>
      </c>
    </row>
    <row r="670" spans="1:6" ht="15" customHeight="1" x14ac:dyDescent="0.2">
      <c r="A670" s="276"/>
      <c r="B670" s="276"/>
      <c r="C670" s="276"/>
      <c r="F670" s="277">
        <f t="shared" si="10"/>
        <v>0</v>
      </c>
    </row>
    <row r="671" spans="1:6" ht="15" customHeight="1" x14ac:dyDescent="0.2">
      <c r="A671" s="276"/>
      <c r="B671" s="276"/>
      <c r="C671" s="276"/>
      <c r="F671" s="277">
        <f t="shared" si="10"/>
        <v>0</v>
      </c>
    </row>
    <row r="672" spans="1:6" ht="15" customHeight="1" x14ac:dyDescent="0.2">
      <c r="A672" s="276"/>
      <c r="B672" s="276"/>
      <c r="C672" s="276"/>
      <c r="F672" s="277">
        <f t="shared" si="10"/>
        <v>0</v>
      </c>
    </row>
    <row r="673" spans="1:6" ht="15" customHeight="1" x14ac:dyDescent="0.2">
      <c r="A673" s="276"/>
      <c r="B673" s="276"/>
      <c r="C673" s="276"/>
      <c r="F673" s="277">
        <f t="shared" si="10"/>
        <v>0</v>
      </c>
    </row>
    <row r="674" spans="1:6" ht="15" customHeight="1" x14ac:dyDescent="0.2">
      <c r="A674" s="276"/>
      <c r="B674" s="276"/>
      <c r="C674" s="276"/>
      <c r="F674" s="277">
        <f t="shared" si="10"/>
        <v>0</v>
      </c>
    </row>
    <row r="675" spans="1:6" ht="15" customHeight="1" x14ac:dyDescent="0.2">
      <c r="A675" s="276"/>
      <c r="B675" s="276"/>
      <c r="C675" s="276"/>
      <c r="F675" s="277">
        <f t="shared" si="10"/>
        <v>0</v>
      </c>
    </row>
    <row r="676" spans="1:6" ht="15" customHeight="1" x14ac:dyDescent="0.2">
      <c r="A676" s="276"/>
      <c r="B676" s="276"/>
      <c r="C676" s="276"/>
      <c r="F676" s="277">
        <f t="shared" si="10"/>
        <v>0</v>
      </c>
    </row>
    <row r="677" spans="1:6" ht="15" customHeight="1" x14ac:dyDescent="0.2">
      <c r="A677" s="276"/>
      <c r="B677" s="276"/>
      <c r="C677" s="276"/>
      <c r="F677" s="277">
        <f t="shared" si="10"/>
        <v>0</v>
      </c>
    </row>
    <row r="678" spans="1:6" ht="15" customHeight="1" x14ac:dyDescent="0.2">
      <c r="A678" s="276"/>
      <c r="B678" s="276"/>
      <c r="C678" s="276"/>
      <c r="F678" s="277">
        <f t="shared" si="10"/>
        <v>0</v>
      </c>
    </row>
    <row r="679" spans="1:6" ht="15" customHeight="1" x14ac:dyDescent="0.2">
      <c r="A679" s="276"/>
      <c r="B679" s="276"/>
      <c r="C679" s="276"/>
      <c r="F679" s="277">
        <f t="shared" si="10"/>
        <v>0</v>
      </c>
    </row>
    <row r="680" spans="1:6" ht="15" customHeight="1" x14ac:dyDescent="0.2">
      <c r="A680" s="276"/>
      <c r="B680" s="276"/>
      <c r="C680" s="276"/>
      <c r="F680" s="277">
        <f t="shared" si="10"/>
        <v>0</v>
      </c>
    </row>
    <row r="681" spans="1:6" ht="15" customHeight="1" x14ac:dyDescent="0.2">
      <c r="A681" s="276"/>
      <c r="B681" s="276"/>
      <c r="C681" s="276"/>
      <c r="F681" s="277">
        <f t="shared" si="10"/>
        <v>0</v>
      </c>
    </row>
    <row r="682" spans="1:6" ht="15" customHeight="1" x14ac:dyDescent="0.2">
      <c r="A682" s="276"/>
      <c r="B682" s="280"/>
      <c r="C682" s="280"/>
      <c r="F682" s="277">
        <f t="shared" si="10"/>
        <v>0</v>
      </c>
    </row>
    <row r="683" spans="1:6" ht="15" customHeight="1" x14ac:dyDescent="0.2">
      <c r="A683" s="276"/>
      <c r="B683" s="276"/>
      <c r="C683" s="276"/>
      <c r="F683" s="277">
        <f t="shared" si="10"/>
        <v>0</v>
      </c>
    </row>
    <row r="684" spans="1:6" ht="15" customHeight="1" x14ac:dyDescent="0.2">
      <c r="A684" s="276"/>
      <c r="B684" s="276"/>
      <c r="C684" s="276"/>
      <c r="F684" s="277">
        <f t="shared" si="10"/>
        <v>0</v>
      </c>
    </row>
    <row r="685" spans="1:6" ht="15" customHeight="1" x14ac:dyDescent="0.2">
      <c r="A685" s="276"/>
      <c r="B685" s="276"/>
      <c r="C685" s="276"/>
      <c r="F685" s="277">
        <f t="shared" si="10"/>
        <v>0</v>
      </c>
    </row>
    <row r="686" spans="1:6" ht="15" customHeight="1" x14ac:dyDescent="0.2">
      <c r="A686" s="276"/>
      <c r="B686" s="276"/>
      <c r="C686" s="280"/>
      <c r="F686" s="277">
        <f t="shared" si="10"/>
        <v>0</v>
      </c>
    </row>
    <row r="687" spans="1:6" ht="15" customHeight="1" x14ac:dyDescent="0.2">
      <c r="A687" s="276"/>
      <c r="B687" s="276"/>
      <c r="C687" s="280"/>
      <c r="F687" s="277">
        <f t="shared" si="10"/>
        <v>0</v>
      </c>
    </row>
    <row r="688" spans="1:6" ht="15" customHeight="1" x14ac:dyDescent="0.2">
      <c r="A688" s="276"/>
      <c r="B688" s="276"/>
      <c r="C688" s="280"/>
      <c r="F688" s="277">
        <f t="shared" si="10"/>
        <v>0</v>
      </c>
    </row>
    <row r="689" spans="1:6" ht="15" customHeight="1" x14ac:dyDescent="0.2">
      <c r="A689" s="276"/>
      <c r="B689" s="276"/>
      <c r="C689" s="276"/>
      <c r="F689" s="277">
        <f t="shared" si="10"/>
        <v>0</v>
      </c>
    </row>
    <row r="690" spans="1:6" ht="15" customHeight="1" x14ac:dyDescent="0.2">
      <c r="A690" s="276"/>
      <c r="B690" s="276"/>
      <c r="C690" s="276"/>
      <c r="F690" s="277">
        <f t="shared" si="10"/>
        <v>0</v>
      </c>
    </row>
    <row r="691" spans="1:6" ht="15" customHeight="1" x14ac:dyDescent="0.2">
      <c r="A691" s="276"/>
      <c r="B691" s="276"/>
      <c r="C691" s="276"/>
      <c r="F691" s="277">
        <f t="shared" si="10"/>
        <v>0</v>
      </c>
    </row>
    <row r="692" spans="1:6" ht="15" customHeight="1" x14ac:dyDescent="0.2">
      <c r="A692" s="276"/>
      <c r="B692" s="276"/>
      <c r="C692" s="276"/>
      <c r="F692" s="277">
        <f t="shared" si="10"/>
        <v>0</v>
      </c>
    </row>
    <row r="693" spans="1:6" ht="15" customHeight="1" x14ac:dyDescent="0.2">
      <c r="A693" s="276"/>
      <c r="B693" s="276"/>
      <c r="C693" s="276"/>
      <c r="F693" s="277">
        <f t="shared" si="10"/>
        <v>0</v>
      </c>
    </row>
    <row r="694" spans="1:6" ht="15" customHeight="1" x14ac:dyDescent="0.2">
      <c r="A694" s="276"/>
      <c r="B694" s="276"/>
      <c r="C694" s="276"/>
      <c r="F694" s="277">
        <f t="shared" si="10"/>
        <v>0</v>
      </c>
    </row>
    <row r="695" spans="1:6" ht="15" customHeight="1" x14ac:dyDescent="0.2">
      <c r="A695" s="276"/>
      <c r="B695" s="276"/>
      <c r="C695" s="276"/>
      <c r="F695" s="277">
        <f t="shared" si="10"/>
        <v>0</v>
      </c>
    </row>
    <row r="696" spans="1:6" ht="15" customHeight="1" x14ac:dyDescent="0.2">
      <c r="A696" s="276"/>
      <c r="B696" s="276"/>
      <c r="C696" s="276"/>
      <c r="F696" s="277">
        <f t="shared" si="10"/>
        <v>0</v>
      </c>
    </row>
    <row r="697" spans="1:6" ht="15" customHeight="1" x14ac:dyDescent="0.2">
      <c r="A697" s="276"/>
      <c r="B697" s="276"/>
      <c r="C697" s="276"/>
      <c r="F697" s="277">
        <f t="shared" si="10"/>
        <v>0</v>
      </c>
    </row>
    <row r="698" spans="1:6" ht="15" customHeight="1" x14ac:dyDescent="0.2">
      <c r="A698" s="276"/>
      <c r="B698" s="276"/>
      <c r="C698" s="276"/>
      <c r="F698" s="277">
        <f t="shared" si="10"/>
        <v>0</v>
      </c>
    </row>
    <row r="699" spans="1:6" ht="15" customHeight="1" x14ac:dyDescent="0.2">
      <c r="A699" s="276"/>
      <c r="B699" s="276"/>
      <c r="C699" s="276"/>
      <c r="F699" s="277">
        <f t="shared" si="10"/>
        <v>0</v>
      </c>
    </row>
    <row r="700" spans="1:6" ht="15" customHeight="1" x14ac:dyDescent="0.2">
      <c r="A700" s="276"/>
      <c r="B700" s="276"/>
      <c r="C700" s="276"/>
      <c r="F700" s="277">
        <f t="shared" si="10"/>
        <v>0</v>
      </c>
    </row>
    <row r="701" spans="1:6" ht="15" customHeight="1" x14ac:dyDescent="0.2">
      <c r="A701" s="276"/>
      <c r="B701" s="276"/>
      <c r="C701" s="276"/>
      <c r="F701" s="277">
        <f t="shared" si="10"/>
        <v>0</v>
      </c>
    </row>
    <row r="702" spans="1:6" ht="15" customHeight="1" x14ac:dyDescent="0.2">
      <c r="A702" s="276"/>
      <c r="B702" s="276"/>
      <c r="C702" s="276"/>
      <c r="F702" s="277">
        <f t="shared" si="10"/>
        <v>0</v>
      </c>
    </row>
    <row r="703" spans="1:6" ht="15" customHeight="1" x14ac:dyDescent="0.2">
      <c r="A703" s="276"/>
      <c r="B703" s="276"/>
      <c r="C703" s="276"/>
      <c r="F703" s="277">
        <f t="shared" si="10"/>
        <v>0</v>
      </c>
    </row>
    <row r="704" spans="1:6" ht="15" customHeight="1" x14ac:dyDescent="0.2">
      <c r="A704" s="276"/>
      <c r="B704" s="276"/>
      <c r="C704" s="276"/>
      <c r="F704" s="277">
        <f t="shared" si="10"/>
        <v>0</v>
      </c>
    </row>
    <row r="705" spans="1:6" ht="15" customHeight="1" x14ac:dyDescent="0.2">
      <c r="A705" s="276"/>
      <c r="B705" s="276"/>
      <c r="C705" s="276"/>
      <c r="F705" s="277">
        <f t="shared" si="10"/>
        <v>0</v>
      </c>
    </row>
    <row r="706" spans="1:6" ht="15" customHeight="1" x14ac:dyDescent="0.2">
      <c r="A706" s="276"/>
      <c r="B706" s="276"/>
      <c r="C706" s="276"/>
      <c r="F706" s="277">
        <f t="shared" si="10"/>
        <v>0</v>
      </c>
    </row>
    <row r="707" spans="1:6" ht="15" customHeight="1" x14ac:dyDescent="0.2">
      <c r="A707" s="276"/>
      <c r="B707" s="276"/>
      <c r="C707" s="276"/>
      <c r="F707" s="277">
        <f t="shared" ref="F707:F770" si="11">COUNTIF(C:C,C707)</f>
        <v>0</v>
      </c>
    </row>
    <row r="708" spans="1:6" ht="15" customHeight="1" x14ac:dyDescent="0.2">
      <c r="A708" s="276"/>
      <c r="B708" s="276"/>
      <c r="C708" s="276"/>
      <c r="F708" s="277">
        <f t="shared" si="11"/>
        <v>0</v>
      </c>
    </row>
    <row r="709" spans="1:6" ht="15" customHeight="1" x14ac:dyDescent="0.2">
      <c r="A709" s="276"/>
      <c r="B709" s="276"/>
      <c r="C709" s="276"/>
      <c r="F709" s="277">
        <f t="shared" si="11"/>
        <v>0</v>
      </c>
    </row>
    <row r="710" spans="1:6" ht="15" customHeight="1" x14ac:dyDescent="0.2">
      <c r="A710" s="276"/>
      <c r="B710" s="276"/>
      <c r="C710" s="276"/>
      <c r="F710" s="277">
        <f t="shared" si="11"/>
        <v>0</v>
      </c>
    </row>
    <row r="711" spans="1:6" ht="15" customHeight="1" x14ac:dyDescent="0.2">
      <c r="A711" s="276"/>
      <c r="B711" s="276"/>
      <c r="C711" s="276"/>
      <c r="F711" s="277">
        <f t="shared" si="11"/>
        <v>0</v>
      </c>
    </row>
    <row r="712" spans="1:6" ht="15" customHeight="1" x14ac:dyDescent="0.2">
      <c r="A712" s="276"/>
      <c r="B712" s="276"/>
      <c r="C712" s="280"/>
      <c r="F712" s="277">
        <f t="shared" si="11"/>
        <v>0</v>
      </c>
    </row>
    <row r="713" spans="1:6" ht="15" customHeight="1" x14ac:dyDescent="0.2">
      <c r="A713" s="276"/>
      <c r="B713" s="276"/>
      <c r="C713" s="276"/>
      <c r="F713" s="277">
        <f t="shared" si="11"/>
        <v>0</v>
      </c>
    </row>
    <row r="714" spans="1:6" ht="15" customHeight="1" x14ac:dyDescent="0.2">
      <c r="A714" s="276"/>
      <c r="B714" s="276"/>
      <c r="C714" s="276"/>
      <c r="F714" s="277">
        <f t="shared" si="11"/>
        <v>0</v>
      </c>
    </row>
    <row r="715" spans="1:6" ht="15" customHeight="1" x14ac:dyDescent="0.2">
      <c r="A715" s="276"/>
      <c r="B715" s="276"/>
      <c r="C715" s="276"/>
      <c r="F715" s="277">
        <f t="shared" si="11"/>
        <v>0</v>
      </c>
    </row>
    <row r="716" spans="1:6" ht="15" customHeight="1" x14ac:dyDescent="0.2">
      <c r="A716" s="276"/>
      <c r="B716" s="276"/>
      <c r="C716" s="276"/>
      <c r="F716" s="277">
        <f t="shared" si="11"/>
        <v>0</v>
      </c>
    </row>
    <row r="717" spans="1:6" ht="15" customHeight="1" x14ac:dyDescent="0.2">
      <c r="A717" s="276"/>
      <c r="B717" s="276"/>
      <c r="C717" s="276"/>
      <c r="F717" s="277">
        <f t="shared" si="11"/>
        <v>0</v>
      </c>
    </row>
    <row r="718" spans="1:6" ht="15" customHeight="1" x14ac:dyDescent="0.2">
      <c r="A718" s="276"/>
      <c r="B718" s="276"/>
      <c r="C718" s="276"/>
      <c r="F718" s="277">
        <f t="shared" si="11"/>
        <v>0</v>
      </c>
    </row>
    <row r="719" spans="1:6" ht="15" customHeight="1" x14ac:dyDescent="0.2">
      <c r="A719" s="276"/>
      <c r="B719" s="276"/>
      <c r="C719" s="276"/>
      <c r="F719" s="277">
        <f t="shared" si="11"/>
        <v>0</v>
      </c>
    </row>
    <row r="720" spans="1:6" ht="15" customHeight="1" x14ac:dyDescent="0.2">
      <c r="A720" s="276"/>
      <c r="B720" s="276"/>
      <c r="C720" s="276"/>
      <c r="F720" s="277">
        <f t="shared" si="11"/>
        <v>0</v>
      </c>
    </row>
    <row r="721" spans="1:6" ht="15" customHeight="1" x14ac:dyDescent="0.2">
      <c r="A721" s="276"/>
      <c r="B721" s="276"/>
      <c r="C721" s="276"/>
      <c r="F721" s="277">
        <f t="shared" si="11"/>
        <v>0</v>
      </c>
    </row>
    <row r="722" spans="1:6" ht="15" customHeight="1" x14ac:dyDescent="0.2">
      <c r="A722" s="276"/>
      <c r="B722" s="276"/>
      <c r="C722" s="276"/>
      <c r="F722" s="277">
        <f t="shared" si="11"/>
        <v>0</v>
      </c>
    </row>
    <row r="723" spans="1:6" ht="15" customHeight="1" x14ac:dyDescent="0.2">
      <c r="A723" s="276"/>
      <c r="B723" s="276"/>
      <c r="C723" s="276"/>
      <c r="F723" s="277">
        <f t="shared" si="11"/>
        <v>0</v>
      </c>
    </row>
    <row r="724" spans="1:6" ht="15" customHeight="1" x14ac:dyDescent="0.2">
      <c r="A724" s="276"/>
      <c r="B724" s="276"/>
      <c r="C724" s="276"/>
      <c r="F724" s="277">
        <f t="shared" si="11"/>
        <v>0</v>
      </c>
    </row>
    <row r="725" spans="1:6" ht="15" customHeight="1" x14ac:dyDescent="0.2">
      <c r="A725" s="276"/>
      <c r="B725" s="276"/>
      <c r="C725" s="276"/>
      <c r="F725" s="277">
        <f t="shared" si="11"/>
        <v>0</v>
      </c>
    </row>
    <row r="726" spans="1:6" ht="15" customHeight="1" x14ac:dyDescent="0.2">
      <c r="A726" s="276"/>
      <c r="B726" s="276"/>
      <c r="C726" s="276"/>
      <c r="F726" s="277">
        <f t="shared" si="11"/>
        <v>0</v>
      </c>
    </row>
    <row r="727" spans="1:6" ht="15" customHeight="1" x14ac:dyDescent="0.2">
      <c r="A727" s="276"/>
      <c r="B727" s="276"/>
      <c r="C727" s="276"/>
      <c r="F727" s="277">
        <f t="shared" si="11"/>
        <v>0</v>
      </c>
    </row>
    <row r="728" spans="1:6" ht="15" customHeight="1" x14ac:dyDescent="0.2">
      <c r="A728" s="276"/>
      <c r="B728" s="276"/>
      <c r="C728" s="276"/>
      <c r="F728" s="277">
        <f t="shared" si="11"/>
        <v>0</v>
      </c>
    </row>
    <row r="729" spans="1:6" ht="15" customHeight="1" x14ac:dyDescent="0.2">
      <c r="A729" s="276"/>
      <c r="B729" s="276"/>
      <c r="C729" s="276"/>
      <c r="F729" s="277">
        <f t="shared" si="11"/>
        <v>0</v>
      </c>
    </row>
    <row r="730" spans="1:6" ht="15" customHeight="1" x14ac:dyDescent="0.2">
      <c r="A730" s="276"/>
      <c r="B730" s="276"/>
      <c r="C730" s="276"/>
      <c r="F730" s="277">
        <f t="shared" si="11"/>
        <v>0</v>
      </c>
    </row>
    <row r="731" spans="1:6" ht="15" customHeight="1" x14ac:dyDescent="0.2">
      <c r="A731" s="276"/>
      <c r="B731" s="276"/>
      <c r="C731" s="276"/>
      <c r="F731" s="277">
        <f t="shared" si="11"/>
        <v>0</v>
      </c>
    </row>
    <row r="732" spans="1:6" ht="15" customHeight="1" x14ac:dyDescent="0.2">
      <c r="A732" s="276"/>
      <c r="B732" s="276"/>
      <c r="C732" s="276"/>
      <c r="F732" s="277">
        <f t="shared" si="11"/>
        <v>0</v>
      </c>
    </row>
    <row r="733" spans="1:6" ht="15" customHeight="1" x14ac:dyDescent="0.2">
      <c r="A733" s="276"/>
      <c r="B733" s="276"/>
      <c r="C733" s="276"/>
      <c r="F733" s="277">
        <f t="shared" si="11"/>
        <v>0</v>
      </c>
    </row>
    <row r="734" spans="1:6" ht="15" customHeight="1" x14ac:dyDescent="0.2">
      <c r="A734" s="276"/>
      <c r="B734" s="276"/>
      <c r="C734" s="276"/>
      <c r="F734" s="277">
        <f t="shared" si="11"/>
        <v>0</v>
      </c>
    </row>
    <row r="735" spans="1:6" ht="15" customHeight="1" x14ac:dyDescent="0.2">
      <c r="A735" s="276"/>
      <c r="B735" s="276"/>
      <c r="C735" s="276"/>
      <c r="F735" s="277">
        <f t="shared" si="11"/>
        <v>0</v>
      </c>
    </row>
    <row r="736" spans="1:6" ht="15" customHeight="1" x14ac:dyDescent="0.2">
      <c r="A736" s="276"/>
      <c r="B736" s="280"/>
      <c r="C736" s="280"/>
      <c r="F736" s="277">
        <f t="shared" si="11"/>
        <v>0</v>
      </c>
    </row>
    <row r="737" spans="1:6" ht="15" customHeight="1" x14ac:dyDescent="0.2">
      <c r="A737" s="276"/>
      <c r="B737" s="276"/>
      <c r="C737" s="276"/>
      <c r="F737" s="277">
        <f t="shared" si="11"/>
        <v>0</v>
      </c>
    </row>
    <row r="738" spans="1:6" ht="15" customHeight="1" x14ac:dyDescent="0.2">
      <c r="A738" s="276"/>
      <c r="B738" s="276"/>
      <c r="C738" s="276"/>
      <c r="F738" s="277">
        <f t="shared" si="11"/>
        <v>0</v>
      </c>
    </row>
    <row r="739" spans="1:6" ht="15" customHeight="1" x14ac:dyDescent="0.2">
      <c r="A739" s="276"/>
      <c r="B739" s="276"/>
      <c r="C739" s="276"/>
      <c r="F739" s="277">
        <f t="shared" si="11"/>
        <v>0</v>
      </c>
    </row>
    <row r="740" spans="1:6" ht="15" customHeight="1" x14ac:dyDescent="0.2">
      <c r="A740" s="276"/>
      <c r="B740" s="276"/>
      <c r="C740" s="276"/>
      <c r="F740" s="277">
        <f t="shared" si="11"/>
        <v>0</v>
      </c>
    </row>
    <row r="741" spans="1:6" ht="15" customHeight="1" x14ac:dyDescent="0.2">
      <c r="A741" s="276"/>
      <c r="B741" s="276"/>
      <c r="C741" s="276"/>
      <c r="F741" s="277">
        <f t="shared" si="11"/>
        <v>0</v>
      </c>
    </row>
    <row r="742" spans="1:6" ht="15" customHeight="1" x14ac:dyDescent="0.2">
      <c r="A742" s="276"/>
      <c r="B742" s="276"/>
      <c r="C742" s="280"/>
      <c r="F742" s="277">
        <f t="shared" si="11"/>
        <v>0</v>
      </c>
    </row>
    <row r="743" spans="1:6" ht="15" customHeight="1" x14ac:dyDescent="0.2">
      <c r="A743" s="276"/>
      <c r="B743" s="276"/>
      <c r="C743" s="276"/>
      <c r="F743" s="277">
        <f t="shared" si="11"/>
        <v>0</v>
      </c>
    </row>
    <row r="744" spans="1:6" ht="15" customHeight="1" x14ac:dyDescent="0.2">
      <c r="A744" s="276"/>
      <c r="B744" s="276"/>
      <c r="C744" s="276"/>
      <c r="F744" s="277">
        <f t="shared" si="11"/>
        <v>0</v>
      </c>
    </row>
    <row r="745" spans="1:6" ht="15" customHeight="1" x14ac:dyDescent="0.2">
      <c r="A745" s="276"/>
      <c r="B745" s="276"/>
      <c r="C745" s="276"/>
      <c r="F745" s="277">
        <f t="shared" si="11"/>
        <v>0</v>
      </c>
    </row>
    <row r="746" spans="1:6" ht="15" customHeight="1" x14ac:dyDescent="0.2">
      <c r="A746" s="276"/>
      <c r="B746" s="276"/>
      <c r="C746" s="276"/>
      <c r="F746" s="277">
        <f t="shared" si="11"/>
        <v>0</v>
      </c>
    </row>
    <row r="747" spans="1:6" ht="15" customHeight="1" x14ac:dyDescent="0.2">
      <c r="A747" s="276"/>
      <c r="B747" s="276"/>
      <c r="C747" s="276"/>
      <c r="F747" s="277">
        <f t="shared" si="11"/>
        <v>0</v>
      </c>
    </row>
    <row r="748" spans="1:6" ht="15" customHeight="1" x14ac:dyDescent="0.2">
      <c r="A748" s="276"/>
      <c r="B748" s="276"/>
      <c r="C748" s="276"/>
      <c r="F748" s="277">
        <f t="shared" si="11"/>
        <v>0</v>
      </c>
    </row>
    <row r="749" spans="1:6" ht="15" customHeight="1" x14ac:dyDescent="0.2">
      <c r="A749" s="276"/>
      <c r="B749" s="276"/>
      <c r="C749" s="276"/>
      <c r="F749" s="277">
        <f t="shared" si="11"/>
        <v>0</v>
      </c>
    </row>
    <row r="750" spans="1:6" ht="15" customHeight="1" x14ac:dyDescent="0.2">
      <c r="A750" s="276"/>
      <c r="B750" s="276"/>
      <c r="C750" s="276"/>
      <c r="F750" s="277">
        <f t="shared" si="11"/>
        <v>0</v>
      </c>
    </row>
    <row r="751" spans="1:6" ht="15" customHeight="1" x14ac:dyDescent="0.2">
      <c r="A751" s="276"/>
      <c r="B751" s="276"/>
      <c r="C751" s="276"/>
      <c r="F751" s="277">
        <f t="shared" si="11"/>
        <v>0</v>
      </c>
    </row>
    <row r="752" spans="1:6" ht="15" customHeight="1" x14ac:dyDescent="0.2">
      <c r="A752" s="276"/>
      <c r="B752" s="276"/>
      <c r="C752" s="276"/>
      <c r="F752" s="277">
        <f t="shared" si="11"/>
        <v>0</v>
      </c>
    </row>
    <row r="753" spans="1:6" ht="15" customHeight="1" x14ac:dyDescent="0.2">
      <c r="A753" s="276"/>
      <c r="B753" s="276"/>
      <c r="C753" s="276"/>
      <c r="F753" s="277">
        <f t="shared" si="11"/>
        <v>0</v>
      </c>
    </row>
    <row r="754" spans="1:6" ht="15" customHeight="1" x14ac:dyDescent="0.2">
      <c r="A754" s="276"/>
      <c r="B754" s="276"/>
      <c r="C754" s="276"/>
      <c r="F754" s="277">
        <f t="shared" si="11"/>
        <v>0</v>
      </c>
    </row>
    <row r="755" spans="1:6" ht="15" customHeight="1" x14ac:dyDescent="0.2">
      <c r="A755" s="276"/>
      <c r="B755" s="276"/>
      <c r="C755" s="276"/>
      <c r="F755" s="277">
        <f t="shared" si="11"/>
        <v>0</v>
      </c>
    </row>
    <row r="756" spans="1:6" ht="15" customHeight="1" x14ac:dyDescent="0.2">
      <c r="A756" s="276"/>
      <c r="B756" s="276"/>
      <c r="C756" s="276"/>
      <c r="F756" s="277">
        <f t="shared" si="11"/>
        <v>0</v>
      </c>
    </row>
    <row r="757" spans="1:6" ht="15" customHeight="1" x14ac:dyDescent="0.2">
      <c r="A757" s="276"/>
      <c r="B757" s="276"/>
      <c r="C757" s="276"/>
      <c r="F757" s="277">
        <f t="shared" si="11"/>
        <v>0</v>
      </c>
    </row>
    <row r="758" spans="1:6" ht="15" customHeight="1" x14ac:dyDescent="0.2">
      <c r="A758" s="276"/>
      <c r="B758" s="276"/>
      <c r="C758" s="276"/>
      <c r="F758" s="277">
        <f t="shared" si="11"/>
        <v>0</v>
      </c>
    </row>
    <row r="759" spans="1:6" ht="15" customHeight="1" x14ac:dyDescent="0.2">
      <c r="A759" s="276"/>
      <c r="B759" s="276"/>
      <c r="C759" s="276"/>
      <c r="F759" s="277">
        <f t="shared" si="11"/>
        <v>0</v>
      </c>
    </row>
    <row r="760" spans="1:6" ht="15" customHeight="1" x14ac:dyDescent="0.2">
      <c r="A760" s="276"/>
      <c r="B760" s="276"/>
      <c r="C760" s="276"/>
      <c r="F760" s="277">
        <f t="shared" si="11"/>
        <v>0</v>
      </c>
    </row>
    <row r="761" spans="1:6" ht="15" customHeight="1" x14ac:dyDescent="0.2">
      <c r="A761" s="276"/>
      <c r="B761" s="276"/>
      <c r="C761" s="276"/>
      <c r="F761" s="277">
        <f t="shared" si="11"/>
        <v>0</v>
      </c>
    </row>
    <row r="762" spans="1:6" ht="15" customHeight="1" x14ac:dyDescent="0.2">
      <c r="A762" s="276"/>
      <c r="B762" s="276"/>
      <c r="C762" s="276"/>
      <c r="F762" s="277">
        <f t="shared" si="11"/>
        <v>0</v>
      </c>
    </row>
    <row r="763" spans="1:6" ht="15" customHeight="1" x14ac:dyDescent="0.2">
      <c r="A763" s="276"/>
      <c r="B763" s="276"/>
      <c r="C763" s="276"/>
      <c r="F763" s="277">
        <f t="shared" si="11"/>
        <v>0</v>
      </c>
    </row>
    <row r="764" spans="1:6" ht="15" customHeight="1" x14ac:dyDescent="0.2">
      <c r="A764" s="276"/>
      <c r="B764" s="276"/>
      <c r="C764" s="276"/>
      <c r="F764" s="277">
        <f t="shared" si="11"/>
        <v>0</v>
      </c>
    </row>
    <row r="765" spans="1:6" ht="15" customHeight="1" x14ac:dyDescent="0.2">
      <c r="A765" s="276"/>
      <c r="B765" s="276"/>
      <c r="C765" s="276"/>
      <c r="F765" s="277">
        <f t="shared" si="11"/>
        <v>0</v>
      </c>
    </row>
    <row r="766" spans="1:6" ht="15" customHeight="1" x14ac:dyDescent="0.2">
      <c r="A766" s="276"/>
      <c r="B766" s="276"/>
      <c r="C766" s="276"/>
      <c r="F766" s="277">
        <f t="shared" si="11"/>
        <v>0</v>
      </c>
    </row>
    <row r="767" spans="1:6" ht="15" customHeight="1" x14ac:dyDescent="0.2">
      <c r="A767" s="276"/>
      <c r="B767" s="280"/>
      <c r="C767" s="276"/>
      <c r="F767" s="277">
        <f t="shared" si="11"/>
        <v>0</v>
      </c>
    </row>
    <row r="768" spans="1:6" ht="15" customHeight="1" x14ac:dyDescent="0.2">
      <c r="A768" s="276"/>
      <c r="B768" s="276"/>
      <c r="C768" s="280"/>
      <c r="F768" s="277">
        <f t="shared" si="11"/>
        <v>0</v>
      </c>
    </row>
    <row r="769" spans="1:6" ht="15" customHeight="1" x14ac:dyDescent="0.2">
      <c r="A769" s="276"/>
      <c r="B769" s="276"/>
      <c r="C769" s="276"/>
      <c r="F769" s="277">
        <f t="shared" si="11"/>
        <v>0</v>
      </c>
    </row>
    <row r="770" spans="1:6" ht="15" customHeight="1" x14ac:dyDescent="0.2">
      <c r="A770" s="276"/>
      <c r="B770" s="276"/>
      <c r="C770" s="276"/>
      <c r="F770" s="277">
        <f t="shared" si="11"/>
        <v>0</v>
      </c>
    </row>
    <row r="771" spans="1:6" ht="15" customHeight="1" x14ac:dyDescent="0.2">
      <c r="A771" s="276"/>
      <c r="B771" s="276"/>
      <c r="C771" s="276"/>
      <c r="F771" s="277">
        <f t="shared" ref="F771:F834" si="12">COUNTIF(C:C,C771)</f>
        <v>0</v>
      </c>
    </row>
    <row r="772" spans="1:6" ht="15" customHeight="1" x14ac:dyDescent="0.2">
      <c r="A772" s="276"/>
      <c r="B772" s="276"/>
      <c r="C772" s="276"/>
      <c r="F772" s="277">
        <f t="shared" si="12"/>
        <v>0</v>
      </c>
    </row>
    <row r="773" spans="1:6" ht="15" customHeight="1" x14ac:dyDescent="0.2">
      <c r="A773" s="276"/>
      <c r="B773" s="276"/>
      <c r="C773" s="276"/>
      <c r="F773" s="277">
        <f t="shared" si="12"/>
        <v>0</v>
      </c>
    </row>
    <row r="774" spans="1:6" ht="15" customHeight="1" x14ac:dyDescent="0.2">
      <c r="A774" s="276"/>
      <c r="B774" s="276"/>
      <c r="C774" s="276"/>
      <c r="F774" s="277">
        <f t="shared" si="12"/>
        <v>0</v>
      </c>
    </row>
    <row r="775" spans="1:6" ht="15" customHeight="1" x14ac:dyDescent="0.2">
      <c r="A775" s="276"/>
      <c r="B775" s="276"/>
      <c r="C775" s="276"/>
      <c r="F775" s="277">
        <f t="shared" si="12"/>
        <v>0</v>
      </c>
    </row>
    <row r="776" spans="1:6" ht="15" customHeight="1" x14ac:dyDescent="0.2">
      <c r="A776" s="276"/>
      <c r="B776" s="276"/>
      <c r="C776" s="276"/>
      <c r="F776" s="277">
        <f t="shared" si="12"/>
        <v>0</v>
      </c>
    </row>
    <row r="777" spans="1:6" ht="15" customHeight="1" x14ac:dyDescent="0.2">
      <c r="A777" s="276"/>
      <c r="B777" s="276"/>
      <c r="C777" s="276"/>
      <c r="F777" s="277">
        <f t="shared" si="12"/>
        <v>0</v>
      </c>
    </row>
    <row r="778" spans="1:6" ht="15" customHeight="1" x14ac:dyDescent="0.2">
      <c r="A778" s="276"/>
      <c r="B778" s="276"/>
      <c r="C778" s="276"/>
      <c r="F778" s="277">
        <f t="shared" si="12"/>
        <v>0</v>
      </c>
    </row>
    <row r="779" spans="1:6" ht="15" customHeight="1" x14ac:dyDescent="0.2">
      <c r="A779" s="276"/>
      <c r="B779" s="276"/>
      <c r="C779" s="276"/>
      <c r="F779" s="277">
        <f t="shared" si="12"/>
        <v>0</v>
      </c>
    </row>
    <row r="780" spans="1:6" ht="15" customHeight="1" x14ac:dyDescent="0.2">
      <c r="A780" s="276"/>
      <c r="B780" s="276"/>
      <c r="C780" s="276"/>
      <c r="F780" s="277">
        <f t="shared" si="12"/>
        <v>0</v>
      </c>
    </row>
    <row r="781" spans="1:6" ht="15" customHeight="1" x14ac:dyDescent="0.2">
      <c r="A781" s="276"/>
      <c r="B781" s="276"/>
      <c r="C781" s="276"/>
      <c r="F781" s="277">
        <f t="shared" si="12"/>
        <v>0</v>
      </c>
    </row>
    <row r="782" spans="1:6" ht="15" customHeight="1" x14ac:dyDescent="0.2">
      <c r="A782" s="276"/>
      <c r="B782" s="276"/>
      <c r="C782" s="276"/>
      <c r="F782" s="277">
        <f t="shared" si="12"/>
        <v>0</v>
      </c>
    </row>
    <row r="783" spans="1:6" ht="15" customHeight="1" x14ac:dyDescent="0.2">
      <c r="A783" s="276"/>
      <c r="B783" s="276"/>
      <c r="C783" s="276"/>
      <c r="F783" s="277">
        <f t="shared" si="12"/>
        <v>0</v>
      </c>
    </row>
    <row r="784" spans="1:6" ht="15" customHeight="1" x14ac:dyDescent="0.2">
      <c r="A784" s="276"/>
      <c r="B784" s="276"/>
      <c r="C784" s="276"/>
      <c r="F784" s="277">
        <f t="shared" si="12"/>
        <v>0</v>
      </c>
    </row>
    <row r="785" spans="1:6" ht="15" customHeight="1" x14ac:dyDescent="0.2">
      <c r="A785" s="276"/>
      <c r="B785" s="276"/>
      <c r="C785" s="276"/>
      <c r="F785" s="277">
        <f t="shared" si="12"/>
        <v>0</v>
      </c>
    </row>
    <row r="786" spans="1:6" ht="15" customHeight="1" x14ac:dyDescent="0.2">
      <c r="A786" s="276"/>
      <c r="B786" s="276"/>
      <c r="C786" s="276"/>
      <c r="F786" s="277">
        <f t="shared" si="12"/>
        <v>0</v>
      </c>
    </row>
    <row r="787" spans="1:6" ht="15" customHeight="1" x14ac:dyDescent="0.2">
      <c r="A787" s="276"/>
      <c r="B787" s="276"/>
      <c r="C787" s="276"/>
      <c r="F787" s="277">
        <f t="shared" si="12"/>
        <v>0</v>
      </c>
    </row>
    <row r="788" spans="1:6" ht="15" customHeight="1" x14ac:dyDescent="0.2">
      <c r="A788" s="276"/>
      <c r="B788" s="276"/>
      <c r="C788" s="276"/>
      <c r="F788" s="277">
        <f t="shared" si="12"/>
        <v>0</v>
      </c>
    </row>
    <row r="789" spans="1:6" ht="15" customHeight="1" x14ac:dyDescent="0.2">
      <c r="A789" s="276"/>
      <c r="B789" s="276"/>
      <c r="C789" s="276"/>
      <c r="F789" s="277">
        <f t="shared" si="12"/>
        <v>0</v>
      </c>
    </row>
    <row r="790" spans="1:6" ht="15" customHeight="1" x14ac:dyDescent="0.2">
      <c r="A790" s="276"/>
      <c r="B790" s="276"/>
      <c r="C790" s="276"/>
      <c r="F790" s="277">
        <f t="shared" si="12"/>
        <v>0</v>
      </c>
    </row>
    <row r="791" spans="1:6" ht="15" customHeight="1" x14ac:dyDescent="0.2">
      <c r="A791" s="276"/>
      <c r="B791" s="276"/>
      <c r="C791" s="276"/>
      <c r="F791" s="277">
        <f t="shared" si="12"/>
        <v>0</v>
      </c>
    </row>
    <row r="792" spans="1:6" ht="15" customHeight="1" x14ac:dyDescent="0.2">
      <c r="A792" s="276"/>
      <c r="B792" s="276"/>
      <c r="C792" s="276"/>
      <c r="F792" s="277">
        <f t="shared" si="12"/>
        <v>0</v>
      </c>
    </row>
    <row r="793" spans="1:6" ht="15" customHeight="1" x14ac:dyDescent="0.2">
      <c r="A793" s="276"/>
      <c r="B793" s="276"/>
      <c r="C793" s="276"/>
      <c r="F793" s="277">
        <f t="shared" si="12"/>
        <v>0</v>
      </c>
    </row>
    <row r="794" spans="1:6" ht="15" customHeight="1" x14ac:dyDescent="0.2">
      <c r="A794" s="276"/>
      <c r="B794" s="276"/>
      <c r="C794" s="276"/>
      <c r="F794" s="277">
        <f t="shared" si="12"/>
        <v>0</v>
      </c>
    </row>
    <row r="795" spans="1:6" ht="15" customHeight="1" x14ac:dyDescent="0.2">
      <c r="A795" s="276"/>
      <c r="B795" s="276"/>
      <c r="C795" s="276"/>
      <c r="F795" s="277">
        <f t="shared" si="12"/>
        <v>0</v>
      </c>
    </row>
    <row r="796" spans="1:6" ht="15" customHeight="1" x14ac:dyDescent="0.2">
      <c r="A796" s="276"/>
      <c r="B796" s="276"/>
      <c r="C796" s="276"/>
      <c r="F796" s="277">
        <f t="shared" si="12"/>
        <v>0</v>
      </c>
    </row>
    <row r="797" spans="1:6" ht="15" customHeight="1" x14ac:dyDescent="0.2">
      <c r="A797" s="276"/>
      <c r="B797" s="276"/>
      <c r="C797" s="276"/>
      <c r="F797" s="277">
        <f t="shared" si="12"/>
        <v>0</v>
      </c>
    </row>
    <row r="798" spans="1:6" ht="15" customHeight="1" x14ac:dyDescent="0.2">
      <c r="A798" s="276"/>
      <c r="B798" s="276"/>
      <c r="C798" s="276"/>
      <c r="F798" s="277">
        <f t="shared" si="12"/>
        <v>0</v>
      </c>
    </row>
    <row r="799" spans="1:6" ht="15" customHeight="1" x14ac:dyDescent="0.2">
      <c r="A799" s="276"/>
      <c r="B799" s="276"/>
      <c r="C799" s="276"/>
      <c r="F799" s="277">
        <f t="shared" si="12"/>
        <v>0</v>
      </c>
    </row>
    <row r="800" spans="1:6" ht="15" customHeight="1" x14ac:dyDescent="0.2">
      <c r="A800" s="276"/>
      <c r="B800" s="276"/>
      <c r="C800" s="276"/>
      <c r="F800" s="277">
        <f t="shared" si="12"/>
        <v>0</v>
      </c>
    </row>
    <row r="801" spans="1:6" ht="15" customHeight="1" x14ac:dyDescent="0.2">
      <c r="A801" s="276"/>
      <c r="B801" s="276"/>
      <c r="C801" s="276"/>
      <c r="F801" s="277">
        <f t="shared" si="12"/>
        <v>0</v>
      </c>
    </row>
    <row r="802" spans="1:6" ht="15" customHeight="1" x14ac:dyDescent="0.2">
      <c r="A802" s="276"/>
      <c r="B802" s="276"/>
      <c r="C802" s="276"/>
      <c r="F802" s="277">
        <f t="shared" si="12"/>
        <v>0</v>
      </c>
    </row>
    <row r="803" spans="1:6" ht="15" customHeight="1" x14ac:dyDescent="0.2">
      <c r="A803" s="276"/>
      <c r="B803" s="276"/>
      <c r="C803" s="276"/>
      <c r="F803" s="277">
        <f t="shared" si="12"/>
        <v>0</v>
      </c>
    </row>
    <row r="804" spans="1:6" ht="15" customHeight="1" x14ac:dyDescent="0.2">
      <c r="A804" s="276"/>
      <c r="B804" s="276"/>
      <c r="C804" s="276"/>
      <c r="F804" s="277">
        <f t="shared" si="12"/>
        <v>0</v>
      </c>
    </row>
    <row r="805" spans="1:6" ht="15" customHeight="1" x14ac:dyDescent="0.2">
      <c r="A805" s="276"/>
      <c r="B805" s="276"/>
      <c r="C805" s="276"/>
      <c r="F805" s="277">
        <f t="shared" si="12"/>
        <v>0</v>
      </c>
    </row>
    <row r="806" spans="1:6" ht="15" customHeight="1" x14ac:dyDescent="0.2">
      <c r="A806" s="276"/>
      <c r="B806" s="276"/>
      <c r="C806" s="276"/>
      <c r="F806" s="277">
        <f t="shared" si="12"/>
        <v>0</v>
      </c>
    </row>
    <row r="807" spans="1:6" ht="15" customHeight="1" x14ac:dyDescent="0.2">
      <c r="A807" s="276"/>
      <c r="B807" s="276"/>
      <c r="C807" s="276"/>
      <c r="F807" s="277">
        <f t="shared" si="12"/>
        <v>0</v>
      </c>
    </row>
    <row r="808" spans="1:6" ht="15" customHeight="1" x14ac:dyDescent="0.2">
      <c r="A808" s="276"/>
      <c r="B808" s="276"/>
      <c r="C808" s="276"/>
      <c r="F808" s="277">
        <f t="shared" si="12"/>
        <v>0</v>
      </c>
    </row>
    <row r="809" spans="1:6" ht="15" customHeight="1" x14ac:dyDescent="0.2">
      <c r="A809" s="276"/>
      <c r="B809" s="276"/>
      <c r="C809" s="276"/>
      <c r="F809" s="277">
        <f t="shared" si="12"/>
        <v>0</v>
      </c>
    </row>
    <row r="810" spans="1:6" ht="15" customHeight="1" x14ac:dyDescent="0.2">
      <c r="A810" s="276"/>
      <c r="B810" s="276"/>
      <c r="C810" s="276"/>
      <c r="F810" s="277">
        <f t="shared" si="12"/>
        <v>0</v>
      </c>
    </row>
    <row r="811" spans="1:6" ht="15" customHeight="1" x14ac:dyDescent="0.2">
      <c r="A811" s="276"/>
      <c r="B811" s="276"/>
      <c r="C811" s="276"/>
      <c r="F811" s="277">
        <f t="shared" si="12"/>
        <v>0</v>
      </c>
    </row>
    <row r="812" spans="1:6" ht="15" customHeight="1" x14ac:dyDescent="0.2">
      <c r="A812" s="276"/>
      <c r="B812" s="276"/>
      <c r="C812" s="276"/>
      <c r="F812" s="277">
        <f t="shared" si="12"/>
        <v>0</v>
      </c>
    </row>
    <row r="813" spans="1:6" ht="15" customHeight="1" x14ac:dyDescent="0.2">
      <c r="A813" s="276"/>
      <c r="B813" s="276"/>
      <c r="C813" s="276"/>
      <c r="F813" s="277">
        <f t="shared" si="12"/>
        <v>0</v>
      </c>
    </row>
    <row r="814" spans="1:6" ht="15" customHeight="1" x14ac:dyDescent="0.2">
      <c r="A814" s="276"/>
      <c r="B814" s="276"/>
      <c r="C814" s="276"/>
      <c r="F814" s="277">
        <f t="shared" si="12"/>
        <v>0</v>
      </c>
    </row>
    <row r="815" spans="1:6" ht="15" customHeight="1" x14ac:dyDescent="0.2">
      <c r="A815" s="276"/>
      <c r="B815" s="276"/>
      <c r="C815" s="276"/>
      <c r="F815" s="277">
        <f t="shared" si="12"/>
        <v>0</v>
      </c>
    </row>
    <row r="816" spans="1:6" ht="15" customHeight="1" x14ac:dyDescent="0.2">
      <c r="A816" s="276"/>
      <c r="B816" s="276"/>
      <c r="C816" s="280"/>
      <c r="F816" s="277">
        <f t="shared" si="12"/>
        <v>0</v>
      </c>
    </row>
    <row r="817" spans="1:6" ht="15" customHeight="1" x14ac:dyDescent="0.2">
      <c r="A817" s="276"/>
      <c r="B817" s="276"/>
      <c r="C817" s="276"/>
      <c r="F817" s="277">
        <f t="shared" si="12"/>
        <v>0</v>
      </c>
    </row>
    <row r="818" spans="1:6" ht="15" customHeight="1" x14ac:dyDescent="0.2">
      <c r="A818" s="276"/>
      <c r="B818" s="276"/>
      <c r="C818" s="276"/>
      <c r="F818" s="277">
        <f t="shared" si="12"/>
        <v>0</v>
      </c>
    </row>
    <row r="819" spans="1:6" ht="15" customHeight="1" x14ac:dyDescent="0.2">
      <c r="A819" s="276"/>
      <c r="B819" s="276"/>
      <c r="C819" s="276"/>
      <c r="F819" s="277">
        <f t="shared" si="12"/>
        <v>0</v>
      </c>
    </row>
    <row r="820" spans="1:6" ht="15" customHeight="1" x14ac:dyDescent="0.2">
      <c r="A820" s="276"/>
      <c r="B820" s="280"/>
      <c r="C820" s="280"/>
      <c r="F820" s="277">
        <f t="shared" si="12"/>
        <v>0</v>
      </c>
    </row>
    <row r="821" spans="1:6" ht="15" customHeight="1" x14ac:dyDescent="0.2">
      <c r="A821" s="276"/>
      <c r="B821" s="276"/>
      <c r="C821" s="276"/>
      <c r="F821" s="277">
        <f t="shared" si="12"/>
        <v>0</v>
      </c>
    </row>
    <row r="822" spans="1:6" ht="15" customHeight="1" x14ac:dyDescent="0.2">
      <c r="A822" s="276"/>
      <c r="B822" s="276"/>
      <c r="C822" s="276"/>
      <c r="F822" s="277">
        <f t="shared" si="12"/>
        <v>0</v>
      </c>
    </row>
    <row r="823" spans="1:6" ht="15" customHeight="1" x14ac:dyDescent="0.2">
      <c r="A823" s="276"/>
      <c r="B823" s="276"/>
      <c r="C823" s="280"/>
      <c r="F823" s="277">
        <f t="shared" si="12"/>
        <v>0</v>
      </c>
    </row>
    <row r="824" spans="1:6" ht="15" customHeight="1" x14ac:dyDescent="0.2">
      <c r="A824" s="276"/>
      <c r="B824" s="276"/>
      <c r="C824" s="276"/>
      <c r="F824" s="277">
        <f t="shared" si="12"/>
        <v>0</v>
      </c>
    </row>
    <row r="825" spans="1:6" ht="15" customHeight="1" x14ac:dyDescent="0.2">
      <c r="A825" s="276"/>
      <c r="B825" s="276"/>
      <c r="C825" s="276"/>
      <c r="F825" s="277">
        <f t="shared" si="12"/>
        <v>0</v>
      </c>
    </row>
    <row r="826" spans="1:6" ht="15" customHeight="1" x14ac:dyDescent="0.2">
      <c r="A826" s="276"/>
      <c r="B826" s="276"/>
      <c r="C826" s="276"/>
      <c r="F826" s="277">
        <f t="shared" si="12"/>
        <v>0</v>
      </c>
    </row>
    <row r="827" spans="1:6" ht="15" customHeight="1" x14ac:dyDescent="0.2">
      <c r="A827" s="276"/>
      <c r="B827" s="276"/>
      <c r="C827" s="276"/>
      <c r="F827" s="277">
        <f t="shared" si="12"/>
        <v>0</v>
      </c>
    </row>
    <row r="828" spans="1:6" ht="15" customHeight="1" x14ac:dyDescent="0.2">
      <c r="A828" s="276"/>
      <c r="B828" s="276"/>
      <c r="C828" s="276"/>
      <c r="F828" s="277">
        <f t="shared" si="12"/>
        <v>0</v>
      </c>
    </row>
    <row r="829" spans="1:6" ht="15" customHeight="1" x14ac:dyDescent="0.2">
      <c r="A829" s="276"/>
      <c r="B829" s="276"/>
      <c r="C829" s="276"/>
      <c r="F829" s="277">
        <f t="shared" si="12"/>
        <v>0</v>
      </c>
    </row>
    <row r="830" spans="1:6" ht="15" customHeight="1" x14ac:dyDescent="0.2">
      <c r="A830" s="276"/>
      <c r="B830" s="276"/>
      <c r="C830" s="276"/>
      <c r="F830" s="277">
        <f t="shared" si="12"/>
        <v>0</v>
      </c>
    </row>
    <row r="831" spans="1:6" ht="15" customHeight="1" x14ac:dyDescent="0.2">
      <c r="A831" s="276"/>
      <c r="B831" s="276"/>
      <c r="C831" s="276"/>
      <c r="F831" s="277">
        <f t="shared" si="12"/>
        <v>0</v>
      </c>
    </row>
    <row r="832" spans="1:6" ht="15" customHeight="1" x14ac:dyDescent="0.2">
      <c r="A832" s="276"/>
      <c r="B832" s="276"/>
      <c r="C832" s="276"/>
      <c r="F832" s="277">
        <f t="shared" si="12"/>
        <v>0</v>
      </c>
    </row>
    <row r="833" spans="1:6" ht="15" customHeight="1" x14ac:dyDescent="0.2">
      <c r="A833" s="276"/>
      <c r="B833" s="276"/>
      <c r="C833" s="276"/>
      <c r="F833" s="277">
        <f t="shared" si="12"/>
        <v>0</v>
      </c>
    </row>
    <row r="834" spans="1:6" ht="15" customHeight="1" x14ac:dyDescent="0.2">
      <c r="A834" s="276"/>
      <c r="B834" s="276"/>
      <c r="C834" s="276"/>
      <c r="F834" s="277">
        <f t="shared" si="12"/>
        <v>0</v>
      </c>
    </row>
    <row r="835" spans="1:6" ht="15" customHeight="1" x14ac:dyDescent="0.2">
      <c r="A835" s="276"/>
      <c r="B835" s="276"/>
      <c r="C835" s="276"/>
      <c r="F835" s="277">
        <f t="shared" ref="F835:F898" si="13">COUNTIF(C:C,C835)</f>
        <v>0</v>
      </c>
    </row>
    <row r="836" spans="1:6" ht="15" customHeight="1" x14ac:dyDescent="0.2">
      <c r="A836" s="276"/>
      <c r="B836" s="276"/>
      <c r="C836" s="276"/>
      <c r="F836" s="277">
        <f t="shared" si="13"/>
        <v>0</v>
      </c>
    </row>
    <row r="837" spans="1:6" ht="15" customHeight="1" x14ac:dyDescent="0.2">
      <c r="A837" s="276"/>
      <c r="B837" s="276"/>
      <c r="C837" s="276"/>
      <c r="F837" s="277">
        <f t="shared" si="13"/>
        <v>0</v>
      </c>
    </row>
    <row r="838" spans="1:6" ht="15" customHeight="1" x14ac:dyDescent="0.2">
      <c r="A838" s="276"/>
      <c r="B838" s="276"/>
      <c r="C838" s="276"/>
      <c r="F838" s="277">
        <f t="shared" si="13"/>
        <v>0</v>
      </c>
    </row>
    <row r="839" spans="1:6" ht="15" customHeight="1" x14ac:dyDescent="0.2">
      <c r="A839" s="276"/>
      <c r="B839" s="276"/>
      <c r="C839" s="276"/>
      <c r="F839" s="277">
        <f t="shared" si="13"/>
        <v>0</v>
      </c>
    </row>
    <row r="840" spans="1:6" ht="15" customHeight="1" x14ac:dyDescent="0.2">
      <c r="A840" s="276"/>
      <c r="B840" s="276"/>
      <c r="C840" s="276"/>
      <c r="F840" s="277">
        <f t="shared" si="13"/>
        <v>0</v>
      </c>
    </row>
    <row r="841" spans="1:6" ht="15" customHeight="1" x14ac:dyDescent="0.2">
      <c r="A841" s="276"/>
      <c r="B841" s="276"/>
      <c r="C841" s="276"/>
      <c r="F841" s="277">
        <f t="shared" si="13"/>
        <v>0</v>
      </c>
    </row>
    <row r="842" spans="1:6" ht="15" customHeight="1" x14ac:dyDescent="0.2">
      <c r="A842" s="276"/>
      <c r="B842" s="276"/>
      <c r="C842" s="276"/>
      <c r="F842" s="277">
        <f t="shared" si="13"/>
        <v>0</v>
      </c>
    </row>
    <row r="843" spans="1:6" ht="15" customHeight="1" x14ac:dyDescent="0.2">
      <c r="A843" s="276"/>
      <c r="B843" s="276"/>
      <c r="C843" s="276"/>
      <c r="F843" s="277">
        <f t="shared" si="13"/>
        <v>0</v>
      </c>
    </row>
    <row r="844" spans="1:6" ht="15" customHeight="1" x14ac:dyDescent="0.2">
      <c r="A844" s="276"/>
      <c r="B844" s="280"/>
      <c r="C844" s="280"/>
      <c r="F844" s="277">
        <f t="shared" si="13"/>
        <v>0</v>
      </c>
    </row>
    <row r="845" spans="1:6" ht="15" customHeight="1" x14ac:dyDescent="0.2">
      <c r="A845" s="276"/>
      <c r="B845" s="276"/>
      <c r="C845" s="280"/>
      <c r="F845" s="277">
        <f t="shared" si="13"/>
        <v>0</v>
      </c>
    </row>
    <row r="846" spans="1:6" ht="15" customHeight="1" x14ac:dyDescent="0.2">
      <c r="A846" s="276"/>
      <c r="B846" s="276"/>
      <c r="C846" s="276"/>
      <c r="F846" s="277">
        <f t="shared" si="13"/>
        <v>0</v>
      </c>
    </row>
    <row r="847" spans="1:6" ht="15" customHeight="1" x14ac:dyDescent="0.2">
      <c r="A847" s="276"/>
      <c r="B847" s="276"/>
      <c r="C847" s="280"/>
      <c r="F847" s="277">
        <f t="shared" si="13"/>
        <v>0</v>
      </c>
    </row>
    <row r="848" spans="1:6" ht="15" customHeight="1" x14ac:dyDescent="0.2">
      <c r="A848" s="276"/>
      <c r="B848" s="280"/>
      <c r="C848" s="280"/>
      <c r="F848" s="277">
        <f t="shared" si="13"/>
        <v>0</v>
      </c>
    </row>
    <row r="849" spans="1:6" ht="15" customHeight="1" x14ac:dyDescent="0.2">
      <c r="A849" s="276"/>
      <c r="B849" s="276"/>
      <c r="C849" s="280"/>
      <c r="F849" s="277">
        <f t="shared" si="13"/>
        <v>0</v>
      </c>
    </row>
    <row r="850" spans="1:6" ht="15" customHeight="1" x14ac:dyDescent="0.2">
      <c r="A850" s="276"/>
      <c r="B850" s="280"/>
      <c r="C850" s="276"/>
      <c r="F850" s="277">
        <f t="shared" si="13"/>
        <v>0</v>
      </c>
    </row>
    <row r="851" spans="1:6" ht="15" customHeight="1" x14ac:dyDescent="0.2">
      <c r="A851" s="276"/>
      <c r="B851" s="276"/>
      <c r="C851" s="276"/>
      <c r="F851" s="277">
        <f t="shared" si="13"/>
        <v>0</v>
      </c>
    </row>
    <row r="852" spans="1:6" ht="15" customHeight="1" x14ac:dyDescent="0.2">
      <c r="A852" s="276"/>
      <c r="B852" s="276"/>
      <c r="C852" s="276"/>
      <c r="F852" s="277">
        <f t="shared" si="13"/>
        <v>0</v>
      </c>
    </row>
    <row r="853" spans="1:6" ht="15" customHeight="1" x14ac:dyDescent="0.2">
      <c r="A853" s="276"/>
      <c r="B853" s="276"/>
      <c r="C853" s="276"/>
      <c r="F853" s="277">
        <f t="shared" si="13"/>
        <v>0</v>
      </c>
    </row>
    <row r="854" spans="1:6" ht="15" customHeight="1" x14ac:dyDescent="0.2">
      <c r="A854" s="276"/>
      <c r="B854" s="276"/>
      <c r="C854" s="276"/>
      <c r="F854" s="277">
        <f t="shared" si="13"/>
        <v>0</v>
      </c>
    </row>
    <row r="855" spans="1:6" ht="15" customHeight="1" x14ac:dyDescent="0.2">
      <c r="A855" s="276"/>
      <c r="B855" s="276"/>
      <c r="C855" s="276"/>
      <c r="F855" s="277">
        <f t="shared" si="13"/>
        <v>0</v>
      </c>
    </row>
    <row r="856" spans="1:6" ht="15" customHeight="1" x14ac:dyDescent="0.2">
      <c r="A856" s="276"/>
      <c r="B856" s="276"/>
      <c r="C856" s="276"/>
      <c r="F856" s="277">
        <f t="shared" si="13"/>
        <v>0</v>
      </c>
    </row>
    <row r="857" spans="1:6" ht="15" customHeight="1" x14ac:dyDescent="0.2">
      <c r="A857" s="276"/>
      <c r="B857" s="276"/>
      <c r="C857" s="276"/>
      <c r="F857" s="277">
        <f t="shared" si="13"/>
        <v>0</v>
      </c>
    </row>
    <row r="858" spans="1:6" ht="15" customHeight="1" x14ac:dyDescent="0.2">
      <c r="A858" s="276"/>
      <c r="B858" s="276"/>
      <c r="C858" s="276"/>
      <c r="F858" s="277">
        <f t="shared" si="13"/>
        <v>0</v>
      </c>
    </row>
    <row r="859" spans="1:6" ht="15" customHeight="1" x14ac:dyDescent="0.2">
      <c r="A859" s="276"/>
      <c r="B859" s="276"/>
      <c r="C859" s="276"/>
      <c r="F859" s="277">
        <f t="shared" si="13"/>
        <v>0</v>
      </c>
    </row>
    <row r="860" spans="1:6" ht="15" customHeight="1" x14ac:dyDescent="0.2">
      <c r="A860" s="276"/>
      <c r="B860" s="276"/>
      <c r="C860" s="280"/>
      <c r="F860" s="277">
        <f t="shared" si="13"/>
        <v>0</v>
      </c>
    </row>
    <row r="861" spans="1:6" ht="15" customHeight="1" x14ac:dyDescent="0.2">
      <c r="A861" s="276"/>
      <c r="B861" s="276"/>
      <c r="C861" s="276"/>
      <c r="F861" s="277">
        <f t="shared" si="13"/>
        <v>0</v>
      </c>
    </row>
    <row r="862" spans="1:6" ht="15" customHeight="1" x14ac:dyDescent="0.2">
      <c r="A862" s="276"/>
      <c r="B862" s="276"/>
      <c r="C862" s="276"/>
      <c r="F862" s="277">
        <f t="shared" si="13"/>
        <v>0</v>
      </c>
    </row>
    <row r="863" spans="1:6" ht="15" customHeight="1" x14ac:dyDescent="0.2">
      <c r="A863" s="276"/>
      <c r="B863" s="280"/>
      <c r="C863" s="276"/>
      <c r="F863" s="277">
        <f t="shared" si="13"/>
        <v>0</v>
      </c>
    </row>
    <row r="864" spans="1:6" ht="15" customHeight="1" x14ac:dyDescent="0.2">
      <c r="A864" s="276"/>
      <c r="B864" s="276"/>
      <c r="C864" s="276"/>
      <c r="F864" s="277">
        <f t="shared" si="13"/>
        <v>0</v>
      </c>
    </row>
    <row r="865" spans="1:6" ht="15" customHeight="1" x14ac:dyDescent="0.2">
      <c r="A865" s="276"/>
      <c r="B865" s="276"/>
      <c r="C865" s="276"/>
      <c r="F865" s="277">
        <f t="shared" si="13"/>
        <v>0</v>
      </c>
    </row>
    <row r="866" spans="1:6" ht="15" customHeight="1" x14ac:dyDescent="0.2">
      <c r="F866" s="277">
        <f t="shared" si="13"/>
        <v>0</v>
      </c>
    </row>
    <row r="867" spans="1:6" ht="15" customHeight="1" x14ac:dyDescent="0.2">
      <c r="F867" s="277">
        <f t="shared" si="13"/>
        <v>0</v>
      </c>
    </row>
    <row r="868" spans="1:6" ht="15" customHeight="1" x14ac:dyDescent="0.2">
      <c r="F868" s="277">
        <f t="shared" si="13"/>
        <v>0</v>
      </c>
    </row>
    <row r="869" spans="1:6" ht="15" customHeight="1" x14ac:dyDescent="0.2">
      <c r="F869" s="277">
        <f t="shared" si="13"/>
        <v>0</v>
      </c>
    </row>
    <row r="870" spans="1:6" ht="15" customHeight="1" x14ac:dyDescent="0.2">
      <c r="F870" s="277">
        <f t="shared" si="13"/>
        <v>0</v>
      </c>
    </row>
    <row r="871" spans="1:6" ht="15" customHeight="1" x14ac:dyDescent="0.2">
      <c r="F871" s="277">
        <f t="shared" si="13"/>
        <v>0</v>
      </c>
    </row>
    <row r="872" spans="1:6" ht="15" customHeight="1" x14ac:dyDescent="0.2">
      <c r="F872" s="277">
        <f t="shared" si="13"/>
        <v>0</v>
      </c>
    </row>
    <row r="873" spans="1:6" ht="15" customHeight="1" x14ac:dyDescent="0.2">
      <c r="F873" s="277">
        <f t="shared" si="13"/>
        <v>0</v>
      </c>
    </row>
    <row r="874" spans="1:6" ht="15" customHeight="1" x14ac:dyDescent="0.2">
      <c r="F874" s="277">
        <f t="shared" si="13"/>
        <v>0</v>
      </c>
    </row>
    <row r="875" spans="1:6" ht="15" customHeight="1" x14ac:dyDescent="0.2">
      <c r="F875" s="277">
        <f t="shared" si="13"/>
        <v>0</v>
      </c>
    </row>
    <row r="876" spans="1:6" ht="15" customHeight="1" x14ac:dyDescent="0.2">
      <c r="F876" s="277">
        <f t="shared" si="13"/>
        <v>0</v>
      </c>
    </row>
    <row r="877" spans="1:6" ht="15" customHeight="1" x14ac:dyDescent="0.2">
      <c r="F877" s="277">
        <f t="shared" si="13"/>
        <v>0</v>
      </c>
    </row>
    <row r="878" spans="1:6" ht="15" customHeight="1" x14ac:dyDescent="0.2">
      <c r="F878" s="277">
        <f t="shared" si="13"/>
        <v>0</v>
      </c>
    </row>
    <row r="879" spans="1:6" ht="15" customHeight="1" x14ac:dyDescent="0.2">
      <c r="F879" s="277">
        <f t="shared" si="13"/>
        <v>0</v>
      </c>
    </row>
    <row r="880" spans="1:6" ht="15" customHeight="1" x14ac:dyDescent="0.2">
      <c r="F880" s="277">
        <f t="shared" si="13"/>
        <v>0</v>
      </c>
    </row>
    <row r="881" spans="6:6" ht="15" customHeight="1" x14ac:dyDescent="0.2">
      <c r="F881" s="277">
        <f t="shared" si="13"/>
        <v>0</v>
      </c>
    </row>
    <row r="882" spans="6:6" ht="15" customHeight="1" x14ac:dyDescent="0.2">
      <c r="F882" s="277">
        <f t="shared" si="13"/>
        <v>0</v>
      </c>
    </row>
    <row r="883" spans="6:6" ht="15" customHeight="1" x14ac:dyDescent="0.2">
      <c r="F883" s="277">
        <f t="shared" si="13"/>
        <v>0</v>
      </c>
    </row>
    <row r="884" spans="6:6" ht="15" customHeight="1" x14ac:dyDescent="0.2">
      <c r="F884" s="277">
        <f t="shared" si="13"/>
        <v>0</v>
      </c>
    </row>
    <row r="885" spans="6:6" ht="15" customHeight="1" x14ac:dyDescent="0.2">
      <c r="F885" s="277">
        <f t="shared" si="13"/>
        <v>0</v>
      </c>
    </row>
    <row r="886" spans="6:6" ht="15" customHeight="1" x14ac:dyDescent="0.2">
      <c r="F886" s="277">
        <f t="shared" si="13"/>
        <v>0</v>
      </c>
    </row>
    <row r="887" spans="6:6" ht="15" customHeight="1" x14ac:dyDescent="0.2">
      <c r="F887" s="277">
        <f t="shared" si="13"/>
        <v>0</v>
      </c>
    </row>
    <row r="888" spans="6:6" ht="15" customHeight="1" x14ac:dyDescent="0.2">
      <c r="F888" s="277">
        <f t="shared" si="13"/>
        <v>0</v>
      </c>
    </row>
    <row r="889" spans="6:6" ht="15" customHeight="1" x14ac:dyDescent="0.2">
      <c r="F889" s="277">
        <f t="shared" si="13"/>
        <v>0</v>
      </c>
    </row>
    <row r="890" spans="6:6" ht="15" customHeight="1" x14ac:dyDescent="0.2">
      <c r="F890" s="277">
        <f t="shared" si="13"/>
        <v>0</v>
      </c>
    </row>
    <row r="891" spans="6:6" ht="15" customHeight="1" x14ac:dyDescent="0.2">
      <c r="F891" s="277">
        <f t="shared" si="13"/>
        <v>0</v>
      </c>
    </row>
    <row r="892" spans="6:6" ht="15" customHeight="1" x14ac:dyDescent="0.2">
      <c r="F892" s="277">
        <f t="shared" si="13"/>
        <v>0</v>
      </c>
    </row>
    <row r="893" spans="6:6" ht="15" customHeight="1" x14ac:dyDescent="0.2">
      <c r="F893" s="277">
        <f t="shared" si="13"/>
        <v>0</v>
      </c>
    </row>
    <row r="894" spans="6:6" ht="15" customHeight="1" x14ac:dyDescent="0.2">
      <c r="F894" s="277">
        <f t="shared" si="13"/>
        <v>0</v>
      </c>
    </row>
    <row r="895" spans="6:6" ht="15" customHeight="1" x14ac:dyDescent="0.2">
      <c r="F895" s="277">
        <f t="shared" si="13"/>
        <v>0</v>
      </c>
    </row>
    <row r="896" spans="6:6" ht="15" customHeight="1" x14ac:dyDescent="0.2">
      <c r="F896" s="277">
        <f t="shared" si="13"/>
        <v>0</v>
      </c>
    </row>
    <row r="897" spans="6:6" ht="15" customHeight="1" x14ac:dyDescent="0.2">
      <c r="F897" s="277">
        <f t="shared" si="13"/>
        <v>0</v>
      </c>
    </row>
    <row r="898" spans="6:6" ht="15" customHeight="1" x14ac:dyDescent="0.2">
      <c r="F898" s="277">
        <f t="shared" si="13"/>
        <v>0</v>
      </c>
    </row>
    <row r="899" spans="6:6" ht="15" customHeight="1" x14ac:dyDescent="0.2">
      <c r="F899" s="277">
        <f t="shared" ref="F899:F962" si="14">COUNTIF(C:C,C899)</f>
        <v>0</v>
      </c>
    </row>
    <row r="900" spans="6:6" ht="15" customHeight="1" x14ac:dyDescent="0.2">
      <c r="F900" s="277">
        <f t="shared" si="14"/>
        <v>0</v>
      </c>
    </row>
    <row r="901" spans="6:6" ht="15" customHeight="1" x14ac:dyDescent="0.2">
      <c r="F901" s="277">
        <f t="shared" si="14"/>
        <v>0</v>
      </c>
    </row>
    <row r="902" spans="6:6" ht="15" customHeight="1" x14ac:dyDescent="0.2">
      <c r="F902" s="277">
        <f t="shared" si="14"/>
        <v>0</v>
      </c>
    </row>
    <row r="903" spans="6:6" ht="15" customHeight="1" x14ac:dyDescent="0.2">
      <c r="F903" s="277">
        <f t="shared" si="14"/>
        <v>0</v>
      </c>
    </row>
    <row r="904" spans="6:6" ht="15" customHeight="1" x14ac:dyDescent="0.2">
      <c r="F904" s="277">
        <f t="shared" si="14"/>
        <v>0</v>
      </c>
    </row>
    <row r="905" spans="6:6" ht="15" customHeight="1" x14ac:dyDescent="0.2">
      <c r="F905" s="277">
        <f t="shared" si="14"/>
        <v>0</v>
      </c>
    </row>
    <row r="906" spans="6:6" ht="15" customHeight="1" x14ac:dyDescent="0.2">
      <c r="F906" s="277">
        <f t="shared" si="14"/>
        <v>0</v>
      </c>
    </row>
    <row r="907" spans="6:6" ht="15" customHeight="1" x14ac:dyDescent="0.2">
      <c r="F907" s="277">
        <f t="shared" si="14"/>
        <v>0</v>
      </c>
    </row>
    <row r="908" spans="6:6" ht="15" customHeight="1" x14ac:dyDescent="0.2">
      <c r="F908" s="277">
        <f t="shared" si="14"/>
        <v>0</v>
      </c>
    </row>
    <row r="909" spans="6:6" ht="15" customHeight="1" x14ac:dyDescent="0.2">
      <c r="F909" s="277">
        <f t="shared" si="14"/>
        <v>0</v>
      </c>
    </row>
    <row r="910" spans="6:6" ht="15" customHeight="1" x14ac:dyDescent="0.2">
      <c r="F910" s="277">
        <f t="shared" si="14"/>
        <v>0</v>
      </c>
    </row>
    <row r="911" spans="6:6" ht="15" customHeight="1" x14ac:dyDescent="0.2">
      <c r="F911" s="277">
        <f t="shared" si="14"/>
        <v>0</v>
      </c>
    </row>
    <row r="912" spans="6:6" ht="15" customHeight="1" x14ac:dyDescent="0.2">
      <c r="F912" s="277">
        <f t="shared" si="14"/>
        <v>0</v>
      </c>
    </row>
    <row r="913" spans="6:6" ht="15" customHeight="1" x14ac:dyDescent="0.2">
      <c r="F913" s="277">
        <f t="shared" si="14"/>
        <v>0</v>
      </c>
    </row>
    <row r="914" spans="6:6" ht="15" customHeight="1" x14ac:dyDescent="0.2">
      <c r="F914" s="277">
        <f t="shared" si="14"/>
        <v>0</v>
      </c>
    </row>
    <row r="915" spans="6:6" ht="15" customHeight="1" x14ac:dyDescent="0.2">
      <c r="F915" s="277">
        <f t="shared" si="14"/>
        <v>0</v>
      </c>
    </row>
    <row r="916" spans="6:6" ht="15" customHeight="1" x14ac:dyDescent="0.2">
      <c r="F916" s="277">
        <f t="shared" si="14"/>
        <v>0</v>
      </c>
    </row>
    <row r="917" spans="6:6" ht="15" customHeight="1" x14ac:dyDescent="0.2">
      <c r="F917" s="277">
        <f t="shared" si="14"/>
        <v>0</v>
      </c>
    </row>
    <row r="918" spans="6:6" ht="15" customHeight="1" x14ac:dyDescent="0.2">
      <c r="F918" s="277">
        <f t="shared" si="14"/>
        <v>0</v>
      </c>
    </row>
    <row r="919" spans="6:6" ht="15" customHeight="1" x14ac:dyDescent="0.2">
      <c r="F919" s="277">
        <f t="shared" si="14"/>
        <v>0</v>
      </c>
    </row>
    <row r="920" spans="6:6" ht="15" customHeight="1" x14ac:dyDescent="0.2">
      <c r="F920" s="277">
        <f t="shared" si="14"/>
        <v>0</v>
      </c>
    </row>
    <row r="921" spans="6:6" ht="15" customHeight="1" x14ac:dyDescent="0.2">
      <c r="F921" s="277">
        <f t="shared" si="14"/>
        <v>0</v>
      </c>
    </row>
    <row r="922" spans="6:6" ht="15" customHeight="1" x14ac:dyDescent="0.2">
      <c r="F922" s="277">
        <f t="shared" si="14"/>
        <v>0</v>
      </c>
    </row>
    <row r="923" spans="6:6" ht="15" customHeight="1" x14ac:dyDescent="0.2">
      <c r="F923" s="277">
        <f t="shared" si="14"/>
        <v>0</v>
      </c>
    </row>
    <row r="924" spans="6:6" ht="15" customHeight="1" x14ac:dyDescent="0.2">
      <c r="F924" s="277">
        <f t="shared" si="14"/>
        <v>0</v>
      </c>
    </row>
    <row r="925" spans="6:6" ht="15" customHeight="1" x14ac:dyDescent="0.2">
      <c r="F925" s="277">
        <f t="shared" si="14"/>
        <v>0</v>
      </c>
    </row>
    <row r="926" spans="6:6" ht="15" customHeight="1" x14ac:dyDescent="0.2">
      <c r="F926" s="277">
        <f t="shared" si="14"/>
        <v>0</v>
      </c>
    </row>
    <row r="927" spans="6:6" ht="15" customHeight="1" x14ac:dyDescent="0.2">
      <c r="F927" s="277">
        <f t="shared" si="14"/>
        <v>0</v>
      </c>
    </row>
    <row r="928" spans="6:6" ht="15" customHeight="1" x14ac:dyDescent="0.2">
      <c r="F928" s="277">
        <f t="shared" si="14"/>
        <v>0</v>
      </c>
    </row>
    <row r="929" spans="6:6" ht="15" customHeight="1" x14ac:dyDescent="0.2">
      <c r="F929" s="277">
        <f t="shared" si="14"/>
        <v>0</v>
      </c>
    </row>
    <row r="930" spans="6:6" ht="15" customHeight="1" x14ac:dyDescent="0.2">
      <c r="F930" s="277">
        <f t="shared" si="14"/>
        <v>0</v>
      </c>
    </row>
    <row r="931" spans="6:6" ht="15" customHeight="1" x14ac:dyDescent="0.2">
      <c r="F931" s="277">
        <f t="shared" si="14"/>
        <v>0</v>
      </c>
    </row>
    <row r="932" spans="6:6" ht="15" customHeight="1" x14ac:dyDescent="0.2">
      <c r="F932" s="277">
        <f t="shared" si="14"/>
        <v>0</v>
      </c>
    </row>
    <row r="933" spans="6:6" ht="15" customHeight="1" x14ac:dyDescent="0.2">
      <c r="F933" s="277">
        <f t="shared" si="14"/>
        <v>0</v>
      </c>
    </row>
    <row r="934" spans="6:6" ht="15" customHeight="1" x14ac:dyDescent="0.2">
      <c r="F934" s="277">
        <f t="shared" si="14"/>
        <v>0</v>
      </c>
    </row>
    <row r="935" spans="6:6" ht="15" customHeight="1" x14ac:dyDescent="0.2">
      <c r="F935" s="277">
        <f t="shared" si="14"/>
        <v>0</v>
      </c>
    </row>
    <row r="936" spans="6:6" ht="15" customHeight="1" x14ac:dyDescent="0.2">
      <c r="F936" s="277">
        <f t="shared" si="14"/>
        <v>0</v>
      </c>
    </row>
    <row r="937" spans="6:6" ht="15" customHeight="1" x14ac:dyDescent="0.2">
      <c r="F937" s="277">
        <f t="shared" si="14"/>
        <v>0</v>
      </c>
    </row>
    <row r="938" spans="6:6" ht="15" customHeight="1" x14ac:dyDescent="0.2">
      <c r="F938" s="277">
        <f t="shared" si="14"/>
        <v>0</v>
      </c>
    </row>
    <row r="939" spans="6:6" ht="15" customHeight="1" x14ac:dyDescent="0.2">
      <c r="F939" s="277">
        <f t="shared" si="14"/>
        <v>0</v>
      </c>
    </row>
    <row r="940" spans="6:6" ht="15" customHeight="1" x14ac:dyDescent="0.2">
      <c r="F940" s="277">
        <f t="shared" si="14"/>
        <v>0</v>
      </c>
    </row>
    <row r="941" spans="6:6" ht="15" customHeight="1" x14ac:dyDescent="0.2">
      <c r="F941" s="277">
        <f t="shared" si="14"/>
        <v>0</v>
      </c>
    </row>
    <row r="942" spans="6:6" ht="15" customHeight="1" x14ac:dyDescent="0.2">
      <c r="F942" s="277">
        <f t="shared" si="14"/>
        <v>0</v>
      </c>
    </row>
    <row r="943" spans="6:6" ht="15" customHeight="1" x14ac:dyDescent="0.2">
      <c r="F943" s="277">
        <f t="shared" si="14"/>
        <v>0</v>
      </c>
    </row>
    <row r="944" spans="6:6" ht="15" customHeight="1" x14ac:dyDescent="0.2">
      <c r="F944" s="277">
        <f t="shared" si="14"/>
        <v>0</v>
      </c>
    </row>
    <row r="945" spans="6:6" ht="15" customHeight="1" x14ac:dyDescent="0.2">
      <c r="F945" s="277">
        <f t="shared" si="14"/>
        <v>0</v>
      </c>
    </row>
    <row r="946" spans="6:6" ht="15" customHeight="1" x14ac:dyDescent="0.2">
      <c r="F946" s="277">
        <f t="shared" si="14"/>
        <v>0</v>
      </c>
    </row>
    <row r="947" spans="6:6" ht="15" customHeight="1" x14ac:dyDescent="0.2">
      <c r="F947" s="277">
        <f t="shared" si="14"/>
        <v>0</v>
      </c>
    </row>
    <row r="948" spans="6:6" ht="15" customHeight="1" x14ac:dyDescent="0.2">
      <c r="F948" s="277">
        <f t="shared" si="14"/>
        <v>0</v>
      </c>
    </row>
    <row r="949" spans="6:6" ht="15" customHeight="1" x14ac:dyDescent="0.2">
      <c r="F949" s="277">
        <f t="shared" si="14"/>
        <v>0</v>
      </c>
    </row>
    <row r="950" spans="6:6" ht="15" customHeight="1" x14ac:dyDescent="0.2">
      <c r="F950" s="277">
        <f t="shared" si="14"/>
        <v>0</v>
      </c>
    </row>
    <row r="951" spans="6:6" ht="15" customHeight="1" x14ac:dyDescent="0.2">
      <c r="F951" s="277">
        <f t="shared" si="14"/>
        <v>0</v>
      </c>
    </row>
    <row r="952" spans="6:6" ht="15" customHeight="1" x14ac:dyDescent="0.2">
      <c r="F952" s="277">
        <f t="shared" si="14"/>
        <v>0</v>
      </c>
    </row>
    <row r="953" spans="6:6" ht="15" customHeight="1" x14ac:dyDescent="0.2">
      <c r="F953" s="277">
        <f t="shared" si="14"/>
        <v>0</v>
      </c>
    </row>
    <row r="954" spans="6:6" ht="15" customHeight="1" x14ac:dyDescent="0.2">
      <c r="F954" s="277">
        <f t="shared" si="14"/>
        <v>0</v>
      </c>
    </row>
    <row r="955" spans="6:6" ht="15" customHeight="1" x14ac:dyDescent="0.2">
      <c r="F955" s="277">
        <f t="shared" si="14"/>
        <v>0</v>
      </c>
    </row>
    <row r="956" spans="6:6" ht="15" customHeight="1" x14ac:dyDescent="0.2">
      <c r="F956" s="277">
        <f t="shared" si="14"/>
        <v>0</v>
      </c>
    </row>
    <row r="957" spans="6:6" ht="15" customHeight="1" x14ac:dyDescent="0.2">
      <c r="F957" s="277">
        <f t="shared" si="14"/>
        <v>0</v>
      </c>
    </row>
    <row r="958" spans="6:6" ht="15" customHeight="1" x14ac:dyDescent="0.2">
      <c r="F958" s="277">
        <f t="shared" si="14"/>
        <v>0</v>
      </c>
    </row>
    <row r="959" spans="6:6" ht="15" customHeight="1" x14ac:dyDescent="0.2">
      <c r="F959" s="277">
        <f t="shared" si="14"/>
        <v>0</v>
      </c>
    </row>
    <row r="960" spans="6:6" ht="15" customHeight="1" x14ac:dyDescent="0.2">
      <c r="F960" s="277">
        <f t="shared" si="14"/>
        <v>0</v>
      </c>
    </row>
    <row r="961" spans="6:6" ht="15" customHeight="1" x14ac:dyDescent="0.2">
      <c r="F961" s="277">
        <f t="shared" si="14"/>
        <v>0</v>
      </c>
    </row>
    <row r="962" spans="6:6" ht="15" customHeight="1" x14ac:dyDescent="0.2">
      <c r="F962" s="277">
        <f t="shared" si="14"/>
        <v>0</v>
      </c>
    </row>
    <row r="963" spans="6:6" ht="15" customHeight="1" x14ac:dyDescent="0.2">
      <c r="F963" s="277">
        <f t="shared" ref="F963:F1000" si="15">COUNTIF(C:C,C963)</f>
        <v>0</v>
      </c>
    </row>
    <row r="964" spans="6:6" ht="15" customHeight="1" x14ac:dyDescent="0.2">
      <c r="F964" s="277">
        <f t="shared" si="15"/>
        <v>0</v>
      </c>
    </row>
    <row r="965" spans="6:6" ht="15" customHeight="1" x14ac:dyDescent="0.2">
      <c r="F965" s="277">
        <f t="shared" si="15"/>
        <v>0</v>
      </c>
    </row>
    <row r="966" spans="6:6" ht="15" customHeight="1" x14ac:dyDescent="0.2">
      <c r="F966" s="277">
        <f t="shared" si="15"/>
        <v>0</v>
      </c>
    </row>
    <row r="967" spans="6:6" ht="15" customHeight="1" x14ac:dyDescent="0.2">
      <c r="F967" s="277">
        <f t="shared" si="15"/>
        <v>0</v>
      </c>
    </row>
    <row r="968" spans="6:6" ht="15" customHeight="1" x14ac:dyDescent="0.2">
      <c r="F968" s="277">
        <f t="shared" si="15"/>
        <v>0</v>
      </c>
    </row>
    <row r="969" spans="6:6" ht="15" customHeight="1" x14ac:dyDescent="0.2">
      <c r="F969" s="277">
        <f t="shared" si="15"/>
        <v>0</v>
      </c>
    </row>
    <row r="970" spans="6:6" ht="15" customHeight="1" x14ac:dyDescent="0.2">
      <c r="F970" s="277">
        <f t="shared" si="15"/>
        <v>0</v>
      </c>
    </row>
    <row r="971" spans="6:6" ht="15" customHeight="1" x14ac:dyDescent="0.2">
      <c r="F971" s="277">
        <f t="shared" si="15"/>
        <v>0</v>
      </c>
    </row>
    <row r="972" spans="6:6" ht="15" customHeight="1" x14ac:dyDescent="0.2">
      <c r="F972" s="277">
        <f t="shared" si="15"/>
        <v>0</v>
      </c>
    </row>
    <row r="973" spans="6:6" ht="15" customHeight="1" x14ac:dyDescent="0.2">
      <c r="F973" s="277">
        <f t="shared" si="15"/>
        <v>0</v>
      </c>
    </row>
    <row r="974" spans="6:6" ht="15" customHeight="1" x14ac:dyDescent="0.2">
      <c r="F974" s="277">
        <f t="shared" si="15"/>
        <v>0</v>
      </c>
    </row>
    <row r="975" spans="6:6" ht="15" customHeight="1" x14ac:dyDescent="0.2">
      <c r="F975" s="277">
        <f t="shared" si="15"/>
        <v>0</v>
      </c>
    </row>
    <row r="976" spans="6:6" ht="15" customHeight="1" x14ac:dyDescent="0.2">
      <c r="F976" s="277">
        <f t="shared" si="15"/>
        <v>0</v>
      </c>
    </row>
    <row r="977" spans="6:6" ht="15" customHeight="1" x14ac:dyDescent="0.2">
      <c r="F977" s="277">
        <f t="shared" si="15"/>
        <v>0</v>
      </c>
    </row>
    <row r="978" spans="6:6" ht="15" customHeight="1" x14ac:dyDescent="0.2">
      <c r="F978" s="277">
        <f t="shared" si="15"/>
        <v>0</v>
      </c>
    </row>
    <row r="979" spans="6:6" ht="15" customHeight="1" x14ac:dyDescent="0.2">
      <c r="F979" s="277">
        <f t="shared" si="15"/>
        <v>0</v>
      </c>
    </row>
    <row r="980" spans="6:6" ht="15" customHeight="1" x14ac:dyDescent="0.2">
      <c r="F980" s="277">
        <f t="shared" si="15"/>
        <v>0</v>
      </c>
    </row>
    <row r="981" spans="6:6" ht="15" customHeight="1" x14ac:dyDescent="0.2">
      <c r="F981" s="277">
        <f t="shared" si="15"/>
        <v>0</v>
      </c>
    </row>
    <row r="982" spans="6:6" ht="15" customHeight="1" x14ac:dyDescent="0.2">
      <c r="F982" s="277">
        <f t="shared" si="15"/>
        <v>0</v>
      </c>
    </row>
    <row r="983" spans="6:6" ht="15" customHeight="1" x14ac:dyDescent="0.2">
      <c r="F983" s="277">
        <f t="shared" si="15"/>
        <v>0</v>
      </c>
    </row>
    <row r="984" spans="6:6" ht="15" customHeight="1" x14ac:dyDescent="0.2">
      <c r="F984" s="277">
        <f t="shared" si="15"/>
        <v>0</v>
      </c>
    </row>
    <row r="985" spans="6:6" ht="15" customHeight="1" x14ac:dyDescent="0.2">
      <c r="F985" s="277">
        <f t="shared" si="15"/>
        <v>0</v>
      </c>
    </row>
    <row r="986" spans="6:6" ht="15" customHeight="1" x14ac:dyDescent="0.2">
      <c r="F986" s="277">
        <f t="shared" si="15"/>
        <v>0</v>
      </c>
    </row>
    <row r="987" spans="6:6" ht="15" customHeight="1" x14ac:dyDescent="0.2">
      <c r="F987" s="277">
        <f t="shared" si="15"/>
        <v>0</v>
      </c>
    </row>
    <row r="988" spans="6:6" ht="15" customHeight="1" x14ac:dyDescent="0.2">
      <c r="F988" s="277">
        <f t="shared" si="15"/>
        <v>0</v>
      </c>
    </row>
    <row r="989" spans="6:6" ht="15" customHeight="1" x14ac:dyDescent="0.2">
      <c r="F989" s="277">
        <f t="shared" si="15"/>
        <v>0</v>
      </c>
    </row>
    <row r="990" spans="6:6" ht="15" customHeight="1" x14ac:dyDescent="0.2">
      <c r="F990" s="277">
        <f t="shared" si="15"/>
        <v>0</v>
      </c>
    </row>
    <row r="991" spans="6:6" ht="15" customHeight="1" x14ac:dyDescent="0.2">
      <c r="F991" s="277">
        <f t="shared" si="15"/>
        <v>0</v>
      </c>
    </row>
    <row r="992" spans="6:6" ht="15" customHeight="1" x14ac:dyDescent="0.2">
      <c r="F992" s="277">
        <f t="shared" si="15"/>
        <v>0</v>
      </c>
    </row>
    <row r="993" spans="6:6" ht="15" customHeight="1" x14ac:dyDescent="0.2">
      <c r="F993" s="277">
        <f t="shared" si="15"/>
        <v>0</v>
      </c>
    </row>
    <row r="994" spans="6:6" ht="15" customHeight="1" x14ac:dyDescent="0.2">
      <c r="F994" s="277">
        <f t="shared" si="15"/>
        <v>0</v>
      </c>
    </row>
    <row r="995" spans="6:6" ht="15" customHeight="1" x14ac:dyDescent="0.2">
      <c r="F995" s="277">
        <f t="shared" si="15"/>
        <v>0</v>
      </c>
    </row>
    <row r="996" spans="6:6" ht="15" customHeight="1" x14ac:dyDescent="0.2">
      <c r="F996" s="277">
        <f t="shared" si="15"/>
        <v>0</v>
      </c>
    </row>
    <row r="997" spans="6:6" ht="15" customHeight="1" x14ac:dyDescent="0.2">
      <c r="F997" s="277">
        <f t="shared" si="15"/>
        <v>0</v>
      </c>
    </row>
    <row r="998" spans="6:6" ht="15" customHeight="1" x14ac:dyDescent="0.2">
      <c r="F998" s="277">
        <f t="shared" si="15"/>
        <v>0</v>
      </c>
    </row>
    <row r="999" spans="6:6" ht="15" customHeight="1" x14ac:dyDescent="0.2">
      <c r="F999" s="277">
        <f t="shared" si="15"/>
        <v>0</v>
      </c>
    </row>
    <row r="1000" spans="6:6" ht="15" customHeight="1" x14ac:dyDescent="0.2">
      <c r="F1000" s="277">
        <f t="shared" si="15"/>
        <v>0</v>
      </c>
    </row>
  </sheetData>
  <sheetProtection formatCells="0" formatColumns="0" formatRows="0" sort="0" autoFilter="0"/>
  <autoFilter ref="A1:F1000" xr:uid="{00000000-0009-0000-0000-000000000000}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5">
    <tabColor theme="7" tint="-0.249977111117893"/>
  </sheetPr>
  <dimension ref="A1:T145"/>
  <sheetViews>
    <sheetView showZeros="0" topLeftCell="D1" workbookViewId="0">
      <pane ySplit="1" topLeftCell="A76" activePane="bottomLeft" state="frozenSplit"/>
      <selection activeCell="K3" sqref="K3:N3"/>
      <selection pane="bottomLeft" activeCell="G84" sqref="G84"/>
    </sheetView>
  </sheetViews>
  <sheetFormatPr defaultColWidth="8" defaultRowHeight="15" x14ac:dyDescent="0.3"/>
  <cols>
    <col min="1" max="1" width="8" style="212" hidden="1" customWidth="1"/>
    <col min="2" max="3" width="3.7109375" style="207" hidden="1" customWidth="1"/>
    <col min="4" max="4" width="8.7109375" style="207" customWidth="1"/>
    <col min="5" max="5" width="5.7109375" style="250" customWidth="1"/>
    <col min="6" max="7" width="25.7109375" style="207" customWidth="1"/>
    <col min="8" max="8" width="8.7109375" style="250" bestFit="1" customWidth="1"/>
    <col min="9" max="9" width="8.42578125" style="207" hidden="1" customWidth="1"/>
    <col min="10" max="12" width="8" style="208" hidden="1" customWidth="1"/>
    <col min="13" max="20" width="8" style="207" hidden="1" customWidth="1"/>
    <col min="21" max="22" width="8" style="207" customWidth="1"/>
    <col min="23" max="16384" width="8" style="207"/>
  </cols>
  <sheetData>
    <row r="1" spans="1:20" ht="40.5" customHeight="1" x14ac:dyDescent="0.3">
      <c r="A1" s="202" t="s">
        <v>256</v>
      </c>
      <c r="B1" s="203">
        <v>19</v>
      </c>
      <c r="C1" s="203">
        <v>28</v>
      </c>
      <c r="D1" s="204"/>
      <c r="E1" s="170" t="str">
        <f>IFERROR(A2&amp;" "&amp;VLOOKUP(A1,timetables,2,FALSE)&amp;" "&amp;VLOOKUP(A1,timetables,3,FALSE)&amp;" A","")</f>
        <v xml:space="preserve"> 1200m U13 Girls A</v>
      </c>
      <c r="F1" s="205"/>
      <c r="G1" s="205"/>
      <c r="H1" s="251" t="s">
        <v>176</v>
      </c>
      <c r="J1" s="206">
        <f>SUM(J2:J110)</f>
        <v>0</v>
      </c>
      <c r="N1" s="209"/>
      <c r="O1" s="209"/>
    </row>
    <row r="2" spans="1:20" ht="15.75" x14ac:dyDescent="0.35">
      <c r="A2" s="210"/>
      <c r="B2" s="211">
        <f>IFERROR(IF(A3=0,E2,VLOOKUP(E2,Teams!$V$2:$Y$18,2,FALSE)),"")</f>
        <v>55</v>
      </c>
      <c r="D2" s="211">
        <v>1</v>
      </c>
      <c r="E2" s="249">
        <v>55</v>
      </c>
      <c r="F2" s="286" t="str">
        <f>IFERROR(VLOOKUP($A$1&amp;E2,downloads!$A$1:$E$1000,2,FALSE),"")</f>
        <v>Martha BOWN</v>
      </c>
      <c r="G2" s="212" t="str">
        <f t="shared" ref="G2:G17" si="0">IFERROR(VLOOKUP(E2,teamlookup,5,FALSE),"")</f>
        <v>Menai</v>
      </c>
      <c r="H2" s="414">
        <v>4.0049999999999999</v>
      </c>
      <c r="I2" s="412">
        <f>IFERROR(IF(LEFT(H2,1)="D",H2,(INT(H2)*60+(H2-INT(H2))*100)/86400),"X")</f>
        <v>2.7835648148148147E-3</v>
      </c>
      <c r="J2" s="208">
        <f>IFERROR(IF(H2=99,1,0),0)</f>
        <v>0</v>
      </c>
      <c r="K2" s="213">
        <v>1</v>
      </c>
      <c r="L2" s="208">
        <f>IFERROR(VLOOKUP(K2,B2:D17,3,FALSE),"")</f>
        <v>5</v>
      </c>
      <c r="M2" s="214" t="str">
        <f>IFERROR(IF(L2=0,0,IF(OR(VLOOKUP(K2*11,$K10:$L17,2,FALSE)=0,L2&lt;=VLOOKUP(K2*11,$K10:$L17,2,FALSE)),"A","B")),"")</f>
        <v>A</v>
      </c>
      <c r="N2" s="214">
        <f>IF(M2=0,0,IF(OR(R2="",M2="B"),"",RANK(R2,R2:R17,1)))</f>
        <v>4</v>
      </c>
      <c r="O2" s="214" t="str">
        <f>IF(M2=0,0,IF(OR(S2="",M2="A"),"",RANK(S2,S2:S17,1)))</f>
        <v/>
      </c>
      <c r="P2" s="215">
        <f t="shared" ref="P2:P17" si="1">K2</f>
        <v>1</v>
      </c>
      <c r="Q2" s="216"/>
      <c r="R2" s="217">
        <f>IFERROR(IF(OR(L2=0,M2="B"),"",L2),"")</f>
        <v>5</v>
      </c>
      <c r="S2" s="217" t="str">
        <f>IFERROR(IF(OR(L2=0,M2="A"),"",L2),"")</f>
        <v/>
      </c>
      <c r="T2" s="212"/>
    </row>
    <row r="3" spans="1:20" ht="15.75" x14ac:dyDescent="0.35">
      <c r="A3" s="218">
        <f>IFERROR(SEARCH("U17",E1),0)</f>
        <v>0</v>
      </c>
      <c r="B3" s="211">
        <f>IFERROR(IF(A3=0,E3,VLOOKUP(E3,Teams!$V$2:$Y$18,2,FALSE)),"")</f>
        <v>5</v>
      </c>
      <c r="D3" s="211">
        <v>2</v>
      </c>
      <c r="E3" s="249">
        <v>5</v>
      </c>
      <c r="F3" s="286" t="str">
        <f>IFERROR(VLOOKUP($A1&amp;E3,downloads!$A$1:$E$1000,2,FALSE),"")</f>
        <v>Tamsin SEGUIN</v>
      </c>
      <c r="G3" s="212" t="str">
        <f t="shared" si="0"/>
        <v>Menai</v>
      </c>
      <c r="H3" s="222">
        <v>4.0060000000000002</v>
      </c>
      <c r="I3" s="412">
        <f t="shared" ref="I3:I17" si="2">IFERROR(IF(LEFT(H3,1)="D",H3,(INT(H3)*60+(H3-INT(H3))*100)/86400),"X")</f>
        <v>2.7847222222222223E-3</v>
      </c>
      <c r="K3" s="213">
        <v>2</v>
      </c>
      <c r="L3" s="208">
        <f>IFERROR(VLOOKUP(K3,B2:D17,3,FALSE),"")</f>
        <v>3</v>
      </c>
      <c r="M3" s="214" t="str">
        <f>IFERROR(IF(L3=0,0,IF(OR(VLOOKUP(K3*11,$K10:$L17,2,FALSE)=0,L3&lt;=VLOOKUP(K3*11,$K10:$L17,2,FALSE)),"A","B")),"")</f>
        <v>A</v>
      </c>
      <c r="N3" s="214">
        <f>IF(M3=0,0,IF(OR(R3="",M3="B"),"",RANK(R3,R2:R17,1)))</f>
        <v>2</v>
      </c>
      <c r="O3" s="214" t="str">
        <f>IF(M3=0,0,IF(OR(S3="",M3="A"),"",RANK(S3,S2:S17,1)))</f>
        <v/>
      </c>
      <c r="P3" s="215">
        <f t="shared" si="1"/>
        <v>2</v>
      </c>
      <c r="Q3" s="216"/>
      <c r="R3" s="217">
        <f t="shared" ref="R3:R17" si="3">IFERROR(IF(OR(L3=0,M3="B"),"",L3),"")</f>
        <v>3</v>
      </c>
      <c r="S3" s="217" t="str">
        <f t="shared" ref="S3:S17" si="4">IFERROR(IF(OR(L3=0,M3="A"),"",L3),"")</f>
        <v/>
      </c>
    </row>
    <row r="4" spans="1:20" ht="15.75" x14ac:dyDescent="0.35">
      <c r="B4" s="211">
        <f>IFERROR(IF(A3=0,E4,VLOOKUP(E4,Teams!$V$2:$Y$18,2,FALSE)),"")</f>
        <v>2</v>
      </c>
      <c r="D4" s="211">
        <v>3</v>
      </c>
      <c r="E4" s="249">
        <v>2</v>
      </c>
      <c r="F4" s="286" t="str">
        <f>IFERROR(VLOOKUP($A1&amp;E4,downloads!$A$1:$E$1000,2,FALSE),"")</f>
        <v>Demi BAXTER</v>
      </c>
      <c r="G4" s="212" t="str">
        <f t="shared" si="0"/>
        <v>ECHT</v>
      </c>
      <c r="H4" s="222">
        <v>4.0650000000000004</v>
      </c>
      <c r="I4" s="412">
        <f t="shared" si="2"/>
        <v>2.8530092592592596E-3</v>
      </c>
      <c r="K4" s="213">
        <v>3</v>
      </c>
      <c r="L4" s="208">
        <f>IFERROR(VLOOKUP(K4,B2:D17,3,FALSE),"")</f>
        <v>6</v>
      </c>
      <c r="M4" s="214" t="str">
        <f>IFERROR(IF(L4=0,0,IF(OR(VLOOKUP(K4*11,$K10:$L17,2,FALSE)=0,L4&lt;=VLOOKUP(K4*11,$K10:$L17,2,FALSE)),"A","B")),"")</f>
        <v>A</v>
      </c>
      <c r="N4" s="214">
        <f>IF(M4=0,0,IF(OR(R4="",M4="B"),"",RANK(R4,R2:R17,1)))</f>
        <v>5</v>
      </c>
      <c r="O4" s="214" t="str">
        <f>IF(M4=0,0,IF(OR(S4="",M4="A"),"",RANK(S4,S2:S17,1)))</f>
        <v/>
      </c>
      <c r="P4" s="215">
        <f t="shared" si="1"/>
        <v>3</v>
      </c>
      <c r="Q4" s="216"/>
      <c r="R4" s="217">
        <f t="shared" si="3"/>
        <v>6</v>
      </c>
      <c r="S4" s="217" t="str">
        <f t="shared" si="4"/>
        <v/>
      </c>
    </row>
    <row r="5" spans="1:20" ht="15.75" x14ac:dyDescent="0.35">
      <c r="A5" s="219">
        <f>IFERROR(VLOOKUP(A1,Timetables!$A:$E,5,FALSE)-1,"")</f>
        <v>-1</v>
      </c>
      <c r="B5" s="211">
        <f>IFERROR(IF(A3=0,E5,VLOOKUP(E5,Teams!$V$2:$Y$18,2,FALSE)),"")</f>
        <v>7</v>
      </c>
      <c r="D5" s="211">
        <v>4</v>
      </c>
      <c r="E5" s="249">
        <v>7</v>
      </c>
      <c r="F5" s="286" t="str">
        <f>IFERROR(VLOOKUP($A1&amp;E5,downloads!$A$1:$E$1000,2,FALSE),"")</f>
        <v>Maisie CADMAN</v>
      </c>
      <c r="G5" s="212" t="str">
        <f t="shared" si="0"/>
        <v>Wigan</v>
      </c>
      <c r="H5" s="222">
        <v>4.1120000000000001</v>
      </c>
      <c r="I5" s="412">
        <f t="shared" si="2"/>
        <v>2.9074074074074076E-3</v>
      </c>
      <c r="K5" s="213">
        <v>4</v>
      </c>
      <c r="L5" s="208">
        <f>IFERROR(VLOOKUP(K5,B2:D17,3,FALSE),"")</f>
        <v>9</v>
      </c>
      <c r="M5" s="214" t="str">
        <f>IFERROR(IF(L5=0,0,IF(OR(VLOOKUP(K5*11,$K10:$L17,2,FALSE)=0,L5&lt;=VLOOKUP(K5*11,$K10:$L17,2,FALSE)),"A","B")),"")</f>
        <v>A</v>
      </c>
      <c r="N5" s="214">
        <f>IF(M5=0,0,IF(OR(R5="",M5="B"),"",RANK(R5,R2:R17,1)))</f>
        <v>6</v>
      </c>
      <c r="O5" s="214" t="str">
        <f>IF(M5=0,0,IF(OR(S5="",M5="A"),"",RANK(S5,S2:S17,1)))</f>
        <v/>
      </c>
      <c r="P5" s="215">
        <f t="shared" si="1"/>
        <v>4</v>
      </c>
      <c r="Q5" s="216"/>
      <c r="R5" s="217">
        <f t="shared" si="3"/>
        <v>9</v>
      </c>
      <c r="S5" s="217" t="str">
        <f t="shared" si="4"/>
        <v/>
      </c>
    </row>
    <row r="6" spans="1:20" ht="15.75" x14ac:dyDescent="0.35">
      <c r="A6" s="220"/>
      <c r="B6" s="211">
        <f>IFERROR(IF(A3=0,E6,VLOOKUP(E6,Teams!$V$2:$Y$18,2,FALSE)),"")</f>
        <v>1</v>
      </c>
      <c r="D6" s="211">
        <v>5</v>
      </c>
      <c r="E6" s="249">
        <v>1</v>
      </c>
      <c r="F6" s="286" t="str">
        <f>IFERROR(VLOOKUP($A1&amp;E6,downloads!$A$1:$E$1000,2,FALSE),"")</f>
        <v>Bethany HALL</v>
      </c>
      <c r="G6" s="212" t="str">
        <f t="shared" si="0"/>
        <v>C&amp;N</v>
      </c>
      <c r="H6" s="222">
        <v>4.1150000000000002</v>
      </c>
      <c r="I6" s="412">
        <f t="shared" si="2"/>
        <v>2.91087962962963E-3</v>
      </c>
      <c r="K6" s="213">
        <v>5</v>
      </c>
      <c r="L6" s="208">
        <f>IFERROR(VLOOKUP(K6,B2:D17,3,FALSE),"")</f>
        <v>2</v>
      </c>
      <c r="M6" s="214" t="str">
        <f>IFERROR(IF(L6=0,0,IF(OR(VLOOKUP(K6*11,$K10:$L17,2,FALSE)=0,L6&lt;=VLOOKUP(K6*11,$K10:$L17,2,FALSE)),"A","B")),"")</f>
        <v>B</v>
      </c>
      <c r="N6" s="214" t="str">
        <f>IF(M6=0,0,IF(OR(R6="",M6="B"),"",RANK(R6,R2:R17,1)))</f>
        <v/>
      </c>
      <c r="O6" s="214">
        <f>IF(M6=0,0,IF(OR(S6="",M6="A"),"",RANK(S6,S2:S17,1)))</f>
        <v>1</v>
      </c>
      <c r="P6" s="215">
        <f t="shared" si="1"/>
        <v>5</v>
      </c>
      <c r="Q6" s="216"/>
      <c r="R6" s="217" t="str">
        <f t="shared" si="3"/>
        <v/>
      </c>
      <c r="S6" s="217">
        <f t="shared" si="4"/>
        <v>2</v>
      </c>
    </row>
    <row r="7" spans="1:20" ht="15.75" x14ac:dyDescent="0.35">
      <c r="A7" s="220"/>
      <c r="B7" s="211">
        <f>IFERROR(IF(A3=0,E7,VLOOKUP(E7,Teams!$V$2:$Y$18,2,FALSE)),"")</f>
        <v>3</v>
      </c>
      <c r="D7" s="211">
        <v>6</v>
      </c>
      <c r="E7" s="249">
        <v>3</v>
      </c>
      <c r="F7" s="286" t="str">
        <f>IFERROR(VLOOKUP($A1&amp;E7,downloads!$A$1:$E$1000,2,FALSE),"")</f>
        <v>Bee METCALFE</v>
      </c>
      <c r="G7" s="212" t="str">
        <f t="shared" si="0"/>
        <v>Leigh</v>
      </c>
      <c r="H7" s="222">
        <v>4.1390000000000002</v>
      </c>
      <c r="I7" s="412">
        <f t="shared" si="2"/>
        <v>2.9386574074074076E-3</v>
      </c>
      <c r="K7" s="213">
        <v>6</v>
      </c>
      <c r="L7" s="208">
        <f>IFERROR(VLOOKUP(K7,B2:D17,3,FALSE),"")</f>
        <v>10</v>
      </c>
      <c r="M7" s="214" t="str">
        <f>IFERROR(IF(L7=0,0,IF(OR(VLOOKUP(K7*11,$K10:$L17,2,FALSE)=0,L7&lt;=VLOOKUP(K7*11,$K10:$L17,2,FALSE)),"A","B")),"")</f>
        <v>A</v>
      </c>
      <c r="N7" s="214">
        <f>IF(M7=0,0,IF(OR(R7="",M7="B"),"",RANK(R7,R2:R17,1)))</f>
        <v>7</v>
      </c>
      <c r="O7" s="214" t="str">
        <f>IF(M7=0,0,IF(OR(S7="",M7="A"),"",RANK(S7,S2:S17,1)))</f>
        <v/>
      </c>
      <c r="P7" s="215">
        <f t="shared" si="1"/>
        <v>6</v>
      </c>
      <c r="Q7" s="216"/>
      <c r="R7" s="217">
        <f t="shared" si="3"/>
        <v>10</v>
      </c>
      <c r="S7" s="217" t="str">
        <f t="shared" si="4"/>
        <v/>
      </c>
    </row>
    <row r="8" spans="1:20" ht="15.75" x14ac:dyDescent="0.35">
      <c r="A8" s="220"/>
      <c r="B8" s="211">
        <f>IFERROR(IF(A3=0,E8,VLOOKUP(E8,Teams!$V$2:$Y$18,2,FALSE)),"")</f>
        <v>11</v>
      </c>
      <c r="D8" s="211">
        <v>7</v>
      </c>
      <c r="E8" s="249">
        <v>11</v>
      </c>
      <c r="F8" s="286" t="str">
        <f>IFERROR(VLOOKUP($A1&amp;E8,downloads!$A$1:$E$1000,2,FALSE),"")</f>
        <v>Sofiya HARE</v>
      </c>
      <c r="G8" s="212" t="str">
        <f t="shared" si="0"/>
        <v>C&amp;N</v>
      </c>
      <c r="H8" s="222">
        <v>4.2009999999999996</v>
      </c>
      <c r="I8" s="412">
        <f t="shared" si="2"/>
        <v>3.0104166666666664E-3</v>
      </c>
      <c r="K8" s="213">
        <v>7</v>
      </c>
      <c r="L8" s="208">
        <f>IFERROR(VLOOKUP(K8,B2:D17,3,FALSE),"")</f>
        <v>4</v>
      </c>
      <c r="M8" s="214" t="str">
        <f>IFERROR(IF(L8=0,0,IF(OR(VLOOKUP(K8*11,$K10:$L17,2,FALSE)=0,L8&lt;=VLOOKUP(K8*11,$K10:$L17,2,FALSE)),"A","B")),"")</f>
        <v>A</v>
      </c>
      <c r="N8" s="214">
        <f>IF(M8=0,0,IF(OR(R8="",M8="B"),"",RANK(R8,R2:R17,1)))</f>
        <v>3</v>
      </c>
      <c r="O8" s="214" t="str">
        <f>IF(M8=0,0,IF(OR(S8="",M8="A"),"",RANK(S8,S2:S17,1)))</f>
        <v/>
      </c>
      <c r="P8" s="215">
        <f t="shared" si="1"/>
        <v>7</v>
      </c>
      <c r="Q8" s="216"/>
      <c r="R8" s="217">
        <f t="shared" si="3"/>
        <v>4</v>
      </c>
      <c r="S8" s="217" t="str">
        <f t="shared" si="4"/>
        <v/>
      </c>
    </row>
    <row r="9" spans="1:20" ht="15.75" x14ac:dyDescent="0.35">
      <c r="A9" s="203"/>
      <c r="B9" s="211">
        <f>IFERROR(IF(A3=0,E9,VLOOKUP(E9,Teams!$V$2:$Y$18,2,FALSE)),"")</f>
        <v>33</v>
      </c>
      <c r="D9" s="211">
        <v>8</v>
      </c>
      <c r="E9" s="249">
        <v>33</v>
      </c>
      <c r="F9" s="286" t="str">
        <f>IFERROR(VLOOKUP($A1&amp;E9,downloads!$A$1:$E$1000,2,FALSE),"")</f>
        <v>Rae VAUGHAN</v>
      </c>
      <c r="G9" s="212" t="str">
        <f t="shared" si="0"/>
        <v>Leigh</v>
      </c>
      <c r="H9" s="222">
        <v>4.2450000000000001</v>
      </c>
      <c r="I9" s="412">
        <f t="shared" si="2"/>
        <v>3.0613425925925925E-3</v>
      </c>
      <c r="K9" s="213">
        <v>8</v>
      </c>
      <c r="L9" s="208" t="str">
        <f>IFERROR(VLOOKUP(K9,B2:D17,3,FALSE),"")</f>
        <v/>
      </c>
      <c r="M9" s="214" t="str">
        <f>IFERROR(IF(L9=0,0,IF(OR(VLOOKUP(K9*11,$K10:$L17,2,FALSE)=0,L9&lt;=VLOOKUP(K9*11,$K10:$L17,2,FALSE)),"A","B")),"")</f>
        <v>A</v>
      </c>
      <c r="N9" s="214" t="str">
        <f>IF(M9=0,0,IF(OR(R9="",M9="B"),"",RANK(R9,R2:R17,1)))</f>
        <v/>
      </c>
      <c r="O9" s="214" t="str">
        <f>IF(M9=0,0,IF(OR(S9="",M9="A"),"",RANK(S9,S2:S17,1)))</f>
        <v/>
      </c>
      <c r="P9" s="215">
        <f t="shared" si="1"/>
        <v>8</v>
      </c>
      <c r="Q9" s="216"/>
      <c r="R9" s="217" t="str">
        <f t="shared" si="3"/>
        <v/>
      </c>
      <c r="S9" s="217" t="str">
        <f t="shared" si="4"/>
        <v/>
      </c>
    </row>
    <row r="10" spans="1:20" ht="15.75" x14ac:dyDescent="0.35">
      <c r="A10" s="203"/>
      <c r="B10" s="211">
        <f>IFERROR(IF(A3=0,E10,VLOOKUP(E10,Teams!$V$2:$Y$18,2,FALSE)),"")</f>
        <v>4</v>
      </c>
      <c r="D10" s="211">
        <v>9</v>
      </c>
      <c r="E10" s="249">
        <v>4</v>
      </c>
      <c r="F10" s="286" t="str">
        <f>IFERROR(VLOOKUP($A1&amp;E10,downloads!$A$1:$E$1000,2,FALSE),"")</f>
        <v>Iona FISHER</v>
      </c>
      <c r="G10" s="212" t="str">
        <f t="shared" si="0"/>
        <v>Macc</v>
      </c>
      <c r="H10" s="222">
        <v>4.367</v>
      </c>
      <c r="I10" s="412">
        <f t="shared" si="2"/>
        <v>3.2025462962962962E-3</v>
      </c>
      <c r="K10" s="208">
        <f>K2*11</f>
        <v>11</v>
      </c>
      <c r="L10" s="208">
        <f>IFERROR(VLOOKUP(K10,B2:D17,3,FALSE),"")</f>
        <v>7</v>
      </c>
      <c r="M10" s="214" t="str">
        <f>IFERROR(IF(L10=0,0,IF(OR(VLOOKUP(K10/11,$K2:$L9,2,FALSE)=0,L10&lt;=VLOOKUP(K10/11,$K2:$L9,2,FALSE)),"A","B")),"")</f>
        <v>B</v>
      </c>
      <c r="N10" s="214" t="str">
        <f>IF(M10=0,0,IF(OR(R10="",M10="B"),"",RANK(R10,R2:R17,1)))</f>
        <v/>
      </c>
      <c r="O10" s="214">
        <f>IF(M10=0,0,IF(OR(S10="",M10="A"),"",RANK(S10,S2:S17,1)))</f>
        <v>2</v>
      </c>
      <c r="P10" s="215">
        <f t="shared" si="1"/>
        <v>11</v>
      </c>
      <c r="Q10" s="216"/>
      <c r="R10" s="217" t="str">
        <f t="shared" si="3"/>
        <v/>
      </c>
      <c r="S10" s="217">
        <f t="shared" si="4"/>
        <v>7</v>
      </c>
    </row>
    <row r="11" spans="1:20" ht="15.75" x14ac:dyDescent="0.35">
      <c r="B11" s="211">
        <f>IFERROR(IF(A3=0,E11,VLOOKUP(E11,Teams!$V$2:$Y$18,2,FALSE)),"")</f>
        <v>6</v>
      </c>
      <c r="D11" s="211">
        <v>10</v>
      </c>
      <c r="E11" s="249">
        <v>6</v>
      </c>
      <c r="F11" s="286" t="str">
        <f>IFERROR(VLOOKUP($A1&amp;E11,downloads!$A$1:$E$1000,2,FALSE),"")</f>
        <v>Emily FOX</v>
      </c>
      <c r="G11" s="212" t="str">
        <f t="shared" si="0"/>
        <v>Stock</v>
      </c>
      <c r="H11" s="222">
        <v>4.4180000000000001</v>
      </c>
      <c r="I11" s="412">
        <f t="shared" si="2"/>
        <v>3.2615740740740743E-3</v>
      </c>
      <c r="K11" s="208">
        <f t="shared" ref="K11:K17" si="5">K3*11</f>
        <v>22</v>
      </c>
      <c r="L11" s="208">
        <f>IFERROR(VLOOKUP(K11,B2:D17,3,FALSE),"")</f>
        <v>12</v>
      </c>
      <c r="M11" s="214" t="str">
        <f>IFERROR(IF(L11=0,0,IF(OR(VLOOKUP(K11/11,$K2:$L9,2,FALSE)=0,L11&lt;=VLOOKUP(K11/11,$K2:$L9,2,FALSE)),"A","B")),"")</f>
        <v>B</v>
      </c>
      <c r="N11" s="214" t="str">
        <f>IF(M11=0,0,IF(OR(R11="",M11="B"),"",RANK(R11,R2:R17,1)))</f>
        <v/>
      </c>
      <c r="O11" s="214">
        <f>IF(M11=0,0,IF(OR(S11="",M11="A"),"",RANK(S11,S2:S17,1)))</f>
        <v>5</v>
      </c>
      <c r="P11" s="215">
        <f t="shared" si="1"/>
        <v>22</v>
      </c>
      <c r="Q11" s="216"/>
      <c r="R11" s="217" t="str">
        <f t="shared" si="3"/>
        <v/>
      </c>
      <c r="S11" s="217">
        <f t="shared" si="4"/>
        <v>12</v>
      </c>
    </row>
    <row r="12" spans="1:20" ht="15.75" x14ac:dyDescent="0.35">
      <c r="B12" s="211">
        <f>IFERROR(IF(A3=0,E12,VLOOKUP(E12,Teams!$V$2:$Y$18,2,FALSE)),"")</f>
        <v>77</v>
      </c>
      <c r="D12" s="211">
        <v>11</v>
      </c>
      <c r="E12" s="249">
        <v>77</v>
      </c>
      <c r="F12" s="286" t="str">
        <f>IFERROR(VLOOKUP($A1&amp;E12,downloads!$A$1:$E$1000,2,FALSE),"")</f>
        <v>Layla HALL</v>
      </c>
      <c r="G12" s="212" t="str">
        <f t="shared" si="0"/>
        <v>Wigan</v>
      </c>
      <c r="H12" s="222">
        <v>4.4960000000000004</v>
      </c>
      <c r="I12" s="412">
        <f t="shared" si="2"/>
        <v>3.351851851851852E-3</v>
      </c>
      <c r="K12" s="208">
        <f t="shared" si="5"/>
        <v>33</v>
      </c>
      <c r="L12" s="208">
        <f>IFERROR(VLOOKUP(K12,B2:D17,3,FALSE),"")</f>
        <v>8</v>
      </c>
      <c r="M12" s="214" t="str">
        <f>IFERROR(IF(L12=0,0,IF(OR(VLOOKUP(K12/11,$K2:$L9,2,FALSE)=0,L12&lt;=VLOOKUP(K12/11,$K2:$L9,2,FALSE)),"A","B")),"")</f>
        <v>B</v>
      </c>
      <c r="N12" s="214" t="str">
        <f>IF(M12=0,0,IF(OR(R12="",M12="B"),"",RANK(R12,R2:R17,1)))</f>
        <v/>
      </c>
      <c r="O12" s="214">
        <f>IF(M12=0,0,IF(OR(S12="",M12="A"),"",RANK(S12,S2:S17,1)))</f>
        <v>3</v>
      </c>
      <c r="P12" s="215">
        <f t="shared" si="1"/>
        <v>33</v>
      </c>
      <c r="Q12" s="216"/>
      <c r="R12" s="217" t="str">
        <f t="shared" si="3"/>
        <v/>
      </c>
      <c r="S12" s="217">
        <f t="shared" si="4"/>
        <v>8</v>
      </c>
    </row>
    <row r="13" spans="1:20" ht="15.75" x14ac:dyDescent="0.35">
      <c r="A13" s="202"/>
      <c r="B13" s="211">
        <f>IFERROR(IF(A3=0,E13,VLOOKUP(E13,Teams!$V$2:$Y$18,2,FALSE)),"")</f>
        <v>22</v>
      </c>
      <c r="D13" s="211">
        <v>12</v>
      </c>
      <c r="E13" s="249">
        <v>22</v>
      </c>
      <c r="F13" s="286" t="str">
        <f>IFERROR(VLOOKUP($A1&amp;E13,downloads!$A$1:$E$1000,2,FALSE),"")</f>
        <v>Scarlett LYNE</v>
      </c>
      <c r="G13" s="212" t="str">
        <f t="shared" si="0"/>
        <v>ECHT</v>
      </c>
      <c r="H13" s="222">
        <v>4.5819999999999999</v>
      </c>
      <c r="I13" s="412">
        <f t="shared" si="2"/>
        <v>3.4513888888888888E-3</v>
      </c>
      <c r="K13" s="208">
        <f t="shared" si="5"/>
        <v>44</v>
      </c>
      <c r="L13" s="208">
        <f>IFERROR(VLOOKUP(K13,B2:D17,3,FALSE),"")</f>
        <v>13</v>
      </c>
      <c r="M13" s="214" t="str">
        <f>IFERROR(IF(L13=0,0,IF(OR(VLOOKUP(K13/11,$K2:$L9,2,FALSE)=0,L13&lt;=VLOOKUP(K13/11,$K2:$L9,2,FALSE)),"A","B")),"")</f>
        <v>B</v>
      </c>
      <c r="N13" s="214" t="str">
        <f>IF(M13=0,0,IF(OR(R13="",M13="B"),"",RANK(R13,R2:R17,1)))</f>
        <v/>
      </c>
      <c r="O13" s="214">
        <f>IF(M13=0,0,IF(OR(S13="",M13="A"),"",RANK(S13,S2:S17,1)))</f>
        <v>6</v>
      </c>
      <c r="P13" s="215">
        <f t="shared" si="1"/>
        <v>44</v>
      </c>
      <c r="Q13" s="216"/>
      <c r="R13" s="217" t="str">
        <f t="shared" si="3"/>
        <v/>
      </c>
      <c r="S13" s="217">
        <f t="shared" si="4"/>
        <v>13</v>
      </c>
    </row>
    <row r="14" spans="1:20" ht="15.75" x14ac:dyDescent="0.35">
      <c r="A14" s="210"/>
      <c r="B14" s="211">
        <f>IFERROR(IF(A3=0,E14,VLOOKUP(E14,Teams!$V$2:$Y$18,2,FALSE)),"")</f>
        <v>44</v>
      </c>
      <c r="D14" s="211">
        <v>13</v>
      </c>
      <c r="E14" s="249">
        <v>44</v>
      </c>
      <c r="F14" s="286" t="str">
        <f>IFERROR(VLOOKUP($A1&amp;E14,downloads!$A$1:$E$1000,2,FALSE),"")</f>
        <v>Holly WALKER</v>
      </c>
      <c r="G14" s="212" t="str">
        <f t="shared" si="0"/>
        <v>Macc</v>
      </c>
      <c r="H14" s="222">
        <v>5.117</v>
      </c>
      <c r="I14" s="412">
        <f t="shared" si="2"/>
        <v>3.607638888888889E-3</v>
      </c>
      <c r="K14" s="208">
        <f t="shared" si="5"/>
        <v>55</v>
      </c>
      <c r="L14" s="208">
        <f>IFERROR(VLOOKUP(K14,B2:D17,3,FALSE),"")</f>
        <v>1</v>
      </c>
      <c r="M14" s="214" t="str">
        <f>IFERROR(IF(L14=0,0,IF(OR(VLOOKUP(K14/11,$K2:$L9,2,FALSE)=0,L14&lt;=VLOOKUP(K14/11,$K2:$L9,2,FALSE)),"A","B")),"")</f>
        <v>A</v>
      </c>
      <c r="N14" s="214">
        <f>IF(M14=0,0,IF(OR(R14="",M14="B"),"",RANK(R14,R2:R17,1)))</f>
        <v>1</v>
      </c>
      <c r="O14" s="214" t="str">
        <f>IF(M14=0,0,IF(OR(S14="",M14="A"),"",RANK(S14,S2:S17,1)))</f>
        <v/>
      </c>
      <c r="P14" s="215">
        <f t="shared" si="1"/>
        <v>55</v>
      </c>
      <c r="Q14" s="216"/>
      <c r="R14" s="217">
        <f t="shared" si="3"/>
        <v>1</v>
      </c>
      <c r="S14" s="217" t="str">
        <f t="shared" si="4"/>
        <v/>
      </c>
    </row>
    <row r="15" spans="1:20" ht="15.75" x14ac:dyDescent="0.35">
      <c r="A15" s="203"/>
      <c r="B15" s="211">
        <f>IFERROR(IF(A3=0,E15,VLOOKUP(E15,Teams!$V$2:$Y$18,2,FALSE)),"")</f>
        <v>0</v>
      </c>
      <c r="D15" s="211">
        <v>14</v>
      </c>
      <c r="E15" s="249"/>
      <c r="F15" s="286" t="str">
        <f>IFERROR(VLOOKUP($A1&amp;E15,downloads!$A$1:$E$1000,2,FALSE),"")</f>
        <v/>
      </c>
      <c r="G15" s="212" t="str">
        <f t="shared" si="0"/>
        <v/>
      </c>
      <c r="H15" s="222"/>
      <c r="I15" s="412">
        <f t="shared" si="2"/>
        <v>0</v>
      </c>
      <c r="K15" s="208">
        <f t="shared" si="5"/>
        <v>66</v>
      </c>
      <c r="L15" s="208" t="str">
        <f>IFERROR(VLOOKUP(K15,B2:D17,3,FALSE),"")</f>
        <v/>
      </c>
      <c r="M15" s="214" t="str">
        <f>IFERROR(IF(L15=0,0,IF(OR(VLOOKUP(K15/11,$K2:$L9,2,FALSE)=0,L15&lt;=VLOOKUP(K15/11,$K2:$L9,2,FALSE)),"A","B")),"")</f>
        <v>B</v>
      </c>
      <c r="N15" s="214" t="str">
        <f>IF(M15=0,0,IF(OR(R15="",M15="B"),"",RANK(R15,R2:R17,1)))</f>
        <v/>
      </c>
      <c r="O15" s="214" t="str">
        <f>IF(M15=0,0,IF(OR(S15="",M15="A"),"",RANK(S15,S2:S17,1)))</f>
        <v/>
      </c>
      <c r="P15" s="215">
        <f t="shared" si="1"/>
        <v>66</v>
      </c>
      <c r="Q15" s="216"/>
      <c r="R15" s="217" t="str">
        <f t="shared" si="3"/>
        <v/>
      </c>
      <c r="S15" s="217" t="str">
        <f t="shared" si="4"/>
        <v/>
      </c>
    </row>
    <row r="16" spans="1:20" ht="15.75" x14ac:dyDescent="0.35">
      <c r="B16" s="211">
        <f>IFERROR(IF(A3=0,E16,VLOOKUP(E16,Teams!$V$2:$Y$18,2,FALSE)),"")</f>
        <v>0</v>
      </c>
      <c r="D16" s="211">
        <v>15</v>
      </c>
      <c r="E16" s="249"/>
      <c r="F16" s="286" t="str">
        <f>IFERROR(VLOOKUP($A1&amp;E16,downloads!$A$1:$E$1000,2,FALSE),"")</f>
        <v/>
      </c>
      <c r="G16" s="212" t="str">
        <f t="shared" si="0"/>
        <v/>
      </c>
      <c r="H16" s="222"/>
      <c r="I16" s="412">
        <f t="shared" si="2"/>
        <v>0</v>
      </c>
      <c r="K16" s="208">
        <f t="shared" si="5"/>
        <v>77</v>
      </c>
      <c r="L16" s="208">
        <f>IFERROR(VLOOKUP(K16,B2:D17,3,FALSE),"")</f>
        <v>11</v>
      </c>
      <c r="M16" s="214" t="str">
        <f>IFERROR(IF(L16=0,0,IF(OR(VLOOKUP(K16/11,$K2:$L9,2,FALSE)=0,L16&lt;=VLOOKUP(K16/11,$K2:$L9,2,FALSE)),"A","B")),"")</f>
        <v>B</v>
      </c>
      <c r="N16" s="214" t="str">
        <f>IF(M16=0,0,IF(OR(R16="",M16="B"),"",RANK(R16,R2:R17,1)))</f>
        <v/>
      </c>
      <c r="O16" s="214">
        <f>IF(M16=0,0,IF(OR(S16="",M16="A"),"",RANK(S16,S2:S17,1)))</f>
        <v>4</v>
      </c>
      <c r="P16" s="215">
        <f t="shared" si="1"/>
        <v>77</v>
      </c>
      <c r="Q16" s="216"/>
      <c r="R16" s="217" t="str">
        <f t="shared" si="3"/>
        <v/>
      </c>
      <c r="S16" s="217">
        <f t="shared" si="4"/>
        <v>11</v>
      </c>
    </row>
    <row r="17" spans="1:19" ht="15.75" x14ac:dyDescent="0.35">
      <c r="A17" s="220"/>
      <c r="B17" s="211">
        <f>IFERROR(IF(A3=0,E17,VLOOKUP(E17,Teams!$V$2:$Y$18,2,FALSE)),"")</f>
        <v>0</v>
      </c>
      <c r="D17" s="211">
        <v>16</v>
      </c>
      <c r="E17" s="249"/>
      <c r="F17" s="286" t="str">
        <f>IFERROR(VLOOKUP($A1&amp;E17,downloads!$A$1:$E$1000,2,FALSE),"")</f>
        <v/>
      </c>
      <c r="G17" s="212" t="str">
        <f t="shared" si="0"/>
        <v/>
      </c>
      <c r="H17" s="222"/>
      <c r="I17" s="412">
        <f t="shared" si="2"/>
        <v>0</v>
      </c>
      <c r="K17" s="208">
        <f t="shared" si="5"/>
        <v>88</v>
      </c>
      <c r="L17" s="208" t="str">
        <f>IFERROR(VLOOKUP(K17,B2:D17,3,FALSE),"")</f>
        <v/>
      </c>
      <c r="M17" s="214" t="str">
        <f>IFERROR(IF(L17=0,0,IF(OR(VLOOKUP(K17/11,$K2:$L9,2,FALSE)=0,L17&lt;=VLOOKUP(K17/11,$K2:$L9,2,FALSE)),"A","B")),"")</f>
        <v>A</v>
      </c>
      <c r="N17" s="214" t="str">
        <f>IF(M17=0,0,IF(OR(R17="",M17="B"),"",RANK(R17,R2:R17,1)))</f>
        <v/>
      </c>
      <c r="O17" s="214" t="str">
        <f>IF(M17=0,0,IF(OR(S17="",M17="A"),"",RANK(S17,S2:S17,1)))</f>
        <v/>
      </c>
      <c r="P17" s="215">
        <f t="shared" si="1"/>
        <v>88</v>
      </c>
      <c r="Q17" s="216"/>
      <c r="R17" s="217" t="str">
        <f t="shared" si="3"/>
        <v/>
      </c>
      <c r="S17" s="217" t="str">
        <f t="shared" si="4"/>
        <v/>
      </c>
    </row>
    <row r="18" spans="1:19" hidden="1" x14ac:dyDescent="0.3">
      <c r="A18" s="220"/>
      <c r="I18" s="413">
        <f t="shared" ref="I18:I54" si="6">IFERROR(IF(LEFT(H18,1)="D",H18,(INT(H18)*60+(H18-INT(H18))*100)/86400),"X")</f>
        <v>0</v>
      </c>
    </row>
    <row r="19" spans="1:19" hidden="1" x14ac:dyDescent="0.3">
      <c r="A19" s="220"/>
      <c r="B19" s="211"/>
      <c r="C19" s="208" t="s">
        <v>53</v>
      </c>
      <c r="D19" s="208">
        <v>1</v>
      </c>
      <c r="E19" s="250">
        <f>IFERROR(IF(E2&gt;88,E2,IF(A3=0,VLOOKUP(D19,N2:Q17,3,FALSE),VLOOKUP(D19,N2:Q17,4,FALSE))),0)</f>
        <v>55</v>
      </c>
      <c r="F19" s="212" t="str">
        <f>IFERROR(VLOOKUP(E19,E2:F17,2,FALSE),"")</f>
        <v>Martha BOWN</v>
      </c>
      <c r="G19" s="212" t="str">
        <f>IFERROR(VLOOKUP(E19,teamlookup,5,FALSE),"")</f>
        <v>Menai</v>
      </c>
      <c r="H19" s="229">
        <f>IFERROR(VLOOKUP(E19,E2:I17,5,FALSE),"")</f>
        <v>2.7835648148148147E-3</v>
      </c>
      <c r="I19" s="412"/>
      <c r="K19" s="221"/>
    </row>
    <row r="20" spans="1:19" hidden="1" x14ac:dyDescent="0.3">
      <c r="A20" s="220"/>
      <c r="B20" s="211"/>
      <c r="D20" s="208">
        <v>2</v>
      </c>
      <c r="E20" s="250">
        <f>IFERROR(IF(A3=0,VLOOKUP(D20,N2:Q17,3,FALSE),VLOOKUP(D20,N2:Q17,4,FALSE)),"")</f>
        <v>2</v>
      </c>
      <c r="F20" s="212" t="str">
        <f>IFERROR(VLOOKUP(E20,E2:F17,2,FALSE),"")</f>
        <v>Demi BAXTER</v>
      </c>
      <c r="G20" s="212" t="str">
        <f t="shared" ref="G20:G26" si="7">IFERROR(VLOOKUP(E20,teamlookup,5,FALSE),"")</f>
        <v>ECHT</v>
      </c>
      <c r="H20" s="229">
        <f>IFERROR(VLOOKUP(E20,E2:I17,5,FALSE),"")</f>
        <v>2.8530092592592596E-3</v>
      </c>
      <c r="I20" s="412"/>
    </row>
    <row r="21" spans="1:19" hidden="1" x14ac:dyDescent="0.3">
      <c r="A21" s="203"/>
      <c r="B21" s="211"/>
      <c r="D21" s="208">
        <v>3</v>
      </c>
      <c r="E21" s="250">
        <f>IFERROR(IF(A3=0,VLOOKUP(D21,N2:Q17,3,FALSE),VLOOKUP(D21,N2:Q17,4,FALSE)),"")</f>
        <v>7</v>
      </c>
      <c r="F21" s="212" t="str">
        <f>IFERROR(VLOOKUP(E21,E2:F17,2,FALSE),"")</f>
        <v>Maisie CADMAN</v>
      </c>
      <c r="G21" s="212" t="str">
        <f t="shared" si="7"/>
        <v>Wigan</v>
      </c>
      <c r="H21" s="229">
        <f>IFERROR(VLOOKUP(E21,E2:I17,5,FALSE),"")</f>
        <v>2.9074074074074076E-3</v>
      </c>
      <c r="I21" s="412"/>
    </row>
    <row r="22" spans="1:19" hidden="1" x14ac:dyDescent="0.3">
      <c r="A22" s="203"/>
      <c r="B22" s="211"/>
      <c r="D22" s="208">
        <v>4</v>
      </c>
      <c r="E22" s="250">
        <f>IFERROR(IF(A3=0,VLOOKUP(D22,N2:Q17,3,FALSE),VLOOKUP(D22,N2:Q17,4,FALSE)),"")</f>
        <v>1</v>
      </c>
      <c r="F22" s="212" t="str">
        <f>IFERROR(VLOOKUP(E22,E2:F17,2,FALSE),"")</f>
        <v>Bethany HALL</v>
      </c>
      <c r="G22" s="212" t="str">
        <f t="shared" si="7"/>
        <v>C&amp;N</v>
      </c>
      <c r="H22" s="229">
        <f>IFERROR(VLOOKUP(E22,E2:I17,5,FALSE),"")</f>
        <v>2.91087962962963E-3</v>
      </c>
      <c r="I22" s="412"/>
    </row>
    <row r="23" spans="1:19" hidden="1" x14ac:dyDescent="0.3">
      <c r="B23" s="211"/>
      <c r="D23" s="208">
        <v>5</v>
      </c>
      <c r="E23" s="250">
        <f>IFERROR(IF(A3=0,VLOOKUP(D23,N2:Q17,3,FALSE),VLOOKUP(D23,N2:Q17,4,FALSE)),"")</f>
        <v>3</v>
      </c>
      <c r="F23" s="212" t="str">
        <f>IFERROR(VLOOKUP(E23,E2:F17,2,FALSE),"")</f>
        <v>Bee METCALFE</v>
      </c>
      <c r="G23" s="212" t="str">
        <f t="shared" si="7"/>
        <v>Leigh</v>
      </c>
      <c r="H23" s="229">
        <f>IFERROR(VLOOKUP(E23,E2:I17,5,FALSE),"")</f>
        <v>2.9386574074074076E-3</v>
      </c>
      <c r="I23" s="412"/>
    </row>
    <row r="24" spans="1:19" hidden="1" x14ac:dyDescent="0.3">
      <c r="A24" s="202"/>
      <c r="B24" s="211"/>
      <c r="D24" s="208">
        <v>6</v>
      </c>
      <c r="E24" s="250">
        <f>IFERROR(IF(A3=0,VLOOKUP(D24,N2:Q17,3,FALSE),VLOOKUP(D24,N2:Q17,4,FALSE)),"")</f>
        <v>4</v>
      </c>
      <c r="F24" s="212" t="str">
        <f>IFERROR(VLOOKUP(E24,E2:F17,2,FALSE),"")</f>
        <v>Iona FISHER</v>
      </c>
      <c r="G24" s="212" t="str">
        <f t="shared" si="7"/>
        <v>Macc</v>
      </c>
      <c r="H24" s="229">
        <f>IFERROR(VLOOKUP(E24,E2:I17,5,FALSE),"")</f>
        <v>3.2025462962962962E-3</v>
      </c>
      <c r="I24" s="412"/>
    </row>
    <row r="25" spans="1:19" hidden="1" x14ac:dyDescent="0.3">
      <c r="A25" s="210"/>
      <c r="B25" s="211"/>
      <c r="D25" s="208">
        <v>7</v>
      </c>
      <c r="E25" s="250">
        <f>IFERROR(IF(A3=0,VLOOKUP(D25,N2:Q17,3,FALSE),VLOOKUP(D25,N2:Q17,4,FALSE)),"")</f>
        <v>6</v>
      </c>
      <c r="F25" s="212" t="str">
        <f>IFERROR(VLOOKUP(E25,E2:F17,2,FALSE),"")</f>
        <v>Emily FOX</v>
      </c>
      <c r="G25" s="212" t="str">
        <f t="shared" si="7"/>
        <v>Stock</v>
      </c>
      <c r="H25" s="229">
        <f>IFERROR(VLOOKUP(E25,E2:I17,5,FALSE),"")</f>
        <v>3.2615740740740743E-3</v>
      </c>
      <c r="I25" s="412"/>
    </row>
    <row r="26" spans="1:19" hidden="1" x14ac:dyDescent="0.3">
      <c r="A26" s="203"/>
      <c r="B26" s="211"/>
      <c r="D26" s="208">
        <v>8</v>
      </c>
      <c r="E26" s="250" t="str">
        <f>IFERROR(IF(A3=0,VLOOKUP(D26,N2:Q17,3,FALSE),VLOOKUP(D26,N2:Q17,4,FALSE)),"")</f>
        <v/>
      </c>
      <c r="F26" s="212" t="str">
        <f>IFERROR(VLOOKUP(E26,E2:F17,2,FALSE),"")</f>
        <v/>
      </c>
      <c r="G26" s="212" t="str">
        <f t="shared" si="7"/>
        <v/>
      </c>
      <c r="H26" s="229" t="str">
        <f>IFERROR(VLOOKUP(E26,E2:I17,5,FALSE),"")</f>
        <v/>
      </c>
      <c r="I26" s="412"/>
    </row>
    <row r="27" spans="1:19" hidden="1" x14ac:dyDescent="0.3">
      <c r="F27" s="212"/>
      <c r="H27" s="230"/>
      <c r="I27" s="412">
        <f t="shared" ref="I27" si="8">IFERROR(IF(LEFT(H27,1)="D",H27,(INT(H27)*60+(H27-INT(H27))*100)/86400),"X")</f>
        <v>0</v>
      </c>
    </row>
    <row r="28" spans="1:19" hidden="1" x14ac:dyDescent="0.3">
      <c r="A28" s="220"/>
      <c r="B28" s="211"/>
      <c r="C28" s="208" t="s">
        <v>54</v>
      </c>
      <c r="D28" s="208">
        <v>1</v>
      </c>
      <c r="E28" s="250">
        <f>IFERROR(IF(A3=0,VLOOKUP(D28,O2:Q17,2,FALSE),VLOOKUP(D28,O2:Q17,3,FALSE)),"")</f>
        <v>5</v>
      </c>
      <c r="F28" s="212" t="str">
        <f>IFERROR(VLOOKUP(E28,E2:F17,2,FALSE),"")</f>
        <v>Tamsin SEGUIN</v>
      </c>
      <c r="G28" s="212" t="str">
        <f t="shared" ref="G28:G35" si="9">IFERROR(VLOOKUP(E28,teamlookup,5,FALSE),"")</f>
        <v>Menai</v>
      </c>
      <c r="H28" s="229">
        <f>IFERROR(VLOOKUP(E28,E2:I17,5,FALSE),"")</f>
        <v>2.7847222222222223E-3</v>
      </c>
      <c r="I28" s="412"/>
    </row>
    <row r="29" spans="1:19" hidden="1" x14ac:dyDescent="0.3">
      <c r="A29" s="220"/>
      <c r="B29" s="211"/>
      <c r="D29" s="208">
        <v>2</v>
      </c>
      <c r="E29" s="250">
        <f>IFERROR(IF(A3=0,VLOOKUP(D29,O2:Q17,2,FALSE),VLOOKUP(D29,O2:Q17,3,FALSE)),"")</f>
        <v>11</v>
      </c>
      <c r="F29" s="212" t="str">
        <f>IFERROR(VLOOKUP(E29,E2:F17,2,FALSE),"")</f>
        <v>Sofiya HARE</v>
      </c>
      <c r="G29" s="212" t="str">
        <f t="shared" si="9"/>
        <v>C&amp;N</v>
      </c>
      <c r="H29" s="229">
        <f>IFERROR(VLOOKUP(E29,E2:I17,5,FALSE),"")</f>
        <v>3.0104166666666664E-3</v>
      </c>
      <c r="I29" s="412"/>
    </row>
    <row r="30" spans="1:19" hidden="1" x14ac:dyDescent="0.3">
      <c r="A30" s="220"/>
      <c r="B30" s="211"/>
      <c r="D30" s="208">
        <v>3</v>
      </c>
      <c r="E30" s="250">
        <f>IFERROR(IF(A3=0,VLOOKUP(D30,O2:Q17,2,FALSE),VLOOKUP(D30,O2:Q17,3,FALSE)),"")</f>
        <v>33</v>
      </c>
      <c r="F30" s="212" t="str">
        <f>IFERROR(VLOOKUP(E30,E2:F17,2,FALSE),"")</f>
        <v>Rae VAUGHAN</v>
      </c>
      <c r="G30" s="212" t="str">
        <f t="shared" si="9"/>
        <v>Leigh</v>
      </c>
      <c r="H30" s="229">
        <f>IFERROR(VLOOKUP(E30,E2:I17,5,FALSE),"")</f>
        <v>3.0613425925925925E-3</v>
      </c>
      <c r="I30" s="412"/>
    </row>
    <row r="31" spans="1:19" hidden="1" x14ac:dyDescent="0.3">
      <c r="A31" s="220"/>
      <c r="B31" s="211"/>
      <c r="D31" s="208">
        <v>4</v>
      </c>
      <c r="E31" s="250">
        <f>IFERROR(IF(A3=0,VLOOKUP(D31,O2:Q17,2,FALSE),VLOOKUP(D31,O2:Q17,3,FALSE)),"")</f>
        <v>77</v>
      </c>
      <c r="F31" s="212" t="str">
        <f>IFERROR(VLOOKUP(E31,E2:F17,2,FALSE),"")</f>
        <v>Layla HALL</v>
      </c>
      <c r="G31" s="212" t="str">
        <f t="shared" si="9"/>
        <v>Wigan</v>
      </c>
      <c r="H31" s="229">
        <f>IFERROR(VLOOKUP(E31,E2:I17,5,FALSE),"")</f>
        <v>3.351851851851852E-3</v>
      </c>
      <c r="I31" s="412"/>
    </row>
    <row r="32" spans="1:19" hidden="1" x14ac:dyDescent="0.3">
      <c r="A32" s="203"/>
      <c r="B32" s="211"/>
      <c r="D32" s="208">
        <v>5</v>
      </c>
      <c r="E32" s="250">
        <f>IFERROR(IF(A3=0,VLOOKUP(D32,O2:Q17,2,FALSE),VLOOKUP(D32,O2:Q17,3,FALSE)),"")</f>
        <v>22</v>
      </c>
      <c r="F32" s="212" t="str">
        <f>IFERROR(VLOOKUP(E32,E2:F17,2,FALSE),"")</f>
        <v>Scarlett LYNE</v>
      </c>
      <c r="G32" s="212" t="str">
        <f t="shared" si="9"/>
        <v>ECHT</v>
      </c>
      <c r="H32" s="229">
        <f>IFERROR(VLOOKUP(E32,E2:I17,5,FALSE),"")</f>
        <v>3.4513888888888888E-3</v>
      </c>
      <c r="I32" s="412"/>
    </row>
    <row r="33" spans="1:20" hidden="1" x14ac:dyDescent="0.3">
      <c r="A33" s="203"/>
      <c r="B33" s="211"/>
      <c r="D33" s="208">
        <v>6</v>
      </c>
      <c r="E33" s="250">
        <f>IFERROR(IF(A3=0,VLOOKUP(D33,O2:Q17,2,FALSE),VLOOKUP(D33,O2:Q17,3,FALSE)),"")</f>
        <v>44</v>
      </c>
      <c r="F33" s="212" t="str">
        <f>IFERROR(VLOOKUP(E33,E2:F17,2,FALSE),"")</f>
        <v>Holly WALKER</v>
      </c>
      <c r="G33" s="212" t="str">
        <f t="shared" si="9"/>
        <v>Macc</v>
      </c>
      <c r="H33" s="229">
        <f>IFERROR(VLOOKUP(E33,E2:I17,5,FALSE),"")</f>
        <v>3.607638888888889E-3</v>
      </c>
      <c r="I33" s="412"/>
    </row>
    <row r="34" spans="1:20" hidden="1" x14ac:dyDescent="0.3">
      <c r="B34" s="211"/>
      <c r="D34" s="208">
        <v>7</v>
      </c>
      <c r="E34" s="250" t="str">
        <f>IFERROR(IF(A3=0,VLOOKUP(D34,O2:Q17,2,FALSE),VLOOKUP(D34,O2:Q17,3,FALSE)),"")</f>
        <v/>
      </c>
      <c r="F34" s="212" t="str">
        <f>IFERROR(VLOOKUP(E34,E2:F17,2,FALSE),"")</f>
        <v/>
      </c>
      <c r="G34" s="212" t="str">
        <f t="shared" si="9"/>
        <v/>
      </c>
      <c r="H34" s="229" t="str">
        <f>IFERROR(VLOOKUP(E34,E2:I17,5,FALSE),"")</f>
        <v/>
      </c>
      <c r="I34" s="412"/>
    </row>
    <row r="35" spans="1:20" hidden="1" x14ac:dyDescent="0.3">
      <c r="A35" s="202"/>
      <c r="B35" s="211"/>
      <c r="D35" s="208">
        <v>8</v>
      </c>
      <c r="E35" s="250" t="str">
        <f>IFERROR(IF(A3=0,VLOOKUP(D35,O2:Q17,2,FALSE),VLOOKUP(D35,O2:Q17,3,FALSE)),"")</f>
        <v/>
      </c>
      <c r="F35" s="212" t="str">
        <f>IFERROR(VLOOKUP(E35,E2:F17,2,FALSE),"")</f>
        <v/>
      </c>
      <c r="G35" s="212" t="str">
        <f t="shared" si="9"/>
        <v/>
      </c>
      <c r="H35" s="229" t="str">
        <f>IFERROR(VLOOKUP(E35,E2:I17,5,FALSE),"")</f>
        <v/>
      </c>
      <c r="I35" s="412"/>
    </row>
    <row r="36" spans="1:20" hidden="1" x14ac:dyDescent="0.3">
      <c r="A36" s="210"/>
      <c r="I36" s="413">
        <f t="shared" ref="I36:I37" si="10">IFERROR(IF(LEFT(H36,1)="D",H36,(INT(H36)*60+(H36-INT(H36))*100)/86400),"")</f>
        <v>0</v>
      </c>
    </row>
    <row r="37" spans="1:20" x14ac:dyDescent="0.3">
      <c r="A37" s="202" t="s">
        <v>257</v>
      </c>
      <c r="B37" s="203">
        <f>B1+36</f>
        <v>55</v>
      </c>
      <c r="C37" s="203">
        <f>C1+36</f>
        <v>64</v>
      </c>
      <c r="D37" s="204"/>
      <c r="E37" s="170" t="str">
        <f>IFERROR(A38&amp;" "&amp;VLOOKUP(A37,timetables,2,FALSE)&amp;" "&amp;VLOOKUP(A37,timetables,3,FALSE)&amp;" A","")</f>
        <v xml:space="preserve"> 1200m U13 Boys A</v>
      </c>
      <c r="F37" s="205"/>
      <c r="G37" s="205"/>
      <c r="H37" s="250" t="s">
        <v>176</v>
      </c>
      <c r="I37" s="413" t="str">
        <f t="shared" si="10"/>
        <v/>
      </c>
      <c r="N37" s="209"/>
      <c r="O37" s="209"/>
    </row>
    <row r="38" spans="1:20" ht="15.75" x14ac:dyDescent="0.35">
      <c r="A38" s="210"/>
      <c r="B38" s="211">
        <f>IFERROR(IF(A39=0,E38,VLOOKUP(E38,Teams!$V$2:$Y$18,2,FALSE)),"")</f>
        <v>2</v>
      </c>
      <c r="D38" s="211">
        <v>1</v>
      </c>
      <c r="E38" s="249">
        <v>2</v>
      </c>
      <c r="F38" s="286" t="str">
        <f>IFERROR(VLOOKUP($A$37&amp;E38,downloads!$A$1:$E$1000,2,FALSE),"")</f>
        <v>Oliver MANNION</v>
      </c>
      <c r="G38" s="212" t="str">
        <f>IFERROR(VLOOKUP(E38,teamlookup,5,FALSE),"")</f>
        <v>ECHT</v>
      </c>
      <c r="H38" s="414">
        <v>4.1870000000000003</v>
      </c>
      <c r="I38" s="412">
        <f>IFERROR(IF(LEFT(H38,1)="D",H38,(INT(H38)*60+(H38-INT(H38))*100)/86400),"X")</f>
        <v>2.9942129629629633E-3</v>
      </c>
      <c r="J38" s="208">
        <f>IFERROR(IF(H38=99,1,0),0)</f>
        <v>0</v>
      </c>
      <c r="K38" s="213">
        <v>1</v>
      </c>
      <c r="L38" s="208" t="str">
        <f>IFERROR(VLOOKUP(K38,B38:D53,3,FALSE),"")</f>
        <v/>
      </c>
      <c r="M38" s="214" t="str">
        <f>IFERROR(IF(L38=0,0,IF(OR(VLOOKUP(K38*11,$K46:$L53,2,FALSE)=0,L38&lt;=VLOOKUP(K38*11,$K46:$L53,2,FALSE)),"A","B")),"")</f>
        <v>A</v>
      </c>
      <c r="N38" s="214" t="str">
        <f>IF(M38=0,0,IF(OR(R38="",M38="B"),"",RANK(R38,R38:R53,1)))</f>
        <v/>
      </c>
      <c r="O38" s="214" t="str">
        <f>IF(M38=0,0,IF(OR(S38="",M38="A"),"",RANK(S38,S38:S53,1)))</f>
        <v/>
      </c>
      <c r="P38" s="215">
        <f t="shared" ref="P38:P53" si="11">K38</f>
        <v>1</v>
      </c>
      <c r="Q38" s="216"/>
      <c r="R38" s="217" t="str">
        <f>IFERROR(IF(OR(L38=0,M38="B"),"",L38),"")</f>
        <v/>
      </c>
      <c r="S38" s="217" t="str">
        <f>IFERROR(IF(OR(L38=0,M38="A"),"",L38),"")</f>
        <v/>
      </c>
      <c r="T38" s="212"/>
    </row>
    <row r="39" spans="1:20" ht="15.75" x14ac:dyDescent="0.35">
      <c r="A39" s="218">
        <f>IFERROR(SEARCH("U17",E37),0)</f>
        <v>0</v>
      </c>
      <c r="B39" s="211">
        <f>IFERROR(IF(A39=0,E39,VLOOKUP(E39,Teams!$V$2:$Y$18,2,FALSE)),"")</f>
        <v>5</v>
      </c>
      <c r="D39" s="211">
        <v>2</v>
      </c>
      <c r="E39" s="249">
        <v>5</v>
      </c>
      <c r="F39" s="286" t="str">
        <f>IFERROR(VLOOKUP($A37&amp;E39,downloads!$A$1:$E$1000,2,FALSE),"")</f>
        <v>Perry MARSLAND</v>
      </c>
      <c r="G39" s="212" t="str">
        <f t="shared" ref="G39:G53" si="12">IFERROR(VLOOKUP(E39,teamlookup,5,FALSE),"")</f>
        <v>Menai</v>
      </c>
      <c r="H39" s="222">
        <v>4.2160000000000002</v>
      </c>
      <c r="I39" s="412">
        <f t="shared" ref="I39:I53" si="13">IFERROR(IF(LEFT(H39,1)="D",H39,(INT(H39)*60+(H39-INT(H39))*100)/86400),"X")</f>
        <v>3.0277777777777781E-3</v>
      </c>
      <c r="K39" s="213">
        <v>2</v>
      </c>
      <c r="L39" s="208">
        <f>IFERROR(VLOOKUP(K39,B38:D53,3,FALSE),"")</f>
        <v>1</v>
      </c>
      <c r="M39" s="214" t="str">
        <f>IFERROR(IF(L39=0,0,IF(OR(VLOOKUP(K39*11,$K46:$L53,2,FALSE)=0,L39&lt;=VLOOKUP(K39*11,$K46:$L53,2,FALSE)),"A","B")),"")</f>
        <v>A</v>
      </c>
      <c r="N39" s="214">
        <f>IF(M39=0,0,IF(OR(R39="",M39="B"),"",RANK(R39,R38:R53,1)))</f>
        <v>1</v>
      </c>
      <c r="O39" s="214" t="str">
        <f>IF(M39=0,0,IF(OR(S39="",M39="A"),"",RANK(S39,S38:S53,1)))</f>
        <v/>
      </c>
      <c r="P39" s="215">
        <f t="shared" si="11"/>
        <v>2</v>
      </c>
      <c r="Q39" s="216"/>
      <c r="R39" s="217">
        <f t="shared" ref="R39:R53" si="14">IFERROR(IF(OR(L39=0,M39="B"),"",L39),"")</f>
        <v>1</v>
      </c>
      <c r="S39" s="217" t="str">
        <f t="shared" ref="S39:S53" si="15">IFERROR(IF(OR(L39=0,M39="A"),"",L39),"")</f>
        <v/>
      </c>
    </row>
    <row r="40" spans="1:20" ht="15.75" x14ac:dyDescent="0.35">
      <c r="B40" s="211">
        <f>IFERROR(IF(A39=0,E40,VLOOKUP(E40,Teams!$V$2:$Y$18,2,FALSE)),"")</f>
        <v>4</v>
      </c>
      <c r="D40" s="211">
        <v>3</v>
      </c>
      <c r="E40" s="249">
        <v>4</v>
      </c>
      <c r="F40" s="286" t="str">
        <f>IFERROR(VLOOKUP($A37&amp;E40,downloads!$A$1:$E$1000,2,FALSE),"")</f>
        <v>Alexander MCLAREN</v>
      </c>
      <c r="G40" s="212" t="str">
        <f t="shared" si="12"/>
        <v>Macc</v>
      </c>
      <c r="H40" s="222">
        <v>4.2640000000000002</v>
      </c>
      <c r="I40" s="412">
        <f t="shared" si="13"/>
        <v>3.0833333333333338E-3</v>
      </c>
      <c r="K40" s="213">
        <v>3</v>
      </c>
      <c r="L40" s="208">
        <f>IFERROR(VLOOKUP(K40,B38:D53,3,FALSE),"")</f>
        <v>4</v>
      </c>
      <c r="M40" s="214" t="str">
        <f>IFERROR(IF(L40=0,0,IF(OR(VLOOKUP(K40*11,$K46:$L53,2,FALSE)=0,L40&lt;=VLOOKUP(K40*11,$K46:$L53,2,FALSE)),"A","B")),"")</f>
        <v>A</v>
      </c>
      <c r="N40" s="214">
        <f>IF(M40=0,0,IF(OR(R40="",M40="B"),"",RANK(R40,R38:R53,1)))</f>
        <v>4</v>
      </c>
      <c r="O40" s="214" t="str">
        <f>IF(M40=0,0,IF(OR(S40="",M40="A"),"",RANK(S40,S38:S53,1)))</f>
        <v/>
      </c>
      <c r="P40" s="215">
        <f t="shared" si="11"/>
        <v>3</v>
      </c>
      <c r="Q40" s="216"/>
      <c r="R40" s="217">
        <f t="shared" si="14"/>
        <v>4</v>
      </c>
      <c r="S40" s="217" t="str">
        <f t="shared" si="15"/>
        <v/>
      </c>
    </row>
    <row r="41" spans="1:20" ht="15.75" x14ac:dyDescent="0.35">
      <c r="A41" s="219">
        <f>IFERROR(VLOOKUP(A37,Timetables!$A:$E,5,FALSE)-1,"")</f>
        <v>-1</v>
      </c>
      <c r="B41" s="211">
        <f>IFERROR(IF(A39=0,E41,VLOOKUP(E41,Teams!$V$2:$Y$18,2,FALSE)),"")</f>
        <v>3</v>
      </c>
      <c r="D41" s="211">
        <v>4</v>
      </c>
      <c r="E41" s="249">
        <v>3</v>
      </c>
      <c r="F41" s="286" t="str">
        <f>IFERROR(VLOOKUP($A37&amp;E41,downloads!$A$1:$E$1000,2,FALSE),"")</f>
        <v>Jasper PARKIN-KERNER</v>
      </c>
      <c r="G41" s="212" t="str">
        <f t="shared" si="12"/>
        <v>Leigh</v>
      </c>
      <c r="H41" s="222">
        <v>4.3620000000000001</v>
      </c>
      <c r="I41" s="412">
        <f t="shared" si="13"/>
        <v>3.196759259259259E-3</v>
      </c>
      <c r="K41" s="213">
        <v>4</v>
      </c>
      <c r="L41" s="208">
        <f>IFERROR(VLOOKUP(K41,B38:D53,3,FALSE),"")</f>
        <v>3</v>
      </c>
      <c r="M41" s="214" t="str">
        <f>IFERROR(IF(L41=0,0,IF(OR(VLOOKUP(K41*11,$K46:$L53,2,FALSE)=0,L41&lt;=VLOOKUP(K41*11,$K46:$L53,2,FALSE)),"A","B")),"")</f>
        <v>A</v>
      </c>
      <c r="N41" s="214">
        <f>IF(M41=0,0,IF(OR(R41="",M41="B"),"",RANK(R41,R38:R53,1)))</f>
        <v>3</v>
      </c>
      <c r="O41" s="214" t="str">
        <f>IF(M41=0,0,IF(OR(S41="",M41="A"),"",RANK(S41,S38:S53,1)))</f>
        <v/>
      </c>
      <c r="P41" s="215">
        <f t="shared" si="11"/>
        <v>4</v>
      </c>
      <c r="Q41" s="216"/>
      <c r="R41" s="217">
        <f t="shared" si="14"/>
        <v>3</v>
      </c>
      <c r="S41" s="217" t="str">
        <f t="shared" si="15"/>
        <v/>
      </c>
    </row>
    <row r="42" spans="1:20" ht="15.75" x14ac:dyDescent="0.35">
      <c r="A42" s="220"/>
      <c r="B42" s="211">
        <f>IFERROR(IF(A39=0,E42,VLOOKUP(E42,Teams!$V$2:$Y$18,2,FALSE)),"")</f>
        <v>7</v>
      </c>
      <c r="D42" s="211">
        <v>5</v>
      </c>
      <c r="E42" s="249">
        <v>7</v>
      </c>
      <c r="F42" s="286" t="str">
        <f>IFERROR(VLOOKUP($A37&amp;E42,downloads!$A$1:$E$1000,2,FALSE),"")</f>
        <v>Samuel HODGKINSON</v>
      </c>
      <c r="G42" s="212" t="str">
        <f t="shared" si="12"/>
        <v>Wigan</v>
      </c>
      <c r="H42" s="222">
        <v>4.4089999999999998</v>
      </c>
      <c r="I42" s="412">
        <f t="shared" si="13"/>
        <v>3.251157407407407E-3</v>
      </c>
      <c r="K42" s="213">
        <v>5</v>
      </c>
      <c r="L42" s="208">
        <f>IFERROR(VLOOKUP(K42,B38:D53,3,FALSE),"")</f>
        <v>2</v>
      </c>
      <c r="M42" s="214" t="str">
        <f>IFERROR(IF(L42=0,0,IF(OR(VLOOKUP(K42*11,$K46:$L53,2,FALSE)=0,L42&lt;=VLOOKUP(K42*11,$K46:$L53,2,FALSE)),"A","B")),"")</f>
        <v>A</v>
      </c>
      <c r="N42" s="214">
        <f>IF(M42=0,0,IF(OR(R42="",M42="B"),"",RANK(R42,R38:R53,1)))</f>
        <v>2</v>
      </c>
      <c r="O42" s="214" t="str">
        <f>IF(M42=0,0,IF(OR(S42="",M42="A"),"",RANK(S42,S38:S53,1)))</f>
        <v/>
      </c>
      <c r="P42" s="215">
        <f t="shared" si="11"/>
        <v>5</v>
      </c>
      <c r="Q42" s="216"/>
      <c r="R42" s="217">
        <f>IFERROR(IF(OR(L42=0,M42="B"),"",L42),"")</f>
        <v>2</v>
      </c>
      <c r="S42" s="217" t="str">
        <f t="shared" si="15"/>
        <v/>
      </c>
    </row>
    <row r="43" spans="1:20" ht="15.75" x14ac:dyDescent="0.35">
      <c r="A43" s="220"/>
      <c r="B43" s="211">
        <f>IFERROR(IF(A39=0,E43,VLOOKUP(E43,Teams!$V$2:$Y$18,2,FALSE)),"")</f>
        <v>22</v>
      </c>
      <c r="D43" s="211">
        <v>6</v>
      </c>
      <c r="E43" s="249">
        <v>22</v>
      </c>
      <c r="F43" s="286" t="str">
        <f>IFERROR(VLOOKUP($A37&amp;E43,downloads!$A$1:$E$1000,2,FALSE),"")</f>
        <v>James NELSON</v>
      </c>
      <c r="G43" s="212" t="str">
        <f t="shared" si="12"/>
        <v>ECHT</v>
      </c>
      <c r="H43" s="222">
        <v>4.4139999999999997</v>
      </c>
      <c r="I43" s="412">
        <f t="shared" si="13"/>
        <v>3.2569444444444443E-3</v>
      </c>
      <c r="K43" s="213">
        <v>6</v>
      </c>
      <c r="L43" s="208" t="str">
        <f>IFERROR(VLOOKUP(K43,B38:D53,3,FALSE),"")</f>
        <v/>
      </c>
      <c r="M43" s="214" t="str">
        <f>IFERROR(IF(L43=0,0,IF(OR(VLOOKUP(K43*11,$K46:$L53,2,FALSE)=0,L43&lt;=VLOOKUP(K43*11,$K46:$L53,2,FALSE)),"A","B")),"")</f>
        <v>A</v>
      </c>
      <c r="N43" s="214" t="str">
        <f>IF(M43=0,0,IF(OR(R43="",M43="B"),"",RANK(R43,R38:R53,1)))</f>
        <v/>
      </c>
      <c r="O43" s="214" t="str">
        <f>IF(M43=0,0,IF(OR(S43="",M43="A"),"",RANK(S43,S38:S53,1)))</f>
        <v/>
      </c>
      <c r="P43" s="215">
        <f t="shared" si="11"/>
        <v>6</v>
      </c>
      <c r="Q43" s="216"/>
      <c r="R43" s="217" t="str">
        <f t="shared" si="14"/>
        <v/>
      </c>
      <c r="S43" s="217" t="str">
        <f t="shared" si="15"/>
        <v/>
      </c>
    </row>
    <row r="44" spans="1:20" ht="15.75" x14ac:dyDescent="0.35">
      <c r="A44" s="220"/>
      <c r="B44" s="211">
        <f>IFERROR(IF(A39=0,E44,VLOOKUP(E44,Teams!$V$2:$Y$18,2,FALSE)),"")</f>
        <v>33</v>
      </c>
      <c r="D44" s="211">
        <v>7</v>
      </c>
      <c r="E44" s="249">
        <v>33</v>
      </c>
      <c r="F44" s="286" t="str">
        <f>IFERROR(VLOOKUP($A37&amp;E44,downloads!$A$1:$E$1000,2,FALSE),"")</f>
        <v>Samuel WILLIAMS</v>
      </c>
      <c r="G44" s="212" t="str">
        <f t="shared" si="12"/>
        <v>Leigh</v>
      </c>
      <c r="H44" s="222">
        <v>5.0979999999999999</v>
      </c>
      <c r="I44" s="412">
        <f t="shared" si="13"/>
        <v>3.5856481481481481E-3</v>
      </c>
      <c r="K44" s="213">
        <v>7</v>
      </c>
      <c r="L44" s="208">
        <f>IFERROR(VLOOKUP(K44,B38:D53,3,FALSE),"")</f>
        <v>5</v>
      </c>
      <c r="M44" s="214" t="str">
        <f>IFERROR(IF(L44=0,0,IF(OR(VLOOKUP(K44*11,$K46:$L53,2,FALSE)=0,L44&lt;=VLOOKUP(K44*11,$K46:$L53,2,FALSE)),"A","B")),"")</f>
        <v>A</v>
      </c>
      <c r="N44" s="214">
        <f>IF(M44=0,0,IF(OR(R44="",M44="B"),"",RANK(R44,R38:R53,1)))</f>
        <v>5</v>
      </c>
      <c r="O44" s="214" t="str">
        <f>IF(M44=0,0,IF(OR(S44="",M44="A"),"",RANK(S44,S38:S53,1)))</f>
        <v/>
      </c>
      <c r="P44" s="215">
        <f t="shared" si="11"/>
        <v>7</v>
      </c>
      <c r="Q44" s="216"/>
      <c r="R44" s="217">
        <f t="shared" si="14"/>
        <v>5</v>
      </c>
      <c r="S44" s="217" t="str">
        <f t="shared" si="15"/>
        <v/>
      </c>
    </row>
    <row r="45" spans="1:20" ht="15.75" x14ac:dyDescent="0.35">
      <c r="A45" s="203"/>
      <c r="B45" s="211">
        <f>IFERROR(IF(A39=0,E45,VLOOKUP(E45,Teams!$V$2:$Y$18,2,FALSE)),"")</f>
        <v>0</v>
      </c>
      <c r="D45" s="211">
        <v>8</v>
      </c>
      <c r="E45" s="249"/>
      <c r="F45" s="286" t="str">
        <f>IFERROR(VLOOKUP($A37&amp;E45,downloads!$A$1:$E$1000,2,FALSE),"")</f>
        <v/>
      </c>
      <c r="G45" s="212" t="str">
        <f t="shared" si="12"/>
        <v/>
      </c>
      <c r="H45" s="222"/>
      <c r="I45" s="412">
        <f t="shared" si="13"/>
        <v>0</v>
      </c>
      <c r="K45" s="213">
        <v>8</v>
      </c>
      <c r="L45" s="208" t="str">
        <f>IFERROR(VLOOKUP(K45,B38:D53,3,FALSE),"")</f>
        <v/>
      </c>
      <c r="M45" s="214" t="str">
        <f>IFERROR(IF(L45=0,0,IF(OR(VLOOKUP(K45*11,$K46:$L53,2,FALSE)=0,L45&lt;=VLOOKUP(K45*11,$K46:$L53,2,FALSE)),"A","B")),"")</f>
        <v>A</v>
      </c>
      <c r="N45" s="214" t="str">
        <f>IF(M45=0,0,IF(OR(R45="",M45="B"),"",RANK(R45,R38:R53,1)))</f>
        <v/>
      </c>
      <c r="O45" s="214" t="str">
        <f>IF(M45=0,0,IF(OR(S45="",M45="A"),"",RANK(S45,S38:S53,1)))</f>
        <v/>
      </c>
      <c r="P45" s="215">
        <f t="shared" si="11"/>
        <v>8</v>
      </c>
      <c r="Q45" s="216"/>
      <c r="R45" s="217" t="str">
        <f t="shared" si="14"/>
        <v/>
      </c>
      <c r="S45" s="217" t="str">
        <f t="shared" si="15"/>
        <v/>
      </c>
    </row>
    <row r="46" spans="1:20" ht="15.75" x14ac:dyDescent="0.35">
      <c r="A46" s="203"/>
      <c r="B46" s="211">
        <f>IFERROR(IF(A39=0,E46,VLOOKUP(E46,Teams!$V$2:$Y$18,2,FALSE)),"")</f>
        <v>0</v>
      </c>
      <c r="D46" s="211">
        <v>9</v>
      </c>
      <c r="E46" s="249"/>
      <c r="F46" s="286" t="str">
        <f>IFERROR(VLOOKUP($A37&amp;E46,downloads!$A$1:$E$1000,2,FALSE),"")</f>
        <v/>
      </c>
      <c r="G46" s="212" t="str">
        <f t="shared" si="12"/>
        <v/>
      </c>
      <c r="H46" s="222"/>
      <c r="I46" s="412">
        <f t="shared" si="13"/>
        <v>0</v>
      </c>
      <c r="K46" s="208">
        <f>K38*11</f>
        <v>11</v>
      </c>
      <c r="L46" s="208" t="str">
        <f>IFERROR(VLOOKUP(K46,B38:D53,3,FALSE),"")</f>
        <v/>
      </c>
      <c r="M46" s="214" t="str">
        <f>IFERROR(IF(L46=0,0,IF(OR(VLOOKUP(K46/11,$K38:$L45,2,FALSE)=0,L46&lt;=VLOOKUP(K46/11,$K38:$L45,2,FALSE)),"A","B")),"")</f>
        <v>A</v>
      </c>
      <c r="N46" s="214" t="str">
        <f>IF(M46=0,0,IF(OR(R46="",M46="B"),"",RANK(R46,R38:R53,1)))</f>
        <v/>
      </c>
      <c r="O46" s="214" t="str">
        <f>IF(M46=0,0,IF(OR(S46="",M46="A"),"",RANK(S46,S38:S53,1)))</f>
        <v/>
      </c>
      <c r="P46" s="215">
        <f t="shared" si="11"/>
        <v>11</v>
      </c>
      <c r="Q46" s="216"/>
      <c r="R46" s="217" t="str">
        <f t="shared" si="14"/>
        <v/>
      </c>
      <c r="S46" s="217" t="str">
        <f t="shared" si="15"/>
        <v/>
      </c>
    </row>
    <row r="47" spans="1:20" ht="15.75" x14ac:dyDescent="0.35">
      <c r="B47" s="211">
        <f>IFERROR(IF(A39=0,E47,VLOOKUP(E47,Teams!$V$2:$Y$18,2,FALSE)),"")</f>
        <v>0</v>
      </c>
      <c r="D47" s="211">
        <v>10</v>
      </c>
      <c r="E47" s="249"/>
      <c r="F47" s="286" t="str">
        <f>IFERROR(VLOOKUP($A37&amp;E47,downloads!$A$1:$E$1000,2,FALSE),"")</f>
        <v/>
      </c>
      <c r="G47" s="212" t="str">
        <f t="shared" si="12"/>
        <v/>
      </c>
      <c r="H47" s="222"/>
      <c r="I47" s="412">
        <f t="shared" si="13"/>
        <v>0</v>
      </c>
      <c r="K47" s="208">
        <f t="shared" ref="K47:K53" si="16">K39*11</f>
        <v>22</v>
      </c>
      <c r="L47" s="208">
        <f>IFERROR(VLOOKUP(K47,B38:D53,3,FALSE),"")</f>
        <v>6</v>
      </c>
      <c r="M47" s="214" t="str">
        <f>IFERROR(IF(L47=0,0,IF(OR(VLOOKUP(K47/11,$K38:$L45,2,FALSE)=0,L47&lt;=VLOOKUP(K47/11,$K38:$L45,2,FALSE)),"A","B")),"")</f>
        <v>B</v>
      </c>
      <c r="N47" s="214" t="str">
        <f>IF(M47=0,0,IF(OR(R47="",M47="B"),"",RANK(R47,R38:R53,1)))</f>
        <v/>
      </c>
      <c r="O47" s="214">
        <f>IF(M47=0,0,IF(OR(S47="",M47="A"),"",RANK(S47,S38:S53,1)))</f>
        <v>1</v>
      </c>
      <c r="P47" s="215">
        <f t="shared" si="11"/>
        <v>22</v>
      </c>
      <c r="Q47" s="216"/>
      <c r="R47" s="217" t="str">
        <f t="shared" si="14"/>
        <v/>
      </c>
      <c r="S47" s="217">
        <f t="shared" si="15"/>
        <v>6</v>
      </c>
    </row>
    <row r="48" spans="1:20" ht="15.75" x14ac:dyDescent="0.35">
      <c r="B48" s="211">
        <f>IFERROR(IF(A39=0,E48,VLOOKUP(E48,Teams!$V$2:$Y$18,2,FALSE)),"")</f>
        <v>0</v>
      </c>
      <c r="D48" s="211">
        <v>11</v>
      </c>
      <c r="E48" s="249"/>
      <c r="F48" s="286" t="str">
        <f>IFERROR(VLOOKUP($A37&amp;E48,downloads!$A$1:$E$1000,2,FALSE),"")</f>
        <v/>
      </c>
      <c r="G48" s="212" t="str">
        <f t="shared" si="12"/>
        <v/>
      </c>
      <c r="H48" s="222"/>
      <c r="I48" s="412">
        <f t="shared" si="13"/>
        <v>0</v>
      </c>
      <c r="K48" s="208">
        <f t="shared" si="16"/>
        <v>33</v>
      </c>
      <c r="L48" s="208">
        <f>IFERROR(VLOOKUP(K48,B38:D53,3,FALSE),"")</f>
        <v>7</v>
      </c>
      <c r="M48" s="214" t="str">
        <f>IFERROR(IF(L48=0,0,IF(OR(VLOOKUP(K48/11,$K38:$L45,2,FALSE)=0,L48&lt;=VLOOKUP(K48/11,$K38:$L45,2,FALSE)),"A","B")),"")</f>
        <v>B</v>
      </c>
      <c r="N48" s="214" t="str">
        <f>IF(M48=0,0,IF(OR(R48="",M48="B"),"",RANK(R48,R38:R53,1)))</f>
        <v/>
      </c>
      <c r="O48" s="214">
        <f>IF(M48=0,0,IF(OR(S48="",M48="A"),"",RANK(S48,S38:S53,1)))</f>
        <v>2</v>
      </c>
      <c r="P48" s="215">
        <f t="shared" si="11"/>
        <v>33</v>
      </c>
      <c r="Q48" s="216"/>
      <c r="R48" s="217" t="str">
        <f t="shared" si="14"/>
        <v/>
      </c>
      <c r="S48" s="217">
        <f t="shared" si="15"/>
        <v>7</v>
      </c>
    </row>
    <row r="49" spans="1:19" ht="15.75" x14ac:dyDescent="0.35">
      <c r="A49" s="202"/>
      <c r="B49" s="211">
        <f>IFERROR(IF(A39=0,E49,VLOOKUP(E49,Teams!$V$2:$Y$18,2,FALSE)),"")</f>
        <v>0</v>
      </c>
      <c r="D49" s="211">
        <v>12</v>
      </c>
      <c r="E49" s="249"/>
      <c r="F49" s="286" t="str">
        <f>IFERROR(VLOOKUP($A37&amp;E49,downloads!$A$1:$E$1000,2,FALSE),"")</f>
        <v/>
      </c>
      <c r="G49" s="212" t="str">
        <f t="shared" si="12"/>
        <v/>
      </c>
      <c r="H49" s="222"/>
      <c r="I49" s="412">
        <f t="shared" si="13"/>
        <v>0</v>
      </c>
      <c r="K49" s="208">
        <f t="shared" si="16"/>
        <v>44</v>
      </c>
      <c r="L49" s="208" t="str">
        <f>IFERROR(VLOOKUP(K49,B38:D53,3,FALSE),"")</f>
        <v/>
      </c>
      <c r="M49" s="214" t="str">
        <f>IFERROR(IF(L49=0,0,IF(OR(VLOOKUP(K49/11,$K38:$L45,2,FALSE)=0,L49&lt;=VLOOKUP(K49/11,$K38:$L45,2,FALSE)),"A","B")),"")</f>
        <v>B</v>
      </c>
      <c r="N49" s="214" t="str">
        <f>IF(M49=0,0,IF(OR(R49="",M49="B"),"",RANK(R49,R38:R53,1)))</f>
        <v/>
      </c>
      <c r="O49" s="214" t="str">
        <f>IF(M49=0,0,IF(OR(S49="",M49="A"),"",RANK(S49,S38:S53,1)))</f>
        <v/>
      </c>
      <c r="P49" s="215">
        <f t="shared" si="11"/>
        <v>44</v>
      </c>
      <c r="Q49" s="216"/>
      <c r="R49" s="217" t="str">
        <f t="shared" si="14"/>
        <v/>
      </c>
      <c r="S49" s="217" t="str">
        <f t="shared" si="15"/>
        <v/>
      </c>
    </row>
    <row r="50" spans="1:19" ht="15.75" x14ac:dyDescent="0.35">
      <c r="A50" s="210"/>
      <c r="B50" s="211">
        <f>IFERROR(IF(A39=0,E50,VLOOKUP(E50,Teams!$V$2:$Y$18,2,FALSE)),"")</f>
        <v>0</v>
      </c>
      <c r="D50" s="211">
        <v>13</v>
      </c>
      <c r="E50" s="249"/>
      <c r="F50" s="286" t="str">
        <f>IFERROR(VLOOKUP($A37&amp;E50,downloads!$A$1:$E$1000,2,FALSE),"")</f>
        <v/>
      </c>
      <c r="G50" s="212" t="str">
        <f t="shared" si="12"/>
        <v/>
      </c>
      <c r="H50" s="222"/>
      <c r="I50" s="412">
        <f t="shared" si="13"/>
        <v>0</v>
      </c>
      <c r="K50" s="208">
        <f t="shared" si="16"/>
        <v>55</v>
      </c>
      <c r="L50" s="208" t="str">
        <f>IFERROR(VLOOKUP(K50,B38:D53,3,FALSE),"")</f>
        <v/>
      </c>
      <c r="M50" s="214" t="str">
        <f>IFERROR(IF(L50=0,0,IF(OR(VLOOKUP(K50/11,$K38:$L45,2,FALSE)=0,L50&lt;=VLOOKUP(K50/11,$K38:$L45,2,FALSE)),"A","B")),"")</f>
        <v>B</v>
      </c>
      <c r="N50" s="214" t="str">
        <f>IF(M50=0,0,IF(OR(R50="",M50="B"),"",RANK(R50,R38:R53,1)))</f>
        <v/>
      </c>
      <c r="O50" s="214" t="str">
        <f>IF(M50=0,0,IF(OR(S50="",M50="A"),"",RANK(S50,S38:S53,1)))</f>
        <v/>
      </c>
      <c r="P50" s="215">
        <f t="shared" si="11"/>
        <v>55</v>
      </c>
      <c r="Q50" s="216"/>
      <c r="R50" s="217" t="str">
        <f t="shared" si="14"/>
        <v/>
      </c>
      <c r="S50" s="217" t="str">
        <f t="shared" si="15"/>
        <v/>
      </c>
    </row>
    <row r="51" spans="1:19" ht="15.75" x14ac:dyDescent="0.35">
      <c r="A51" s="203"/>
      <c r="B51" s="211">
        <f>IFERROR(IF(A39=0,E51,VLOOKUP(E51,Teams!$V$2:$Y$18,2,FALSE)),"")</f>
        <v>0</v>
      </c>
      <c r="D51" s="211">
        <v>14</v>
      </c>
      <c r="E51" s="249"/>
      <c r="F51" s="286" t="str">
        <f>IFERROR(VLOOKUP($A37&amp;E51,downloads!$A$1:$E$1000,2,FALSE),"")</f>
        <v/>
      </c>
      <c r="G51" s="212" t="str">
        <f t="shared" si="12"/>
        <v/>
      </c>
      <c r="H51" s="222"/>
      <c r="I51" s="412">
        <f t="shared" si="13"/>
        <v>0</v>
      </c>
      <c r="K51" s="208">
        <f t="shared" si="16"/>
        <v>66</v>
      </c>
      <c r="L51" s="208" t="str">
        <f>IFERROR(VLOOKUP(K51,B38:D53,3,FALSE),"")</f>
        <v/>
      </c>
      <c r="M51" s="214" t="str">
        <f>IFERROR(IF(L51=0,0,IF(OR(VLOOKUP(K51/11,$K38:$L45,2,FALSE)=0,L51&lt;=VLOOKUP(K51/11,$K38:$L45,2,FALSE)),"A","B")),"")</f>
        <v>A</v>
      </c>
      <c r="N51" s="214" t="str">
        <f>IF(M51=0,0,IF(OR(R51="",M51="B"),"",RANK(R51,R38:R53,1)))</f>
        <v/>
      </c>
      <c r="O51" s="214" t="str">
        <f>IF(M51=0,0,IF(OR(S51="",M51="A"),"",RANK(S51,S38:S53,1)))</f>
        <v/>
      </c>
      <c r="P51" s="215">
        <f t="shared" si="11"/>
        <v>66</v>
      </c>
      <c r="Q51" s="216"/>
      <c r="R51" s="217" t="str">
        <f t="shared" si="14"/>
        <v/>
      </c>
      <c r="S51" s="217" t="str">
        <f t="shared" si="15"/>
        <v/>
      </c>
    </row>
    <row r="52" spans="1:19" ht="15.75" x14ac:dyDescent="0.35">
      <c r="B52" s="211">
        <f>IFERROR(IF(A39=0,E52,VLOOKUP(E52,Teams!$V$2:$Y$18,2,FALSE)),"")</f>
        <v>0</v>
      </c>
      <c r="D52" s="211">
        <v>15</v>
      </c>
      <c r="E52" s="249"/>
      <c r="F52" s="286" t="str">
        <f>IFERROR(VLOOKUP($A37&amp;E52,downloads!$A$1:$E$1000,2,FALSE),"")</f>
        <v/>
      </c>
      <c r="G52" s="212" t="str">
        <f t="shared" si="12"/>
        <v/>
      </c>
      <c r="H52" s="222"/>
      <c r="I52" s="412">
        <f t="shared" si="13"/>
        <v>0</v>
      </c>
      <c r="K52" s="208">
        <f t="shared" si="16"/>
        <v>77</v>
      </c>
      <c r="L52" s="208" t="str">
        <f>IFERROR(VLOOKUP(K52,B38:D53,3,FALSE),"")</f>
        <v/>
      </c>
      <c r="M52" s="214" t="str">
        <f>IFERROR(IF(L52=0,0,IF(OR(VLOOKUP(K52/11,$K38:$L45,2,FALSE)=0,L52&lt;=VLOOKUP(K52/11,$K38:$L45,2,FALSE)),"A","B")),"")</f>
        <v>B</v>
      </c>
      <c r="N52" s="214" t="str">
        <f>IF(M52=0,0,IF(OR(R52="",M52="B"),"",RANK(R52,R38:R53,1)))</f>
        <v/>
      </c>
      <c r="O52" s="214" t="str">
        <f>IF(M52=0,0,IF(OR(S52="",M52="A"),"",RANK(S52,S38:S53,1)))</f>
        <v/>
      </c>
      <c r="P52" s="215">
        <f t="shared" si="11"/>
        <v>77</v>
      </c>
      <c r="Q52" s="216"/>
      <c r="R52" s="217" t="str">
        <f t="shared" si="14"/>
        <v/>
      </c>
      <c r="S52" s="217" t="str">
        <f t="shared" si="15"/>
        <v/>
      </c>
    </row>
    <row r="53" spans="1:19" ht="15.75" x14ac:dyDescent="0.35">
      <c r="A53" s="220"/>
      <c r="B53" s="211">
        <f>IFERROR(IF(A39=0,E53,VLOOKUP(E53,Teams!$V$2:$Y$18,2,FALSE)),"")</f>
        <v>0</v>
      </c>
      <c r="D53" s="211">
        <v>16</v>
      </c>
      <c r="E53" s="249"/>
      <c r="F53" s="286" t="str">
        <f>IFERROR(VLOOKUP($A37&amp;E53,downloads!$A$1:$E$1000,2,FALSE),"")</f>
        <v/>
      </c>
      <c r="G53" s="212" t="str">
        <f t="shared" si="12"/>
        <v/>
      </c>
      <c r="H53" s="222"/>
      <c r="I53" s="412">
        <f t="shared" si="13"/>
        <v>0</v>
      </c>
      <c r="K53" s="208">
        <f t="shared" si="16"/>
        <v>88</v>
      </c>
      <c r="L53" s="208" t="str">
        <f>IFERROR(VLOOKUP(K53,B38:D53,3,FALSE),"")</f>
        <v/>
      </c>
      <c r="M53" s="214" t="str">
        <f>IFERROR(IF(L53=0,0,IF(OR(VLOOKUP(K53/11,$K38:$L45,2,FALSE)=0,L53&lt;=VLOOKUP(K53/11,$K38:$L45,2,FALSE)),"A","B")),"")</f>
        <v>A</v>
      </c>
      <c r="N53" s="214" t="str">
        <f>IF(M53=0,0,IF(OR(R53="",M53="B"),"",RANK(R53,R38:R53,1)))</f>
        <v/>
      </c>
      <c r="O53" s="214" t="str">
        <f>IF(M53=0,0,IF(OR(S53="",M53="A"),"",RANK(S53,S38:S53,1)))</f>
        <v/>
      </c>
      <c r="P53" s="215">
        <f t="shared" si="11"/>
        <v>88</v>
      </c>
      <c r="Q53" s="216"/>
      <c r="R53" s="217" t="str">
        <f t="shared" si="14"/>
        <v/>
      </c>
      <c r="S53" s="217" t="str">
        <f t="shared" si="15"/>
        <v/>
      </c>
    </row>
    <row r="54" spans="1:19" hidden="1" x14ac:dyDescent="0.3">
      <c r="A54" s="220"/>
      <c r="I54" s="413">
        <f t="shared" si="6"/>
        <v>0</v>
      </c>
    </row>
    <row r="55" spans="1:19" hidden="1" x14ac:dyDescent="0.3">
      <c r="A55" s="220"/>
      <c r="B55" s="211"/>
      <c r="C55" s="208" t="s">
        <v>53</v>
      </c>
      <c r="D55" s="208">
        <v>1</v>
      </c>
      <c r="E55" s="250">
        <f>IFERROR(IF(E38&gt;88,E38,IF(A39=0,VLOOKUP(D55,N38:Q53,3,FALSE),VLOOKUP(D55,N38:Q53,4,FALSE))),0)</f>
        <v>2</v>
      </c>
      <c r="F55" s="212" t="str">
        <f>IFERROR(VLOOKUP(E55,E38:F53,2,FALSE),"")</f>
        <v>Oliver MANNION</v>
      </c>
      <c r="G55" s="212" t="str">
        <f>IFERROR(VLOOKUP(E55,teamlookup,5,FALSE),"")</f>
        <v>ECHT</v>
      </c>
      <c r="H55" s="229">
        <f>IFERROR(VLOOKUP(E55,E38:I53,5,FALSE),"")</f>
        <v>2.9942129629629633E-3</v>
      </c>
      <c r="I55" s="412"/>
      <c r="K55" s="221"/>
    </row>
    <row r="56" spans="1:19" hidden="1" x14ac:dyDescent="0.3">
      <c r="A56" s="220"/>
      <c r="B56" s="211"/>
      <c r="D56" s="208">
        <v>2</v>
      </c>
      <c r="E56" s="250">
        <f>IFERROR(IF(A39=0,VLOOKUP(D56,N38:Q53,3,FALSE),VLOOKUP(D56,N38:Q53,4,FALSE)),"")</f>
        <v>5</v>
      </c>
      <c r="F56" s="212" t="str">
        <f>IFERROR(VLOOKUP(E56,E38:F53,2,FALSE),"")</f>
        <v>Perry MARSLAND</v>
      </c>
      <c r="G56" s="212" t="str">
        <f t="shared" ref="G56:G62" si="17">IFERROR(VLOOKUP(E56,teamlookup,5,FALSE),"")</f>
        <v>Menai</v>
      </c>
      <c r="H56" s="229">
        <f>IFERROR(VLOOKUP(E56,E38:I53,5,FALSE),"")</f>
        <v>3.0277777777777781E-3</v>
      </c>
      <c r="I56" s="412"/>
    </row>
    <row r="57" spans="1:19" hidden="1" x14ac:dyDescent="0.3">
      <c r="A57" s="203"/>
      <c r="B57" s="211"/>
      <c r="D57" s="208">
        <v>3</v>
      </c>
      <c r="E57" s="250">
        <f>IFERROR(IF(A39=0,VLOOKUP(D57,N38:Q53,3,FALSE),VLOOKUP(D57,N38:Q53,4,FALSE)),"")</f>
        <v>4</v>
      </c>
      <c r="F57" s="212" t="str">
        <f>IFERROR(VLOOKUP(E57,E38:F53,2,FALSE),"")</f>
        <v>Alexander MCLAREN</v>
      </c>
      <c r="G57" s="212" t="str">
        <f t="shared" si="17"/>
        <v>Macc</v>
      </c>
      <c r="H57" s="229">
        <f>IFERROR(VLOOKUP(E57,E38:I53,5,FALSE),"")</f>
        <v>3.0833333333333338E-3</v>
      </c>
      <c r="I57" s="412"/>
    </row>
    <row r="58" spans="1:19" hidden="1" x14ac:dyDescent="0.3">
      <c r="A58" s="203"/>
      <c r="B58" s="211"/>
      <c r="D58" s="208">
        <v>4</v>
      </c>
      <c r="E58" s="250">
        <f>IFERROR(IF(A39=0,VLOOKUP(D58,N38:Q53,3,FALSE),VLOOKUP(D58,N38:Q53,4,FALSE)),"")</f>
        <v>3</v>
      </c>
      <c r="F58" s="212" t="str">
        <f>IFERROR(VLOOKUP(E58,E38:F53,2,FALSE),"")</f>
        <v>Jasper PARKIN-KERNER</v>
      </c>
      <c r="G58" s="212" t="str">
        <f t="shared" si="17"/>
        <v>Leigh</v>
      </c>
      <c r="H58" s="229">
        <f>IFERROR(VLOOKUP(E58,E38:I53,5,FALSE),"")</f>
        <v>3.196759259259259E-3</v>
      </c>
      <c r="I58" s="412"/>
    </row>
    <row r="59" spans="1:19" hidden="1" x14ac:dyDescent="0.3">
      <c r="B59" s="211"/>
      <c r="D59" s="208">
        <v>5</v>
      </c>
      <c r="E59" s="250">
        <f>IFERROR(IF(A39=0,VLOOKUP(D59,N38:Q53,3,FALSE),VLOOKUP(D59,N38:Q53,4,FALSE)),"")</f>
        <v>7</v>
      </c>
      <c r="F59" s="212" t="str">
        <f>IFERROR(VLOOKUP(E59,E38:F53,2,FALSE),"")</f>
        <v>Samuel HODGKINSON</v>
      </c>
      <c r="G59" s="212" t="str">
        <f t="shared" si="17"/>
        <v>Wigan</v>
      </c>
      <c r="H59" s="229">
        <f>IFERROR(VLOOKUP(E59,E38:I53,5,FALSE),"")</f>
        <v>3.251157407407407E-3</v>
      </c>
      <c r="I59" s="412"/>
    </row>
    <row r="60" spans="1:19" hidden="1" x14ac:dyDescent="0.3">
      <c r="A60" s="202"/>
      <c r="B60" s="211"/>
      <c r="D60" s="208">
        <v>6</v>
      </c>
      <c r="E60" s="250" t="str">
        <f>IFERROR(IF(A39=0,VLOOKUP(D60,N38:Q53,3,FALSE),VLOOKUP(D60,N38:Q53,4,FALSE)),"")</f>
        <v/>
      </c>
      <c r="F60" s="212" t="str">
        <f>IFERROR(VLOOKUP(E60,E38:F53,2,FALSE),"")</f>
        <v/>
      </c>
      <c r="G60" s="212" t="str">
        <f t="shared" si="17"/>
        <v/>
      </c>
      <c r="H60" s="229" t="str">
        <f>IFERROR(VLOOKUP(E60,E38:I53,5,FALSE),"")</f>
        <v/>
      </c>
      <c r="I60" s="412"/>
    </row>
    <row r="61" spans="1:19" hidden="1" x14ac:dyDescent="0.3">
      <c r="A61" s="210"/>
      <c r="B61" s="211"/>
      <c r="D61" s="208">
        <v>7</v>
      </c>
      <c r="E61" s="250" t="str">
        <f>IFERROR(IF(A39=0,VLOOKUP(D61,N38:Q53,3,FALSE),VLOOKUP(D61,N38:Q53,4,FALSE)),"")</f>
        <v/>
      </c>
      <c r="F61" s="212" t="str">
        <f>IFERROR(VLOOKUP(E61,E38:F53,2,FALSE),"")</f>
        <v/>
      </c>
      <c r="G61" s="212" t="str">
        <f t="shared" si="17"/>
        <v/>
      </c>
      <c r="H61" s="229" t="str">
        <f>IFERROR(VLOOKUP(E61,E38:I53,5,FALSE),"")</f>
        <v/>
      </c>
      <c r="I61" s="412"/>
    </row>
    <row r="62" spans="1:19" hidden="1" x14ac:dyDescent="0.3">
      <c r="A62" s="203"/>
      <c r="B62" s="211"/>
      <c r="D62" s="208">
        <v>8</v>
      </c>
      <c r="E62" s="250" t="str">
        <f>IFERROR(IF(A39=0,VLOOKUP(D62,N38:Q53,3,FALSE),VLOOKUP(D62,N38:Q53,4,FALSE)),"")</f>
        <v/>
      </c>
      <c r="F62" s="212" t="str">
        <f>IFERROR(VLOOKUP(E62,E38:F53,2,FALSE),"")</f>
        <v/>
      </c>
      <c r="G62" s="212" t="str">
        <f t="shared" si="17"/>
        <v/>
      </c>
      <c r="H62" s="229" t="str">
        <f>IFERROR(VLOOKUP(E62,E38:I53,5,FALSE),"")</f>
        <v/>
      </c>
      <c r="I62" s="412"/>
    </row>
    <row r="63" spans="1:19" hidden="1" x14ac:dyDescent="0.3">
      <c r="F63" s="212"/>
      <c r="H63" s="230"/>
      <c r="I63" s="412">
        <f t="shared" ref="I63" si="18">IFERROR(IF(LEFT(H63,1)="D",H63,(INT(H63)*60+(H63-INT(H63))*100)/86400),"X")</f>
        <v>0</v>
      </c>
    </row>
    <row r="64" spans="1:19" hidden="1" x14ac:dyDescent="0.3">
      <c r="A64" s="220"/>
      <c r="B64" s="211"/>
      <c r="C64" s="208" t="s">
        <v>54</v>
      </c>
      <c r="D64" s="208">
        <v>1</v>
      </c>
      <c r="E64" s="250">
        <f>IFERROR(IF(A39=0,VLOOKUP(D64,O38:Q53,2,FALSE),VLOOKUP(D64,O38:Q53,3,FALSE)),"")</f>
        <v>22</v>
      </c>
      <c r="F64" s="212" t="str">
        <f>IFERROR(VLOOKUP(E64,E38:F53,2,FALSE),"")</f>
        <v>James NELSON</v>
      </c>
      <c r="G64" s="212" t="str">
        <f t="shared" ref="G64:G71" si="19">IFERROR(VLOOKUP(E64,teamlookup,5,FALSE),"")</f>
        <v>ECHT</v>
      </c>
      <c r="H64" s="229">
        <f>IFERROR(VLOOKUP(E64,E38:I53,5,FALSE),"")</f>
        <v>3.2569444444444443E-3</v>
      </c>
      <c r="I64" s="412"/>
    </row>
    <row r="65" spans="1:20" hidden="1" x14ac:dyDescent="0.3">
      <c r="A65" s="220"/>
      <c r="B65" s="211"/>
      <c r="D65" s="208">
        <v>2</v>
      </c>
      <c r="E65" s="250">
        <f>IFERROR(IF(A39=0,VLOOKUP(D65,O38:Q53,2,FALSE),VLOOKUP(D65,O38:Q53,3,FALSE)),"")</f>
        <v>33</v>
      </c>
      <c r="F65" s="212" t="str">
        <f>IFERROR(VLOOKUP(E65,E38:F53,2,FALSE),"")</f>
        <v>Samuel WILLIAMS</v>
      </c>
      <c r="G65" s="212" t="str">
        <f t="shared" si="19"/>
        <v>Leigh</v>
      </c>
      <c r="H65" s="229">
        <f>IFERROR(VLOOKUP(E65,E38:I53,5,FALSE),"")</f>
        <v>3.5856481481481481E-3</v>
      </c>
      <c r="I65" s="412"/>
    </row>
    <row r="66" spans="1:20" hidden="1" x14ac:dyDescent="0.3">
      <c r="A66" s="220"/>
      <c r="B66" s="211"/>
      <c r="D66" s="208">
        <v>3</v>
      </c>
      <c r="E66" s="250" t="str">
        <f>IFERROR(IF(A39=0,VLOOKUP(D66,O38:Q53,2,FALSE),VLOOKUP(D66,O38:Q53,3,FALSE)),"")</f>
        <v/>
      </c>
      <c r="F66" s="212" t="str">
        <f>IFERROR(VLOOKUP(E66,E38:F53,2,FALSE),"")</f>
        <v/>
      </c>
      <c r="G66" s="212" t="str">
        <f t="shared" si="19"/>
        <v/>
      </c>
      <c r="H66" s="229" t="str">
        <f>IFERROR(VLOOKUP(E66,E38:I53,5,FALSE),"")</f>
        <v/>
      </c>
      <c r="I66" s="412"/>
    </row>
    <row r="67" spans="1:20" hidden="1" x14ac:dyDescent="0.3">
      <c r="A67" s="220"/>
      <c r="B67" s="211"/>
      <c r="D67" s="208">
        <v>4</v>
      </c>
      <c r="E67" s="250" t="str">
        <f>IFERROR(IF(A39=0,VLOOKUP(D67,O38:Q53,2,FALSE),VLOOKUP(D67,O38:Q53,3,FALSE)),"")</f>
        <v/>
      </c>
      <c r="F67" s="212" t="str">
        <f>IFERROR(VLOOKUP(E67,E38:F53,2,FALSE),"")</f>
        <v/>
      </c>
      <c r="G67" s="212" t="str">
        <f t="shared" si="19"/>
        <v/>
      </c>
      <c r="H67" s="229" t="str">
        <f>IFERROR(VLOOKUP(E67,E38:I53,5,FALSE),"")</f>
        <v/>
      </c>
      <c r="I67" s="412"/>
    </row>
    <row r="68" spans="1:20" hidden="1" x14ac:dyDescent="0.3">
      <c r="A68" s="203"/>
      <c r="B68" s="211"/>
      <c r="D68" s="208">
        <v>5</v>
      </c>
      <c r="E68" s="250" t="str">
        <f>IFERROR(IF(A39=0,VLOOKUP(D68,O38:Q53,2,FALSE),VLOOKUP(D68,O38:Q53,3,FALSE)),"")</f>
        <v/>
      </c>
      <c r="F68" s="212" t="str">
        <f>IFERROR(VLOOKUP(E68,E38:F53,2,FALSE),"")</f>
        <v/>
      </c>
      <c r="G68" s="212" t="str">
        <f t="shared" si="19"/>
        <v/>
      </c>
      <c r="H68" s="229" t="str">
        <f>IFERROR(VLOOKUP(E68,E38:I53,5,FALSE),"")</f>
        <v/>
      </c>
      <c r="I68" s="412"/>
    </row>
    <row r="69" spans="1:20" hidden="1" x14ac:dyDescent="0.3">
      <c r="A69" s="203"/>
      <c r="B69" s="211"/>
      <c r="D69" s="208">
        <v>6</v>
      </c>
      <c r="E69" s="250" t="str">
        <f>IFERROR(IF(A39=0,VLOOKUP(D69,O38:Q53,2,FALSE),VLOOKUP(D69,O38:Q53,3,FALSE)),"")</f>
        <v/>
      </c>
      <c r="F69" s="212" t="str">
        <f>IFERROR(VLOOKUP(E69,E38:F53,2,FALSE),"")</f>
        <v/>
      </c>
      <c r="G69" s="212" t="str">
        <f t="shared" si="19"/>
        <v/>
      </c>
      <c r="H69" s="229" t="str">
        <f>IFERROR(VLOOKUP(E69,E38:I53,5,FALSE),"")</f>
        <v/>
      </c>
      <c r="I69" s="412"/>
    </row>
    <row r="70" spans="1:20" hidden="1" x14ac:dyDescent="0.3">
      <c r="B70" s="211"/>
      <c r="D70" s="208">
        <v>7</v>
      </c>
      <c r="E70" s="250" t="str">
        <f>IFERROR(IF(A39=0,VLOOKUP(D70,O38:Q53,2,FALSE),VLOOKUP(D70,O38:Q53,3,FALSE)),"")</f>
        <v/>
      </c>
      <c r="F70" s="212" t="str">
        <f>IFERROR(VLOOKUP(E70,E38:F53,2,FALSE),"")</f>
        <v/>
      </c>
      <c r="G70" s="212" t="str">
        <f t="shared" si="19"/>
        <v/>
      </c>
      <c r="H70" s="229" t="str">
        <f>IFERROR(VLOOKUP(E70,E38:I53,5,FALSE),"")</f>
        <v/>
      </c>
      <c r="I70" s="412"/>
    </row>
    <row r="71" spans="1:20" hidden="1" x14ac:dyDescent="0.3">
      <c r="A71" s="202"/>
      <c r="B71" s="211"/>
      <c r="D71" s="208">
        <v>8</v>
      </c>
      <c r="E71" s="250" t="str">
        <f>IFERROR(IF(A39=0,VLOOKUP(D71,O38:Q53,2,FALSE),VLOOKUP(D71,O38:Q53,3,FALSE)),"")</f>
        <v/>
      </c>
      <c r="F71" s="212" t="str">
        <f>IFERROR(VLOOKUP(E71,E38:F53,2,FALSE),"")</f>
        <v/>
      </c>
      <c r="G71" s="212" t="str">
        <f t="shared" si="19"/>
        <v/>
      </c>
      <c r="H71" s="229" t="str">
        <f>IFERROR(VLOOKUP(E71,E38:I53,5,FALSE),"")</f>
        <v/>
      </c>
      <c r="I71" s="412"/>
    </row>
    <row r="72" spans="1:20" hidden="1" x14ac:dyDescent="0.3">
      <c r="I72" s="413">
        <f t="shared" ref="I72:I73" si="20">IFERROR(IF(LEFT(H72,1)="D",H72,(INT(H72)*60+(H72-INT(H72))*100)/86400),"")</f>
        <v>0</v>
      </c>
    </row>
    <row r="73" spans="1:20" x14ac:dyDescent="0.3">
      <c r="A73" s="202" t="s">
        <v>258</v>
      </c>
      <c r="B73" s="203">
        <f>B37+36</f>
        <v>91</v>
      </c>
      <c r="C73" s="203">
        <f>C37+36</f>
        <v>100</v>
      </c>
      <c r="D73" s="204"/>
      <c r="E73" s="170" t="str">
        <f>IFERROR(A74&amp;" "&amp;VLOOKUP(A73,timetables,2,FALSE)&amp;" "&amp;VLOOKUP(A73,timetables,3,FALSE)&amp;" A","")</f>
        <v xml:space="preserve"> 1500m U15 Girls A</v>
      </c>
      <c r="F73" s="205"/>
      <c r="G73" s="205"/>
      <c r="H73" s="250" t="s">
        <v>176</v>
      </c>
      <c r="I73" s="413" t="str">
        <f t="shared" si="20"/>
        <v/>
      </c>
      <c r="N73" s="209"/>
      <c r="O73" s="209"/>
    </row>
    <row r="74" spans="1:20" ht="15.75" x14ac:dyDescent="0.35">
      <c r="A74" s="210"/>
      <c r="B74" s="211">
        <f>IFERROR(IF(A75=0,E74,VLOOKUP(E74,Teams!$V$2:$Y$18,2,FALSE)),"")</f>
        <v>3</v>
      </c>
      <c r="D74" s="211">
        <v>1</v>
      </c>
      <c r="E74" s="249">
        <v>3</v>
      </c>
      <c r="F74" s="286" t="str">
        <f>IFERROR(VLOOKUP($A$73&amp;E74,downloads!$A$1:$E$1000,2,FALSE),"")</f>
        <v>Jessica HODGKINSON</v>
      </c>
      <c r="G74" s="212" t="str">
        <f t="shared" ref="G74:G89" si="21">IFERROR(VLOOKUP(E74,teamlookup,5,FALSE),"")</f>
        <v>Leigh</v>
      </c>
      <c r="H74" s="414">
        <v>4.5949999999999998</v>
      </c>
      <c r="I74" s="412">
        <f>IFERROR(IF(LEFT(H74,1)="D",H74,(INT(H74)*60+(H74-INT(H74))*100)/86400),"X")</f>
        <v>3.4664351851851852E-3</v>
      </c>
      <c r="J74" s="208">
        <f>IFERROR(IF(H74=99,1,0),0)</f>
        <v>0</v>
      </c>
      <c r="K74" s="213">
        <v>1</v>
      </c>
      <c r="L74" s="208" t="str">
        <f>IFERROR(VLOOKUP(K74,B74:D89,3,FALSE),"")</f>
        <v/>
      </c>
      <c r="M74" s="214" t="str">
        <f>IFERROR(IF(L74=0,0,IF(OR(VLOOKUP(K74*11,$K82:$L89,2,FALSE)=0,L74&lt;=VLOOKUP(K74*11,$K82:$L89,2,FALSE)),"A","B")),"")</f>
        <v>A</v>
      </c>
      <c r="N74" s="214" t="str">
        <f>IF(M74=0,0,IF(OR(R74="",M74="B"),"",RANK(R74,R74:R89,1)))</f>
        <v/>
      </c>
      <c r="O74" s="214" t="str">
        <f>IF(M74=0,0,IF(OR(S74="",M74="A"),"",RANK(S74,S74:S89,1)))</f>
        <v/>
      </c>
      <c r="P74" s="215">
        <f t="shared" ref="P74:P89" si="22">K74</f>
        <v>1</v>
      </c>
      <c r="Q74" s="216"/>
      <c r="R74" s="217" t="str">
        <f>IFERROR(IF(OR(L74=0,M74="B"),"",L74),"")</f>
        <v/>
      </c>
      <c r="S74" s="217" t="str">
        <f>IFERROR(IF(OR(L74=0,M74="A"),"",L74),"")</f>
        <v/>
      </c>
      <c r="T74" s="212"/>
    </row>
    <row r="75" spans="1:20" ht="15.75" x14ac:dyDescent="0.35">
      <c r="A75" s="218">
        <f>IFERROR(SEARCH("U17",E73),0)</f>
        <v>0</v>
      </c>
      <c r="B75" s="211">
        <f>IFERROR(IF(A75=0,E75,VLOOKUP(E75,Teams!$V$2:$Y$18,2,FALSE)),"")</f>
        <v>6</v>
      </c>
      <c r="D75" s="211">
        <v>2</v>
      </c>
      <c r="E75" s="249">
        <v>6</v>
      </c>
      <c r="F75" s="286" t="str">
        <f>IFERROR(VLOOKUP($A73&amp;E75,downloads!$A$1:$E$1000,2,FALSE),"")</f>
        <v>Charlotte UNDERWOOD</v>
      </c>
      <c r="G75" s="212" t="str">
        <f t="shared" si="21"/>
        <v>Stock</v>
      </c>
      <c r="H75" s="222">
        <v>5.2489999999999997</v>
      </c>
      <c r="I75" s="412">
        <f t="shared" ref="I75:I89" si="23">IFERROR(IF(LEFT(H75,1)="D",H75,(INT(H75)*60+(H75-INT(H75))*100)/86400),"X")</f>
        <v>3.7604166666666662E-3</v>
      </c>
      <c r="K75" s="213">
        <v>2</v>
      </c>
      <c r="L75" s="208">
        <f>IFERROR(VLOOKUP(K75,B74:D89,3,FALSE),"")</f>
        <v>6</v>
      </c>
      <c r="M75" s="214" t="str">
        <f>IFERROR(IF(L75=0,0,IF(OR(VLOOKUP(K75*11,$K82:$L89,2,FALSE)=0,L75&lt;=VLOOKUP(K75*11,$K82:$L89,2,FALSE)),"A","B")),"")</f>
        <v>A</v>
      </c>
      <c r="N75" s="214">
        <f>IF(M75=0,0,IF(OR(R75="",M75="B"),"",RANK(R75,R74:R89,1)))</f>
        <v>4</v>
      </c>
      <c r="O75" s="214" t="str">
        <f>IF(M75=0,0,IF(OR(S75="",M75="A"),"",RANK(S75,S74:S89,1)))</f>
        <v/>
      </c>
      <c r="P75" s="215">
        <f t="shared" si="22"/>
        <v>2</v>
      </c>
      <c r="Q75" s="216"/>
      <c r="R75" s="217">
        <f t="shared" ref="R75:R89" si="24">IFERROR(IF(OR(L75=0,M75="B"),"",L75),"")</f>
        <v>6</v>
      </c>
      <c r="S75" s="217" t="str">
        <f t="shared" ref="S75:S89" si="25">IFERROR(IF(OR(L75=0,M75="A"),"",L75),"")</f>
        <v/>
      </c>
    </row>
    <row r="76" spans="1:20" ht="15.75" x14ac:dyDescent="0.35">
      <c r="B76" s="211">
        <f>IFERROR(IF(A75=0,E76,VLOOKUP(E76,Teams!$V$2:$Y$18,2,FALSE)),"")</f>
        <v>77</v>
      </c>
      <c r="D76" s="211">
        <v>3</v>
      </c>
      <c r="E76" s="249">
        <v>77</v>
      </c>
      <c r="F76" s="286" t="str">
        <f>IFERROR(VLOOKUP($A73&amp;E76,downloads!$A$1:$E$1000,2,FALSE),"")</f>
        <v>Holly NICHOLLS</v>
      </c>
      <c r="G76" s="212" t="str">
        <f t="shared" si="21"/>
        <v>Wigan</v>
      </c>
      <c r="H76" s="222">
        <v>5.37</v>
      </c>
      <c r="I76" s="412">
        <f t="shared" si="23"/>
        <v>3.9004629629629628E-3</v>
      </c>
      <c r="K76" s="213">
        <v>3</v>
      </c>
      <c r="L76" s="208">
        <f>IFERROR(VLOOKUP(K76,B74:D89,3,FALSE),"")</f>
        <v>1</v>
      </c>
      <c r="M76" s="214" t="str">
        <f>IFERROR(IF(L76=0,0,IF(OR(VLOOKUP(K76*11,$K82:$L89,2,FALSE)=0,L76&lt;=VLOOKUP(K76*11,$K82:$L89,2,FALSE)),"A","B")),"")</f>
        <v>A</v>
      </c>
      <c r="N76" s="214">
        <f>IF(M76=0,0,IF(OR(R76="",M76="B"),"",RANK(R76,R74:R89,1)))</f>
        <v>1</v>
      </c>
      <c r="O76" s="214" t="str">
        <f>IF(M76=0,0,IF(OR(S76="",M76="A"),"",RANK(S76,S74:S89,1)))</f>
        <v/>
      </c>
      <c r="P76" s="215">
        <f t="shared" si="22"/>
        <v>3</v>
      </c>
      <c r="Q76" s="216"/>
      <c r="R76" s="217">
        <f t="shared" si="24"/>
        <v>1</v>
      </c>
      <c r="S76" s="217" t="str">
        <f t="shared" si="25"/>
        <v/>
      </c>
    </row>
    <row r="77" spans="1:20" ht="15.75" x14ac:dyDescent="0.35">
      <c r="A77" s="219">
        <f>IFERROR(VLOOKUP(A73,Timetables!$A:$E,5,FALSE)-1,"")</f>
        <v>9</v>
      </c>
      <c r="B77" s="211">
        <f>IFERROR(IF(A75=0,E77,VLOOKUP(E77,Teams!$V$2:$Y$18,2,FALSE)),"")</f>
        <v>7</v>
      </c>
      <c r="D77" s="211">
        <v>4</v>
      </c>
      <c r="E77" s="249">
        <v>7</v>
      </c>
      <c r="F77" s="286" t="str">
        <f>IFERROR(VLOOKUP($A73&amp;E77,downloads!$A$1:$E$1000,2,FALSE),"")</f>
        <v>Lucy ORRELL</v>
      </c>
      <c r="G77" s="212" t="str">
        <f t="shared" si="21"/>
        <v>Wigan</v>
      </c>
      <c r="H77" s="222">
        <v>5.43</v>
      </c>
      <c r="I77" s="412">
        <f t="shared" si="23"/>
        <v>3.9699074074074072E-3</v>
      </c>
      <c r="K77" s="213">
        <v>4</v>
      </c>
      <c r="L77" s="208" t="str">
        <f>IFERROR(VLOOKUP(K77,B74:D89,3,FALSE),"")</f>
        <v/>
      </c>
      <c r="M77" s="214" t="str">
        <f>IFERROR(IF(L77=0,0,IF(OR(VLOOKUP(K77*11,$K82:$L89,2,FALSE)=0,L77&lt;=VLOOKUP(K77*11,$K82:$L89,2,FALSE)),"A","B")),"")</f>
        <v>A</v>
      </c>
      <c r="N77" s="214" t="str">
        <f>IF(M77=0,0,IF(OR(R77="",M77="B"),"",RANK(R77,R74:R89,1)))</f>
        <v/>
      </c>
      <c r="O77" s="214" t="str">
        <f>IF(M77=0,0,IF(OR(S77="",M77="A"),"",RANK(S77,S74:S89,1)))</f>
        <v/>
      </c>
      <c r="P77" s="215">
        <f t="shared" si="22"/>
        <v>4</v>
      </c>
      <c r="Q77" s="216"/>
      <c r="R77" s="217" t="str">
        <f t="shared" si="24"/>
        <v/>
      </c>
      <c r="S77" s="217" t="str">
        <f t="shared" si="25"/>
        <v/>
      </c>
    </row>
    <row r="78" spans="1:20" ht="15.75" x14ac:dyDescent="0.35">
      <c r="A78" s="220"/>
      <c r="B78" s="211">
        <f>IFERROR(IF(A75=0,E78,VLOOKUP(E78,Teams!$V$2:$Y$18,2,FALSE)),"")</f>
        <v>66</v>
      </c>
      <c r="D78" s="211">
        <v>5</v>
      </c>
      <c r="E78" s="249">
        <v>66</v>
      </c>
      <c r="F78" s="286" t="str">
        <f>IFERROR(VLOOKUP($A73&amp;E78,downloads!$A$1:$E$1000,2,FALSE),"")</f>
        <v>Poppy BRANCH</v>
      </c>
      <c r="G78" s="212" t="str">
        <f t="shared" si="21"/>
        <v>Stock</v>
      </c>
      <c r="H78" s="222">
        <v>5.4420000000000002</v>
      </c>
      <c r="I78" s="412">
        <f t="shared" si="23"/>
        <v>3.9837962962962969E-3</v>
      </c>
      <c r="K78" s="213">
        <v>5</v>
      </c>
      <c r="L78" s="208" t="str">
        <f>IFERROR(VLOOKUP(K78,B74:D89,3,FALSE),"")</f>
        <v/>
      </c>
      <c r="M78" s="214" t="str">
        <f>IFERROR(IF(L78=0,0,IF(OR(VLOOKUP(K78*11,$K82:$L89,2,FALSE)=0,L78&lt;=VLOOKUP(K78*11,$K82:$L89,2,FALSE)),"A","B")),"")</f>
        <v>A</v>
      </c>
      <c r="N78" s="214" t="str">
        <f>IF(M78=0,0,IF(OR(R78="",M78="B"),"",RANK(R78,R74:R89,1)))</f>
        <v/>
      </c>
      <c r="O78" s="214" t="str">
        <f>IF(M78=0,0,IF(OR(S78="",M78="A"),"",RANK(S78,S74:S89,1)))</f>
        <v/>
      </c>
      <c r="P78" s="215">
        <f t="shared" si="22"/>
        <v>5</v>
      </c>
      <c r="Q78" s="216"/>
      <c r="R78" s="217" t="str">
        <f t="shared" si="24"/>
        <v/>
      </c>
      <c r="S78" s="217" t="str">
        <f t="shared" si="25"/>
        <v/>
      </c>
    </row>
    <row r="79" spans="1:20" ht="15.75" x14ac:dyDescent="0.35">
      <c r="A79" s="220"/>
      <c r="B79" s="211">
        <f>IFERROR(IF(A75=0,E79,VLOOKUP(E79,Teams!$V$2:$Y$18,2,FALSE)),"")</f>
        <v>2</v>
      </c>
      <c r="D79" s="211">
        <v>6</v>
      </c>
      <c r="E79" s="249">
        <v>2</v>
      </c>
      <c r="F79" s="286" t="str">
        <f>IFERROR(VLOOKUP($A73&amp;E79,downloads!$A$1:$E$1000,2,FALSE),"")</f>
        <v>Ava ROYLE</v>
      </c>
      <c r="G79" s="212" t="str">
        <f t="shared" si="21"/>
        <v>ECHT</v>
      </c>
      <c r="H79" s="222">
        <v>5.532</v>
      </c>
      <c r="I79" s="412">
        <f t="shared" si="23"/>
        <v>4.0879629629629625E-3</v>
      </c>
      <c r="K79" s="213">
        <v>6</v>
      </c>
      <c r="L79" s="208">
        <f>IFERROR(VLOOKUP(K79,B74:D89,3,FALSE),"")</f>
        <v>2</v>
      </c>
      <c r="M79" s="214" t="str">
        <f>IFERROR(IF(L79=0,0,IF(OR(VLOOKUP(K79*11,$K82:$L89,2,FALSE)=0,L79&lt;=VLOOKUP(K79*11,$K82:$L89,2,FALSE)),"A","B")),"")</f>
        <v>A</v>
      </c>
      <c r="N79" s="214">
        <f>IF(M79=0,0,IF(OR(R79="",M79="B"),"",RANK(R79,R74:R89,1)))</f>
        <v>2</v>
      </c>
      <c r="O79" s="214" t="str">
        <f>IF(M79=0,0,IF(OR(S79="",M79="A"),"",RANK(S79,S74:S89,1)))</f>
        <v/>
      </c>
      <c r="P79" s="215">
        <f t="shared" si="22"/>
        <v>6</v>
      </c>
      <c r="Q79" s="216"/>
      <c r="R79" s="217">
        <f t="shared" si="24"/>
        <v>2</v>
      </c>
      <c r="S79" s="217" t="str">
        <f t="shared" si="25"/>
        <v/>
      </c>
    </row>
    <row r="80" spans="1:20" ht="15.75" x14ac:dyDescent="0.35">
      <c r="A80" s="220"/>
      <c r="B80" s="211">
        <f>IFERROR(IF(A75=0,E80,VLOOKUP(E80,Teams!$V$2:$Y$18,2,FALSE)),"")</f>
        <v>22</v>
      </c>
      <c r="D80" s="211">
        <v>7</v>
      </c>
      <c r="E80" s="249">
        <v>22</v>
      </c>
      <c r="F80" s="286" t="str">
        <f>IFERROR(VLOOKUP($A73&amp;E80,downloads!$A$1:$E$1000,2,FALSE),"")</f>
        <v>Sophia GUSH</v>
      </c>
      <c r="G80" s="212" t="str">
        <f t="shared" si="21"/>
        <v>ECHT</v>
      </c>
      <c r="H80" s="222">
        <v>6.101</v>
      </c>
      <c r="I80" s="412">
        <f t="shared" si="23"/>
        <v>4.2835648148148147E-3</v>
      </c>
      <c r="K80" s="213">
        <v>7</v>
      </c>
      <c r="L80" s="208">
        <f>IFERROR(VLOOKUP(K80,B74:D89,3,FALSE),"")</f>
        <v>4</v>
      </c>
      <c r="M80" s="214" t="str">
        <f>IFERROR(IF(L80=0,0,IF(OR(VLOOKUP(K80*11,$K82:$L89,2,FALSE)=0,L80&lt;=VLOOKUP(K80*11,$K82:$L89,2,FALSE)),"A","B")),"")</f>
        <v>B</v>
      </c>
      <c r="N80" s="214" t="str">
        <f>IF(M80=0,0,IF(OR(R80="",M80="B"),"",RANK(R80,R74:R89,1)))</f>
        <v/>
      </c>
      <c r="O80" s="214">
        <f>IF(M80=0,0,IF(OR(S80="",M80="A"),"",RANK(S80,S74:S89,1)))</f>
        <v>1</v>
      </c>
      <c r="P80" s="215">
        <f t="shared" si="22"/>
        <v>7</v>
      </c>
      <c r="Q80" s="216"/>
      <c r="R80" s="217" t="str">
        <f t="shared" si="24"/>
        <v/>
      </c>
      <c r="S80" s="217">
        <f t="shared" si="25"/>
        <v>4</v>
      </c>
    </row>
    <row r="81" spans="1:19" ht="15.75" x14ac:dyDescent="0.35">
      <c r="A81" s="203"/>
      <c r="B81" s="211">
        <f>IFERROR(IF(A75=0,E81,VLOOKUP(E81,Teams!$V$2:$Y$18,2,FALSE)),"")</f>
        <v>0</v>
      </c>
      <c r="D81" s="211">
        <v>8</v>
      </c>
      <c r="E81" s="249"/>
      <c r="F81" s="286" t="str">
        <f>IFERROR(VLOOKUP($A73&amp;E81,downloads!$A$1:$E$1000,2,FALSE),"")</f>
        <v/>
      </c>
      <c r="G81" s="212" t="str">
        <f t="shared" si="21"/>
        <v/>
      </c>
      <c r="H81" s="222"/>
      <c r="I81" s="412">
        <f t="shared" si="23"/>
        <v>0</v>
      </c>
      <c r="K81" s="213">
        <v>8</v>
      </c>
      <c r="L81" s="208" t="str">
        <f>IFERROR(VLOOKUP(K81,B74:D89,3,FALSE),"")</f>
        <v/>
      </c>
      <c r="M81" s="214" t="str">
        <f>IFERROR(IF(L81=0,0,IF(OR(VLOOKUP(K81*11,$K82:$L89,2,FALSE)=0,L81&lt;=VLOOKUP(K81*11,$K82:$L89,2,FALSE)),"A","B")),"")</f>
        <v>A</v>
      </c>
      <c r="N81" s="214" t="str">
        <f>IF(M81=0,0,IF(OR(R81="",M81="B"),"",RANK(R81,R74:R89,1)))</f>
        <v/>
      </c>
      <c r="O81" s="214" t="str">
        <f>IF(M81=0,0,IF(OR(S81="",M81="A"),"",RANK(S81,S74:S89,1)))</f>
        <v/>
      </c>
      <c r="P81" s="215">
        <f t="shared" si="22"/>
        <v>8</v>
      </c>
      <c r="Q81" s="216"/>
      <c r="R81" s="217" t="str">
        <f t="shared" si="24"/>
        <v/>
      </c>
      <c r="S81" s="217" t="str">
        <f t="shared" si="25"/>
        <v/>
      </c>
    </row>
    <row r="82" spans="1:19" ht="15.75" x14ac:dyDescent="0.35">
      <c r="A82" s="203"/>
      <c r="B82" s="211">
        <f>IFERROR(IF(A75=0,E82,VLOOKUP(E82,Teams!$V$2:$Y$18,2,FALSE)),"")</f>
        <v>0</v>
      </c>
      <c r="D82" s="211">
        <v>9</v>
      </c>
      <c r="E82" s="249"/>
      <c r="F82" s="286" t="str">
        <f>IFERROR(VLOOKUP($A73&amp;E82,downloads!$A$1:$E$1000,2,FALSE),"")</f>
        <v/>
      </c>
      <c r="G82" s="212" t="str">
        <f t="shared" si="21"/>
        <v/>
      </c>
      <c r="H82" s="222"/>
      <c r="I82" s="412">
        <f t="shared" si="23"/>
        <v>0</v>
      </c>
      <c r="K82" s="208">
        <f>K74*11</f>
        <v>11</v>
      </c>
      <c r="L82" s="208" t="str">
        <f>IFERROR(VLOOKUP(K82,B74:D89,3,FALSE),"")</f>
        <v/>
      </c>
      <c r="M82" s="214" t="str">
        <f>IFERROR(IF(L82=0,0,IF(OR(VLOOKUP(K82/11,$K74:$L81,2,FALSE)=0,L82&lt;=VLOOKUP(K82/11,$K74:$L81,2,FALSE)),"A","B")),"")</f>
        <v>A</v>
      </c>
      <c r="N82" s="214" t="str">
        <f>IF(M82=0,0,IF(OR(R82="",M82="B"),"",RANK(R82,R74:R89,1)))</f>
        <v/>
      </c>
      <c r="O82" s="214" t="str">
        <f>IF(M82=0,0,IF(OR(S82="",M82="A"),"",RANK(S82,S74:S89,1)))</f>
        <v/>
      </c>
      <c r="P82" s="215">
        <f t="shared" si="22"/>
        <v>11</v>
      </c>
      <c r="Q82" s="216"/>
      <c r="R82" s="217" t="str">
        <f t="shared" si="24"/>
        <v/>
      </c>
      <c r="S82" s="217" t="str">
        <f t="shared" si="25"/>
        <v/>
      </c>
    </row>
    <row r="83" spans="1:19" ht="15.75" x14ac:dyDescent="0.35">
      <c r="B83" s="211">
        <f>IFERROR(IF(A75=0,E83,VLOOKUP(E83,Teams!$V$2:$Y$18,2,FALSE)),"")</f>
        <v>0</v>
      </c>
      <c r="D83" s="211">
        <v>10</v>
      </c>
      <c r="E83" s="249"/>
      <c r="F83" s="286" t="str">
        <f>IFERROR(VLOOKUP($A73&amp;E83,downloads!$A$1:$E$1000,2,FALSE),"")</f>
        <v/>
      </c>
      <c r="G83" s="212" t="str">
        <f t="shared" si="21"/>
        <v/>
      </c>
      <c r="H83" s="222"/>
      <c r="I83" s="412">
        <f t="shared" si="23"/>
        <v>0</v>
      </c>
      <c r="K83" s="208">
        <f t="shared" ref="K83:K89" si="26">K75*11</f>
        <v>22</v>
      </c>
      <c r="L83" s="208">
        <f>IFERROR(VLOOKUP(K83,B74:D89,3,FALSE),"")</f>
        <v>7</v>
      </c>
      <c r="M83" s="214" t="str">
        <f>IFERROR(IF(L83=0,0,IF(OR(VLOOKUP(K83/11,$K74:$L81,2,FALSE)=0,L83&lt;=VLOOKUP(K83/11,$K74:$L81,2,FALSE)),"A","B")),"")</f>
        <v>B</v>
      </c>
      <c r="N83" s="214" t="str">
        <f>IF(M83=0,0,IF(OR(R83="",M83="B"),"",RANK(R83,R74:R89,1)))</f>
        <v/>
      </c>
      <c r="O83" s="214">
        <f>IF(M83=0,0,IF(OR(S83="",M83="A"),"",RANK(S83,S74:S89,1)))</f>
        <v>3</v>
      </c>
      <c r="P83" s="215">
        <f t="shared" si="22"/>
        <v>22</v>
      </c>
      <c r="Q83" s="216"/>
      <c r="R83" s="217" t="str">
        <f t="shared" si="24"/>
        <v/>
      </c>
      <c r="S83" s="217">
        <f t="shared" si="25"/>
        <v>7</v>
      </c>
    </row>
    <row r="84" spans="1:19" ht="15.75" x14ac:dyDescent="0.35">
      <c r="B84" s="211">
        <f>IFERROR(IF(A75=0,E84,VLOOKUP(E84,Teams!$V$2:$Y$18,2,FALSE)),"")</f>
        <v>0</v>
      </c>
      <c r="D84" s="211">
        <v>11</v>
      </c>
      <c r="E84" s="249"/>
      <c r="F84" s="286" t="str">
        <f>IFERROR(VLOOKUP($A73&amp;E84,downloads!$A$1:$E$1000,2,FALSE),"")</f>
        <v/>
      </c>
      <c r="G84" s="212" t="str">
        <f t="shared" si="21"/>
        <v/>
      </c>
      <c r="H84" s="222"/>
      <c r="I84" s="412">
        <f t="shared" si="23"/>
        <v>0</v>
      </c>
      <c r="K84" s="208">
        <f t="shared" si="26"/>
        <v>33</v>
      </c>
      <c r="L84" s="208" t="str">
        <f>IFERROR(VLOOKUP(K84,B74:D89,3,FALSE),"")</f>
        <v/>
      </c>
      <c r="M84" s="214" t="str">
        <f>IFERROR(IF(L84=0,0,IF(OR(VLOOKUP(K84/11,$K74:$L81,2,FALSE)=0,L84&lt;=VLOOKUP(K84/11,$K74:$L81,2,FALSE)),"A","B")),"")</f>
        <v>B</v>
      </c>
      <c r="N84" s="214" t="str">
        <f>IF(M84=0,0,IF(OR(R84="",M84="B"),"",RANK(R84,R74:R89,1)))</f>
        <v/>
      </c>
      <c r="O84" s="214" t="str">
        <f>IF(M84=0,0,IF(OR(S84="",M84="A"),"",RANK(S84,S74:S89,1)))</f>
        <v/>
      </c>
      <c r="P84" s="215">
        <f t="shared" si="22"/>
        <v>33</v>
      </c>
      <c r="Q84" s="216"/>
      <c r="R84" s="217" t="str">
        <f t="shared" si="24"/>
        <v/>
      </c>
      <c r="S84" s="217" t="str">
        <f t="shared" si="25"/>
        <v/>
      </c>
    </row>
    <row r="85" spans="1:19" ht="15.75" x14ac:dyDescent="0.35">
      <c r="A85" s="202"/>
      <c r="B85" s="211">
        <f>IFERROR(IF(A75=0,E85,VLOOKUP(E85,Teams!$V$2:$Y$18,2,FALSE)),"")</f>
        <v>0</v>
      </c>
      <c r="D85" s="211">
        <v>12</v>
      </c>
      <c r="E85" s="249"/>
      <c r="F85" s="286" t="str">
        <f>IFERROR(VLOOKUP($A73&amp;E85,downloads!$A$1:$E$1000,2,FALSE),"")</f>
        <v/>
      </c>
      <c r="G85" s="212" t="str">
        <f t="shared" si="21"/>
        <v/>
      </c>
      <c r="H85" s="222"/>
      <c r="I85" s="412">
        <f t="shared" si="23"/>
        <v>0</v>
      </c>
      <c r="K85" s="208">
        <f t="shared" si="26"/>
        <v>44</v>
      </c>
      <c r="L85" s="208" t="str">
        <f>IFERROR(VLOOKUP(K85,B74:D89,3,FALSE),"")</f>
        <v/>
      </c>
      <c r="M85" s="214" t="str">
        <f>IFERROR(IF(L85=0,0,IF(OR(VLOOKUP(K85/11,$K74:$L81,2,FALSE)=0,L85&lt;=VLOOKUP(K85/11,$K74:$L81,2,FALSE)),"A","B")),"")</f>
        <v>A</v>
      </c>
      <c r="N85" s="214" t="str">
        <f>IF(M85=0,0,IF(OR(R85="",M85="B"),"",RANK(R85,R74:R89,1)))</f>
        <v/>
      </c>
      <c r="O85" s="214" t="str">
        <f>IF(M85=0,0,IF(OR(S85="",M85="A"),"",RANK(S85,S74:S89,1)))</f>
        <v/>
      </c>
      <c r="P85" s="215">
        <f t="shared" si="22"/>
        <v>44</v>
      </c>
      <c r="Q85" s="216"/>
      <c r="R85" s="217" t="str">
        <f t="shared" si="24"/>
        <v/>
      </c>
      <c r="S85" s="217" t="str">
        <f t="shared" si="25"/>
        <v/>
      </c>
    </row>
    <row r="86" spans="1:19" ht="15.75" x14ac:dyDescent="0.35">
      <c r="A86" s="210"/>
      <c r="B86" s="211">
        <f>IFERROR(IF(A75=0,E86,VLOOKUP(E86,Teams!$V$2:$Y$18,2,FALSE)),"")</f>
        <v>0</v>
      </c>
      <c r="D86" s="211">
        <v>13</v>
      </c>
      <c r="E86" s="249"/>
      <c r="F86" s="286" t="str">
        <f>IFERROR(VLOOKUP($A73&amp;E86,downloads!$A$1:$E$1000,2,FALSE),"")</f>
        <v/>
      </c>
      <c r="G86" s="212" t="str">
        <f t="shared" si="21"/>
        <v/>
      </c>
      <c r="H86" s="222"/>
      <c r="I86" s="412">
        <f t="shared" si="23"/>
        <v>0</v>
      </c>
      <c r="K86" s="208">
        <f t="shared" si="26"/>
        <v>55</v>
      </c>
      <c r="L86" s="208" t="str">
        <f>IFERROR(VLOOKUP(K86,B74:D89,3,FALSE),"")</f>
        <v/>
      </c>
      <c r="M86" s="214" t="str">
        <f>IFERROR(IF(L86=0,0,IF(OR(VLOOKUP(K86/11,$K74:$L81,2,FALSE)=0,L86&lt;=VLOOKUP(K86/11,$K74:$L81,2,FALSE)),"A","B")),"")</f>
        <v>A</v>
      </c>
      <c r="N86" s="214" t="str">
        <f>IF(M86=0,0,IF(OR(R86="",M86="B"),"",RANK(R86,R74:R89,1)))</f>
        <v/>
      </c>
      <c r="O86" s="214" t="str">
        <f>IF(M86=0,0,IF(OR(S86="",M86="A"),"",RANK(S86,S74:S89,1)))</f>
        <v/>
      </c>
      <c r="P86" s="215">
        <f t="shared" si="22"/>
        <v>55</v>
      </c>
      <c r="Q86" s="216"/>
      <c r="R86" s="217" t="str">
        <f t="shared" si="24"/>
        <v/>
      </c>
      <c r="S86" s="217" t="str">
        <f t="shared" si="25"/>
        <v/>
      </c>
    </row>
    <row r="87" spans="1:19" ht="15.75" x14ac:dyDescent="0.35">
      <c r="A87" s="203"/>
      <c r="B87" s="211">
        <f>IFERROR(IF(A75=0,E87,VLOOKUP(E87,Teams!$V$2:$Y$18,2,FALSE)),"")</f>
        <v>0</v>
      </c>
      <c r="D87" s="211">
        <v>14</v>
      </c>
      <c r="E87" s="249"/>
      <c r="F87" s="286" t="str">
        <f>IFERROR(VLOOKUP($A73&amp;E87,downloads!$A$1:$E$1000,2,FALSE),"")</f>
        <v/>
      </c>
      <c r="G87" s="212" t="str">
        <f t="shared" si="21"/>
        <v/>
      </c>
      <c r="H87" s="222"/>
      <c r="I87" s="412">
        <f t="shared" si="23"/>
        <v>0</v>
      </c>
      <c r="K87" s="208">
        <f t="shared" si="26"/>
        <v>66</v>
      </c>
      <c r="L87" s="208">
        <f>IFERROR(VLOOKUP(K87,B74:D89,3,FALSE),"")</f>
        <v>5</v>
      </c>
      <c r="M87" s="214" t="str">
        <f>IFERROR(IF(L87=0,0,IF(OR(VLOOKUP(K87/11,$K74:$L81,2,FALSE)=0,L87&lt;=VLOOKUP(K87/11,$K74:$L81,2,FALSE)),"A","B")),"")</f>
        <v>B</v>
      </c>
      <c r="N87" s="214" t="str">
        <f>IF(M87=0,0,IF(OR(R87="",M87="B"),"",RANK(R87,R74:R89,1)))</f>
        <v/>
      </c>
      <c r="O87" s="214">
        <f>IF(M87=0,0,IF(OR(S87="",M87="A"),"",RANK(S87,S74:S89,1)))</f>
        <v>2</v>
      </c>
      <c r="P87" s="215">
        <f t="shared" si="22"/>
        <v>66</v>
      </c>
      <c r="Q87" s="216"/>
      <c r="R87" s="217" t="str">
        <f t="shared" si="24"/>
        <v/>
      </c>
      <c r="S87" s="217">
        <f t="shared" si="25"/>
        <v>5</v>
      </c>
    </row>
    <row r="88" spans="1:19" ht="15.75" x14ac:dyDescent="0.35">
      <c r="B88" s="211">
        <f>IFERROR(IF(A75=0,E88,VLOOKUP(E88,Teams!$V$2:$Y$18,2,FALSE)),"")</f>
        <v>0</v>
      </c>
      <c r="D88" s="211">
        <v>15</v>
      </c>
      <c r="E88" s="249"/>
      <c r="F88" s="286" t="str">
        <f>IFERROR(VLOOKUP($A73&amp;E88,downloads!$A$1:$E$1000,2,FALSE),"")</f>
        <v/>
      </c>
      <c r="G88" s="212" t="str">
        <f t="shared" si="21"/>
        <v/>
      </c>
      <c r="H88" s="222"/>
      <c r="I88" s="412">
        <f t="shared" si="23"/>
        <v>0</v>
      </c>
      <c r="K88" s="208">
        <f t="shared" si="26"/>
        <v>77</v>
      </c>
      <c r="L88" s="208">
        <f>IFERROR(VLOOKUP(K88,B74:D89,3,FALSE),"")</f>
        <v>3</v>
      </c>
      <c r="M88" s="214" t="str">
        <f>IFERROR(IF(L88=0,0,IF(OR(VLOOKUP(K88/11,$K74:$L81,2,FALSE)=0,L88&lt;=VLOOKUP(K88/11,$K74:$L81,2,FALSE)),"A","B")),"")</f>
        <v>A</v>
      </c>
      <c r="N88" s="214">
        <f>IF(M88=0,0,IF(OR(R88="",M88="B"),"",RANK(R88,R74:R89,1)))</f>
        <v>3</v>
      </c>
      <c r="O88" s="214" t="str">
        <f>IF(M88=0,0,IF(OR(S88="",M88="A"),"",RANK(S88,S74:S89,1)))</f>
        <v/>
      </c>
      <c r="P88" s="215">
        <f t="shared" si="22"/>
        <v>77</v>
      </c>
      <c r="Q88" s="216"/>
      <c r="R88" s="217">
        <f t="shared" si="24"/>
        <v>3</v>
      </c>
      <c r="S88" s="217" t="str">
        <f t="shared" si="25"/>
        <v/>
      </c>
    </row>
    <row r="89" spans="1:19" ht="15.75" x14ac:dyDescent="0.35">
      <c r="A89" s="220"/>
      <c r="B89" s="211">
        <f>IFERROR(IF(A75=0,E89,VLOOKUP(E89,Teams!$V$2:$Y$18,2,FALSE)),"")</f>
        <v>0</v>
      </c>
      <c r="D89" s="211">
        <v>16</v>
      </c>
      <c r="E89" s="249"/>
      <c r="F89" s="286" t="str">
        <f>IFERROR(VLOOKUP($A73&amp;E89,downloads!$A$1:$E$1000,2,FALSE),"")</f>
        <v/>
      </c>
      <c r="G89" s="212" t="str">
        <f t="shared" si="21"/>
        <v/>
      </c>
      <c r="H89" s="222"/>
      <c r="I89" s="412">
        <f t="shared" si="23"/>
        <v>0</v>
      </c>
      <c r="K89" s="208">
        <f t="shared" si="26"/>
        <v>88</v>
      </c>
      <c r="L89" s="208" t="str">
        <f>IFERROR(VLOOKUP(K89,B74:D89,3,FALSE),"")</f>
        <v/>
      </c>
      <c r="M89" s="214" t="str">
        <f>IFERROR(IF(L89=0,0,IF(OR(VLOOKUP(K89/11,$K74:$L81,2,FALSE)=0,L89&lt;=VLOOKUP(K89/11,$K74:$L81,2,FALSE)),"A","B")),"")</f>
        <v>A</v>
      </c>
      <c r="N89" s="214" t="str">
        <f>IF(M89=0,0,IF(OR(R89="",M89="B"),"",RANK(R89,R74:R89,1)))</f>
        <v/>
      </c>
      <c r="O89" s="214" t="str">
        <f>IF(M89=0,0,IF(OR(S89="",M89="A"),"",RANK(S89,S74:S89,1)))</f>
        <v/>
      </c>
      <c r="P89" s="215">
        <f t="shared" si="22"/>
        <v>88</v>
      </c>
      <c r="Q89" s="216"/>
      <c r="R89" s="217" t="str">
        <f t="shared" si="24"/>
        <v/>
      </c>
      <c r="S89" s="217" t="str">
        <f t="shared" si="25"/>
        <v/>
      </c>
    </row>
    <row r="90" spans="1:19" hidden="1" x14ac:dyDescent="0.3">
      <c r="A90" s="220"/>
      <c r="I90" s="413">
        <f t="shared" ref="I90" si="27">IFERROR(IF(LEFT(H90,1)="D",H90,(INT(H90)*60+(H90-INT(H90))*100)/86400),"X")</f>
        <v>0</v>
      </c>
    </row>
    <row r="91" spans="1:19" hidden="1" x14ac:dyDescent="0.3">
      <c r="A91" s="220"/>
      <c r="B91" s="211"/>
      <c r="C91" s="208" t="s">
        <v>53</v>
      </c>
      <c r="D91" s="208">
        <v>1</v>
      </c>
      <c r="E91" s="250">
        <f>IFERROR(IF(E74&gt;88,E74,IF(A75=0,VLOOKUP(D91,N74:Q89,3,FALSE),VLOOKUP(D91,N74:Q89,4,FALSE))),0)</f>
        <v>3</v>
      </c>
      <c r="F91" s="212" t="str">
        <f>IFERROR(VLOOKUP(E91,E74:F89,2,FALSE),"")</f>
        <v>Jessica HODGKINSON</v>
      </c>
      <c r="G91" s="212" t="str">
        <f>IFERROR(VLOOKUP(E91,teamlookup,5,FALSE),"")</f>
        <v>Leigh</v>
      </c>
      <c r="H91" s="229">
        <f>IFERROR(VLOOKUP(E91,E74:I89,5,FALSE),"")</f>
        <v>3.4664351851851852E-3</v>
      </c>
      <c r="I91" s="412"/>
      <c r="K91" s="221"/>
    </row>
    <row r="92" spans="1:19" hidden="1" x14ac:dyDescent="0.3">
      <c r="A92" s="220"/>
      <c r="B92" s="211"/>
      <c r="D92" s="208">
        <v>2</v>
      </c>
      <c r="E92" s="250">
        <f>IFERROR(IF(A75=0,VLOOKUP(D92,N74:Q89,3,FALSE),VLOOKUP(D92,N74:Q89,4,FALSE)),"")</f>
        <v>6</v>
      </c>
      <c r="F92" s="212" t="str">
        <f>IFERROR(VLOOKUP(E92,E74:F89,2,FALSE),"")</f>
        <v>Charlotte UNDERWOOD</v>
      </c>
      <c r="G92" s="212" t="str">
        <f t="shared" ref="G92:G98" si="28">IFERROR(VLOOKUP(E92,teamlookup,5,FALSE),"")</f>
        <v>Stock</v>
      </c>
      <c r="H92" s="229">
        <f>IFERROR(VLOOKUP(E92,E74:I89,5,FALSE),"")</f>
        <v>3.7604166666666662E-3</v>
      </c>
      <c r="I92" s="412"/>
    </row>
    <row r="93" spans="1:19" hidden="1" x14ac:dyDescent="0.3">
      <c r="A93" s="203"/>
      <c r="B93" s="211"/>
      <c r="D93" s="208">
        <v>3</v>
      </c>
      <c r="E93" s="250">
        <f>IFERROR(IF(A75=0,VLOOKUP(D93,N74:Q89,3,FALSE),VLOOKUP(D93,N74:Q89,4,FALSE)),"")</f>
        <v>77</v>
      </c>
      <c r="F93" s="212" t="str">
        <f>IFERROR(VLOOKUP(E93,E74:F89,2,FALSE),"")</f>
        <v>Holly NICHOLLS</v>
      </c>
      <c r="G93" s="212" t="str">
        <f t="shared" si="28"/>
        <v>Wigan</v>
      </c>
      <c r="H93" s="229">
        <f>IFERROR(VLOOKUP(E93,E74:I89,5,FALSE),"")</f>
        <v>3.9004629629629628E-3</v>
      </c>
      <c r="I93" s="412"/>
    </row>
    <row r="94" spans="1:19" hidden="1" x14ac:dyDescent="0.3">
      <c r="A94" s="203"/>
      <c r="B94" s="211"/>
      <c r="D94" s="208">
        <v>4</v>
      </c>
      <c r="E94" s="250">
        <f>IFERROR(IF(A75=0,VLOOKUP(D94,N74:Q89,3,FALSE),VLOOKUP(D94,N74:Q89,4,FALSE)),"")</f>
        <v>2</v>
      </c>
      <c r="F94" s="212" t="str">
        <f>IFERROR(VLOOKUP(E94,E74:F89,2,FALSE),"")</f>
        <v>Ava ROYLE</v>
      </c>
      <c r="G94" s="212" t="str">
        <f t="shared" si="28"/>
        <v>ECHT</v>
      </c>
      <c r="H94" s="229">
        <f>IFERROR(VLOOKUP(E94,E74:I89,5,FALSE),"")</f>
        <v>4.0879629629629625E-3</v>
      </c>
      <c r="I94" s="412"/>
    </row>
    <row r="95" spans="1:19" hidden="1" x14ac:dyDescent="0.3">
      <c r="B95" s="211"/>
      <c r="D95" s="208">
        <v>5</v>
      </c>
      <c r="E95" s="250" t="str">
        <f>IFERROR(IF(A75=0,VLOOKUP(D95,N74:Q89,3,FALSE),VLOOKUP(D95,N74:Q89,4,FALSE)),"")</f>
        <v/>
      </c>
      <c r="F95" s="212" t="str">
        <f>IFERROR(VLOOKUP(E95,E74:F89,2,FALSE),"")</f>
        <v/>
      </c>
      <c r="G95" s="212" t="str">
        <f t="shared" si="28"/>
        <v/>
      </c>
      <c r="H95" s="229" t="str">
        <f>IFERROR(VLOOKUP(E95,E74:I89,5,FALSE),"")</f>
        <v/>
      </c>
      <c r="I95" s="412"/>
    </row>
    <row r="96" spans="1:19" hidden="1" x14ac:dyDescent="0.3">
      <c r="A96" s="202"/>
      <c r="B96" s="211"/>
      <c r="D96" s="208">
        <v>6</v>
      </c>
      <c r="E96" s="250" t="str">
        <f>IFERROR(IF(A75=0,VLOOKUP(D96,N74:Q89,3,FALSE),VLOOKUP(D96,N74:Q89,4,FALSE)),"")</f>
        <v/>
      </c>
      <c r="F96" s="212" t="str">
        <f>IFERROR(VLOOKUP(E96,E74:F89,2,FALSE),"")</f>
        <v/>
      </c>
      <c r="G96" s="212" t="str">
        <f t="shared" si="28"/>
        <v/>
      </c>
      <c r="H96" s="229" t="str">
        <f>IFERROR(VLOOKUP(E96,E74:I89,5,FALSE),"")</f>
        <v/>
      </c>
      <c r="I96" s="412"/>
    </row>
    <row r="97" spans="1:20" hidden="1" x14ac:dyDescent="0.3">
      <c r="A97" s="210"/>
      <c r="B97" s="211"/>
      <c r="D97" s="208">
        <v>7</v>
      </c>
      <c r="E97" s="250" t="str">
        <f>IFERROR(IF(A75=0,VLOOKUP(D97,N74:Q89,3,FALSE),VLOOKUP(D97,N74:Q89,4,FALSE)),"")</f>
        <v/>
      </c>
      <c r="F97" s="212" t="str">
        <f>IFERROR(VLOOKUP(E97,E74:F89,2,FALSE),"")</f>
        <v/>
      </c>
      <c r="G97" s="212" t="str">
        <f t="shared" si="28"/>
        <v/>
      </c>
      <c r="H97" s="229" t="str">
        <f>IFERROR(VLOOKUP(E97,E74:I89,5,FALSE),"")</f>
        <v/>
      </c>
      <c r="I97" s="412"/>
    </row>
    <row r="98" spans="1:20" hidden="1" x14ac:dyDescent="0.3">
      <c r="A98" s="203"/>
      <c r="B98" s="211"/>
      <c r="D98" s="208">
        <v>8</v>
      </c>
      <c r="E98" s="250" t="str">
        <f>IFERROR(IF(A75=0,VLOOKUP(D98,N74:Q89,3,FALSE),VLOOKUP(D98,N74:Q89,4,FALSE)),"")</f>
        <v/>
      </c>
      <c r="F98" s="212" t="str">
        <f>IFERROR(VLOOKUP(E98,E74:F89,2,FALSE),"")</f>
        <v/>
      </c>
      <c r="G98" s="212" t="str">
        <f t="shared" si="28"/>
        <v/>
      </c>
      <c r="H98" s="229" t="str">
        <f>IFERROR(VLOOKUP(E98,E74:I89,5,FALSE),"")</f>
        <v/>
      </c>
      <c r="I98" s="412"/>
    </row>
    <row r="99" spans="1:20" hidden="1" x14ac:dyDescent="0.3">
      <c r="F99" s="212"/>
      <c r="H99" s="230"/>
      <c r="I99" s="412">
        <f t="shared" ref="I99" si="29">IFERROR(IF(LEFT(H99,1)="D",H99,(INT(H99)*60+(H99-INT(H99))*100)/86400),"X")</f>
        <v>0</v>
      </c>
    </row>
    <row r="100" spans="1:20" hidden="1" x14ac:dyDescent="0.3">
      <c r="A100" s="220"/>
      <c r="B100" s="211"/>
      <c r="C100" s="208" t="s">
        <v>54</v>
      </c>
      <c r="D100" s="208">
        <v>1</v>
      </c>
      <c r="E100" s="250">
        <f>IFERROR(IF(A75=0,VLOOKUP(D100,O74:Q89,2,FALSE),VLOOKUP(D100,O74:Q89,3,FALSE)),"")</f>
        <v>7</v>
      </c>
      <c r="F100" s="212" t="str">
        <f>IFERROR(VLOOKUP(E100,E74:F89,2,FALSE),"")</f>
        <v>Lucy ORRELL</v>
      </c>
      <c r="G100" s="212" t="str">
        <f t="shared" ref="G100:G107" si="30">IFERROR(VLOOKUP(E100,teamlookup,5,FALSE),"")</f>
        <v>Wigan</v>
      </c>
      <c r="H100" s="229">
        <f>IFERROR(VLOOKUP(E100,E74:I89,5,FALSE),"")</f>
        <v>3.9699074074074072E-3</v>
      </c>
      <c r="I100" s="412"/>
    </row>
    <row r="101" spans="1:20" hidden="1" x14ac:dyDescent="0.3">
      <c r="A101" s="220"/>
      <c r="B101" s="211"/>
      <c r="D101" s="208">
        <v>2</v>
      </c>
      <c r="E101" s="250">
        <f>IFERROR(IF(A75=0,VLOOKUP(D101,O74:Q89,2,FALSE),VLOOKUP(D101,O74:Q89,3,FALSE)),"")</f>
        <v>66</v>
      </c>
      <c r="F101" s="212" t="str">
        <f>IFERROR(VLOOKUP(E101,E74:F89,2,FALSE),"")</f>
        <v>Poppy BRANCH</v>
      </c>
      <c r="G101" s="212" t="str">
        <f t="shared" si="30"/>
        <v>Stock</v>
      </c>
      <c r="H101" s="229">
        <f>IFERROR(VLOOKUP(E101,E74:I89,5,FALSE),"")</f>
        <v>3.9837962962962969E-3</v>
      </c>
      <c r="I101" s="412"/>
    </row>
    <row r="102" spans="1:20" hidden="1" x14ac:dyDescent="0.3">
      <c r="A102" s="220"/>
      <c r="B102" s="211"/>
      <c r="D102" s="208">
        <v>3</v>
      </c>
      <c r="E102" s="250">
        <f>IFERROR(IF(A75=0,VLOOKUP(D102,O74:Q89,2,FALSE),VLOOKUP(D102,O74:Q89,3,FALSE)),"")</f>
        <v>22</v>
      </c>
      <c r="F102" s="212" t="str">
        <f>IFERROR(VLOOKUP(E102,E74:F89,2,FALSE),"")</f>
        <v>Sophia GUSH</v>
      </c>
      <c r="G102" s="212" t="str">
        <f t="shared" si="30"/>
        <v>ECHT</v>
      </c>
      <c r="H102" s="229">
        <f>IFERROR(VLOOKUP(E102,E74:I89,5,FALSE),"")</f>
        <v>4.2835648148148147E-3</v>
      </c>
      <c r="I102" s="412"/>
    </row>
    <row r="103" spans="1:20" hidden="1" x14ac:dyDescent="0.3">
      <c r="A103" s="220"/>
      <c r="B103" s="211"/>
      <c r="D103" s="208">
        <v>4</v>
      </c>
      <c r="E103" s="250" t="str">
        <f>IFERROR(IF(A75=0,VLOOKUP(D103,O74:Q89,2,FALSE),VLOOKUP(D103,O74:Q89,3,FALSE)),"")</f>
        <v/>
      </c>
      <c r="F103" s="212" t="str">
        <f>IFERROR(VLOOKUP(E103,E74:F89,2,FALSE),"")</f>
        <v/>
      </c>
      <c r="G103" s="212" t="str">
        <f t="shared" si="30"/>
        <v/>
      </c>
      <c r="H103" s="229" t="str">
        <f>IFERROR(VLOOKUP(E103,E74:I89,5,FALSE),"")</f>
        <v/>
      </c>
      <c r="I103" s="412"/>
    </row>
    <row r="104" spans="1:20" hidden="1" x14ac:dyDescent="0.3">
      <c r="A104" s="203"/>
      <c r="B104" s="211"/>
      <c r="D104" s="208">
        <v>5</v>
      </c>
      <c r="E104" s="250" t="str">
        <f>IFERROR(IF(A75=0,VLOOKUP(D104,O74:Q89,2,FALSE),VLOOKUP(D104,O74:Q89,3,FALSE)),"")</f>
        <v/>
      </c>
      <c r="F104" s="212" t="str">
        <f>IFERROR(VLOOKUP(E104,E74:F89,2,FALSE),"")</f>
        <v/>
      </c>
      <c r="G104" s="212" t="str">
        <f t="shared" si="30"/>
        <v/>
      </c>
      <c r="H104" s="229" t="str">
        <f>IFERROR(VLOOKUP(E104,E74:I89,5,FALSE),"")</f>
        <v/>
      </c>
      <c r="I104" s="412"/>
    </row>
    <row r="105" spans="1:20" hidden="1" x14ac:dyDescent="0.3">
      <c r="A105" s="203"/>
      <c r="B105" s="211"/>
      <c r="D105" s="208">
        <v>6</v>
      </c>
      <c r="E105" s="250" t="str">
        <f>IFERROR(IF(A75=0,VLOOKUP(D105,O74:Q89,2,FALSE),VLOOKUP(D105,O74:Q89,3,FALSE)),"")</f>
        <v/>
      </c>
      <c r="F105" s="212" t="str">
        <f>IFERROR(VLOOKUP(E105,E74:F89,2,FALSE),"")</f>
        <v/>
      </c>
      <c r="G105" s="212" t="str">
        <f t="shared" si="30"/>
        <v/>
      </c>
      <c r="H105" s="229" t="str">
        <f>IFERROR(VLOOKUP(E105,E74:I89,5,FALSE),"")</f>
        <v/>
      </c>
      <c r="I105" s="412"/>
    </row>
    <row r="106" spans="1:20" hidden="1" x14ac:dyDescent="0.3">
      <c r="B106" s="211"/>
      <c r="D106" s="208">
        <v>7</v>
      </c>
      <c r="E106" s="250" t="str">
        <f>IFERROR(IF(A75=0,VLOOKUP(D106,O74:Q89,2,FALSE),VLOOKUP(D106,O74:Q89,3,FALSE)),"")</f>
        <v/>
      </c>
      <c r="F106" s="212" t="str">
        <f>IFERROR(VLOOKUP(E106,E74:F89,2,FALSE),"")</f>
        <v/>
      </c>
      <c r="G106" s="212" t="str">
        <f t="shared" si="30"/>
        <v/>
      </c>
      <c r="H106" s="229" t="str">
        <f>IFERROR(VLOOKUP(E106,E74:I89,5,FALSE),"")</f>
        <v/>
      </c>
      <c r="I106" s="412"/>
    </row>
    <row r="107" spans="1:20" hidden="1" x14ac:dyDescent="0.3">
      <c r="A107" s="202"/>
      <c r="B107" s="211"/>
      <c r="D107" s="208">
        <v>8</v>
      </c>
      <c r="E107" s="250" t="str">
        <f>IFERROR(IF(A75=0,VLOOKUP(D107,O74:Q89,2,FALSE),VLOOKUP(D107,O74:Q89,3,FALSE)),"")</f>
        <v/>
      </c>
      <c r="F107" s="212" t="str">
        <f>IFERROR(VLOOKUP(E107,E74:F89,2,FALSE),"")</f>
        <v/>
      </c>
      <c r="G107" s="212" t="str">
        <f t="shared" si="30"/>
        <v/>
      </c>
      <c r="H107" s="229" t="str">
        <f>IFERROR(VLOOKUP(E107,E74:I89,5,FALSE),"")</f>
        <v/>
      </c>
      <c r="I107" s="412"/>
    </row>
    <row r="108" spans="1:20" hidden="1" x14ac:dyDescent="0.3">
      <c r="I108" s="413">
        <f t="shared" ref="I108:I109" si="31">IFERROR(IF(LEFT(H108,1)="D",H108,(INT(H108)*60+(H108-INT(H108))*100)/86400),"")</f>
        <v>0</v>
      </c>
    </row>
    <row r="109" spans="1:20" x14ac:dyDescent="0.3">
      <c r="A109" s="202" t="s">
        <v>259</v>
      </c>
      <c r="B109" s="203">
        <f>B73+36</f>
        <v>127</v>
      </c>
      <c r="C109" s="203">
        <f>C73+36</f>
        <v>136</v>
      </c>
      <c r="D109" s="204"/>
      <c r="E109" s="170" t="str">
        <f>IFERROR(A110&amp;" "&amp;VLOOKUP(A109,timetables,2,FALSE)&amp;" "&amp;VLOOKUP(A109,timetables,3,FALSE)&amp;" A","")</f>
        <v xml:space="preserve"> 1500m U15 Boys A</v>
      </c>
      <c r="F109" s="205"/>
      <c r="G109" s="205"/>
      <c r="H109" s="250" t="s">
        <v>176</v>
      </c>
      <c r="I109" s="413" t="str">
        <f t="shared" si="31"/>
        <v/>
      </c>
      <c r="N109" s="209"/>
      <c r="O109" s="209"/>
    </row>
    <row r="110" spans="1:20" ht="15.75" x14ac:dyDescent="0.35">
      <c r="A110" s="210"/>
      <c r="B110" s="211">
        <f>IFERROR(IF(A111=0,E110,VLOOKUP(E110,Teams!$V$2:$Y$18,2,FALSE)),"")</f>
        <v>2</v>
      </c>
      <c r="D110" s="211">
        <v>1</v>
      </c>
      <c r="E110" s="249">
        <v>2</v>
      </c>
      <c r="F110" s="286" t="str">
        <f>IFERROR(VLOOKUP($A$109&amp;E110,downloads!$A$1:$E$1000,2,FALSE),"")</f>
        <v>Marshall FLEET</v>
      </c>
      <c r="G110" s="212" t="str">
        <f t="shared" ref="G110:G125" si="32">IFERROR(VLOOKUP(E110,teamlookup,5,FALSE),"")</f>
        <v>ECHT</v>
      </c>
      <c r="H110" s="414">
        <v>4.3540000000000001</v>
      </c>
      <c r="I110" s="412">
        <f>IFERROR(IF(LEFT(H110,1)="D",H110,(INT(H110)*60+(H110-INT(H110))*100)/86400),"X")</f>
        <v>3.1874999999999998E-3</v>
      </c>
      <c r="J110" s="208">
        <f>IFERROR(IF(H110=99,1,0),0)</f>
        <v>0</v>
      </c>
      <c r="K110" s="213">
        <v>1</v>
      </c>
      <c r="L110" s="208" t="str">
        <f>IFERROR(VLOOKUP(K110,B110:D125,3,FALSE),"")</f>
        <v/>
      </c>
      <c r="M110" s="214" t="str">
        <f>IFERROR(IF(L110=0,0,IF(OR(VLOOKUP(K110*11,$K118:$L125,2,FALSE)=0,L110&lt;=VLOOKUP(K110*11,$K118:$L125,2,FALSE)),"A","B")),"")</f>
        <v>A</v>
      </c>
      <c r="N110" s="214" t="str">
        <f>IF(M110=0,0,IF(OR(R110="",M110="B"),"",RANK(R110,R110:R125,1)))</f>
        <v/>
      </c>
      <c r="O110" s="214" t="str">
        <f>IF(M110=0,0,IF(OR(S110="",M110="A"),"",RANK(S110,S110:S125,1)))</f>
        <v/>
      </c>
      <c r="P110" s="215">
        <f t="shared" ref="P110:P125" si="33">K110</f>
        <v>1</v>
      </c>
      <c r="Q110" s="216"/>
      <c r="R110" s="217" t="str">
        <f>IFERROR(IF(OR(L110=0,M110="B"),"",L110),"")</f>
        <v/>
      </c>
      <c r="S110" s="217" t="str">
        <f>IFERROR(IF(OR(L110=0,M110="A"),"",L110),"")</f>
        <v/>
      </c>
      <c r="T110" s="212"/>
    </row>
    <row r="111" spans="1:20" ht="15.75" x14ac:dyDescent="0.35">
      <c r="A111" s="218">
        <f>IFERROR(SEARCH("U17",E109),0)</f>
        <v>0</v>
      </c>
      <c r="B111" s="211">
        <f>IFERROR(IF(A111=0,E111,VLOOKUP(E111,Teams!$V$2:$Y$18,2,FALSE)),"")</f>
        <v>44</v>
      </c>
      <c r="D111" s="211">
        <v>2</v>
      </c>
      <c r="E111" s="249">
        <v>44</v>
      </c>
      <c r="F111" s="286" t="str">
        <f>IFERROR(VLOOKUP($A109&amp;E111,downloads!$A$1:$E$1000,2,FALSE),"")</f>
        <v>George O'DONNELL</v>
      </c>
      <c r="G111" s="212" t="str">
        <f t="shared" si="32"/>
        <v>Macc</v>
      </c>
      <c r="H111" s="222">
        <v>4.407</v>
      </c>
      <c r="I111" s="412">
        <f t="shared" ref="I111:I125" si="34">IFERROR(IF(LEFT(H111,1)="D",H111,(INT(H111)*60+(H111-INT(H111))*100)/86400),"X")</f>
        <v>3.2488425925925927E-3</v>
      </c>
      <c r="K111" s="213">
        <v>2</v>
      </c>
      <c r="L111" s="208">
        <f>IFERROR(VLOOKUP(K111,B110:D125,3,FALSE),"")</f>
        <v>1</v>
      </c>
      <c r="M111" s="214" t="str">
        <f>IFERROR(IF(L111=0,0,IF(OR(VLOOKUP(K111*11,$K118:$L125,2,FALSE)=0,L111&lt;=VLOOKUP(K111*11,$K118:$L125,2,FALSE)),"A","B")),"")</f>
        <v>A</v>
      </c>
      <c r="N111" s="214">
        <f>IF(M111=0,0,IF(OR(R111="",M111="B"),"",RANK(R111,R110:R125,1)))</f>
        <v>1</v>
      </c>
      <c r="O111" s="214" t="str">
        <f>IF(M111=0,0,IF(OR(S111="",M111="A"),"",RANK(S111,S110:S125,1)))</f>
        <v/>
      </c>
      <c r="P111" s="215">
        <f t="shared" si="33"/>
        <v>2</v>
      </c>
      <c r="Q111" s="216"/>
      <c r="R111" s="217">
        <f t="shared" ref="R111:R125" si="35">IFERROR(IF(OR(L111=0,M111="B"),"",L111),"")</f>
        <v>1</v>
      </c>
      <c r="S111" s="217" t="str">
        <f t="shared" ref="S111:S125" si="36">IFERROR(IF(OR(L111=0,M111="A"),"",L111),"")</f>
        <v/>
      </c>
    </row>
    <row r="112" spans="1:20" ht="15.75" x14ac:dyDescent="0.35">
      <c r="B112" s="211">
        <f>IFERROR(IF(A111=0,E112,VLOOKUP(E112,Teams!$V$2:$Y$18,2,FALSE)),"")</f>
        <v>6</v>
      </c>
      <c r="D112" s="211">
        <v>3</v>
      </c>
      <c r="E112" s="249">
        <v>6</v>
      </c>
      <c r="F112" s="286" t="str">
        <f>IFERROR(VLOOKUP($A109&amp;E112,downloads!$A$1:$E$1000,2,FALSE),"")</f>
        <v>Will WALTON</v>
      </c>
      <c r="G112" s="212" t="str">
        <f t="shared" si="32"/>
        <v>Stock</v>
      </c>
      <c r="H112" s="222">
        <v>4.5250000000000004</v>
      </c>
      <c r="I112" s="412">
        <f t="shared" si="34"/>
        <v>3.3854166666666672E-3</v>
      </c>
      <c r="K112" s="213">
        <v>3</v>
      </c>
      <c r="L112" s="208">
        <f>IFERROR(VLOOKUP(K112,B110:D125,3,FALSE),"")</f>
        <v>5</v>
      </c>
      <c r="M112" s="214" t="str">
        <f>IFERROR(IF(L112=0,0,IF(OR(VLOOKUP(K112*11,$K118:$L125,2,FALSE)=0,L112&lt;=VLOOKUP(K112*11,$K118:$L125,2,FALSE)),"A","B")),"")</f>
        <v>A</v>
      </c>
      <c r="N112" s="214">
        <f>IF(M112=0,0,IF(OR(R112="",M112="B"),"",RANK(R112,R110:R125,1)))</f>
        <v>4</v>
      </c>
      <c r="O112" s="214" t="str">
        <f>IF(M112=0,0,IF(OR(S112="",M112="A"),"",RANK(S112,S110:S125,1)))</f>
        <v/>
      </c>
      <c r="P112" s="215">
        <f t="shared" si="33"/>
        <v>3</v>
      </c>
      <c r="Q112" s="216"/>
      <c r="R112" s="217">
        <f t="shared" si="35"/>
        <v>5</v>
      </c>
      <c r="S112" s="217" t="str">
        <f t="shared" si="36"/>
        <v/>
      </c>
    </row>
    <row r="113" spans="1:19" ht="15.75" x14ac:dyDescent="0.35">
      <c r="A113" s="219">
        <f>IFERROR(VLOOKUP(A109,Timetables!$A:$E,5,FALSE)-1,"")</f>
        <v>59</v>
      </c>
      <c r="B113" s="211">
        <f>IFERROR(IF(A111=0,E113,VLOOKUP(E113,Teams!$V$2:$Y$18,2,FALSE)),"")</f>
        <v>4</v>
      </c>
      <c r="D113" s="211">
        <v>4</v>
      </c>
      <c r="E113" s="249">
        <v>4</v>
      </c>
      <c r="F113" s="286" t="str">
        <f>IFERROR(VLOOKUP($A109&amp;E113,downloads!$A$1:$E$1000,2,FALSE),"")</f>
        <v>Bobby TOMLINSON</v>
      </c>
      <c r="G113" s="212" t="str">
        <f t="shared" si="32"/>
        <v>Macc</v>
      </c>
      <c r="H113" s="222">
        <v>4.5430000000000001</v>
      </c>
      <c r="I113" s="412">
        <f t="shared" si="34"/>
        <v>3.40625E-3</v>
      </c>
      <c r="K113" s="213">
        <v>4</v>
      </c>
      <c r="L113" s="208">
        <f>IFERROR(VLOOKUP(K113,B110:D125,3,FALSE),"")</f>
        <v>4</v>
      </c>
      <c r="M113" s="214" t="str">
        <f>IFERROR(IF(L113=0,0,IF(OR(VLOOKUP(K113*11,$K118:$L125,2,FALSE)=0,L113&lt;=VLOOKUP(K113*11,$K118:$L125,2,FALSE)),"A","B")),"")</f>
        <v>B</v>
      </c>
      <c r="N113" s="214" t="str">
        <f>IF(M113=0,0,IF(OR(R113="",M113="B"),"",RANK(R113,R110:R125,1)))</f>
        <v/>
      </c>
      <c r="O113" s="214">
        <f>IF(M113=0,0,IF(OR(S113="",M113="A"),"",RANK(S113,S110:S125,1)))</f>
        <v>1</v>
      </c>
      <c r="P113" s="215">
        <f t="shared" si="33"/>
        <v>4</v>
      </c>
      <c r="Q113" s="216"/>
      <c r="R113" s="217" t="str">
        <f t="shared" si="35"/>
        <v/>
      </c>
      <c r="S113" s="217">
        <f t="shared" si="36"/>
        <v>4</v>
      </c>
    </row>
    <row r="114" spans="1:19" ht="15.75" x14ac:dyDescent="0.35">
      <c r="A114" s="220"/>
      <c r="B114" s="211">
        <f>IFERROR(IF(A111=0,E114,VLOOKUP(E114,Teams!$V$2:$Y$18,2,FALSE)),"")</f>
        <v>3</v>
      </c>
      <c r="D114" s="211">
        <v>5</v>
      </c>
      <c r="E114" s="249">
        <v>3</v>
      </c>
      <c r="F114" s="286" t="str">
        <f>IFERROR(VLOOKUP($A109&amp;E114,downloads!$A$1:$E$1000,2,FALSE),"")</f>
        <v>Lucas GREGORY</v>
      </c>
      <c r="G114" s="212" t="str">
        <f t="shared" si="32"/>
        <v>Leigh</v>
      </c>
      <c r="H114" s="222">
        <v>5.0839999999999996</v>
      </c>
      <c r="I114" s="412">
        <f t="shared" si="34"/>
        <v>3.5694444444444441E-3</v>
      </c>
      <c r="K114" s="213">
        <v>5</v>
      </c>
      <c r="L114" s="208">
        <f>IFERROR(VLOOKUP(K114,B110:D125,3,FALSE),"")</f>
        <v>6</v>
      </c>
      <c r="M114" s="214" t="str">
        <f>IFERROR(IF(L114=0,0,IF(OR(VLOOKUP(K114*11,$K118:$L125,2,FALSE)=0,L114&lt;=VLOOKUP(K114*11,$K118:$L125,2,FALSE)),"A","B")),"")</f>
        <v>A</v>
      </c>
      <c r="N114" s="214">
        <f>IF(M114=0,0,IF(OR(R114="",M114="B"),"",RANK(R114,R110:R125,1)))</f>
        <v>5</v>
      </c>
      <c r="O114" s="214" t="str">
        <f>IF(M114=0,0,IF(OR(S114="",M114="A"),"",RANK(S114,S110:S125,1)))</f>
        <v/>
      </c>
      <c r="P114" s="215">
        <f t="shared" si="33"/>
        <v>5</v>
      </c>
      <c r="Q114" s="216"/>
      <c r="R114" s="217">
        <f t="shared" si="35"/>
        <v>6</v>
      </c>
      <c r="S114" s="217" t="str">
        <f t="shared" si="36"/>
        <v/>
      </c>
    </row>
    <row r="115" spans="1:19" ht="15.75" x14ac:dyDescent="0.35">
      <c r="A115" s="220"/>
      <c r="B115" s="211">
        <f>IFERROR(IF(A111=0,E115,VLOOKUP(E115,Teams!$V$2:$Y$18,2,FALSE)),"")</f>
        <v>5</v>
      </c>
      <c r="D115" s="211">
        <v>6</v>
      </c>
      <c r="E115" s="249">
        <v>5</v>
      </c>
      <c r="F115" s="286" t="str">
        <f>IFERROR(VLOOKUP($A109&amp;E115,downloads!$A$1:$E$1000,2,FALSE),"")</f>
        <v>Alex BAYNHAM</v>
      </c>
      <c r="G115" s="212" t="str">
        <f t="shared" si="32"/>
        <v>Menai</v>
      </c>
      <c r="H115" s="222">
        <v>5.1390000000000002</v>
      </c>
      <c r="I115" s="412">
        <f t="shared" si="34"/>
        <v>3.6331018518518522E-3</v>
      </c>
      <c r="K115" s="213">
        <v>6</v>
      </c>
      <c r="L115" s="208">
        <f>IFERROR(VLOOKUP(K115,B110:D125,3,FALSE),"")</f>
        <v>3</v>
      </c>
      <c r="M115" s="214" t="str">
        <f>IFERROR(IF(L115=0,0,IF(OR(VLOOKUP(K115*11,$K118:$L125,2,FALSE)=0,L115&lt;=VLOOKUP(K115*11,$K118:$L125,2,FALSE)),"A","B")),"")</f>
        <v>A</v>
      </c>
      <c r="N115" s="214">
        <f>IF(M115=0,0,IF(OR(R115="",M115="B"),"",RANK(R115,R110:R125,1)))</f>
        <v>3</v>
      </c>
      <c r="O115" s="214" t="str">
        <f>IF(M115=0,0,IF(OR(S115="",M115="A"),"",RANK(S115,S110:S125,1)))</f>
        <v/>
      </c>
      <c r="P115" s="215">
        <f t="shared" si="33"/>
        <v>6</v>
      </c>
      <c r="Q115" s="216"/>
      <c r="R115" s="217">
        <f t="shared" si="35"/>
        <v>3</v>
      </c>
      <c r="S115" s="217" t="str">
        <f t="shared" si="36"/>
        <v/>
      </c>
    </row>
    <row r="116" spans="1:19" ht="15.75" x14ac:dyDescent="0.35">
      <c r="A116" s="220"/>
      <c r="B116" s="211">
        <f>IFERROR(IF(A111=0,E116,VLOOKUP(E116,Teams!$V$2:$Y$18,2,FALSE)),"")</f>
        <v>22</v>
      </c>
      <c r="D116" s="211">
        <v>7</v>
      </c>
      <c r="E116" s="249">
        <v>22</v>
      </c>
      <c r="F116" s="286" t="str">
        <f>IFERROR(VLOOKUP($A109&amp;E116,downloads!$A$1:$E$1000,2,FALSE),"")</f>
        <v>Oliver WALKER</v>
      </c>
      <c r="G116" s="212" t="str">
        <f t="shared" si="32"/>
        <v>ECHT</v>
      </c>
      <c r="H116" s="222">
        <v>5.2480000000000002</v>
      </c>
      <c r="I116" s="412">
        <f t="shared" si="34"/>
        <v>3.7592592592592595E-3</v>
      </c>
      <c r="K116" s="213">
        <v>7</v>
      </c>
      <c r="L116" s="208" t="str">
        <f>IFERROR(VLOOKUP(K116,B110:D125,3,FALSE),"")</f>
        <v/>
      </c>
      <c r="M116" s="214" t="str">
        <f>IFERROR(IF(L116=0,0,IF(OR(VLOOKUP(K116*11,$K118:$L125,2,FALSE)=0,L116&lt;=VLOOKUP(K116*11,$K118:$L125,2,FALSE)),"A","B")),"")</f>
        <v>A</v>
      </c>
      <c r="N116" s="214" t="str">
        <f>IF(M116=0,0,IF(OR(R116="",M116="B"),"",RANK(R116,R110:R125,1)))</f>
        <v/>
      </c>
      <c r="O116" s="214" t="str">
        <f>IF(M116=0,0,IF(OR(S116="",M116="A"),"",RANK(S116,S110:S125,1)))</f>
        <v/>
      </c>
      <c r="P116" s="215">
        <f t="shared" si="33"/>
        <v>7</v>
      </c>
      <c r="Q116" s="216"/>
      <c r="R116" s="217" t="str">
        <f t="shared" si="35"/>
        <v/>
      </c>
      <c r="S116" s="217" t="str">
        <f t="shared" si="36"/>
        <v/>
      </c>
    </row>
    <row r="117" spans="1:19" ht="15.75" x14ac:dyDescent="0.35">
      <c r="A117" s="203"/>
      <c r="B117" s="211">
        <f>IFERROR(IF(A111=0,E117,VLOOKUP(E117,Teams!$V$2:$Y$18,2,FALSE)),"")</f>
        <v>33</v>
      </c>
      <c r="D117" s="211">
        <v>8</v>
      </c>
      <c r="E117" s="249">
        <v>33</v>
      </c>
      <c r="F117" s="286" t="str">
        <f>IFERROR(VLOOKUP($A109&amp;E117,downloads!$A$1:$E$1000,2,FALSE),"")</f>
        <v>William GUY</v>
      </c>
      <c r="G117" s="212" t="str">
        <f t="shared" si="32"/>
        <v>Leigh</v>
      </c>
      <c r="H117" s="222">
        <v>5.2910000000000004</v>
      </c>
      <c r="I117" s="412">
        <f t="shared" si="34"/>
        <v>3.8090277777777779E-3</v>
      </c>
      <c r="K117" s="213">
        <v>8</v>
      </c>
      <c r="L117" s="208" t="str">
        <f>IFERROR(VLOOKUP(K117,B110:D125,3,FALSE),"")</f>
        <v/>
      </c>
      <c r="M117" s="214" t="str">
        <f>IFERROR(IF(L117=0,0,IF(OR(VLOOKUP(K117*11,$K118:$L125,2,FALSE)=0,L117&lt;=VLOOKUP(K117*11,$K118:$L125,2,FALSE)),"A","B")),"")</f>
        <v>A</v>
      </c>
      <c r="N117" s="214" t="str">
        <f>IF(M117=0,0,IF(OR(R117="",M117="B"),"",RANK(R117,R110:R125,1)))</f>
        <v/>
      </c>
      <c r="O117" s="214" t="str">
        <f>IF(M117=0,0,IF(OR(S117="",M117="A"),"",RANK(S117,S110:S125,1)))</f>
        <v/>
      </c>
      <c r="P117" s="215">
        <f t="shared" si="33"/>
        <v>8</v>
      </c>
      <c r="Q117" s="216"/>
      <c r="R117" s="217" t="str">
        <f t="shared" si="35"/>
        <v/>
      </c>
      <c r="S117" s="217" t="str">
        <f t="shared" si="36"/>
        <v/>
      </c>
    </row>
    <row r="118" spans="1:19" ht="15.75" x14ac:dyDescent="0.35">
      <c r="A118" s="203"/>
      <c r="B118" s="211">
        <f>IFERROR(IF(A111=0,E118,VLOOKUP(E118,Teams!$V$2:$Y$18,2,FALSE)),"")</f>
        <v>0</v>
      </c>
      <c r="D118" s="211">
        <v>9</v>
      </c>
      <c r="E118" s="249"/>
      <c r="F118" s="286" t="str">
        <f>IFERROR(VLOOKUP($A109&amp;E118,downloads!$A$1:$E$1000,2,FALSE),"")</f>
        <v/>
      </c>
      <c r="G118" s="212" t="str">
        <f t="shared" si="32"/>
        <v/>
      </c>
      <c r="H118" s="222"/>
      <c r="I118" s="412">
        <f t="shared" si="34"/>
        <v>0</v>
      </c>
      <c r="K118" s="208">
        <f>K110*11</f>
        <v>11</v>
      </c>
      <c r="L118" s="208" t="str">
        <f>IFERROR(VLOOKUP(K118,B110:D125,3,FALSE),"")</f>
        <v/>
      </c>
      <c r="M118" s="214" t="str">
        <f>IFERROR(IF(L118=0,0,IF(OR(VLOOKUP(K118/11,$K110:$L117,2,FALSE)=0,L118&lt;=VLOOKUP(K118/11,$K110:$L117,2,FALSE)),"A","B")),"")</f>
        <v>A</v>
      </c>
      <c r="N118" s="214" t="str">
        <f>IF(M118=0,0,IF(OR(R118="",M118="B"),"",RANK(R118,R110:R125,1)))</f>
        <v/>
      </c>
      <c r="O118" s="214" t="str">
        <f>IF(M118=0,0,IF(OR(S118="",M118="A"),"",RANK(S118,S110:S125,1)))</f>
        <v/>
      </c>
      <c r="P118" s="215">
        <f t="shared" si="33"/>
        <v>11</v>
      </c>
      <c r="Q118" s="216"/>
      <c r="R118" s="217" t="str">
        <f t="shared" si="35"/>
        <v/>
      </c>
      <c r="S118" s="217" t="str">
        <f t="shared" si="36"/>
        <v/>
      </c>
    </row>
    <row r="119" spans="1:19" ht="15.75" x14ac:dyDescent="0.35">
      <c r="B119" s="211">
        <f>IFERROR(IF(A111=0,E119,VLOOKUP(E119,Teams!$V$2:$Y$18,2,FALSE)),"")</f>
        <v>0</v>
      </c>
      <c r="D119" s="211">
        <v>10</v>
      </c>
      <c r="E119" s="249"/>
      <c r="F119" s="286" t="str">
        <f>IFERROR(VLOOKUP($A109&amp;E119,downloads!$A$1:$E$1000,2,FALSE),"")</f>
        <v/>
      </c>
      <c r="G119" s="212" t="str">
        <f t="shared" si="32"/>
        <v/>
      </c>
      <c r="H119" s="222"/>
      <c r="I119" s="412">
        <f t="shared" si="34"/>
        <v>0</v>
      </c>
      <c r="K119" s="208">
        <f t="shared" ref="K119:K125" si="37">K111*11</f>
        <v>22</v>
      </c>
      <c r="L119" s="208">
        <f>IFERROR(VLOOKUP(K119,B110:D125,3,FALSE),"")</f>
        <v>7</v>
      </c>
      <c r="M119" s="214" t="str">
        <f>IFERROR(IF(L119=0,0,IF(OR(VLOOKUP(K119/11,$K110:$L117,2,FALSE)=0,L119&lt;=VLOOKUP(K119/11,$K110:$L117,2,FALSE)),"A","B")),"")</f>
        <v>B</v>
      </c>
      <c r="N119" s="214" t="str">
        <f>IF(M119=0,0,IF(OR(R119="",M119="B"),"",RANK(R119,R110:R125,1)))</f>
        <v/>
      </c>
      <c r="O119" s="214">
        <f>IF(M119=0,0,IF(OR(S119="",M119="A"),"",RANK(S119,S110:S125,1)))</f>
        <v>2</v>
      </c>
      <c r="P119" s="215">
        <f t="shared" si="33"/>
        <v>22</v>
      </c>
      <c r="Q119" s="216"/>
      <c r="R119" s="217" t="str">
        <f t="shared" si="35"/>
        <v/>
      </c>
      <c r="S119" s="217">
        <f t="shared" si="36"/>
        <v>7</v>
      </c>
    </row>
    <row r="120" spans="1:19" ht="15.75" x14ac:dyDescent="0.35">
      <c r="B120" s="211">
        <f>IFERROR(IF(A111=0,E120,VLOOKUP(E120,Teams!$V$2:$Y$18,2,FALSE)),"")</f>
        <v>0</v>
      </c>
      <c r="D120" s="211">
        <v>11</v>
      </c>
      <c r="E120" s="249"/>
      <c r="F120" s="286" t="str">
        <f>IFERROR(VLOOKUP($A109&amp;E120,downloads!$A$1:$E$1000,2,FALSE),"")</f>
        <v/>
      </c>
      <c r="G120" s="212" t="str">
        <f t="shared" si="32"/>
        <v/>
      </c>
      <c r="H120" s="222"/>
      <c r="I120" s="412">
        <f t="shared" si="34"/>
        <v>0</v>
      </c>
      <c r="K120" s="208">
        <f t="shared" si="37"/>
        <v>33</v>
      </c>
      <c r="L120" s="208">
        <f>IFERROR(VLOOKUP(K120,B110:D125,3,FALSE),"")</f>
        <v>8</v>
      </c>
      <c r="M120" s="214" t="str">
        <f>IFERROR(IF(L120=0,0,IF(OR(VLOOKUP(K120/11,$K110:$L117,2,FALSE)=0,L120&lt;=VLOOKUP(K120/11,$K110:$L117,2,FALSE)),"A","B")),"")</f>
        <v>B</v>
      </c>
      <c r="N120" s="214" t="str">
        <f>IF(M120=0,0,IF(OR(R120="",M120="B"),"",RANK(R120,R110:R125,1)))</f>
        <v/>
      </c>
      <c r="O120" s="214">
        <f>IF(M120=0,0,IF(OR(S120="",M120="A"),"",RANK(S120,S110:S125,1)))</f>
        <v>3</v>
      </c>
      <c r="P120" s="215">
        <f t="shared" si="33"/>
        <v>33</v>
      </c>
      <c r="Q120" s="216"/>
      <c r="R120" s="217" t="str">
        <f t="shared" si="35"/>
        <v/>
      </c>
      <c r="S120" s="217">
        <f t="shared" si="36"/>
        <v>8</v>
      </c>
    </row>
    <row r="121" spans="1:19" ht="15.75" x14ac:dyDescent="0.35">
      <c r="A121" s="202"/>
      <c r="B121" s="211">
        <f>IFERROR(IF(A111=0,E121,VLOOKUP(E121,Teams!$V$2:$Y$18,2,FALSE)),"")</f>
        <v>0</v>
      </c>
      <c r="D121" s="211">
        <v>12</v>
      </c>
      <c r="E121" s="249"/>
      <c r="F121" s="286" t="str">
        <f>IFERROR(VLOOKUP($A109&amp;E121,downloads!$A$1:$E$1000,2,FALSE),"")</f>
        <v/>
      </c>
      <c r="G121" s="212" t="str">
        <f t="shared" si="32"/>
        <v/>
      </c>
      <c r="H121" s="222"/>
      <c r="I121" s="412">
        <f t="shared" si="34"/>
        <v>0</v>
      </c>
      <c r="K121" s="208">
        <f t="shared" si="37"/>
        <v>44</v>
      </c>
      <c r="L121" s="208">
        <f>IFERROR(VLOOKUP(K121,B110:D125,3,FALSE),"")</f>
        <v>2</v>
      </c>
      <c r="M121" s="214" t="str">
        <f>IFERROR(IF(L121=0,0,IF(OR(VLOOKUP(K121/11,$K110:$L117,2,FALSE)=0,L121&lt;=VLOOKUP(K121/11,$K110:$L117,2,FALSE)),"A","B")),"")</f>
        <v>A</v>
      </c>
      <c r="N121" s="214">
        <f>IF(M121=0,0,IF(OR(R121="",M121="B"),"",RANK(R121,R110:R125,1)))</f>
        <v>2</v>
      </c>
      <c r="O121" s="214" t="str">
        <f>IF(M121=0,0,IF(OR(S121="",M121="A"),"",RANK(S121,S110:S125,1)))</f>
        <v/>
      </c>
      <c r="P121" s="215">
        <f t="shared" si="33"/>
        <v>44</v>
      </c>
      <c r="Q121" s="216"/>
      <c r="R121" s="217">
        <f t="shared" si="35"/>
        <v>2</v>
      </c>
      <c r="S121" s="217" t="str">
        <f t="shared" si="36"/>
        <v/>
      </c>
    </row>
    <row r="122" spans="1:19" ht="15.75" x14ac:dyDescent="0.35">
      <c r="A122" s="210"/>
      <c r="B122" s="211">
        <f>IFERROR(IF(A111=0,E122,VLOOKUP(E122,Teams!$V$2:$Y$18,2,FALSE)),"")</f>
        <v>0</v>
      </c>
      <c r="D122" s="211">
        <v>13</v>
      </c>
      <c r="E122" s="249"/>
      <c r="F122" s="286" t="str">
        <f>IFERROR(VLOOKUP($A109&amp;E122,downloads!$A$1:$E$1000,2,FALSE),"")</f>
        <v/>
      </c>
      <c r="G122" s="212" t="str">
        <f t="shared" si="32"/>
        <v/>
      </c>
      <c r="H122" s="222"/>
      <c r="I122" s="412">
        <f t="shared" si="34"/>
        <v>0</v>
      </c>
      <c r="K122" s="208">
        <f t="shared" si="37"/>
        <v>55</v>
      </c>
      <c r="L122" s="208" t="str">
        <f>IFERROR(VLOOKUP(K122,B110:D125,3,FALSE),"")</f>
        <v/>
      </c>
      <c r="M122" s="214" t="str">
        <f>IFERROR(IF(L122=0,0,IF(OR(VLOOKUP(K122/11,$K110:$L117,2,FALSE)=0,L122&lt;=VLOOKUP(K122/11,$K110:$L117,2,FALSE)),"A","B")),"")</f>
        <v>B</v>
      </c>
      <c r="N122" s="214" t="str">
        <f>IF(M122=0,0,IF(OR(R122="",M122="B"),"",RANK(R122,R110:R125,1)))</f>
        <v/>
      </c>
      <c r="O122" s="214" t="str">
        <f>IF(M122=0,0,IF(OR(S122="",M122="A"),"",RANK(S122,S110:S125,1)))</f>
        <v/>
      </c>
      <c r="P122" s="215">
        <f t="shared" si="33"/>
        <v>55</v>
      </c>
      <c r="Q122" s="216"/>
      <c r="R122" s="217" t="str">
        <f t="shared" si="35"/>
        <v/>
      </c>
      <c r="S122" s="217" t="str">
        <f t="shared" si="36"/>
        <v/>
      </c>
    </row>
    <row r="123" spans="1:19" ht="15.75" x14ac:dyDescent="0.35">
      <c r="A123" s="203"/>
      <c r="B123" s="211">
        <f>IFERROR(IF(A111=0,E123,VLOOKUP(E123,Teams!$V$2:$Y$18,2,FALSE)),"")</f>
        <v>0</v>
      </c>
      <c r="D123" s="211">
        <v>14</v>
      </c>
      <c r="E123" s="249"/>
      <c r="F123" s="286" t="str">
        <f>IFERROR(VLOOKUP($A109&amp;E123,downloads!$A$1:$E$1000,2,FALSE),"")</f>
        <v/>
      </c>
      <c r="G123" s="212" t="str">
        <f t="shared" si="32"/>
        <v/>
      </c>
      <c r="H123" s="222"/>
      <c r="I123" s="412">
        <f t="shared" si="34"/>
        <v>0</v>
      </c>
      <c r="K123" s="208">
        <f t="shared" si="37"/>
        <v>66</v>
      </c>
      <c r="L123" s="208" t="str">
        <f>IFERROR(VLOOKUP(K123,B110:D125,3,FALSE),"")</f>
        <v/>
      </c>
      <c r="M123" s="214" t="str">
        <f>IFERROR(IF(L123=0,0,IF(OR(VLOOKUP(K123/11,$K110:$L117,2,FALSE)=0,L123&lt;=VLOOKUP(K123/11,$K110:$L117,2,FALSE)),"A","B")),"")</f>
        <v>B</v>
      </c>
      <c r="N123" s="214" t="str">
        <f>IF(M123=0,0,IF(OR(R123="",M123="B"),"",RANK(R123,R110:R125,1)))</f>
        <v/>
      </c>
      <c r="O123" s="214" t="str">
        <f>IF(M123=0,0,IF(OR(S123="",M123="A"),"",RANK(S123,S110:S125,1)))</f>
        <v/>
      </c>
      <c r="P123" s="215">
        <f t="shared" si="33"/>
        <v>66</v>
      </c>
      <c r="Q123" s="216"/>
      <c r="R123" s="217" t="str">
        <f t="shared" si="35"/>
        <v/>
      </c>
      <c r="S123" s="217" t="str">
        <f t="shared" si="36"/>
        <v/>
      </c>
    </row>
    <row r="124" spans="1:19" ht="15.75" x14ac:dyDescent="0.35">
      <c r="B124" s="211">
        <f>IFERROR(IF(A111=0,E124,VLOOKUP(E124,Teams!$V$2:$Y$18,2,FALSE)),"")</f>
        <v>0</v>
      </c>
      <c r="D124" s="211">
        <v>15</v>
      </c>
      <c r="E124" s="249"/>
      <c r="F124" s="286" t="str">
        <f>IFERROR(VLOOKUP($A109&amp;E124,downloads!$A$1:$E$1000,2,FALSE),"")</f>
        <v/>
      </c>
      <c r="G124" s="212" t="str">
        <f t="shared" si="32"/>
        <v/>
      </c>
      <c r="H124" s="222"/>
      <c r="I124" s="412">
        <f t="shared" si="34"/>
        <v>0</v>
      </c>
      <c r="K124" s="208">
        <f t="shared" si="37"/>
        <v>77</v>
      </c>
      <c r="L124" s="208" t="str">
        <f>IFERROR(VLOOKUP(K124,B110:D125,3,FALSE),"")</f>
        <v/>
      </c>
      <c r="M124" s="214" t="str">
        <f>IFERROR(IF(L124=0,0,IF(OR(VLOOKUP(K124/11,$K110:$L117,2,FALSE)=0,L124&lt;=VLOOKUP(K124/11,$K110:$L117,2,FALSE)),"A","B")),"")</f>
        <v>A</v>
      </c>
      <c r="N124" s="214" t="str">
        <f>IF(M124=0,0,IF(OR(R124="",M124="B"),"",RANK(R124,R110:R125,1)))</f>
        <v/>
      </c>
      <c r="O124" s="214" t="str">
        <f>IF(M124=0,0,IF(OR(S124="",M124="A"),"",RANK(S124,S110:S125,1)))</f>
        <v/>
      </c>
      <c r="P124" s="215">
        <f t="shared" si="33"/>
        <v>77</v>
      </c>
      <c r="Q124" s="216"/>
      <c r="R124" s="217" t="str">
        <f t="shared" si="35"/>
        <v/>
      </c>
      <c r="S124" s="217" t="str">
        <f t="shared" si="36"/>
        <v/>
      </c>
    </row>
    <row r="125" spans="1:19" ht="15.75" x14ac:dyDescent="0.35">
      <c r="A125" s="220"/>
      <c r="B125" s="211">
        <f>IFERROR(IF(A111=0,E125,VLOOKUP(E125,Teams!$V$2:$Y$18,2,FALSE)),"")</f>
        <v>0</v>
      </c>
      <c r="D125" s="211">
        <v>16</v>
      </c>
      <c r="E125" s="249"/>
      <c r="F125" s="286" t="str">
        <f>IFERROR(VLOOKUP($A109&amp;E125,downloads!$A$1:$E$1000,2,FALSE),"")</f>
        <v/>
      </c>
      <c r="G125" s="212" t="str">
        <f t="shared" si="32"/>
        <v/>
      </c>
      <c r="H125" s="222"/>
      <c r="I125" s="412">
        <f t="shared" si="34"/>
        <v>0</v>
      </c>
      <c r="K125" s="208">
        <f t="shared" si="37"/>
        <v>88</v>
      </c>
      <c r="L125" s="208" t="str">
        <f>IFERROR(VLOOKUP(K125,B110:D125,3,FALSE),"")</f>
        <v/>
      </c>
      <c r="M125" s="214" t="str">
        <f>IFERROR(IF(L125=0,0,IF(OR(VLOOKUP(K125/11,$K110:$L117,2,FALSE)=0,L125&lt;=VLOOKUP(K125/11,$K110:$L117,2,FALSE)),"A","B")),"")</f>
        <v>A</v>
      </c>
      <c r="N125" s="214" t="str">
        <f>IF(M125=0,0,IF(OR(R125="",M125="B"),"",RANK(R125,R110:R125,1)))</f>
        <v/>
      </c>
      <c r="O125" s="214" t="str">
        <f>IF(M125=0,0,IF(OR(S125="",M125="A"),"",RANK(S125,S110:S125,1)))</f>
        <v/>
      </c>
      <c r="P125" s="215">
        <f t="shared" si="33"/>
        <v>88</v>
      </c>
      <c r="Q125" s="216"/>
      <c r="R125" s="217" t="str">
        <f t="shared" si="35"/>
        <v/>
      </c>
      <c r="S125" s="217" t="str">
        <f t="shared" si="36"/>
        <v/>
      </c>
    </row>
    <row r="126" spans="1:19" hidden="1" x14ac:dyDescent="0.3">
      <c r="A126" s="220"/>
      <c r="I126" s="413"/>
    </row>
    <row r="127" spans="1:19" hidden="1" x14ac:dyDescent="0.3">
      <c r="A127" s="220"/>
      <c r="B127" s="211"/>
      <c r="C127" s="208" t="s">
        <v>53</v>
      </c>
      <c r="D127" s="208">
        <v>1</v>
      </c>
      <c r="E127" s="250">
        <f>IFERROR(IF(E110&gt;88,E110,IF(A111=0,VLOOKUP(D127,N110:Q125,3,FALSE),VLOOKUP(D127,N110:Q125,4,FALSE))),0)</f>
        <v>2</v>
      </c>
      <c r="F127" s="212" t="str">
        <f>IFERROR(VLOOKUP(E127,E110:F125,2,FALSE),"")</f>
        <v>Marshall FLEET</v>
      </c>
      <c r="G127" s="212" t="str">
        <f>IFERROR(VLOOKUP(E127,teamlookup,5,FALSE),"")</f>
        <v>ECHT</v>
      </c>
      <c r="H127" s="229">
        <f>IFERROR(VLOOKUP(E127,E110:I125,5,FALSE),"")</f>
        <v>3.1874999999999998E-3</v>
      </c>
      <c r="I127" s="412"/>
      <c r="K127" s="221"/>
    </row>
    <row r="128" spans="1:19" hidden="1" x14ac:dyDescent="0.3">
      <c r="A128" s="220"/>
      <c r="B128" s="211"/>
      <c r="D128" s="208">
        <v>2</v>
      </c>
      <c r="E128" s="250">
        <f>IFERROR(IF(A111=0,VLOOKUP(D128,N110:Q125,3,FALSE),VLOOKUP(D128,N110:Q125,4,FALSE)),"")</f>
        <v>44</v>
      </c>
      <c r="F128" s="212" t="str">
        <f>IFERROR(VLOOKUP(E128,E110:F125,2,FALSE),"")</f>
        <v>George O'DONNELL</v>
      </c>
      <c r="G128" s="212" t="str">
        <f t="shared" ref="G128:G134" si="38">IFERROR(VLOOKUP(E128,teamlookup,5,FALSE),"")</f>
        <v>Macc</v>
      </c>
      <c r="H128" s="229">
        <f>IFERROR(VLOOKUP(E128,E110:I125,5,FALSE),"")</f>
        <v>3.2488425925925927E-3</v>
      </c>
      <c r="I128" s="412"/>
    </row>
    <row r="129" spans="1:9" hidden="1" x14ac:dyDescent="0.3">
      <c r="A129" s="203"/>
      <c r="B129" s="211"/>
      <c r="D129" s="208">
        <v>3</v>
      </c>
      <c r="E129" s="250">
        <f>IFERROR(IF(A111=0,VLOOKUP(D129,N110:Q125,3,FALSE),VLOOKUP(D129,N110:Q125,4,FALSE)),"")</f>
        <v>6</v>
      </c>
      <c r="F129" s="212" t="str">
        <f>IFERROR(VLOOKUP(E129,E110:F125,2,FALSE),"")</f>
        <v>Will WALTON</v>
      </c>
      <c r="G129" s="212" t="str">
        <f t="shared" si="38"/>
        <v>Stock</v>
      </c>
      <c r="H129" s="229">
        <f>IFERROR(VLOOKUP(E129,E110:I125,5,FALSE),"")</f>
        <v>3.3854166666666672E-3</v>
      </c>
      <c r="I129" s="412"/>
    </row>
    <row r="130" spans="1:9" hidden="1" x14ac:dyDescent="0.3">
      <c r="A130" s="203"/>
      <c r="B130" s="211"/>
      <c r="D130" s="208">
        <v>4</v>
      </c>
      <c r="E130" s="250">
        <f>IFERROR(IF(A111=0,VLOOKUP(D130,N110:Q125,3,FALSE),VLOOKUP(D130,N110:Q125,4,FALSE)),"")</f>
        <v>3</v>
      </c>
      <c r="F130" s="212" t="str">
        <f>IFERROR(VLOOKUP(E130,E110:F125,2,FALSE),"")</f>
        <v>Lucas GREGORY</v>
      </c>
      <c r="G130" s="212" t="str">
        <f t="shared" si="38"/>
        <v>Leigh</v>
      </c>
      <c r="H130" s="229">
        <f>IFERROR(VLOOKUP(E130,E110:I125,5,FALSE),"")</f>
        <v>3.5694444444444441E-3</v>
      </c>
      <c r="I130" s="412"/>
    </row>
    <row r="131" spans="1:9" hidden="1" x14ac:dyDescent="0.3">
      <c r="B131" s="211"/>
      <c r="D131" s="208">
        <v>5</v>
      </c>
      <c r="E131" s="250">
        <f>IFERROR(IF(A111=0,VLOOKUP(D131,N110:Q125,3,FALSE),VLOOKUP(D131,N110:Q125,4,FALSE)),"")</f>
        <v>5</v>
      </c>
      <c r="F131" s="212" t="str">
        <f>IFERROR(VLOOKUP(E131,E110:F125,2,FALSE),"")</f>
        <v>Alex BAYNHAM</v>
      </c>
      <c r="G131" s="212" t="str">
        <f t="shared" si="38"/>
        <v>Menai</v>
      </c>
      <c r="H131" s="229">
        <f>IFERROR(VLOOKUP(E131,E110:I125,5,FALSE),"")</f>
        <v>3.6331018518518522E-3</v>
      </c>
      <c r="I131" s="412"/>
    </row>
    <row r="132" spans="1:9" hidden="1" x14ac:dyDescent="0.3">
      <c r="A132" s="202"/>
      <c r="B132" s="211"/>
      <c r="D132" s="208">
        <v>6</v>
      </c>
      <c r="E132" s="250" t="str">
        <f>IFERROR(IF(A111=0,VLOOKUP(D132,N110:Q125,3,FALSE),VLOOKUP(D132,N110:Q125,4,FALSE)),"")</f>
        <v/>
      </c>
      <c r="F132" s="212" t="str">
        <f>IFERROR(VLOOKUP(E132,E110:F125,2,FALSE),"")</f>
        <v/>
      </c>
      <c r="G132" s="212" t="str">
        <f t="shared" si="38"/>
        <v/>
      </c>
      <c r="H132" s="229" t="str">
        <f>IFERROR(VLOOKUP(E132,E110:I125,5,FALSE),"")</f>
        <v/>
      </c>
      <c r="I132" s="412"/>
    </row>
    <row r="133" spans="1:9" hidden="1" x14ac:dyDescent="0.3">
      <c r="A133" s="210"/>
      <c r="B133" s="211"/>
      <c r="D133" s="208">
        <v>7</v>
      </c>
      <c r="E133" s="250" t="str">
        <f>IFERROR(IF(A111=0,VLOOKUP(D133,N110:Q125,3,FALSE),VLOOKUP(D133,N110:Q125,4,FALSE)),"")</f>
        <v/>
      </c>
      <c r="F133" s="212" t="str">
        <f>IFERROR(VLOOKUP(E133,E110:F125,2,FALSE),"")</f>
        <v/>
      </c>
      <c r="G133" s="212" t="str">
        <f t="shared" si="38"/>
        <v/>
      </c>
      <c r="H133" s="229" t="str">
        <f>IFERROR(VLOOKUP(E133,E110:I125,5,FALSE),"")</f>
        <v/>
      </c>
      <c r="I133" s="412"/>
    </row>
    <row r="134" spans="1:9" hidden="1" x14ac:dyDescent="0.3">
      <c r="A134" s="203"/>
      <c r="B134" s="211"/>
      <c r="D134" s="208">
        <v>8</v>
      </c>
      <c r="E134" s="250" t="str">
        <f>IFERROR(IF(A111=0,VLOOKUP(D134,N110:Q125,3,FALSE),VLOOKUP(D134,N110:Q125,4,FALSE)),"")</f>
        <v/>
      </c>
      <c r="F134" s="212" t="str">
        <f>IFERROR(VLOOKUP(E134,E110:F125,2,FALSE),"")</f>
        <v/>
      </c>
      <c r="G134" s="212" t="str">
        <f t="shared" si="38"/>
        <v/>
      </c>
      <c r="H134" s="229" t="str">
        <f>IFERROR(VLOOKUP(E134,E110:I125,5,FALSE),"")</f>
        <v/>
      </c>
      <c r="I134" s="412"/>
    </row>
    <row r="135" spans="1:9" hidden="1" x14ac:dyDescent="0.3">
      <c r="F135" s="212"/>
      <c r="H135" s="230"/>
      <c r="I135" s="412">
        <f t="shared" ref="I135" si="39">IFERROR(IF(LEFT(H135,1)="D",H135,(INT(H135)*60+(H135-INT(H135))*100)/86400),"X")</f>
        <v>0</v>
      </c>
    </row>
    <row r="136" spans="1:9" hidden="1" x14ac:dyDescent="0.3">
      <c r="A136" s="220"/>
      <c r="B136" s="211"/>
      <c r="C136" s="208" t="s">
        <v>54</v>
      </c>
      <c r="D136" s="208">
        <v>1</v>
      </c>
      <c r="E136" s="250">
        <f>IFERROR(IF(A111=0,VLOOKUP(D136,O110:Q125,2,FALSE),VLOOKUP(D136,O110:Q125,3,FALSE)),"")</f>
        <v>4</v>
      </c>
      <c r="F136" s="212" t="str">
        <f>IFERROR(VLOOKUP(E136,E110:F125,2,FALSE),"")</f>
        <v>Bobby TOMLINSON</v>
      </c>
      <c r="G136" s="212" t="str">
        <f t="shared" ref="G136:G143" si="40">IFERROR(VLOOKUP(E136,teamlookup,5,FALSE),"")</f>
        <v>Macc</v>
      </c>
      <c r="H136" s="229">
        <f>IFERROR(VLOOKUP(E136,E110:I125,5,FALSE),"")</f>
        <v>3.40625E-3</v>
      </c>
      <c r="I136" s="412"/>
    </row>
    <row r="137" spans="1:9" hidden="1" x14ac:dyDescent="0.3">
      <c r="A137" s="220"/>
      <c r="B137" s="211"/>
      <c r="D137" s="208">
        <v>2</v>
      </c>
      <c r="E137" s="250">
        <f>IFERROR(IF(A111=0,VLOOKUP(D137,O110:Q125,2,FALSE),VLOOKUP(D137,O110:Q125,3,FALSE)),"")</f>
        <v>22</v>
      </c>
      <c r="F137" s="212" t="str">
        <f>IFERROR(VLOOKUP(E137,E110:F125,2,FALSE),"")</f>
        <v>Oliver WALKER</v>
      </c>
      <c r="G137" s="212" t="str">
        <f t="shared" si="40"/>
        <v>ECHT</v>
      </c>
      <c r="H137" s="229">
        <f>IFERROR(VLOOKUP(E137,E110:I125,5,FALSE),"")</f>
        <v>3.7592592592592595E-3</v>
      </c>
      <c r="I137" s="412"/>
    </row>
    <row r="138" spans="1:9" hidden="1" x14ac:dyDescent="0.3">
      <c r="A138" s="220"/>
      <c r="B138" s="211"/>
      <c r="D138" s="208">
        <v>3</v>
      </c>
      <c r="E138" s="250">
        <f>IFERROR(IF(A111=0,VLOOKUP(D138,O110:Q125,2,FALSE),VLOOKUP(D138,O110:Q125,3,FALSE)),"")</f>
        <v>33</v>
      </c>
      <c r="F138" s="212" t="str">
        <f>IFERROR(VLOOKUP(E138,E110:F125,2,FALSE),"")</f>
        <v>William GUY</v>
      </c>
      <c r="G138" s="212" t="str">
        <f t="shared" si="40"/>
        <v>Leigh</v>
      </c>
      <c r="H138" s="229">
        <f>IFERROR(VLOOKUP(E138,E110:I125,5,FALSE),"")</f>
        <v>3.8090277777777779E-3</v>
      </c>
      <c r="I138" s="412"/>
    </row>
    <row r="139" spans="1:9" hidden="1" x14ac:dyDescent="0.3">
      <c r="A139" s="220"/>
      <c r="B139" s="211"/>
      <c r="D139" s="208">
        <v>4</v>
      </c>
      <c r="E139" s="250" t="str">
        <f>IFERROR(IF(A111=0,VLOOKUP(D139,O110:Q125,2,FALSE),VLOOKUP(D139,O110:Q125,3,FALSE)),"")</f>
        <v/>
      </c>
      <c r="F139" s="212" t="str">
        <f>IFERROR(VLOOKUP(E139,E110:F125,2,FALSE),"")</f>
        <v/>
      </c>
      <c r="G139" s="212" t="str">
        <f t="shared" si="40"/>
        <v/>
      </c>
      <c r="H139" s="229" t="str">
        <f>IFERROR(VLOOKUP(E139,E110:I125,5,FALSE),"")</f>
        <v/>
      </c>
      <c r="I139" s="412"/>
    </row>
    <row r="140" spans="1:9" hidden="1" x14ac:dyDescent="0.3">
      <c r="A140" s="203"/>
      <c r="B140" s="211"/>
      <c r="D140" s="208">
        <v>5</v>
      </c>
      <c r="E140" s="250" t="str">
        <f>IFERROR(IF(A111=0,VLOOKUP(D140,O110:Q125,2,FALSE),VLOOKUP(D140,O110:Q125,3,FALSE)),"")</f>
        <v/>
      </c>
      <c r="F140" s="212" t="str">
        <f>IFERROR(VLOOKUP(E140,E110:F125,2,FALSE),"")</f>
        <v/>
      </c>
      <c r="G140" s="212" t="str">
        <f t="shared" si="40"/>
        <v/>
      </c>
      <c r="H140" s="229" t="str">
        <f>IFERROR(VLOOKUP(E140,E110:I125,5,FALSE),"")</f>
        <v/>
      </c>
      <c r="I140" s="412"/>
    </row>
    <row r="141" spans="1:9" hidden="1" x14ac:dyDescent="0.3">
      <c r="A141" s="203"/>
      <c r="B141" s="211"/>
      <c r="D141" s="208">
        <v>6</v>
      </c>
      <c r="E141" s="250" t="str">
        <f>IFERROR(IF(A111=0,VLOOKUP(D141,O110:Q125,2,FALSE),VLOOKUP(D141,O110:Q125,3,FALSE)),"")</f>
        <v/>
      </c>
      <c r="F141" s="212" t="str">
        <f>IFERROR(VLOOKUP(E141,E110:F125,2,FALSE),"")</f>
        <v/>
      </c>
      <c r="G141" s="212" t="str">
        <f t="shared" si="40"/>
        <v/>
      </c>
      <c r="H141" s="229" t="str">
        <f>IFERROR(VLOOKUP(E141,E110:I125,5,FALSE),"")</f>
        <v/>
      </c>
      <c r="I141" s="412"/>
    </row>
    <row r="142" spans="1:9" hidden="1" x14ac:dyDescent="0.3">
      <c r="B142" s="211"/>
      <c r="D142" s="208">
        <v>7</v>
      </c>
      <c r="E142" s="250" t="str">
        <f>IFERROR(IF(A111=0,VLOOKUP(D142,O110:Q125,2,FALSE),VLOOKUP(D142,O110:Q125,3,FALSE)),"")</f>
        <v/>
      </c>
      <c r="F142" s="212" t="str">
        <f>IFERROR(VLOOKUP(E142,E110:F125,2,FALSE),"")</f>
        <v/>
      </c>
      <c r="G142" s="212" t="str">
        <f t="shared" si="40"/>
        <v/>
      </c>
      <c r="H142" s="229" t="str">
        <f>IFERROR(VLOOKUP(E142,E110:I125,5,FALSE),"")</f>
        <v/>
      </c>
      <c r="I142" s="412"/>
    </row>
    <row r="143" spans="1:9" hidden="1" x14ac:dyDescent="0.3">
      <c r="A143" s="202"/>
      <c r="B143" s="211"/>
      <c r="D143" s="208">
        <v>8</v>
      </c>
      <c r="E143" s="250" t="str">
        <f>IFERROR(IF(A111=0,VLOOKUP(D143,O110:Q125,2,FALSE),VLOOKUP(D143,O110:Q125,3,FALSE)),"")</f>
        <v/>
      </c>
      <c r="F143" s="212" t="str">
        <f>IFERROR(VLOOKUP(E143,E110:F125,2,FALSE),"")</f>
        <v/>
      </c>
      <c r="G143" s="212" t="str">
        <f t="shared" si="40"/>
        <v/>
      </c>
      <c r="H143" s="229" t="str">
        <f>IFERROR(VLOOKUP(E143,E110:I125,5,FALSE),"")</f>
        <v/>
      </c>
      <c r="I143" s="412"/>
    </row>
    <row r="144" spans="1:9" x14ac:dyDescent="0.3">
      <c r="I144" s="413"/>
    </row>
    <row r="145" spans="1:1" x14ac:dyDescent="0.3">
      <c r="A145" s="220"/>
    </row>
  </sheetData>
  <sheetProtection algorithmName="SHA-512" hashValue="Lv8SHFTVyzJJhnJccdJgXbla9rh3XTmojm0MJraKss39k4vvTYAaJjJdhLx+YvyuWx6kr6yBCf6ksaCNiqeMig==" saltValue="8EsVX+i525MxgAccx3JuYg==" spinCount="100000" sheet="1" objects="1" scenarios="1" formatCells="0" formatColumns="0" formatRows="0" sort="0" autoFilter="0"/>
  <conditionalFormatting sqref="E2:E17">
    <cfRule type="duplicateValues" dxfId="43" priority="23"/>
    <cfRule type="duplicateValues" dxfId="42" priority="24"/>
  </conditionalFormatting>
  <conditionalFormatting sqref="E38:E53">
    <cfRule type="duplicateValues" dxfId="41" priority="21"/>
    <cfRule type="duplicateValues" dxfId="40" priority="22"/>
  </conditionalFormatting>
  <conditionalFormatting sqref="E74:E89">
    <cfRule type="duplicateValues" dxfId="39" priority="19"/>
    <cfRule type="duplicateValues" dxfId="38" priority="20"/>
  </conditionalFormatting>
  <conditionalFormatting sqref="E110:E125">
    <cfRule type="duplicateValues" dxfId="37" priority="17"/>
    <cfRule type="duplicateValues" dxfId="36" priority="18"/>
  </conditionalFormatting>
  <conditionalFormatting sqref="H1:H125">
    <cfRule type="expression" dxfId="35" priority="1">
      <formula>AND($I1&gt;0,$I1&lt;TIME(0,1,0))</formula>
    </cfRule>
    <cfRule type="expression" dxfId="34" priority="2">
      <formula>$I1="X"</formula>
    </cfRule>
  </conditionalFormatting>
  <dataValidations xWindow="522" yWindow="302" count="3">
    <dataValidation type="custom" allowBlank="1" showInputMessage="1" showErrorMessage="1" sqref="H3 H15:H17 H5 H7 H121 H11 H13 H39 H51:H53 H41 H43 H45 H47 H49 H75 H87:H89 H77 H79 H81 H83 H85 H111 H123:H125 H113 H115 H117 H119" xr:uid="{00000000-0002-0000-0900-000000000000}">
      <formula1>H3&gt;=H2</formula1>
    </dataValidation>
    <dataValidation type="list" allowBlank="1" showInputMessage="1" showErrorMessage="1" errorTitle="Entry Invalid" error="Bib entered is not one of those allocated to today's teams or has already been used for this event.  Please re-enter" sqref="E2:E17 E38:E53 E74:E89 E110:E125" xr:uid="{00000000-0002-0000-0900-000001000000}">
      <formula1>numbers_</formula1>
    </dataValidation>
    <dataValidation allowBlank="1" showInputMessage="1" errorTitle="Incorrect Format" error="Simply use format m.ssss e.g. 8.5144 or 12.1185_x000a_so no colon, no semi colon and NO decimal point between the seconds and hundredths of seconds" promptTitle="Format for Middle Distance" prompt="Simply use format m.ssss e.g. 4.5144 or 6.1185_x000a_so no colon and NO decimal point between the seconds" sqref="H2 H38 H74 H110" xr:uid="{00000000-0002-0000-0900-000002000000}"/>
  </dataValidations>
  <pageMargins left="0.75" right="0.75" top="1" bottom="1" header="0.5" footer="0.5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4">
    <tabColor theme="7" tint="-0.249977111117893"/>
    <pageSetUpPr autoPageBreaks="0"/>
  </sheetPr>
  <dimension ref="A1:O66"/>
  <sheetViews>
    <sheetView showZeros="0" topLeftCell="B1" zoomScaleNormal="100" zoomScaleSheetLayoutView="100" workbookViewId="0">
      <pane ySplit="1" topLeftCell="A36" activePane="bottomLeft" state="frozen"/>
      <selection activeCell="P53" sqref="P53"/>
      <selection pane="bottomLeft" activeCell="I61" sqref="I61"/>
    </sheetView>
  </sheetViews>
  <sheetFormatPr defaultColWidth="8.7109375" defaultRowHeight="15" x14ac:dyDescent="0.35"/>
  <cols>
    <col min="1" max="1" width="8.7109375" style="64" hidden="1" customWidth="1"/>
    <col min="2" max="2" width="3.7109375" style="64" customWidth="1"/>
    <col min="3" max="3" width="3.7109375" style="66" customWidth="1"/>
    <col min="4" max="4" width="7.7109375" style="64" customWidth="1"/>
    <col min="5" max="8" width="15.7109375" style="64" customWidth="1"/>
    <col min="9" max="9" width="7.7109375" style="64" customWidth="1"/>
    <col min="10" max="10" width="4.42578125" style="95" customWidth="1"/>
    <col min="11" max="11" width="11" style="64" hidden="1" customWidth="1"/>
    <col min="12" max="12" width="11.42578125" style="64" customWidth="1"/>
    <col min="13" max="14" width="8.7109375" style="66" customWidth="1"/>
    <col min="15" max="16384" width="8.7109375" style="64"/>
  </cols>
  <sheetData>
    <row r="1" spans="1:15" ht="45" customHeight="1" x14ac:dyDescent="0.35">
      <c r="A1" s="150" t="str">
        <f>"UK ATHLETICS :: YOUTH DEVELOPMENT LEAGUE 2017 "</f>
        <v xml:space="preserve">UK ATHLETICS :: YOUTH DEVELOPMENT LEAGUE 2017 </v>
      </c>
      <c r="B1" s="170" t="str">
        <f>Dashboard!E1</f>
        <v>LOWER NORTH West 2 Macclesfield Leisure Centre</v>
      </c>
      <c r="D1" s="193"/>
      <c r="F1" s="67"/>
      <c r="G1" s="147"/>
      <c r="H1" s="194">
        <f>Dashboard!E2</f>
        <v>45053</v>
      </c>
      <c r="J1" s="64"/>
      <c r="L1" s="194" t="s">
        <v>200</v>
      </c>
      <c r="M1" s="152">
        <f>M4+M15+M26+M37+M48+M59</f>
        <v>6</v>
      </c>
      <c r="N1" s="152">
        <f>N4+N15+N26+N37+N48+N59</f>
        <v>0</v>
      </c>
    </row>
    <row r="2" spans="1:15" x14ac:dyDescent="0.35">
      <c r="A2" s="98" t="s">
        <v>262</v>
      </c>
      <c r="B2" s="99" t="str">
        <f>IFERROR(A3&amp;" "&amp;VLOOKUP(A2,timetables,2,FALSE)&amp;" "&amp;VLOOKUP(A2,timetables,3,FALSE)&amp;" A","")</f>
        <v xml:space="preserve"> 4 x 100m U13 Girls A</v>
      </c>
      <c r="C2" s="99"/>
      <c r="I2" s="108" t="s">
        <v>138</v>
      </c>
      <c r="L2" s="66" t="s">
        <v>53</v>
      </c>
    </row>
    <row r="3" spans="1:15" x14ac:dyDescent="0.35">
      <c r="A3" s="79"/>
      <c r="B3" s="45" t="s">
        <v>177</v>
      </c>
      <c r="C3" s="45" t="s">
        <v>141</v>
      </c>
      <c r="D3" s="47" t="s">
        <v>175</v>
      </c>
      <c r="E3" s="47" t="s">
        <v>366</v>
      </c>
      <c r="F3" s="47" t="s">
        <v>367</v>
      </c>
      <c r="G3" s="47" t="s">
        <v>368</v>
      </c>
      <c r="H3" s="47" t="s">
        <v>369</v>
      </c>
      <c r="I3" s="45" t="s">
        <v>176</v>
      </c>
      <c r="L3" s="66">
        <f>IFERROR(SEARCH("NS",B2),0)</f>
        <v>0</v>
      </c>
      <c r="O3" s="67"/>
    </row>
    <row r="4" spans="1:15" x14ac:dyDescent="0.35">
      <c r="A4" s="138"/>
      <c r="B4" s="104">
        <v>1</v>
      </c>
      <c r="C4" s="107">
        <v>3</v>
      </c>
      <c r="D4" s="64" t="str">
        <f t="shared" ref="D4:D11" si="0">IFERROR(VLOOKUP(C4,teamlookup,5,FALSE),"")</f>
        <v>Leigh</v>
      </c>
      <c r="E4" s="457" t="str">
        <f>IFERROR(VLOOKUP($A2&amp;1&amp;C4,downloads!$A$1:$E$1000,2,FALSE)&amp;", "&amp;VLOOKUP($A2&amp;2&amp;C4,downloads!$A$1:$E$1000,2,FALSE)&amp;", "&amp;VLOOKUP($A2&amp;3&amp;C4,downloads!$A$1:$E$1000,2,FALSE)&amp;", "&amp;VLOOKUP($A2&amp;4&amp;C4,downloads!$A$1:$E$1000,2,FALSE),"")</f>
        <v>Isabella GORMAN, Ava BROOMES, Maddison PENDLEBURY, Lois MELLING</v>
      </c>
      <c r="F4" s="457"/>
      <c r="G4" s="457"/>
      <c r="H4" s="457"/>
      <c r="I4" s="406">
        <v>57.9</v>
      </c>
      <c r="J4" s="286"/>
      <c r="K4" s="286"/>
      <c r="L4" s="66">
        <f ca="1">IFERROR(IF(OR(C4=0,C4="",I4=0,I4="",$L3&lt;&gt;0,LEFT(I4,1)="D"),0,VLOOKUP(B4,INDIRECT(MatchDay!$W$2),2,FALSE)),"")</f>
        <v>10</v>
      </c>
      <c r="M4" s="104">
        <f>COUNTIF(C4,"&gt;0")</f>
        <v>1</v>
      </c>
      <c r="N4" s="66">
        <f>IFERROR(IF(C4&gt;88,1,0),0)</f>
        <v>0</v>
      </c>
    </row>
    <row r="5" spans="1:15" x14ac:dyDescent="0.35">
      <c r="A5" s="64">
        <v>0</v>
      </c>
      <c r="B5" s="104">
        <v>2</v>
      </c>
      <c r="C5" s="107">
        <v>1</v>
      </c>
      <c r="D5" s="64" t="str">
        <f t="shared" si="0"/>
        <v>C&amp;N</v>
      </c>
      <c r="E5" s="457" t="str">
        <f>IFERROR(VLOOKUP($A2&amp;1&amp;C5,downloads!$A$1:$E$1000,2,FALSE)&amp;", "&amp;VLOOKUP($A2&amp;2&amp;C5,downloads!$A$1:$E$1000,2,FALSE)&amp;", "&amp;VLOOKUP($A2&amp;3&amp;C5,downloads!$A$1:$E$1000,2,FALSE)&amp;", "&amp;VLOOKUP($A2&amp;4&amp;C5,downloads!$A$1:$E$1000,2,FALSE),"")</f>
        <v>Freya HOWELLS, Lucy HOWARTH, Jasmine COOPER, Sofiya HARE</v>
      </c>
      <c r="F5" s="457"/>
      <c r="G5" s="457"/>
      <c r="H5" s="457"/>
      <c r="I5" s="394">
        <v>58.9</v>
      </c>
      <c r="L5" s="66">
        <f ca="1">IFERROR(IF(OR(C5=0,C5="",I5=0,I5="",$L3&lt;&gt;0,LEFT(I5,1)="D"),0,VLOOKUP(B5,INDIRECT(MatchDay!$W$2),2,FALSE)),"")</f>
        <v>8</v>
      </c>
    </row>
    <row r="6" spans="1:15" x14ac:dyDescent="0.35">
      <c r="A6" s="105" t="str">
        <f>IFERROR(VLOOKUP(A2,standards,3,FALSE)+0.01,"-")</f>
        <v>-</v>
      </c>
      <c r="B6" s="104">
        <v>3</v>
      </c>
      <c r="C6" s="107">
        <v>2</v>
      </c>
      <c r="D6" s="64" t="str">
        <f t="shared" si="0"/>
        <v>ECHT</v>
      </c>
      <c r="E6" s="457" t="str">
        <f>IFERROR(VLOOKUP($A2&amp;1&amp;C6,downloads!$A$1:$E$1000,2,FALSE)&amp;", "&amp;VLOOKUP($A2&amp;2&amp;C6,downloads!$A$1:$E$1000,2,FALSE)&amp;", "&amp;VLOOKUP($A2&amp;3&amp;C6,downloads!$A$1:$E$1000,2,FALSE)&amp;", "&amp;VLOOKUP($A2&amp;4&amp;C6,downloads!$A$1:$E$1000,2,FALSE),"")</f>
        <v>Imogen MCBURNIE, Madaline BURKE, Demi BAXTER, Olivia JONES</v>
      </c>
      <c r="F6" s="457"/>
      <c r="G6" s="457"/>
      <c r="H6" s="457"/>
      <c r="I6" s="394">
        <v>60.2</v>
      </c>
      <c r="L6" s="66">
        <f ca="1">IFERROR(IF(OR(C6=0,C6="",I6=0,I6="",$L3&lt;&gt;0,LEFT(I6,1)="D"),0,VLOOKUP(B6,INDIRECT(MatchDay!$W$2),2,FALSE)),"")</f>
        <v>7</v>
      </c>
    </row>
    <row r="7" spans="1:15" x14ac:dyDescent="0.35">
      <c r="A7" s="105" t="str">
        <f>IFERROR(VLOOKUP(A2,standards,4,FALSE)+0.01,"-")</f>
        <v>-</v>
      </c>
      <c r="B7" s="104">
        <v>4</v>
      </c>
      <c r="C7" s="107">
        <v>5</v>
      </c>
      <c r="D7" s="64" t="str">
        <f t="shared" si="0"/>
        <v>Menai</v>
      </c>
      <c r="E7" s="457" t="str">
        <f>IFERROR(VLOOKUP($A2&amp;1&amp;C7,downloads!$A$1:$E$1000,2,FALSE)&amp;", "&amp;VLOOKUP($A2&amp;2&amp;C7,downloads!$A$1:$E$1000,2,FALSE)&amp;", "&amp;VLOOKUP($A2&amp;3&amp;C7,downloads!$A$1:$E$1000,2,FALSE)&amp;", "&amp;VLOOKUP($A2&amp;4&amp;C7,downloads!$A$1:$E$1000,2,FALSE),"")</f>
        <v>Ela EDWARDS, Tamsin SEGUIN, Holly WORTH, Martha BOWN</v>
      </c>
      <c r="F7" s="457"/>
      <c r="G7" s="457"/>
      <c r="H7" s="457"/>
      <c r="I7" s="394">
        <v>60.3</v>
      </c>
      <c r="L7" s="66">
        <f ca="1">IFERROR(IF(OR(C7=0,C7="",I7=0,I7="",$L3&lt;&gt;0,LEFT(I7,1)="D"),0,VLOOKUP(B7,INDIRECT(MatchDay!$W$2),2,FALSE)),"")</f>
        <v>6</v>
      </c>
    </row>
    <row r="8" spans="1:15" x14ac:dyDescent="0.35">
      <c r="A8" s="105" t="str">
        <f>IFERROR(VLOOKUP(A2,standards,5,FALSE)+0.01,"-")</f>
        <v>-</v>
      </c>
      <c r="B8" s="104">
        <v>5</v>
      </c>
      <c r="C8" s="107">
        <v>7</v>
      </c>
      <c r="D8" s="64" t="str">
        <f t="shared" si="0"/>
        <v>Wigan</v>
      </c>
      <c r="E8" s="457" t="str">
        <f>IFERROR(VLOOKUP($A2&amp;1&amp;C8,downloads!$A$1:$E$1000,2,FALSE)&amp;", "&amp;VLOOKUP($A2&amp;2&amp;C8,downloads!$A$1:$E$1000,2,FALSE)&amp;", "&amp;VLOOKUP($A2&amp;3&amp;C8,downloads!$A$1:$E$1000,2,FALSE)&amp;", "&amp;VLOOKUP($A2&amp;4&amp;C8,downloads!$A$1:$E$1000,2,FALSE),"")</f>
        <v>Sophia BOWDEN-MCKAY, Elody HILL, Mia LACEY, Katie-lou MALLEY</v>
      </c>
      <c r="F8" s="457"/>
      <c r="G8" s="457"/>
      <c r="H8" s="457"/>
      <c r="I8" s="394">
        <v>60.9</v>
      </c>
      <c r="L8" s="66">
        <f ca="1">IFERROR(IF(OR(C8=0,C8="",I8=0,I8="",$L3&lt;&gt;0,LEFT(I8,1)="D"),0,VLOOKUP(B8,INDIRECT(MatchDay!$W$2),2,FALSE)),"")</f>
        <v>5</v>
      </c>
    </row>
    <row r="9" spans="1:15" x14ac:dyDescent="0.35">
      <c r="A9" s="105" t="str">
        <f>IFERROR(VLOOKUP(A2,standards,6,FALSE)+0.01,"-")</f>
        <v>-</v>
      </c>
      <c r="B9" s="104">
        <v>6</v>
      </c>
      <c r="C9" s="107">
        <v>4</v>
      </c>
      <c r="D9" s="64" t="str">
        <f t="shared" si="0"/>
        <v>Macc</v>
      </c>
      <c r="E9" s="457" t="str">
        <f>IFERROR(VLOOKUP($A2&amp;1&amp;C9,downloads!$A$1:$E$1000,2,FALSE)&amp;", "&amp;VLOOKUP($A2&amp;2&amp;C9,downloads!$A$1:$E$1000,2,FALSE)&amp;", "&amp;VLOOKUP($A2&amp;3&amp;C9,downloads!$A$1:$E$1000,2,FALSE)&amp;", "&amp;VLOOKUP($A2&amp;4&amp;C9,downloads!$A$1:$E$1000,2,FALSE),"")</f>
        <v>Iona FISHER, Charlotte RHODES, Molly KENT, Lara ADU-GYAMFI</v>
      </c>
      <c r="F9" s="457"/>
      <c r="G9" s="457"/>
      <c r="H9" s="457"/>
      <c r="I9" s="394">
        <v>66</v>
      </c>
      <c r="L9" s="66">
        <f ca="1">IFERROR(IF(OR(C9=0,C9="",I9=0,I9="",$L3&lt;&gt;0,LEFT(I9,1)="D"),0,VLOOKUP(B9,INDIRECT(MatchDay!$W$2),2,FALSE)),"")</f>
        <v>4</v>
      </c>
    </row>
    <row r="10" spans="1:15" x14ac:dyDescent="0.35">
      <c r="A10" s="140">
        <f>IFERROR(SEARCH("U17",B2),0)</f>
        <v>0</v>
      </c>
      <c r="B10" s="104">
        <v>7</v>
      </c>
      <c r="C10" s="107"/>
      <c r="D10" s="64" t="str">
        <f t="shared" si="0"/>
        <v/>
      </c>
      <c r="E10" s="457" t="str">
        <f>IFERROR(VLOOKUP($A2&amp;1&amp;C10,downloads!$A$1:$E$1000,2,FALSE)&amp;", "&amp;VLOOKUP($A2&amp;2&amp;C10,downloads!$A$1:$E$1000,2,FALSE)&amp;", "&amp;VLOOKUP($A2&amp;3&amp;C10,downloads!$A$1:$E$1000,2,FALSE)&amp;", "&amp;VLOOKUP($A2&amp;4&amp;C10,downloads!$A$1:$E$1000,2,FALSE),"")</f>
        <v/>
      </c>
      <c r="F10" s="457"/>
      <c r="G10" s="457"/>
      <c r="H10" s="457"/>
      <c r="I10" s="394"/>
      <c r="L10" s="66">
        <f ca="1">IFERROR(IF(OR(C10=0,C10="",I10=0,I10="",$L3&lt;&gt;0,LEFT(I10,1)="D"),0,VLOOKUP(B10,INDIRECT(MatchDay!$W$2),2,FALSE)),"")</f>
        <v>0</v>
      </c>
    </row>
    <row r="11" spans="1:15" x14ac:dyDescent="0.35">
      <c r="A11" s="103">
        <f>IFERROR(VLOOKUP(A2,records,5,FALSE),"")</f>
        <v>52</v>
      </c>
      <c r="B11" s="104">
        <v>8</v>
      </c>
      <c r="C11" s="107"/>
      <c r="D11" s="64" t="str">
        <f t="shared" si="0"/>
        <v/>
      </c>
      <c r="E11" s="457" t="str">
        <f>IFERROR(VLOOKUP($A2&amp;1&amp;C11,downloads!$A$1:$E$1000,2,FALSE)&amp;", "&amp;VLOOKUP($A2&amp;2&amp;C11,downloads!$A$1:$E$1000,2,FALSE)&amp;", "&amp;VLOOKUP($A2&amp;3&amp;C11,downloads!$A$1:$E$1000,2,FALSE)&amp;", "&amp;VLOOKUP($A2&amp;4&amp;C11,downloads!$A$1:$E$1000,2,FALSE),"")</f>
        <v/>
      </c>
      <c r="F11" s="457"/>
      <c r="G11" s="457"/>
      <c r="H11" s="457"/>
      <c r="I11" s="394"/>
      <c r="L11" s="66">
        <f ca="1">IFERROR(IF(OR(C11=0,C11="",I11=0,I11="",$L3&lt;&gt;0,LEFT(I11,1)="D"),0,VLOOKUP(B11,INDIRECT(MatchDay!$W$2),2,FALSE)),"")</f>
        <v>0</v>
      </c>
    </row>
    <row r="12" spans="1:15" x14ac:dyDescent="0.35">
      <c r="I12" s="407"/>
    </row>
    <row r="13" spans="1:15" x14ac:dyDescent="0.35">
      <c r="A13" s="98" t="s">
        <v>263</v>
      </c>
      <c r="B13" s="99" t="str">
        <f>IFERROR(A14&amp;" "&amp;VLOOKUP(A13,timetables,2,FALSE)&amp;" "&amp;VLOOKUP(A13,timetables,3,FALSE)&amp;" A","")</f>
        <v xml:space="preserve"> 4 x 100m U13 Boys A</v>
      </c>
      <c r="C13" s="99"/>
      <c r="I13" s="408" t="s">
        <v>138</v>
      </c>
      <c r="L13" s="66" t="s">
        <v>53</v>
      </c>
    </row>
    <row r="14" spans="1:15" x14ac:dyDescent="0.35">
      <c r="A14" s="79"/>
      <c r="B14" s="45" t="s">
        <v>177</v>
      </c>
      <c r="C14" s="45" t="s">
        <v>141</v>
      </c>
      <c r="D14" s="47" t="s">
        <v>175</v>
      </c>
      <c r="E14" s="47" t="s">
        <v>366</v>
      </c>
      <c r="F14" s="47" t="s">
        <v>367</v>
      </c>
      <c r="G14" s="47" t="s">
        <v>368</v>
      </c>
      <c r="H14" s="47" t="s">
        <v>369</v>
      </c>
      <c r="I14" s="392" t="s">
        <v>176</v>
      </c>
      <c r="L14" s="66">
        <f>IFERROR(SEARCH("NS",B13),0)</f>
        <v>0</v>
      </c>
      <c r="O14" s="67"/>
    </row>
    <row r="15" spans="1:15" x14ac:dyDescent="0.35">
      <c r="A15" s="138"/>
      <c r="B15" s="104">
        <v>1</v>
      </c>
      <c r="C15" s="107">
        <v>3</v>
      </c>
      <c r="D15" s="64" t="str">
        <f t="shared" ref="D15:D22" si="1">IFERROR(VLOOKUP(C15,teamlookup,5,FALSE),"")</f>
        <v>Leigh</v>
      </c>
      <c r="E15" s="457" t="str">
        <f>IFERROR(VLOOKUP($A13&amp;1&amp;C15,downloads!$A$1:$E$1000,2,FALSE)&amp;", "&amp;VLOOKUP($A13&amp;2&amp;C15,downloads!$A$1:$E$1000,2,FALSE)&amp;", "&amp;VLOOKUP($A13&amp;3&amp;C15,downloads!$A$1:$E$1000,2,FALSE)&amp;", "&amp;VLOOKUP($A13&amp;4&amp;C15,downloads!$A$1:$E$1000,2,FALSE),"")</f>
        <v>Jack FLETCHER, Jesse WAI IP CHAN, Oscar FINCH, Thierry KERR</v>
      </c>
      <c r="F15" s="457"/>
      <c r="G15" s="457"/>
      <c r="H15" s="457"/>
      <c r="I15" s="394">
        <v>53.9</v>
      </c>
      <c r="L15" s="66">
        <f ca="1">IFERROR(IF(OR(C15=0,C15="",I15=0,I15="",$L14&lt;&gt;0,LEFT(I15,1)="D"),0,VLOOKUP(B15,INDIRECT(MatchDay!$W$2),2,FALSE)),"")</f>
        <v>10</v>
      </c>
      <c r="M15" s="228">
        <f>COUNTIF(I15,"&gt;0")</f>
        <v>1</v>
      </c>
      <c r="N15" s="66">
        <f>IFERROR(IF(C15&gt;88,1,0),0)</f>
        <v>0</v>
      </c>
    </row>
    <row r="16" spans="1:15" x14ac:dyDescent="0.35">
      <c r="A16" s="64">
        <v>0</v>
      </c>
      <c r="B16" s="104">
        <v>2</v>
      </c>
      <c r="C16" s="107">
        <v>1</v>
      </c>
      <c r="D16" s="64" t="str">
        <f t="shared" si="1"/>
        <v>C&amp;N</v>
      </c>
      <c r="E16" s="457" t="str">
        <f>IFERROR(VLOOKUP($A13&amp;1&amp;C16,downloads!$A$1:$E$1000,2,FALSE)&amp;", "&amp;VLOOKUP($A13&amp;2&amp;C16,downloads!$A$1:$E$1000,2,FALSE)&amp;", "&amp;VLOOKUP($A13&amp;3&amp;C16,downloads!$A$1:$E$1000,2,FALSE)&amp;", "&amp;VLOOKUP($A13&amp;4&amp;C16,downloads!$A$1:$E$1000,2,FALSE),"")</f>
        <v>Gabriel BRZEZINSKI, Kaidan DOS REIS, Charlie SMITH, Ben JEFFS</v>
      </c>
      <c r="F16" s="457"/>
      <c r="G16" s="457"/>
      <c r="H16" s="457"/>
      <c r="I16" s="393">
        <v>57.5</v>
      </c>
      <c r="L16" s="66">
        <f ca="1">IFERROR(IF(OR(C16=0,C16="",I16=0,I16="",$L14&lt;&gt;0,LEFT(I16,1)="D"),0,VLOOKUP(B16,INDIRECT(MatchDay!$W$2),2,FALSE)),"")</f>
        <v>8</v>
      </c>
    </row>
    <row r="17" spans="1:15" x14ac:dyDescent="0.35">
      <c r="A17" s="105" t="str">
        <f>IFERROR(VLOOKUP(A13,standards,3,FALSE)+0.01,"-")</f>
        <v>-</v>
      </c>
      <c r="B17" s="104">
        <v>3</v>
      </c>
      <c r="C17" s="107">
        <v>7</v>
      </c>
      <c r="D17" s="64" t="str">
        <f t="shared" si="1"/>
        <v>Wigan</v>
      </c>
      <c r="E17" s="457" t="str">
        <f>IFERROR(VLOOKUP($A13&amp;1&amp;C17,downloads!$A$1:$E$1000,2,FALSE)&amp;", "&amp;VLOOKUP($A13&amp;2&amp;C17,downloads!$A$1:$E$1000,2,FALSE)&amp;", "&amp;VLOOKUP($A13&amp;3&amp;C17,downloads!$A$1:$E$1000,2,FALSE)&amp;", "&amp;VLOOKUP($A13&amp;4&amp;C17,downloads!$A$1:$E$1000,2,FALSE),"")</f>
        <v>Evan BARNETT, James DARBY, Theo MORGAN, Henry MORRIS</v>
      </c>
      <c r="F17" s="457"/>
      <c r="G17" s="457"/>
      <c r="H17" s="457"/>
      <c r="I17" s="394">
        <v>59.7</v>
      </c>
      <c r="L17" s="66">
        <f ca="1">IFERROR(IF(OR(C17=0,C17="",I17=0,I17="",$L14&lt;&gt;0,LEFT(I17,1)="D"),0,VLOOKUP(B17,INDIRECT(MatchDay!$W$2),2,FALSE)),"")</f>
        <v>7</v>
      </c>
    </row>
    <row r="18" spans="1:15" x14ac:dyDescent="0.35">
      <c r="A18" s="105" t="str">
        <f>IFERROR(VLOOKUP(A13,standards,4,FALSE)+0.01,"-")</f>
        <v>-</v>
      </c>
      <c r="B18" s="104">
        <v>4</v>
      </c>
      <c r="C18" s="107">
        <v>4</v>
      </c>
      <c r="D18" s="64" t="str">
        <f t="shared" si="1"/>
        <v>Macc</v>
      </c>
      <c r="E18" s="457" t="str">
        <f>IFERROR(VLOOKUP($A13&amp;1&amp;C18,downloads!$A$1:$E$1000,2,FALSE)&amp;", "&amp;VLOOKUP($A13&amp;2&amp;C18,downloads!$A$1:$E$1000,2,FALSE)&amp;", "&amp;VLOOKUP($A13&amp;3&amp;C18,downloads!$A$1:$E$1000,2,FALSE)&amp;", "&amp;VLOOKUP($A13&amp;4&amp;C18,downloads!$A$1:$E$1000,2,FALSE),"")</f>
        <v>Alexander MCLAREN, Samuel SAVAGE, Dylan BAKER, Tomas BEDOYA</v>
      </c>
      <c r="F18" s="457"/>
      <c r="G18" s="457"/>
      <c r="H18" s="457"/>
      <c r="I18" s="394">
        <v>60.1</v>
      </c>
      <c r="L18" s="66">
        <f ca="1">IFERROR(IF(OR(C18=0,C18="",I18=0,I18="",$L14&lt;&gt;0,LEFT(I18,1)="D"),0,VLOOKUP(B18,INDIRECT(MatchDay!$W$2),2,FALSE)),"")</f>
        <v>6</v>
      </c>
    </row>
    <row r="19" spans="1:15" x14ac:dyDescent="0.35">
      <c r="A19" s="105" t="str">
        <f>IFERROR(VLOOKUP(A13,standards,5,FALSE)+0.01,"-")</f>
        <v>-</v>
      </c>
      <c r="B19" s="104">
        <v>5</v>
      </c>
      <c r="C19" s="107">
        <v>2</v>
      </c>
      <c r="D19" s="64" t="str">
        <f t="shared" si="1"/>
        <v>ECHT</v>
      </c>
      <c r="E19" s="457" t="str">
        <f>IFERROR(VLOOKUP($A13&amp;1&amp;C19,downloads!$A$1:$E$1000,2,FALSE)&amp;", "&amp;VLOOKUP($A13&amp;2&amp;C19,downloads!$A$1:$E$1000,2,FALSE)&amp;", "&amp;VLOOKUP($A13&amp;3&amp;C19,downloads!$A$1:$E$1000,2,FALSE)&amp;", "&amp;VLOOKUP($A13&amp;4&amp;C19,downloads!$A$1:$E$1000,2,FALSE),"")</f>
        <v>Ryan MCCARTHY, James NELSON, Jake REANEY, Oliver MANNION</v>
      </c>
      <c r="F19" s="457"/>
      <c r="G19" s="457"/>
      <c r="H19" s="457"/>
      <c r="I19" s="394">
        <v>63.7</v>
      </c>
      <c r="L19" s="66">
        <f ca="1">IFERROR(IF(OR(C19=0,C19="",I19=0,I19="",$L14&lt;&gt;0,LEFT(I19,1)="D"),0,VLOOKUP(B19,INDIRECT(MatchDay!$W$2),2,FALSE)),"")</f>
        <v>5</v>
      </c>
    </row>
    <row r="20" spans="1:15" x14ac:dyDescent="0.35">
      <c r="A20" s="105" t="str">
        <f>IFERROR(VLOOKUP(A13,standards,6,FALSE)+0.01,"-")</f>
        <v>-</v>
      </c>
      <c r="B20" s="104">
        <v>6</v>
      </c>
      <c r="C20" s="107"/>
      <c r="D20" s="64" t="str">
        <f t="shared" si="1"/>
        <v/>
      </c>
      <c r="E20" s="457" t="str">
        <f>IFERROR(VLOOKUP($A13&amp;1&amp;C20,downloads!$A$1:$E$1000,2,FALSE)&amp;", "&amp;VLOOKUP($A13&amp;2&amp;C20,downloads!$A$1:$E$1000,2,FALSE)&amp;", "&amp;VLOOKUP($A13&amp;3&amp;C20,downloads!$A$1:$E$1000,2,FALSE)&amp;", "&amp;VLOOKUP($A13&amp;4&amp;C20,downloads!$A$1:$E$1000,2,FALSE),"")</f>
        <v/>
      </c>
      <c r="F20" s="457"/>
      <c r="G20" s="457"/>
      <c r="H20" s="457"/>
      <c r="I20" s="394"/>
      <c r="L20" s="66">
        <f ca="1">IFERROR(IF(OR(C20=0,C20="",I20=0,I20="",$L14&lt;&gt;0,LEFT(I20,1)="D"),0,VLOOKUP(B20,INDIRECT(MatchDay!$W$2),2,FALSE)),"")</f>
        <v>0</v>
      </c>
    </row>
    <row r="21" spans="1:15" x14ac:dyDescent="0.35">
      <c r="A21" s="140">
        <f>IFERROR(SEARCH("U17",B13),0)</f>
        <v>0</v>
      </c>
      <c r="B21" s="104">
        <v>7</v>
      </c>
      <c r="C21" s="107"/>
      <c r="D21" s="64" t="str">
        <f t="shared" si="1"/>
        <v/>
      </c>
      <c r="E21" s="457" t="str">
        <f>IFERROR(VLOOKUP($A13&amp;1&amp;C21,downloads!$A$1:$E$1000,2,FALSE)&amp;", "&amp;VLOOKUP($A13&amp;2&amp;C21,downloads!$A$1:$E$1000,2,FALSE)&amp;", "&amp;VLOOKUP($A13&amp;3&amp;C21,downloads!$A$1:$E$1000,2,FALSE)&amp;", "&amp;VLOOKUP($A13&amp;4&amp;C21,downloads!$A$1:$E$1000,2,FALSE),"")</f>
        <v/>
      </c>
      <c r="F21" s="457"/>
      <c r="G21" s="457"/>
      <c r="H21" s="457"/>
      <c r="I21" s="394"/>
      <c r="L21" s="66">
        <f ca="1">IFERROR(IF(OR(C21=0,C21="",I21=0,I21="",$L14&lt;&gt;0,LEFT(I21,1)="D"),0,VLOOKUP(B21,INDIRECT(MatchDay!$W$2),2,FALSE)),"")</f>
        <v>0</v>
      </c>
    </row>
    <row r="22" spans="1:15" x14ac:dyDescent="0.35">
      <c r="A22" s="103">
        <f>IFERROR(VLOOKUP(A13,records,5,FALSE),"")</f>
        <v>50.3</v>
      </c>
      <c r="B22" s="104">
        <v>8</v>
      </c>
      <c r="C22" s="107"/>
      <c r="D22" s="64" t="str">
        <f t="shared" si="1"/>
        <v/>
      </c>
      <c r="E22" s="457" t="str">
        <f>IFERROR(VLOOKUP($A13&amp;1&amp;C22,downloads!$A$1:$E$1000,2,FALSE)&amp;", "&amp;VLOOKUP($A13&amp;2&amp;C22,downloads!$A$1:$E$1000,2,FALSE)&amp;", "&amp;VLOOKUP($A13&amp;3&amp;C22,downloads!$A$1:$E$1000,2,FALSE)&amp;", "&amp;VLOOKUP($A13&amp;4&amp;C22,downloads!$A$1:$E$1000,2,FALSE),"")</f>
        <v/>
      </c>
      <c r="F22" s="457"/>
      <c r="G22" s="457"/>
      <c r="H22" s="457"/>
      <c r="I22" s="394"/>
      <c r="L22" s="66">
        <f ca="1">IFERROR(IF(OR(C22=0,C22="",I22=0,I22="",$L14&lt;&gt;0,LEFT(I22,1)="D"),0,VLOOKUP(B22,INDIRECT(MatchDay!$W$2),2,FALSE)),"")</f>
        <v>0</v>
      </c>
    </row>
    <row r="23" spans="1:15" x14ac:dyDescent="0.35">
      <c r="I23" s="407"/>
    </row>
    <row r="24" spans="1:15" x14ac:dyDescent="0.35">
      <c r="A24" s="98" t="s">
        <v>264</v>
      </c>
      <c r="B24" s="99" t="str">
        <f>IFERROR(A25&amp;" "&amp;VLOOKUP(A24,timetables,2,FALSE)&amp;" "&amp;VLOOKUP(A24,timetables,3,FALSE)&amp;" A","")</f>
        <v xml:space="preserve"> 4 x 100m U15 Girls A</v>
      </c>
      <c r="C24" s="99"/>
      <c r="I24" s="408" t="s">
        <v>138</v>
      </c>
      <c r="L24" s="66" t="s">
        <v>53</v>
      </c>
    </row>
    <row r="25" spans="1:15" x14ac:dyDescent="0.35">
      <c r="A25" s="79"/>
      <c r="B25" s="45" t="s">
        <v>177</v>
      </c>
      <c r="C25" s="45" t="s">
        <v>141</v>
      </c>
      <c r="D25" s="47" t="s">
        <v>175</v>
      </c>
      <c r="E25" s="47" t="s">
        <v>366</v>
      </c>
      <c r="F25" s="47" t="s">
        <v>367</v>
      </c>
      <c r="G25" s="47" t="s">
        <v>368</v>
      </c>
      <c r="H25" s="47" t="s">
        <v>369</v>
      </c>
      <c r="I25" s="392" t="s">
        <v>176</v>
      </c>
      <c r="L25" s="66">
        <f>IFERROR(SEARCH("NS",B24),0)</f>
        <v>0</v>
      </c>
      <c r="O25" s="67"/>
    </row>
    <row r="26" spans="1:15" x14ac:dyDescent="0.35">
      <c r="A26" s="138"/>
      <c r="B26" s="104">
        <v>1</v>
      </c>
      <c r="C26" s="107">
        <v>6</v>
      </c>
      <c r="D26" s="64" t="str">
        <f t="shared" ref="D26:D33" si="2">IFERROR(VLOOKUP(C26,teamlookup,5,FALSE),"")</f>
        <v>Stock</v>
      </c>
      <c r="E26" s="457" t="str">
        <f>IFERROR(VLOOKUP($A24&amp;1&amp;C26,downloads!$A$1:$E$1000,2,FALSE)&amp;", "&amp;VLOOKUP($A24&amp;2&amp;C26,downloads!$A$1:$E$1000,2,FALSE)&amp;", "&amp;VLOOKUP($A24&amp;3&amp;C26,downloads!$A$1:$E$1000,2,FALSE)&amp;", "&amp;VLOOKUP($A24&amp;4&amp;C26,downloads!$A$1:$E$1000,2,FALSE),"")</f>
        <v>Lily TYLER, Charlotte UNDERWOOD, Lucy JONES, Molly MILLS</v>
      </c>
      <c r="F26" s="457"/>
      <c r="G26" s="457"/>
      <c r="H26" s="457"/>
      <c r="I26" s="394">
        <v>54.5</v>
      </c>
      <c r="L26" s="66">
        <f ca="1">IFERROR(IF(OR(C26=0,C26="",I26=0,I26="",$L25&lt;&gt;0,LEFT(I26,1)="D"),0,VLOOKUP(B26,INDIRECT(MatchDay!$W$2),2,FALSE)),"")</f>
        <v>10</v>
      </c>
      <c r="M26" s="228">
        <f>COUNTIF(I26,"&gt;0")</f>
        <v>1</v>
      </c>
      <c r="N26" s="66">
        <f>IFERROR(IF(C26&gt;88,1,0),0)</f>
        <v>0</v>
      </c>
    </row>
    <row r="27" spans="1:15" x14ac:dyDescent="0.35">
      <c r="A27" s="64">
        <v>0</v>
      </c>
      <c r="B27" s="104">
        <v>2</v>
      </c>
      <c r="C27" s="263">
        <v>7</v>
      </c>
      <c r="D27" s="64" t="str">
        <f t="shared" si="2"/>
        <v>Wigan</v>
      </c>
      <c r="E27" s="457" t="str">
        <f>IFERROR(VLOOKUP($A24&amp;1&amp;C27,downloads!$A$1:$E$1000,2,FALSE)&amp;", "&amp;VLOOKUP($A24&amp;2&amp;C27,downloads!$A$1:$E$1000,2,FALSE)&amp;", "&amp;VLOOKUP($A24&amp;3&amp;C27,downloads!$A$1:$E$1000,2,FALSE)&amp;", "&amp;VLOOKUP($A24&amp;4&amp;C27,downloads!$A$1:$E$1000,2,FALSE),"")</f>
        <v>Lucy STRETTON, Lauren HEWITT, Emily WILSON, Emma PIMBLETT</v>
      </c>
      <c r="F27" s="457"/>
      <c r="G27" s="457"/>
      <c r="H27" s="457"/>
      <c r="I27" s="394">
        <v>54.8</v>
      </c>
      <c r="L27" s="66">
        <f ca="1">IFERROR(IF(OR(C27=0,C27="",I27=0,I27="",$L25&lt;&gt;0,LEFT(I27,1)="D"),0,VLOOKUP(B27,INDIRECT(MatchDay!$W$2),2,FALSE)),"")</f>
        <v>8</v>
      </c>
    </row>
    <row r="28" spans="1:15" x14ac:dyDescent="0.35">
      <c r="A28" s="105" t="str">
        <f>IFERROR(VLOOKUP(A24,standards,3,FALSE)+0.01,"-")</f>
        <v>-</v>
      </c>
      <c r="B28" s="104">
        <v>3</v>
      </c>
      <c r="C28" s="107">
        <v>3</v>
      </c>
      <c r="D28" s="64" t="str">
        <f t="shared" si="2"/>
        <v>Leigh</v>
      </c>
      <c r="E28" s="457" t="str">
        <f>IFERROR(VLOOKUP($A24&amp;1&amp;C28,downloads!$A$1:$E$1000,2,FALSE)&amp;", "&amp;VLOOKUP($A24&amp;2&amp;C28,downloads!$A$1:$E$1000,2,FALSE)&amp;", "&amp;VLOOKUP($A24&amp;3&amp;C28,downloads!$A$1:$E$1000,2,FALSE)&amp;", "&amp;VLOOKUP($A24&amp;4&amp;C28,downloads!$A$1:$E$1000,2,FALSE),"")</f>
        <v>Olivia COPPER, Eden MOSS TURNER, Eva MELLING, Isobel EVANS</v>
      </c>
      <c r="F28" s="457"/>
      <c r="G28" s="457"/>
      <c r="H28" s="457"/>
      <c r="I28" s="394">
        <v>56.4</v>
      </c>
      <c r="L28" s="66">
        <f ca="1">IFERROR(IF(OR(C28=0,C28="",I28=0,I28="",$L25&lt;&gt;0,LEFT(I28,1)="D"),0,VLOOKUP(B28,INDIRECT(MatchDay!$W$2),2,FALSE)),"")</f>
        <v>7</v>
      </c>
    </row>
    <row r="29" spans="1:15" x14ac:dyDescent="0.35">
      <c r="A29" s="105" t="str">
        <f>IFERROR(VLOOKUP(A24,standards,4,FALSE)+0.01,"-")</f>
        <v>-</v>
      </c>
      <c r="B29" s="104">
        <v>4</v>
      </c>
      <c r="C29" s="107">
        <v>5</v>
      </c>
      <c r="D29" s="64" t="str">
        <f t="shared" si="2"/>
        <v>Menai</v>
      </c>
      <c r="E29" s="457" t="str">
        <f>IFERROR(VLOOKUP($A24&amp;1&amp;C29,downloads!$A$1:$E$1000,2,FALSE)&amp;", "&amp;VLOOKUP($A24&amp;2&amp;C29,downloads!$A$1:$E$1000,2,FALSE)&amp;", "&amp;VLOOKUP($A24&amp;3&amp;C29,downloads!$A$1:$E$1000,2,FALSE)&amp;", "&amp;VLOOKUP($A24&amp;4&amp;C29,downloads!$A$1:$E$1000,2,FALSE),"")</f>
        <v>Hawys OWEN, Nest OWEN, Lily HARDY, Mabli WILLIAMS</v>
      </c>
      <c r="F29" s="457"/>
      <c r="G29" s="457"/>
      <c r="H29" s="457"/>
      <c r="I29" s="394">
        <v>58.4</v>
      </c>
      <c r="L29" s="66">
        <f ca="1">IFERROR(IF(OR(C29=0,C29="",I29=0,I29="",$L25&lt;&gt;0,LEFT(I29,1)="D"),0,VLOOKUP(B29,INDIRECT(MatchDay!$W$2),2,FALSE)),"")</f>
        <v>6</v>
      </c>
    </row>
    <row r="30" spans="1:15" x14ac:dyDescent="0.35">
      <c r="A30" s="105" t="str">
        <f>IFERROR(VLOOKUP(A24,standards,5,FALSE)+0.01,"-")</f>
        <v>-</v>
      </c>
      <c r="B30" s="104">
        <v>5</v>
      </c>
      <c r="C30" s="107">
        <v>1</v>
      </c>
      <c r="D30" s="64" t="str">
        <f t="shared" si="2"/>
        <v>C&amp;N</v>
      </c>
      <c r="E30" s="457" t="str">
        <f>IFERROR(VLOOKUP($A24&amp;1&amp;C30,downloads!$A$1:$E$1000,2,FALSE)&amp;", "&amp;VLOOKUP($A24&amp;2&amp;C30,downloads!$A$1:$E$1000,2,FALSE)&amp;", "&amp;VLOOKUP($A24&amp;3&amp;C30,downloads!$A$1:$E$1000,2,FALSE)&amp;", "&amp;VLOOKUP($A24&amp;4&amp;C30,downloads!$A$1:$E$1000,2,FALSE),"")</f>
        <v>Sophie STAINSBY, Heidi WOODS, Freya MASON, Bella VARLEY</v>
      </c>
      <c r="F30" s="457"/>
      <c r="G30" s="457"/>
      <c r="H30" s="457"/>
      <c r="I30" s="394">
        <v>60</v>
      </c>
      <c r="L30" s="66">
        <f ca="1">IFERROR(IF(OR(C30=0,C30="",I30=0,I30="",$L25&lt;&gt;0,LEFT(I30,1)="D"),0,VLOOKUP(B30,INDIRECT(MatchDay!$W$2),2,FALSE)),"")</f>
        <v>5</v>
      </c>
    </row>
    <row r="31" spans="1:15" x14ac:dyDescent="0.35">
      <c r="A31" s="105" t="str">
        <f>IFERROR(VLOOKUP(A24,standards,6,FALSE)+0.01,"-")</f>
        <v>-</v>
      </c>
      <c r="B31" s="104">
        <v>6</v>
      </c>
      <c r="C31" s="107"/>
      <c r="D31" s="64" t="str">
        <f t="shared" si="2"/>
        <v/>
      </c>
      <c r="E31" s="457" t="str">
        <f>IFERROR(VLOOKUP($A24&amp;1&amp;C31,downloads!$A$1:$E$1000,2,FALSE)&amp;", "&amp;VLOOKUP($A24&amp;2&amp;C31,downloads!$A$1:$E$1000,2,FALSE)&amp;", "&amp;VLOOKUP($A24&amp;3&amp;C31,downloads!$A$1:$E$1000,2,FALSE)&amp;", "&amp;VLOOKUP($A24&amp;4&amp;C31,downloads!$A$1:$E$1000,2,FALSE),"")</f>
        <v/>
      </c>
      <c r="F31" s="457"/>
      <c r="G31" s="457"/>
      <c r="H31" s="457"/>
      <c r="I31" s="394"/>
      <c r="L31" s="66">
        <f ca="1">IFERROR(IF(OR(C31=0,C31="",I31=0,I31="",$L25&lt;&gt;0,LEFT(I31,1)="D"),0,VLOOKUP(B31,INDIRECT(MatchDay!$W$2),2,FALSE)),"")</f>
        <v>0</v>
      </c>
    </row>
    <row r="32" spans="1:15" x14ac:dyDescent="0.35">
      <c r="A32" s="140">
        <f>IFERROR(SEARCH("U17",B24),0)</f>
        <v>0</v>
      </c>
      <c r="B32" s="104">
        <v>7</v>
      </c>
      <c r="C32" s="107"/>
      <c r="D32" s="64" t="str">
        <f t="shared" si="2"/>
        <v/>
      </c>
      <c r="E32" s="457" t="str">
        <f>IFERROR(VLOOKUP($A24&amp;1&amp;C32,downloads!$A$1:$E$1000,2,FALSE)&amp;", "&amp;VLOOKUP($A24&amp;2&amp;C32,downloads!$A$1:$E$1000,2,FALSE)&amp;", "&amp;VLOOKUP($A24&amp;3&amp;C32,downloads!$A$1:$E$1000,2,FALSE)&amp;", "&amp;VLOOKUP($A24&amp;4&amp;C32,downloads!$A$1:$E$1000,2,FALSE),"")</f>
        <v/>
      </c>
      <c r="F32" s="457"/>
      <c r="G32" s="457"/>
      <c r="H32" s="457"/>
      <c r="I32" s="394"/>
      <c r="L32" s="66">
        <f ca="1">IFERROR(IF(OR(C32=0,C32="",I32=0,I32="",$L25&lt;&gt;0,LEFT(I32,1)="D"),0,VLOOKUP(B32,INDIRECT(MatchDay!$W$2),2,FALSE)),"")</f>
        <v>0</v>
      </c>
    </row>
    <row r="33" spans="1:15" x14ac:dyDescent="0.35">
      <c r="A33" s="103">
        <f>IFERROR(VLOOKUP(A24,records,5,FALSE),"")</f>
        <v>48.61</v>
      </c>
      <c r="B33" s="104">
        <v>8</v>
      </c>
      <c r="C33" s="107"/>
      <c r="D33" s="64" t="str">
        <f t="shared" si="2"/>
        <v/>
      </c>
      <c r="E33" s="457" t="str">
        <f>IFERROR(VLOOKUP($A24&amp;1&amp;C33,downloads!$A$1:$E$1000,2,FALSE)&amp;", "&amp;VLOOKUP($A24&amp;2&amp;C33,downloads!$A$1:$E$1000,2,FALSE)&amp;", "&amp;VLOOKUP($A24&amp;3&amp;C33,downloads!$A$1:$E$1000,2,FALSE)&amp;", "&amp;VLOOKUP($A24&amp;4&amp;C33,downloads!$A$1:$E$1000,2,FALSE),"")</f>
        <v/>
      </c>
      <c r="F33" s="457"/>
      <c r="G33" s="457"/>
      <c r="H33" s="457"/>
      <c r="I33" s="394"/>
      <c r="L33" s="66">
        <f ca="1">IFERROR(IF(OR(C33=0,C33="",I33=0,I33="",$L25&lt;&gt;0,LEFT(I33,1)="D"),0,VLOOKUP(B33,INDIRECT(MatchDay!$W$2),2,FALSE)),"")</f>
        <v>0</v>
      </c>
    </row>
    <row r="34" spans="1:15" x14ac:dyDescent="0.35">
      <c r="I34" s="407"/>
    </row>
    <row r="35" spans="1:15" x14ac:dyDescent="0.35">
      <c r="A35" s="98" t="s">
        <v>265</v>
      </c>
      <c r="B35" s="99" t="str">
        <f>IFERROR(A36&amp;" "&amp;VLOOKUP(A35,timetables,2,FALSE)&amp;" "&amp;VLOOKUP(A35,timetables,3,FALSE)&amp;" A","")</f>
        <v xml:space="preserve"> 4 x 100m U15 Boys A</v>
      </c>
      <c r="C35" s="99"/>
      <c r="I35" s="408" t="s">
        <v>138</v>
      </c>
      <c r="L35" s="66" t="s">
        <v>53</v>
      </c>
    </row>
    <row r="36" spans="1:15" x14ac:dyDescent="0.35">
      <c r="A36" s="79"/>
      <c r="B36" s="45" t="s">
        <v>177</v>
      </c>
      <c r="C36" s="45" t="s">
        <v>141</v>
      </c>
      <c r="D36" s="47" t="s">
        <v>175</v>
      </c>
      <c r="E36" s="47" t="s">
        <v>366</v>
      </c>
      <c r="F36" s="47" t="s">
        <v>367</v>
      </c>
      <c r="G36" s="47" t="s">
        <v>368</v>
      </c>
      <c r="H36" s="47" t="s">
        <v>369</v>
      </c>
      <c r="I36" s="392" t="s">
        <v>176</v>
      </c>
      <c r="L36" s="66">
        <f>IFERROR(SEARCH("NS",B35),0)</f>
        <v>0</v>
      </c>
      <c r="O36" s="67"/>
    </row>
    <row r="37" spans="1:15" x14ac:dyDescent="0.35">
      <c r="A37" s="138"/>
      <c r="B37" s="104">
        <v>1</v>
      </c>
      <c r="C37" s="107">
        <v>1</v>
      </c>
      <c r="D37" s="64" t="str">
        <f t="shared" ref="D37:D44" si="3">IFERROR(VLOOKUP(C37,teamlookup,5,FALSE),"")</f>
        <v>C&amp;N</v>
      </c>
      <c r="E37" s="457" t="str">
        <f>IFERROR(VLOOKUP($A35&amp;1&amp;C37,downloads!$A$1:$E$1000,2,FALSE)&amp;", "&amp;VLOOKUP($A35&amp;2&amp;C37,downloads!$A$1:$E$1000,2,FALSE)&amp;", "&amp;VLOOKUP($A35&amp;3&amp;C37,downloads!$A$1:$E$1000,2,FALSE)&amp;", "&amp;VLOOKUP($A35&amp;4&amp;C37,downloads!$A$1:$E$1000,2,FALSE),"")</f>
        <v>Isaac PICKERING, William CATTELL, Oliver BORG-HEFFERNAN, James HOWARTH</v>
      </c>
      <c r="F37" s="457"/>
      <c r="G37" s="457"/>
      <c r="H37" s="457"/>
      <c r="I37" s="394">
        <v>51.9</v>
      </c>
      <c r="L37" s="66">
        <f ca="1">IFERROR(IF(OR(C37=0,C37="",I37=0,I37="",$L36&lt;&gt;0,LEFT(I37,1)="D"),0,VLOOKUP(B37,INDIRECT(MatchDay!$W$2),2,FALSE)),"")</f>
        <v>10</v>
      </c>
      <c r="M37" s="228">
        <f>COUNTIF(I37,"&gt;0")</f>
        <v>1</v>
      </c>
      <c r="N37" s="66">
        <f>IFERROR(IF(C37&gt;88,1,0),0)</f>
        <v>0</v>
      </c>
    </row>
    <row r="38" spans="1:15" x14ac:dyDescent="0.35">
      <c r="A38" s="64">
        <v>0</v>
      </c>
      <c r="B38" s="104">
        <v>2</v>
      </c>
      <c r="C38" s="107">
        <v>2</v>
      </c>
      <c r="D38" s="64" t="str">
        <f t="shared" si="3"/>
        <v>ECHT</v>
      </c>
      <c r="E38" s="457" t="str">
        <f>IFERROR(VLOOKUP($A35&amp;1&amp;C38,downloads!$A$1:$E$1000,2,FALSE)&amp;", "&amp;VLOOKUP($A35&amp;2&amp;C38,downloads!$A$1:$E$1000,2,FALSE)&amp;", "&amp;VLOOKUP($A35&amp;3&amp;C38,downloads!$A$1:$E$1000,2,FALSE)&amp;", "&amp;VLOOKUP($A35&amp;4&amp;C38,downloads!$A$1:$E$1000,2,FALSE),"")</f>
        <v>James ROOK, Alfie MANSER, Marshall FLEET, Max ORMSTON</v>
      </c>
      <c r="F38" s="457"/>
      <c r="G38" s="457"/>
      <c r="H38" s="457"/>
      <c r="I38" s="394">
        <v>53.9</v>
      </c>
      <c r="L38" s="66">
        <f ca="1">IFERROR(IF(OR(C38=0,C38="",I38=0,I38="",$L36&lt;&gt;0,LEFT(I38,1)="D"),0,VLOOKUP(B38,INDIRECT(MatchDay!$W$2),2,FALSE)),"")</f>
        <v>8</v>
      </c>
    </row>
    <row r="39" spans="1:15" x14ac:dyDescent="0.35">
      <c r="A39" s="105" t="str">
        <f>IFERROR(VLOOKUP(A35,standards,3,FALSE)+0.01,"-")</f>
        <v>-</v>
      </c>
      <c r="B39" s="104">
        <v>3</v>
      </c>
      <c r="C39" s="107">
        <v>4</v>
      </c>
      <c r="D39" s="64" t="str">
        <f t="shared" si="3"/>
        <v>Macc</v>
      </c>
      <c r="E39" s="457" t="str">
        <f>IFERROR(VLOOKUP($A35&amp;1&amp;C39,downloads!$A$1:$E$1000,2,FALSE)&amp;", "&amp;VLOOKUP($A35&amp;2&amp;C39,downloads!$A$1:$E$1000,2,FALSE)&amp;", "&amp;VLOOKUP($A35&amp;3&amp;C39,downloads!$A$1:$E$1000,2,FALSE)&amp;", "&amp;VLOOKUP($A35&amp;4&amp;C39,downloads!$A$1:$E$1000,2,FALSE),"")</f>
        <v>Thomas WOOD, Oliver STEWART, Will HAMMOND, Tristan LAMPRECHT</v>
      </c>
      <c r="F39" s="457"/>
      <c r="G39" s="457"/>
      <c r="H39" s="457"/>
      <c r="I39" s="394">
        <v>54.5</v>
      </c>
      <c r="L39" s="66">
        <f ca="1">IFERROR(IF(OR(C39=0,C39="",I39=0,I39="",$L36&lt;&gt;0,LEFT(I39,1)="D"),0,VLOOKUP(B39,INDIRECT(MatchDay!$W$2),2,FALSE)),"")</f>
        <v>7</v>
      </c>
    </row>
    <row r="40" spans="1:15" x14ac:dyDescent="0.35">
      <c r="A40" s="105" t="str">
        <f>IFERROR(VLOOKUP(A35,standards,4,FALSE)+0.01,"-")</f>
        <v>-</v>
      </c>
      <c r="B40" s="104">
        <v>4</v>
      </c>
      <c r="C40" s="107">
        <v>6</v>
      </c>
      <c r="D40" s="64" t="str">
        <f t="shared" si="3"/>
        <v>Stock</v>
      </c>
      <c r="E40" s="457" t="str">
        <f>IFERROR(VLOOKUP($A35&amp;1&amp;C40,downloads!$A$1:$E$1000,2,FALSE)&amp;", "&amp;VLOOKUP($A35&amp;2&amp;C40,downloads!$A$1:$E$1000,2,FALSE)&amp;", "&amp;VLOOKUP($A35&amp;3&amp;C40,downloads!$A$1:$E$1000,2,FALSE)&amp;", "&amp;VLOOKUP($A35&amp;4&amp;C40,downloads!$A$1:$E$1000,2,FALSE),"")</f>
        <v>Quaid SIN, Campbell JOHNSON, Luc BRADBURY, Jacob HARWOOD-BRETNALL</v>
      </c>
      <c r="F40" s="457"/>
      <c r="G40" s="457"/>
      <c r="H40" s="457"/>
      <c r="I40" s="394">
        <v>54.8</v>
      </c>
      <c r="L40" s="66">
        <f ca="1">IFERROR(IF(OR(C40=0,C40="",I40=0,I40="",$L36&lt;&gt;0,LEFT(I40,1)="D"),0,VLOOKUP(B40,INDIRECT(MatchDay!$W$2),2,FALSE)),"")</f>
        <v>6</v>
      </c>
    </row>
    <row r="41" spans="1:15" x14ac:dyDescent="0.35">
      <c r="A41" s="105" t="str">
        <f>IFERROR(VLOOKUP(A35,standards,5,FALSE)+0.01,"-")</f>
        <v>-</v>
      </c>
      <c r="B41" s="104">
        <v>5</v>
      </c>
      <c r="C41" s="107">
        <v>5</v>
      </c>
      <c r="D41" s="64" t="str">
        <f t="shared" si="3"/>
        <v>Menai</v>
      </c>
      <c r="E41" s="457" t="str">
        <f>IFERROR(VLOOKUP($A35&amp;1&amp;C41,downloads!$A$1:$E$1000,2,FALSE)&amp;", "&amp;VLOOKUP($A35&amp;2&amp;C41,downloads!$A$1:$E$1000,2,FALSE)&amp;", "&amp;VLOOKUP($A35&amp;3&amp;C41,downloads!$A$1:$E$1000,2,FALSE)&amp;", "&amp;VLOOKUP($A35&amp;4&amp;C41,downloads!$A$1:$E$1000,2,FALSE),"")</f>
        <v>Morgan JONES, Oliver NESBITT, Owain WILLIAMS, Alex BAYNHAM</v>
      </c>
      <c r="F41" s="457"/>
      <c r="G41" s="457"/>
      <c r="H41" s="457"/>
      <c r="I41" s="394">
        <v>59.4</v>
      </c>
      <c r="L41" s="66">
        <f ca="1">IFERROR(IF(OR(C41=0,C41="",I41=0,I41="",$L36&lt;&gt;0,LEFT(I41,1)="D"),0,VLOOKUP(B41,INDIRECT(MatchDay!$W$2),2,FALSE)),"")</f>
        <v>5</v>
      </c>
    </row>
    <row r="42" spans="1:15" x14ac:dyDescent="0.35">
      <c r="A42" s="105" t="str">
        <f>IFERROR(VLOOKUP(A35,standards,6,FALSE)+0.01,"-")</f>
        <v>-</v>
      </c>
      <c r="B42" s="104">
        <v>6</v>
      </c>
      <c r="C42" s="107"/>
      <c r="D42" s="64" t="str">
        <f t="shared" si="3"/>
        <v/>
      </c>
      <c r="E42" s="457" t="str">
        <f>IFERROR(VLOOKUP($A35&amp;1&amp;C42,downloads!$A$1:$E$1000,2,FALSE)&amp;", "&amp;VLOOKUP($A35&amp;2&amp;C42,downloads!$A$1:$E$1000,2,FALSE)&amp;", "&amp;VLOOKUP($A35&amp;3&amp;C42,downloads!$A$1:$E$1000,2,FALSE)&amp;", "&amp;VLOOKUP($A35&amp;4&amp;C42,downloads!$A$1:$E$1000,2,FALSE),"")</f>
        <v/>
      </c>
      <c r="F42" s="457"/>
      <c r="G42" s="457"/>
      <c r="H42" s="457"/>
      <c r="I42" s="394"/>
      <c r="L42" s="66">
        <f ca="1">IFERROR(IF(OR(C42=0,C42="",I42=0,I42="",$L36&lt;&gt;0,LEFT(I42,1)="D"),0,VLOOKUP(B42,INDIRECT(MatchDay!$W$2),2,FALSE)),"")</f>
        <v>0</v>
      </c>
    </row>
    <row r="43" spans="1:15" x14ac:dyDescent="0.35">
      <c r="A43" s="140">
        <f>IFERROR(SEARCH("U17",B35),0)</f>
        <v>0</v>
      </c>
      <c r="B43" s="104">
        <v>7</v>
      </c>
      <c r="C43" s="107"/>
      <c r="D43" s="64" t="str">
        <f t="shared" si="3"/>
        <v/>
      </c>
      <c r="E43" s="457" t="str">
        <f>IFERROR(VLOOKUP($A35&amp;1&amp;C43,downloads!$A$1:$E$1000,2,FALSE)&amp;", "&amp;VLOOKUP($A35&amp;2&amp;C43,downloads!$A$1:$E$1000,2,FALSE)&amp;", "&amp;VLOOKUP($A35&amp;3&amp;C43,downloads!$A$1:$E$1000,2,FALSE)&amp;", "&amp;VLOOKUP($A35&amp;4&amp;C43,downloads!$A$1:$E$1000,2,FALSE),"")</f>
        <v/>
      </c>
      <c r="F43" s="457"/>
      <c r="G43" s="457"/>
      <c r="H43" s="457"/>
      <c r="I43" s="394"/>
      <c r="L43" s="66">
        <f ca="1">IFERROR(IF(OR(C43=0,C43="",I43=0,I43="",$L36&lt;&gt;0,LEFT(I43,1)="D"),0,VLOOKUP(B43,INDIRECT(MatchDay!$W$2),2,FALSE)),"")</f>
        <v>0</v>
      </c>
    </row>
    <row r="44" spans="1:15" x14ac:dyDescent="0.35">
      <c r="A44" s="103">
        <f>IFERROR(VLOOKUP(A35,records,5,FALSE),"")</f>
        <v>44.6</v>
      </c>
      <c r="B44" s="104">
        <v>8</v>
      </c>
      <c r="C44" s="107"/>
      <c r="D44" s="64" t="str">
        <f t="shared" si="3"/>
        <v/>
      </c>
      <c r="E44" s="457" t="str">
        <f>IFERROR(VLOOKUP($A35&amp;1&amp;C44,downloads!$A$1:$E$1000,2,FALSE)&amp;", "&amp;VLOOKUP($A35&amp;2&amp;C44,downloads!$A$1:$E$1000,2,FALSE)&amp;", "&amp;VLOOKUP($A35&amp;3&amp;C44,downloads!$A$1:$E$1000,2,FALSE)&amp;", "&amp;VLOOKUP($A35&amp;4&amp;C44,downloads!$A$1:$E$1000,2,FALSE),"")</f>
        <v/>
      </c>
      <c r="F44" s="457"/>
      <c r="G44" s="457"/>
      <c r="H44" s="457"/>
      <c r="I44" s="394"/>
      <c r="L44" s="66">
        <f ca="1">IFERROR(IF(OR(C44=0,C44="",I44=0,I44="",$L36&lt;&gt;0,LEFT(I44,1)="D"),0,VLOOKUP(B44,INDIRECT(MatchDay!$W$2),2,FALSE)),"")</f>
        <v>0</v>
      </c>
    </row>
    <row r="45" spans="1:15" x14ac:dyDescent="0.35">
      <c r="I45" s="197"/>
    </row>
    <row r="46" spans="1:15" x14ac:dyDescent="0.35">
      <c r="A46" s="98" t="s">
        <v>260</v>
      </c>
      <c r="B46" s="99" t="str">
        <f>IFERROR(A47&amp;" "&amp;VLOOKUP(A46,timetables,2,FALSE)&amp;" "&amp;VLOOKUP(A46,timetables,3,FALSE)&amp;" A","")</f>
        <v xml:space="preserve"> 4 x 300m U15 Girls A</v>
      </c>
      <c r="C46" s="99"/>
      <c r="I46" s="198" t="s">
        <v>138</v>
      </c>
      <c r="L46" s="66" t="s">
        <v>53</v>
      </c>
    </row>
    <row r="47" spans="1:15" x14ac:dyDescent="0.35">
      <c r="A47" s="79"/>
      <c r="B47" s="45" t="s">
        <v>177</v>
      </c>
      <c r="C47" s="45" t="s">
        <v>141</v>
      </c>
      <c r="D47" s="47" t="s">
        <v>175</v>
      </c>
      <c r="E47" s="47" t="s">
        <v>366</v>
      </c>
      <c r="F47" s="47" t="s">
        <v>367</v>
      </c>
      <c r="G47" s="47" t="s">
        <v>368</v>
      </c>
      <c r="H47" s="47" t="s">
        <v>369</v>
      </c>
      <c r="I47" s="199" t="s">
        <v>176</v>
      </c>
      <c r="L47" s="66">
        <f>IFERROR(SEARCH("NS",B46),0)</f>
        <v>0</v>
      </c>
      <c r="O47" s="67"/>
    </row>
    <row r="48" spans="1:15" x14ac:dyDescent="0.35">
      <c r="A48" s="138"/>
      <c r="B48" s="104">
        <v>1</v>
      </c>
      <c r="C48" s="107">
        <v>3</v>
      </c>
      <c r="D48" s="64" t="str">
        <f t="shared" ref="D48:D55" si="4">IFERROR(VLOOKUP(C48,teamlookup,5,FALSE),"")</f>
        <v>Leigh</v>
      </c>
      <c r="E48" s="457" t="str">
        <f>IFERROR(VLOOKUP($A46&amp;1&amp;C48,downloads!$A$1:$E$1000,2,FALSE)&amp;", "&amp;VLOOKUP($A46&amp;2&amp;C48,downloads!$A$1:$E$1000,2,FALSE)&amp;", "&amp;VLOOKUP($A46&amp;3&amp;C48,downloads!$A$1:$E$1000,2,FALSE)&amp;", "&amp;VLOOKUP($A46&amp;4&amp;C48,downloads!$A$1:$E$1000,2,FALSE),"")</f>
        <v>Freya CASH, Lexie SHANNON, Gabriella TAYLOR, Jessica HODGKINSON</v>
      </c>
      <c r="F48" s="457"/>
      <c r="G48" s="457"/>
      <c r="H48" s="457"/>
      <c r="I48" s="402">
        <v>3.0649999999999999</v>
      </c>
      <c r="K48" s="97">
        <f>IFERROR((INT(I48)*60+(I48-INT(I48))*100)/86400,"X")</f>
        <v>2.158564814814815E-3</v>
      </c>
      <c r="L48" s="66">
        <f ca="1">IFERROR(IF(OR(C48=0,C48="",I48=0,I48="",$L47&lt;&gt;0,LEFT(I48,1)="D"),0,VLOOKUP(B48,INDIRECT(MatchDay!$W$2),2,FALSE)),"")</f>
        <v>10</v>
      </c>
      <c r="M48" s="228">
        <f>COUNTIF(I48,"&gt;0")</f>
        <v>1</v>
      </c>
      <c r="N48" s="66">
        <f>IFERROR(IF(C48&gt;88,1,0),0)</f>
        <v>0</v>
      </c>
    </row>
    <row r="49" spans="1:15" x14ac:dyDescent="0.35">
      <c r="A49" s="64">
        <v>0</v>
      </c>
      <c r="B49" s="104">
        <v>2</v>
      </c>
      <c r="C49" s="107">
        <v>7</v>
      </c>
      <c r="D49" s="64" t="str">
        <f t="shared" si="4"/>
        <v>Wigan</v>
      </c>
      <c r="E49" s="457" t="str">
        <f>IFERROR(VLOOKUP($A46&amp;1&amp;C49,downloads!$A$1:$E$1000,2,FALSE)&amp;", "&amp;VLOOKUP($A46&amp;2&amp;C49,downloads!$A$1:$E$1000,2,FALSE)&amp;", "&amp;VLOOKUP($A46&amp;3&amp;C49,downloads!$A$1:$E$1000,2,FALSE)&amp;", "&amp;VLOOKUP($A46&amp;4&amp;C49,downloads!$A$1:$E$1000,2,FALSE),"")</f>
        <v>Claudia BERRY, Esme HARRIS, Nour KHOLEIF, Kady HALL</v>
      </c>
      <c r="F49" s="457"/>
      <c r="G49" s="457"/>
      <c r="H49" s="457"/>
      <c r="I49" s="402">
        <v>3.07</v>
      </c>
      <c r="K49" s="97">
        <f t="shared" ref="K49:K66" si="5">IFERROR((INT(I49)*60+(I49-INT(I49))*100)/86400,"X")</f>
        <v>2.1643518518518513E-3</v>
      </c>
      <c r="L49" s="66">
        <f ca="1">IFERROR(IF(OR(C49=0,C49="",I49=0,I49="",$L47&lt;&gt;0,LEFT(I49,1)="D"),0,VLOOKUP(B49,INDIRECT(MatchDay!$W$2),2,FALSE)),"")</f>
        <v>8</v>
      </c>
    </row>
    <row r="50" spans="1:15" x14ac:dyDescent="0.35">
      <c r="A50" s="105" t="str">
        <f>IFERROR(VLOOKUP(A46,standards,3,FALSE)+0.01,"-")</f>
        <v>-</v>
      </c>
      <c r="B50" s="104">
        <v>3</v>
      </c>
      <c r="C50" s="107">
        <v>2</v>
      </c>
      <c r="D50" s="64" t="str">
        <f t="shared" si="4"/>
        <v>ECHT</v>
      </c>
      <c r="E50" s="457" t="str">
        <f>IFERROR(VLOOKUP($A46&amp;1&amp;C50,downloads!$A$1:$E$1000,2,FALSE)&amp;", "&amp;VLOOKUP($A46&amp;2&amp;C50,downloads!$A$1:$E$1000,2,FALSE)&amp;", "&amp;VLOOKUP($A46&amp;3&amp;C50,downloads!$A$1:$E$1000,2,FALSE)&amp;", "&amp;VLOOKUP($A46&amp;4&amp;C50,downloads!$A$1:$E$1000,2,FALSE),"")</f>
        <v>Ava ROYLE, Anna ROOKE, Isla HERRING, Amelia JONES</v>
      </c>
      <c r="F50" s="457"/>
      <c r="G50" s="457"/>
      <c r="H50" s="457"/>
      <c r="I50" s="402">
        <v>3.1869999999999998</v>
      </c>
      <c r="K50" s="97">
        <f t="shared" si="5"/>
        <v>2.2997685185185183E-3</v>
      </c>
      <c r="L50" s="66">
        <f ca="1">IFERROR(IF(OR(C50=0,C50="",I50=0,I50="",$L47&lt;&gt;0,LEFT(I50,1)="D"),0,VLOOKUP(B50,INDIRECT(MatchDay!$W$2),2,FALSE)),"")</f>
        <v>7</v>
      </c>
    </row>
    <row r="51" spans="1:15" x14ac:dyDescent="0.35">
      <c r="A51" s="105" t="str">
        <f>IFERROR(VLOOKUP(A46,standards,4,FALSE)+0.01,"-")</f>
        <v>-</v>
      </c>
      <c r="B51" s="104">
        <v>4</v>
      </c>
      <c r="C51" s="107">
        <v>1</v>
      </c>
      <c r="D51" s="64" t="str">
        <f t="shared" si="4"/>
        <v>C&amp;N</v>
      </c>
      <c r="E51" s="457" t="str">
        <f>IFERROR(VLOOKUP($A46&amp;1&amp;C51,downloads!$A$1:$E$1000,2,FALSE)&amp;", "&amp;VLOOKUP($A46&amp;2&amp;C51,downloads!$A$1:$E$1000,2,FALSE)&amp;", "&amp;VLOOKUP($A46&amp;3&amp;C51,downloads!$A$1:$E$1000,2,FALSE)&amp;", "&amp;VLOOKUP($A46&amp;4&amp;C51,downloads!$A$1:$E$1000,2,FALSE),"")</f>
        <v>Lucy HARDING, Elisha CARTER, Mia O'DONNELL, Olivia WELCH</v>
      </c>
      <c r="F51" s="457"/>
      <c r="G51" s="457"/>
      <c r="H51" s="457"/>
      <c r="I51" s="409">
        <v>3.2160000000000002</v>
      </c>
      <c r="K51" s="97">
        <f t="shared" si="5"/>
        <v>2.3333333333333335E-3</v>
      </c>
      <c r="L51" s="66">
        <f ca="1">IFERROR(IF(OR(C51=0,C51="",I51=0,I51="",$L47&lt;&gt;0,LEFT(I51,1)="D"),0,VLOOKUP(B51,INDIRECT(MatchDay!$W$2),2,FALSE)),"")</f>
        <v>6</v>
      </c>
    </row>
    <row r="52" spans="1:15" x14ac:dyDescent="0.35">
      <c r="A52" s="105" t="str">
        <f>IFERROR(VLOOKUP(A46,standards,5,FALSE)+0.01,"-")</f>
        <v>-</v>
      </c>
      <c r="B52" s="104">
        <v>5</v>
      </c>
      <c r="C52" s="107"/>
      <c r="D52" s="64" t="str">
        <f t="shared" si="4"/>
        <v/>
      </c>
      <c r="E52" s="457" t="str">
        <f>IFERROR(VLOOKUP($A46&amp;1&amp;C52,downloads!$A$1:$E$1000,2,FALSE)&amp;", "&amp;VLOOKUP($A46&amp;2&amp;C52,downloads!$A$1:$E$1000,2,FALSE)&amp;", "&amp;VLOOKUP($A46&amp;3&amp;C52,downloads!$A$1:$E$1000,2,FALSE)&amp;", "&amp;VLOOKUP($A46&amp;4&amp;C52,downloads!$A$1:$E$1000,2,FALSE),"")</f>
        <v/>
      </c>
      <c r="F52" s="457"/>
      <c r="G52" s="457"/>
      <c r="H52" s="457"/>
      <c r="I52" s="402"/>
      <c r="K52" s="97">
        <f t="shared" si="5"/>
        <v>0</v>
      </c>
      <c r="L52" s="66">
        <f ca="1">IFERROR(IF(OR(C52=0,C52="",I52=0,I52="",$L47&lt;&gt;0,LEFT(I52,1)="D"),0,VLOOKUP(B52,INDIRECT(MatchDay!$W$2),2,FALSE)),"")</f>
        <v>0</v>
      </c>
    </row>
    <row r="53" spans="1:15" x14ac:dyDescent="0.35">
      <c r="A53" s="105" t="str">
        <f>IFERROR(VLOOKUP(A46,standards,6,FALSE)+0.01,"-")</f>
        <v>-</v>
      </c>
      <c r="B53" s="104">
        <v>6</v>
      </c>
      <c r="C53" s="107"/>
      <c r="D53" s="64" t="str">
        <f t="shared" si="4"/>
        <v/>
      </c>
      <c r="E53" s="457" t="str">
        <f>IFERROR(VLOOKUP($A46&amp;1&amp;C53,downloads!$A$1:$E$1000,2,FALSE)&amp;", "&amp;VLOOKUP($A46&amp;2&amp;C53,downloads!$A$1:$E$1000,2,FALSE)&amp;", "&amp;VLOOKUP($A46&amp;3&amp;C53,downloads!$A$1:$E$1000,2,FALSE)&amp;", "&amp;VLOOKUP($A46&amp;4&amp;C53,downloads!$A$1:$E$1000,2,FALSE),"")</f>
        <v/>
      </c>
      <c r="F53" s="457"/>
      <c r="G53" s="457"/>
      <c r="H53" s="457"/>
      <c r="I53" s="409"/>
      <c r="K53" s="97">
        <f t="shared" si="5"/>
        <v>0</v>
      </c>
      <c r="L53" s="66">
        <f ca="1">IFERROR(IF(OR(C53=0,C53="",I53=0,I53="",$L47&lt;&gt;0,LEFT(I53,1)="D"),0,VLOOKUP(B53,INDIRECT(MatchDay!$W$2),2,FALSE)),"")</f>
        <v>0</v>
      </c>
    </row>
    <row r="54" spans="1:15" x14ac:dyDescent="0.35">
      <c r="A54" s="140">
        <f>IFERROR(SEARCH("U17",B46),0)</f>
        <v>0</v>
      </c>
      <c r="B54" s="104">
        <v>7</v>
      </c>
      <c r="C54" s="107"/>
      <c r="D54" s="64" t="str">
        <f t="shared" si="4"/>
        <v/>
      </c>
      <c r="E54" s="457" t="str">
        <f>IFERROR(VLOOKUP($A46&amp;1&amp;C54,downloads!$A$1:$E$1000,2,FALSE)&amp;", "&amp;VLOOKUP($A46&amp;2&amp;C54,downloads!$A$1:$E$1000,2,FALSE)&amp;", "&amp;VLOOKUP($A46&amp;3&amp;C54,downloads!$A$1:$E$1000,2,FALSE)&amp;", "&amp;VLOOKUP($A46&amp;4&amp;C54,downloads!$A$1:$E$1000,2,FALSE),"")</f>
        <v/>
      </c>
      <c r="F54" s="457"/>
      <c r="G54" s="457"/>
      <c r="H54" s="457"/>
      <c r="I54" s="409"/>
      <c r="K54" s="97">
        <f t="shared" si="5"/>
        <v>0</v>
      </c>
      <c r="L54" s="66">
        <f ca="1">IFERROR(IF(OR(C54=0,C54="",I54=0,I54="",$L47&lt;&gt;0,LEFT(I54,1)="D"),0,VLOOKUP(B54,INDIRECT(MatchDay!$W$2),2,FALSE)),"")</f>
        <v>0</v>
      </c>
    </row>
    <row r="55" spans="1:15" x14ac:dyDescent="0.35">
      <c r="A55" s="103">
        <f>IFERROR(VLOOKUP(A46,records,5,FALSE),"")</f>
        <v>1.9575231481481483E-3</v>
      </c>
      <c r="B55" s="104">
        <v>8</v>
      </c>
      <c r="C55" s="107"/>
      <c r="D55" s="64" t="str">
        <f t="shared" si="4"/>
        <v/>
      </c>
      <c r="E55" s="457" t="str">
        <f>IFERROR(VLOOKUP($A46&amp;1&amp;C55,downloads!$A$1:$E$1000,2,FALSE)&amp;", "&amp;VLOOKUP($A46&amp;2&amp;C55,downloads!$A$1:$E$1000,2,FALSE)&amp;", "&amp;VLOOKUP($A46&amp;3&amp;C55,downloads!$A$1:$E$1000,2,FALSE)&amp;", "&amp;VLOOKUP($A46&amp;4&amp;C55,downloads!$A$1:$E$1000,2,FALSE),"")</f>
        <v/>
      </c>
      <c r="F55" s="457"/>
      <c r="G55" s="457"/>
      <c r="H55" s="457"/>
      <c r="I55" s="409"/>
      <c r="K55" s="97">
        <f t="shared" si="5"/>
        <v>0</v>
      </c>
      <c r="L55" s="66">
        <f ca="1">IFERROR(IF(OR(C55=0,C55="",I55=0,I55="",$L47&lt;&gt;0,LEFT(I55,1)="D"),0,VLOOKUP(B55,INDIRECT(MatchDay!$W$2),2,FALSE)),"")</f>
        <v>0</v>
      </c>
    </row>
    <row r="56" spans="1:15" x14ac:dyDescent="0.35">
      <c r="I56" s="410"/>
      <c r="K56" s="97">
        <f t="shared" si="5"/>
        <v>0</v>
      </c>
    </row>
    <row r="57" spans="1:15" x14ac:dyDescent="0.35">
      <c r="A57" s="98" t="s">
        <v>261</v>
      </c>
      <c r="B57" s="99" t="str">
        <f>IFERROR(A58&amp;" "&amp;VLOOKUP(A57,timetables,2,FALSE)&amp;" "&amp;VLOOKUP(A57,timetables,3,FALSE)&amp;" A","")</f>
        <v xml:space="preserve"> 4 x 300m U15 Boys A</v>
      </c>
      <c r="C57" s="99"/>
      <c r="I57" s="411" t="s">
        <v>138</v>
      </c>
      <c r="K57" s="97"/>
      <c r="L57" s="66" t="s">
        <v>53</v>
      </c>
    </row>
    <row r="58" spans="1:15" x14ac:dyDescent="0.35">
      <c r="A58" s="79"/>
      <c r="B58" s="45" t="s">
        <v>177</v>
      </c>
      <c r="C58" s="45" t="s">
        <v>141</v>
      </c>
      <c r="D58" s="47" t="s">
        <v>175</v>
      </c>
      <c r="E58" s="47" t="s">
        <v>366</v>
      </c>
      <c r="F58" s="47" t="s">
        <v>367</v>
      </c>
      <c r="G58" s="47" t="s">
        <v>368</v>
      </c>
      <c r="H58" s="47" t="s">
        <v>369</v>
      </c>
      <c r="I58" s="401" t="s">
        <v>176</v>
      </c>
      <c r="K58" s="97"/>
      <c r="L58" s="66">
        <f>IFERROR(SEARCH("NS",B57),0)</f>
        <v>0</v>
      </c>
      <c r="O58" s="67"/>
    </row>
    <row r="59" spans="1:15" x14ac:dyDescent="0.35">
      <c r="A59" s="138"/>
      <c r="B59" s="104">
        <v>1</v>
      </c>
      <c r="C59" s="107">
        <v>2</v>
      </c>
      <c r="D59" s="64" t="str">
        <f t="shared" ref="D59:D66" si="6">IFERROR(VLOOKUP(C59,teamlookup,5,FALSE),"")</f>
        <v>ECHT</v>
      </c>
      <c r="E59" s="457" t="str">
        <f>IFERROR(VLOOKUP($A57&amp;1&amp;C59,downloads!$A$1:$E$1000,2,FALSE)&amp;", "&amp;VLOOKUP($A57&amp;2&amp;C59,downloads!$A$1:$E$1000,2,FALSE)&amp;", "&amp;VLOOKUP($A57&amp;3&amp;C59,downloads!$A$1:$E$1000,2,FALSE)&amp;", "&amp;VLOOKUP($A57&amp;4&amp;C59,downloads!$A$1:$E$1000,2,FALSE),"")</f>
        <v>Marshall FLEET, Sebastian STEWART, Oliver WALKER, Alfie MANSER</v>
      </c>
      <c r="F59" s="457"/>
      <c r="G59" s="457"/>
      <c r="H59" s="457"/>
      <c r="I59" s="402">
        <v>3.1259999999999999</v>
      </c>
      <c r="K59" s="97">
        <f t="shared" si="5"/>
        <v>2.2291666666666666E-3</v>
      </c>
      <c r="L59" s="66">
        <f ca="1">IFERROR(IF(OR(C59=0,C59="",I59=0,I59="",$L58&lt;&gt;0,LEFT(I59,1)="D"),0,VLOOKUP(B59,INDIRECT(MatchDay!$W$2),2,FALSE)),"")</f>
        <v>10</v>
      </c>
      <c r="M59" s="228">
        <f>COUNTIF(I59,"&gt;0")</f>
        <v>1</v>
      </c>
      <c r="N59" s="66">
        <f>IFERROR(IF(C59&gt;88,1,0),0)</f>
        <v>0</v>
      </c>
    </row>
    <row r="60" spans="1:15" x14ac:dyDescent="0.35">
      <c r="A60" s="64">
        <v>0</v>
      </c>
      <c r="B60" s="104">
        <v>2</v>
      </c>
      <c r="C60" s="107">
        <v>3</v>
      </c>
      <c r="D60" s="64" t="str">
        <f t="shared" si="6"/>
        <v>Leigh</v>
      </c>
      <c r="E60" s="457" t="str">
        <f>IFERROR(VLOOKUP($A57&amp;1&amp;C60,downloads!$A$1:$E$1000,2,FALSE)&amp;", "&amp;VLOOKUP($A57&amp;2&amp;C60,downloads!$A$1:$E$1000,2,FALSE)&amp;", "&amp;VLOOKUP($A57&amp;3&amp;C60,downloads!$A$1:$E$1000,2,FALSE)&amp;", "&amp;VLOOKUP($A57&amp;4&amp;C60,downloads!$A$1:$E$1000,2,FALSE),"")</f>
        <v>Barnaby CROMBLEHOLME, Lucas GREGORY, William GUY, Archer GILDART</v>
      </c>
      <c r="F60" s="457"/>
      <c r="G60" s="457"/>
      <c r="H60" s="457"/>
      <c r="I60" s="402">
        <v>3.165</v>
      </c>
      <c r="K60" s="97">
        <f t="shared" si="5"/>
        <v>2.2743055555555555E-3</v>
      </c>
      <c r="L60" s="66">
        <f ca="1">IFERROR(IF(OR(C60=0,C60="",I60=0,I60="",$L58&lt;&gt;0,LEFT(I60,1)="D"),0,VLOOKUP(B60,INDIRECT(MatchDay!$W$2),2,FALSE)),"")</f>
        <v>8</v>
      </c>
    </row>
    <row r="61" spans="1:15" x14ac:dyDescent="0.35">
      <c r="A61" s="105" t="str">
        <f>IFERROR(VLOOKUP(A57,standards,3,FALSE)+0.01,"-")</f>
        <v>-</v>
      </c>
      <c r="B61" s="104">
        <v>3</v>
      </c>
      <c r="C61" s="107">
        <v>4</v>
      </c>
      <c r="D61" s="64" t="str">
        <f t="shared" si="6"/>
        <v>Macc</v>
      </c>
      <c r="E61" s="457" t="str">
        <f>IFERROR(VLOOKUP($A57&amp;1&amp;C61,downloads!$A$1:$E$1000,2,FALSE)&amp;", "&amp;VLOOKUP($A57&amp;2&amp;C61,downloads!$A$1:$E$1000,2,FALSE)&amp;", "&amp;VLOOKUP($A57&amp;3&amp;C61,downloads!$A$1:$E$1000,2,FALSE)&amp;", "&amp;VLOOKUP($A57&amp;4&amp;C61,downloads!$A$1:$E$1000,2,FALSE),"")</f>
        <v>Toby BROADRICK, Bobby TOMLINSON, Douglas POINTON, Thomas WOOD</v>
      </c>
      <c r="F61" s="457"/>
      <c r="G61" s="457"/>
      <c r="H61" s="457"/>
      <c r="I61" s="409">
        <v>3.1850000000000001</v>
      </c>
      <c r="K61" s="97">
        <f t="shared" si="5"/>
        <v>2.2974537037037039E-3</v>
      </c>
      <c r="L61" s="66">
        <f ca="1">IFERROR(IF(OR(C61=0,C61="",I61=0,I61="",$L58&lt;&gt;0,LEFT(I61,1)="D"),0,VLOOKUP(B61,INDIRECT(MatchDay!$W$2),2,FALSE)),"")</f>
        <v>7</v>
      </c>
    </row>
    <row r="62" spans="1:15" x14ac:dyDescent="0.35">
      <c r="A62" s="105" t="str">
        <f>IFERROR(VLOOKUP(A57,standards,4,FALSE)+0.01,"-")</f>
        <v>-</v>
      </c>
      <c r="B62" s="104">
        <v>4</v>
      </c>
      <c r="C62" s="107"/>
      <c r="D62" s="64" t="str">
        <f t="shared" si="6"/>
        <v/>
      </c>
      <c r="E62" s="457" t="str">
        <f>IFERROR(VLOOKUP($A57&amp;1&amp;C62,downloads!$A$1:$E$1000,2,FALSE)&amp;", "&amp;VLOOKUP($A57&amp;2&amp;C62,downloads!$A$1:$E$1000,2,FALSE)&amp;", "&amp;VLOOKUP($A57&amp;3&amp;C62,downloads!$A$1:$E$1000,2,FALSE)&amp;", "&amp;VLOOKUP($A57&amp;4&amp;C62,downloads!$A$1:$E$1000,2,FALSE),"")</f>
        <v/>
      </c>
      <c r="F62" s="457"/>
      <c r="G62" s="457"/>
      <c r="H62" s="457"/>
      <c r="I62" s="409"/>
      <c r="K62" s="97">
        <f t="shared" si="5"/>
        <v>0</v>
      </c>
      <c r="L62" s="66">
        <f ca="1">IFERROR(IF(OR(C62=0,C62="",I62=0,I62="",$L58&lt;&gt;0,LEFT(I62,1)="D"),0,VLOOKUP(B62,INDIRECT(MatchDay!$W$2),2,FALSE)),"")</f>
        <v>0</v>
      </c>
    </row>
    <row r="63" spans="1:15" x14ac:dyDescent="0.35">
      <c r="A63" s="105" t="str">
        <f>IFERROR(VLOOKUP(A57,standards,5,FALSE)+0.01,"-")</f>
        <v>-</v>
      </c>
      <c r="B63" s="104">
        <v>5</v>
      </c>
      <c r="C63" s="107"/>
      <c r="D63" s="64" t="str">
        <f t="shared" si="6"/>
        <v/>
      </c>
      <c r="E63" s="457" t="str">
        <f>IFERROR(VLOOKUP($A57&amp;1&amp;C63,downloads!$A$1:$E$1000,2,FALSE)&amp;", "&amp;VLOOKUP($A57&amp;2&amp;C63,downloads!$A$1:$E$1000,2,FALSE)&amp;", "&amp;VLOOKUP($A57&amp;3&amp;C63,downloads!$A$1:$E$1000,2,FALSE)&amp;", "&amp;VLOOKUP($A57&amp;4&amp;C63,downloads!$A$1:$E$1000,2,FALSE),"")</f>
        <v/>
      </c>
      <c r="F63" s="457"/>
      <c r="G63" s="457"/>
      <c r="H63" s="457"/>
      <c r="I63" s="409"/>
      <c r="K63" s="97">
        <f t="shared" si="5"/>
        <v>0</v>
      </c>
      <c r="L63" s="66">
        <f ca="1">IFERROR(IF(OR(C63=0,C63="",I63=0,I63="",$L58&lt;&gt;0,LEFT(I63,1)="D"),0,VLOOKUP(B63,INDIRECT(MatchDay!$W$2),2,FALSE)),"")</f>
        <v>0</v>
      </c>
    </row>
    <row r="64" spans="1:15" x14ac:dyDescent="0.35">
      <c r="A64" s="105" t="str">
        <f>IFERROR(VLOOKUP(A57,standards,6,FALSE)+0.01,"-")</f>
        <v>-</v>
      </c>
      <c r="B64" s="104">
        <v>6</v>
      </c>
      <c r="C64" s="107"/>
      <c r="D64" s="64" t="str">
        <f t="shared" si="6"/>
        <v/>
      </c>
      <c r="E64" s="457" t="str">
        <f>IFERROR(VLOOKUP($A57&amp;1&amp;C64,downloads!$A$1:$E$1000,2,FALSE)&amp;", "&amp;VLOOKUP($A57&amp;2&amp;C64,downloads!$A$1:$E$1000,2,FALSE)&amp;", "&amp;VLOOKUP($A57&amp;3&amp;C64,downloads!$A$1:$E$1000,2,FALSE)&amp;", "&amp;VLOOKUP($A57&amp;4&amp;C64,downloads!$A$1:$E$1000,2,FALSE),"")</f>
        <v/>
      </c>
      <c r="F64" s="457"/>
      <c r="G64" s="457"/>
      <c r="H64" s="457"/>
      <c r="I64" s="409"/>
      <c r="K64" s="97">
        <f t="shared" si="5"/>
        <v>0</v>
      </c>
      <c r="L64" s="66">
        <f ca="1">IFERROR(IF(OR(C64=0,C64="",I64=0,I64="",$L58&lt;&gt;0,LEFT(I64,1)="D"),0,VLOOKUP(B64,INDIRECT(MatchDay!$W$2),2,FALSE)),"")</f>
        <v>0</v>
      </c>
    </row>
    <row r="65" spans="1:12" x14ac:dyDescent="0.35">
      <c r="A65" s="140">
        <f>IFERROR(SEARCH("U17",B57),0)</f>
        <v>0</v>
      </c>
      <c r="B65" s="104">
        <v>7</v>
      </c>
      <c r="C65" s="107"/>
      <c r="D65" s="64" t="str">
        <f t="shared" si="6"/>
        <v/>
      </c>
      <c r="E65" s="457" t="str">
        <f>IFERROR(VLOOKUP($A57&amp;1&amp;C65,downloads!$A$1:$E$1000,2,FALSE)&amp;", "&amp;VLOOKUP($A57&amp;2&amp;C65,downloads!$A$1:$E$1000,2,FALSE)&amp;", "&amp;VLOOKUP($A57&amp;3&amp;C65,downloads!$A$1:$E$1000,2,FALSE)&amp;", "&amp;VLOOKUP($A57&amp;4&amp;C65,downloads!$A$1:$E$1000,2,FALSE),"")</f>
        <v/>
      </c>
      <c r="F65" s="457"/>
      <c r="G65" s="457"/>
      <c r="H65" s="457"/>
      <c r="I65" s="409"/>
      <c r="K65" s="97">
        <f t="shared" si="5"/>
        <v>0</v>
      </c>
      <c r="L65" s="66">
        <f ca="1">IFERROR(IF(OR(C65=0,C65="",I65=0,I65="",$L58&lt;&gt;0,LEFT(I65,1)="D"),0,VLOOKUP(B65,INDIRECT(MatchDay!$W$2),2,FALSE)),"")</f>
        <v>0</v>
      </c>
    </row>
    <row r="66" spans="1:12" x14ac:dyDescent="0.35">
      <c r="A66" s="103">
        <f>IFERROR(VLOOKUP(A57,records,5,FALSE),"")</f>
        <v>1.7754629629629631E-3</v>
      </c>
      <c r="B66" s="104">
        <v>8</v>
      </c>
      <c r="C66" s="107"/>
      <c r="D66" s="64" t="str">
        <f t="shared" si="6"/>
        <v/>
      </c>
      <c r="E66" s="457" t="str">
        <f>IFERROR(VLOOKUP($A57&amp;1&amp;C66,downloads!$A$1:$E$1000,2,FALSE)&amp;", "&amp;VLOOKUP($A57&amp;2&amp;C66,downloads!$A$1:$E$1000,2,FALSE)&amp;", "&amp;VLOOKUP($A57&amp;3&amp;C66,downloads!$A$1:$E$1000,2,FALSE)&amp;", "&amp;VLOOKUP($A57&amp;4&amp;C66,downloads!$A$1:$E$1000,2,FALSE),"")</f>
        <v/>
      </c>
      <c r="F66" s="457"/>
      <c r="G66" s="457"/>
      <c r="H66" s="457"/>
      <c r="I66" s="409"/>
      <c r="K66" s="97">
        <f t="shared" si="5"/>
        <v>0</v>
      </c>
      <c r="L66" s="66">
        <f ca="1">IFERROR(IF(OR(C66=0,C66="",I66=0,I66="",$L58&lt;&gt;0,LEFT(I66,1)="D"),0,VLOOKUP(B66,INDIRECT(MatchDay!$W$2),2,FALSE)),"")</f>
        <v>0</v>
      </c>
    </row>
  </sheetData>
  <sheetProtection algorithmName="SHA-512" hashValue="F40FS3inr7NuKGxzTdConCVDXPB7LM6a/bDBXUBq13KQlneBX5pipbPzdy4ZuElCmQV0dSHpBej9OgZKKbOQuw==" saltValue="Ugx8wF4mXVFTySjJBGt9zw==" spinCount="100000" sheet="1" objects="1" scenarios="1" formatCells="0" formatColumns="0" formatRows="0" sort="0" autoFilter="0"/>
  <mergeCells count="48">
    <mergeCell ref="E4:H4"/>
    <mergeCell ref="E5:H5"/>
    <mergeCell ref="E6:H6"/>
    <mergeCell ref="E7:H7"/>
    <mergeCell ref="E8:H8"/>
    <mergeCell ref="E26:H26"/>
    <mergeCell ref="E9:H9"/>
    <mergeCell ref="E10:H10"/>
    <mergeCell ref="E11:H11"/>
    <mergeCell ref="E15:H15"/>
    <mergeCell ref="E16:H16"/>
    <mergeCell ref="E17:H17"/>
    <mergeCell ref="E18:H18"/>
    <mergeCell ref="E19:H19"/>
    <mergeCell ref="E20:H20"/>
    <mergeCell ref="E21:H21"/>
    <mergeCell ref="E22:H22"/>
    <mergeCell ref="E41:H41"/>
    <mergeCell ref="E27:H27"/>
    <mergeCell ref="E28:H28"/>
    <mergeCell ref="E29:H29"/>
    <mergeCell ref="E30:H30"/>
    <mergeCell ref="E31:H31"/>
    <mergeCell ref="E32:H32"/>
    <mergeCell ref="E33:H33"/>
    <mergeCell ref="E37:H37"/>
    <mergeCell ref="E38:H38"/>
    <mergeCell ref="E39:H39"/>
    <mergeCell ref="E40:H40"/>
    <mergeCell ref="E59:H59"/>
    <mergeCell ref="E42:H42"/>
    <mergeCell ref="E43:H43"/>
    <mergeCell ref="E44:H44"/>
    <mergeCell ref="E48:H48"/>
    <mergeCell ref="E49:H49"/>
    <mergeCell ref="E50:H50"/>
    <mergeCell ref="E51:H51"/>
    <mergeCell ref="E52:H52"/>
    <mergeCell ref="E53:H53"/>
    <mergeCell ref="E54:H54"/>
    <mergeCell ref="E55:H55"/>
    <mergeCell ref="E66:H66"/>
    <mergeCell ref="E60:H60"/>
    <mergeCell ref="E61:H61"/>
    <mergeCell ref="E62:H62"/>
    <mergeCell ref="E63:H63"/>
    <mergeCell ref="E64:H64"/>
    <mergeCell ref="E65:H65"/>
  </mergeCells>
  <conditionalFormatting sqref="C4:C11">
    <cfRule type="duplicateValues" dxfId="33" priority="126"/>
  </conditionalFormatting>
  <conditionalFormatting sqref="C15:C22">
    <cfRule type="duplicateValues" dxfId="32" priority="6"/>
  </conditionalFormatting>
  <conditionalFormatting sqref="C26:C33">
    <cfRule type="duplicateValues" dxfId="31" priority="5"/>
  </conditionalFormatting>
  <conditionalFormatting sqref="C37:C44">
    <cfRule type="duplicateValues" dxfId="30" priority="4"/>
  </conditionalFormatting>
  <conditionalFormatting sqref="C48:C55">
    <cfRule type="duplicateValues" dxfId="29" priority="3"/>
  </conditionalFormatting>
  <conditionalFormatting sqref="C59:C66">
    <cfRule type="duplicateValues" dxfId="28" priority="2"/>
  </conditionalFormatting>
  <conditionalFormatting sqref="I48:I66">
    <cfRule type="expression" dxfId="27" priority="1">
      <formula>$K48="X"</formula>
    </cfRule>
  </conditionalFormatting>
  <dataValidations count="2">
    <dataValidation type="custom" allowBlank="1" showInputMessage="1" showErrorMessage="1" errorTitle="Check Performance" error="Better than the one before" sqref="I5:I11 I16:I22 I27:I33 I38:I44 I49:I55 I60:I66" xr:uid="{00000000-0002-0000-0A00-000000000000}">
      <formula1>I5&gt;=I4</formula1>
    </dataValidation>
    <dataValidation type="list" allowBlank="1" showInputMessage="1" showErrorMessage="1" sqref="C4:C11 C15:C22 C26:C33 C37:C44 C48:C55 C59:C66" xr:uid="{00000000-0002-0000-0A00-000001000000}">
      <formula1>numbers_A</formula1>
    </dataValidation>
  </dataValidations>
  <printOptions horizontalCentered="1"/>
  <pageMargins left="0.31496062992125984" right="0.31496062992125984" top="0.98425196850393704" bottom="0.74803149606299213" header="0.31496062992125984" footer="0.31496062992125984"/>
  <pageSetup paperSize="9" orientation="portrait" r:id="rId1"/>
  <headerFooter>
    <oddHeader>&amp;L&amp;G&amp;CUK ATHLETICS :: YOUTH DEVELOPMENT LEAGUE 2023&amp;R&amp;"+,Regular"&amp;U&amp;A</oddHeader>
    <oddFooter>&amp;L&amp;9&amp;D &amp;T&amp;C&amp;G&amp;R&amp;9Page &amp;P of &amp;N</oddFooter>
  </headerFooter>
  <rowBreaks count="1" manualBreakCount="1">
    <brk id="45" min="1" max="8" man="1"/>
  </row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theme="7" tint="-0.249977111117893"/>
  </sheetPr>
  <dimension ref="A1:AK135"/>
  <sheetViews>
    <sheetView showZeros="0" topLeftCell="B53" workbookViewId="0">
      <selection activeCell="M64" sqref="M64"/>
    </sheetView>
  </sheetViews>
  <sheetFormatPr defaultColWidth="8.7109375" defaultRowHeight="15" x14ac:dyDescent="0.3"/>
  <cols>
    <col min="1" max="1" width="6.7109375" style="62" hidden="1" customWidth="1"/>
    <col min="2" max="2" width="4.7109375" style="62" customWidth="1"/>
    <col min="3" max="3" width="4.7109375" style="59" customWidth="1"/>
    <col min="4" max="4" width="20.7109375" style="59" customWidth="1"/>
    <col min="5" max="5" width="10.5703125" style="59" bestFit="1" customWidth="1"/>
    <col min="6" max="6" width="7.7109375" style="63" customWidth="1"/>
    <col min="7" max="7" width="2.7109375" style="59" customWidth="1"/>
    <col min="8" max="8" width="6.7109375" style="62" hidden="1" customWidth="1"/>
    <col min="9" max="10" width="4.7109375" style="59" customWidth="1"/>
    <col min="11" max="11" width="20.7109375" style="59" customWidth="1"/>
    <col min="12" max="12" width="10.5703125" style="59" bestFit="1" customWidth="1"/>
    <col min="13" max="13" width="7.7109375" style="62" customWidth="1"/>
    <col min="14" max="14" width="2.7109375" style="59" customWidth="1"/>
    <col min="15" max="15" width="6.7109375" style="62" hidden="1" customWidth="1"/>
    <col min="16" max="17" width="4.7109375" style="59" customWidth="1"/>
    <col min="18" max="18" width="20.7109375" style="59" customWidth="1"/>
    <col min="19" max="19" width="10.5703125" style="59" bestFit="1" customWidth="1"/>
    <col min="20" max="21" width="7.7109375" style="62" customWidth="1"/>
    <col min="22" max="22" width="8.7109375" style="59" customWidth="1"/>
    <col min="23" max="24" width="8.7109375" style="59" hidden="1" customWidth="1"/>
    <col min="25" max="26" width="4.7109375" style="62" hidden="1" customWidth="1"/>
    <col min="27" max="32" width="8.7109375" style="59" customWidth="1"/>
    <col min="33" max="16384" width="8.7109375" style="59"/>
  </cols>
  <sheetData>
    <row r="1" spans="1:37" hidden="1" x14ac:dyDescent="0.3"/>
    <row r="2" spans="1:37" x14ac:dyDescent="0.3">
      <c r="A2" s="32" t="str">
        <f>IFERROR(IF(LEFT(MatchDay!$C$2,1)="L","L"&amp;A3,"U"&amp;A3),"")</f>
        <v>LFD01</v>
      </c>
      <c r="B2" s="94" t="str">
        <f>IFERROR(VLOOKUP(A2,Timetables!$A:$G,3,FALSE)&amp;" "&amp;VLOOKUP(A2,Timetables!$A:$G,2,FALSE),"")</f>
        <v>U15 Boys Hammer</v>
      </c>
      <c r="H2" s="32" t="str">
        <f>IFERROR(IF(LEFT(MatchDay!$C$2,1)="L","L"&amp;H3,"U"&amp;H3),"")</f>
        <v>LFD02</v>
      </c>
      <c r="I2" s="94" t="str">
        <f>IFERROR(VLOOKUP(H2,Timetables!$A:$G,3,FALSE)&amp;" "&amp;VLOOKUP(H2,Timetables!$A:$G,2,FALSE),"")</f>
        <v>U15 Girls Hammer</v>
      </c>
      <c r="M2" s="63"/>
      <c r="O2" s="32" t="str">
        <f>IFERROR(IF(LEFT(MatchDay!$C$2,1)="L","L"&amp;O3,"U"&amp;O3),"")</f>
        <v>LFW01</v>
      </c>
      <c r="P2" s="94" t="str">
        <f>IFERROR(VLOOKUP(O2,Timetables!$A:$G,3,FALSE)&amp;" "&amp;VLOOKUP(O2,Timetables!$A:$G,2,FALSE),"")</f>
        <v>U13 Boys Long Jump</v>
      </c>
      <c r="T2" s="63"/>
    </row>
    <row r="3" spans="1:37" x14ac:dyDescent="0.3">
      <c r="A3" s="33" t="s">
        <v>203</v>
      </c>
      <c r="B3" s="62" t="s">
        <v>122</v>
      </c>
      <c r="C3" s="62" t="s">
        <v>118</v>
      </c>
      <c r="D3" s="59" t="s">
        <v>174</v>
      </c>
      <c r="E3" s="59" t="s">
        <v>175</v>
      </c>
      <c r="F3" s="63" t="s">
        <v>176</v>
      </c>
      <c r="H3" s="33" t="s">
        <v>204</v>
      </c>
      <c r="I3" s="62" t="s">
        <v>122</v>
      </c>
      <c r="J3" s="62" t="s">
        <v>118</v>
      </c>
      <c r="K3" s="59" t="s">
        <v>174</v>
      </c>
      <c r="L3" s="59" t="s">
        <v>175</v>
      </c>
      <c r="M3" s="63" t="s">
        <v>176</v>
      </c>
      <c r="O3" s="33" t="s">
        <v>248</v>
      </c>
      <c r="P3" s="62" t="s">
        <v>122</v>
      </c>
      <c r="Q3" s="62" t="s">
        <v>118</v>
      </c>
      <c r="R3" s="59" t="s">
        <v>174</v>
      </c>
      <c r="S3" s="59" t="s">
        <v>175</v>
      </c>
      <c r="T3" s="63" t="s">
        <v>176</v>
      </c>
      <c r="U3" s="62" t="s">
        <v>206</v>
      </c>
      <c r="X3" s="59" t="s">
        <v>203</v>
      </c>
      <c r="Y3" s="62" t="s">
        <v>171</v>
      </c>
      <c r="Z3" s="62">
        <v>4</v>
      </c>
    </row>
    <row r="4" spans="1:37" ht="15.75" x14ac:dyDescent="0.35">
      <c r="A4" s="62" t="s">
        <v>171</v>
      </c>
      <c r="B4" s="62">
        <v>1</v>
      </c>
      <c r="C4" s="34">
        <f>IFERROR(IF(B4&gt;MatchDay!$U$2,"-",VLOOKUP(A2,timetables,MatchDay!$U$4,FALSE)),0)</f>
        <v>5</v>
      </c>
      <c r="D4" s="286" t="str">
        <f>IFERROR(VLOOKUP($A2&amp;C4,downloads!$A$1:$E$1000,2,FALSE),"")</f>
        <v/>
      </c>
      <c r="E4" s="36" t="str">
        <f t="shared" ref="E4:E19" si="0">IFERROR(VLOOKUP(C4,teamlookup,5,FALSE),"-")</f>
        <v>Menai</v>
      </c>
      <c r="F4" s="233"/>
      <c r="H4" s="62" t="s">
        <v>169</v>
      </c>
      <c r="I4" s="62">
        <v>1</v>
      </c>
      <c r="J4" s="34">
        <f>IFERROR(IF(I4&gt;MatchDay!$U$2,"-",VLOOKUP(H2,timetables,MatchDay!$U$4,FALSE)),0)</f>
        <v>5</v>
      </c>
      <c r="K4" s="286" t="str">
        <f>IFERROR(VLOOKUP($H2&amp;J4,downloads!$A$1:$E$1000,2,FALSE),"")</f>
        <v/>
      </c>
      <c r="L4" s="36" t="str">
        <f t="shared" ref="L4:L19" si="1">IFERROR(VLOOKUP(J4,teamlookup,5,FALSE),"-")</f>
        <v>Menai</v>
      </c>
      <c r="M4" s="233"/>
      <c r="O4" s="62" t="s">
        <v>159</v>
      </c>
      <c r="P4" s="62">
        <v>1</v>
      </c>
      <c r="Q4" s="34">
        <f>IFERROR(IF(P4&gt;MatchDay!$U$2,"-",VLOOKUP(O2,timetables,MatchDay!$U$4,FALSE)),0)</f>
        <v>4</v>
      </c>
      <c r="R4" s="286" t="str">
        <f>IFERROR(VLOOKUP($O2&amp;Q4,downloads!$A$1:$E$1000,2,FALSE),"")</f>
        <v>Tomas BEDOYA</v>
      </c>
      <c r="S4" s="36" t="str">
        <f t="shared" ref="S4:S19" si="2">IFERROR(VLOOKUP(Q4,teamlookup,5,FALSE),"-")</f>
        <v>Macc</v>
      </c>
      <c r="T4" s="233">
        <v>4.37</v>
      </c>
      <c r="U4" s="265"/>
      <c r="X4" s="59" t="s">
        <v>204</v>
      </c>
      <c r="Y4" s="62" t="s">
        <v>169</v>
      </c>
      <c r="Z4" s="62">
        <v>4</v>
      </c>
      <c r="AK4" s="59" t="str">
        <f>T(97)</f>
        <v/>
      </c>
    </row>
    <row r="5" spans="1:37" ht="15.75" x14ac:dyDescent="0.35">
      <c r="A5" s="62">
        <v>4</v>
      </c>
      <c r="B5" s="62">
        <v>2</v>
      </c>
      <c r="C5" s="34">
        <f>IFERROR(IF(B5&gt;MatchDay!$U$2,"-",VLOOKUP(A2,timetables,MatchDay!$U$4+1,FALSE)),0)</f>
        <v>7</v>
      </c>
      <c r="D5" s="286" t="str">
        <f>IFERROR(VLOOKUP($A2&amp;C5,downloads!$A$1:$E$1000,2,FALSE),"")</f>
        <v/>
      </c>
      <c r="E5" s="36" t="str">
        <f t="shared" si="0"/>
        <v>Wigan</v>
      </c>
      <c r="F5" s="233"/>
      <c r="H5" s="62">
        <f>A5</f>
        <v>4</v>
      </c>
      <c r="I5" s="62">
        <v>2</v>
      </c>
      <c r="J5" s="34">
        <f>IFERROR(IF(I5&gt;MatchDay!$U$2,"-",VLOOKUP(H2,timetables,MatchDay!$U$4+1,FALSE)),0)</f>
        <v>7</v>
      </c>
      <c r="K5" s="286" t="str">
        <f>IFERROR(VLOOKUP($H2&amp;J5,downloads!$A$1:$E$1000,2,FALSE),"")</f>
        <v/>
      </c>
      <c r="L5" s="36" t="str">
        <f t="shared" si="1"/>
        <v>Wigan</v>
      </c>
      <c r="M5" s="262"/>
      <c r="O5" s="62">
        <f>A5</f>
        <v>4</v>
      </c>
      <c r="P5" s="62">
        <v>2</v>
      </c>
      <c r="Q5" s="34">
        <f>IFERROR(IF(P5&gt;MatchDay!$U$2,"-",VLOOKUP(O2,timetables,MatchDay!$U$4+1,FALSE)),0)</f>
        <v>2</v>
      </c>
      <c r="R5" s="286" t="str">
        <f>IFERROR(VLOOKUP($O2&amp;Q5,downloads!$A$1:$E$1000,2,FALSE),"")</f>
        <v>Oliver MANNION</v>
      </c>
      <c r="S5" s="36" t="str">
        <f t="shared" si="2"/>
        <v>ECHT</v>
      </c>
      <c r="T5" s="233">
        <v>3.42</v>
      </c>
      <c r="U5" s="265"/>
      <c r="X5" s="59" t="s">
        <v>205</v>
      </c>
      <c r="Y5" s="62" t="s">
        <v>171</v>
      </c>
      <c r="Z5" s="62">
        <v>23</v>
      </c>
    </row>
    <row r="6" spans="1:37" ht="15.75" x14ac:dyDescent="0.35">
      <c r="A6" s="138"/>
      <c r="B6" s="62">
        <v>3</v>
      </c>
      <c r="C6" s="34">
        <f>IFERROR(IF(B6&gt;MatchDay!$U$2,"-",VLOOKUP(A2,timetables,MatchDay!$U$4+2,FALSE)),0)</f>
        <v>6</v>
      </c>
      <c r="D6" s="286" t="str">
        <f>IFERROR(VLOOKUP($A2&amp;C6,downloads!$A$1:$E$1000,2,FALSE),"")</f>
        <v>Jacob HARWOOD-BRETNALL</v>
      </c>
      <c r="E6" s="36" t="str">
        <f t="shared" si="0"/>
        <v>Stock</v>
      </c>
      <c r="F6" s="233">
        <v>20.73</v>
      </c>
      <c r="H6" s="138"/>
      <c r="I6" s="62">
        <v>3</v>
      </c>
      <c r="J6" s="34">
        <f>IFERROR(IF(I6&gt;MatchDay!$U$2,"-",VLOOKUP(H2,timetables,MatchDay!$U$4+2,FALSE)),0)</f>
        <v>6</v>
      </c>
      <c r="K6" s="286" t="str">
        <f>IFERROR(VLOOKUP($H2&amp;J6,downloads!$A$1:$E$1000,2,FALSE),"")</f>
        <v>Lucy JONES</v>
      </c>
      <c r="L6" s="36" t="str">
        <f t="shared" si="1"/>
        <v>Stock</v>
      </c>
      <c r="M6" s="233">
        <v>15.23</v>
      </c>
      <c r="O6" s="138"/>
      <c r="P6" s="62">
        <v>3</v>
      </c>
      <c r="Q6" s="34">
        <f>IFERROR(IF(P6&gt;MatchDay!$U$2,"-",VLOOKUP(O2,timetables,MatchDay!$U$4+2,FALSE)),0)</f>
        <v>3</v>
      </c>
      <c r="R6" s="286" t="str">
        <f>IFERROR(VLOOKUP($O2&amp;Q6,downloads!$A$1:$E$1000,2,FALSE),"")</f>
        <v>Oscar FINCH</v>
      </c>
      <c r="S6" s="36" t="str">
        <f t="shared" si="2"/>
        <v>Leigh</v>
      </c>
      <c r="T6" s="233">
        <v>4.04</v>
      </c>
      <c r="U6" s="265"/>
      <c r="X6" s="59" t="s">
        <v>207</v>
      </c>
      <c r="Y6" s="62" t="s">
        <v>169</v>
      </c>
      <c r="Z6" s="62">
        <v>23</v>
      </c>
    </row>
    <row r="7" spans="1:37" ht="15.75" x14ac:dyDescent="0.35">
      <c r="B7" s="62">
        <v>4</v>
      </c>
      <c r="C7" s="34">
        <f>IFERROR(IF(B7&gt;MatchDay!$U$2,"-",VLOOKUP(A2,timetables,MatchDay!$U$4+3,FALSE)),0)</f>
        <v>4</v>
      </c>
      <c r="D7" s="286" t="str">
        <f>IFERROR(VLOOKUP($A2&amp;C7,downloads!$A$1:$E$1000,2,FALSE),"")</f>
        <v/>
      </c>
      <c r="E7" s="36" t="str">
        <f t="shared" si="0"/>
        <v>Macc</v>
      </c>
      <c r="F7" s="233"/>
      <c r="I7" s="62">
        <v>4</v>
      </c>
      <c r="J7" s="34">
        <f>IFERROR(IF(I7&gt;MatchDay!$U$2,"-",VLOOKUP(H2,timetables,MatchDay!$U$4+3,FALSE)),0)</f>
        <v>4</v>
      </c>
      <c r="K7" s="286" t="str">
        <f>IFERROR(VLOOKUP($H2&amp;J7,downloads!$A$1:$E$1000,2,FALSE),"")</f>
        <v/>
      </c>
      <c r="L7" s="36" t="str">
        <f t="shared" si="1"/>
        <v>Macc</v>
      </c>
      <c r="M7" s="233"/>
      <c r="P7" s="62">
        <v>4</v>
      </c>
      <c r="Q7" s="34">
        <f>IFERROR(IF(P7&gt;MatchDay!$U$2,"-",VLOOKUP(O2,timetables,MatchDay!$U$4+3,FALSE)),0)</f>
        <v>1</v>
      </c>
      <c r="R7" s="286" t="str">
        <f>IFERROR(VLOOKUP($O2&amp;Q7,downloads!$A$1:$E$1000,2,FALSE),"")</f>
        <v>Charlie SMITH</v>
      </c>
      <c r="S7" s="36" t="str">
        <f t="shared" si="2"/>
        <v>C&amp;N</v>
      </c>
      <c r="T7" s="233">
        <v>3.22</v>
      </c>
      <c r="U7" s="265"/>
      <c r="X7" s="59" t="s">
        <v>208</v>
      </c>
      <c r="Y7" s="62" t="s">
        <v>171</v>
      </c>
      <c r="Z7" s="62">
        <v>42</v>
      </c>
    </row>
    <row r="8" spans="1:37" ht="15.75" x14ac:dyDescent="0.35">
      <c r="B8" s="62">
        <v>5</v>
      </c>
      <c r="C8" s="34">
        <f>IFERROR(IF(B8&gt;MatchDay!$U$2,"-",VLOOKUP(A2,timetables,MatchDay!$U$4+4,FALSE)),0)</f>
        <v>2</v>
      </c>
      <c r="D8" s="286" t="str">
        <f>IFERROR(VLOOKUP($A2&amp;C8,downloads!$A$1:$E$1000,2,FALSE),"")</f>
        <v/>
      </c>
      <c r="E8" s="36" t="str">
        <f t="shared" si="0"/>
        <v>ECHT</v>
      </c>
      <c r="F8" s="233"/>
      <c r="I8" s="62">
        <v>5</v>
      </c>
      <c r="J8" s="34">
        <f>IFERROR(IF(I8&gt;MatchDay!$U$2,"-",VLOOKUP(H2,timetables,MatchDay!$U$4+4,FALSE)),0)</f>
        <v>2</v>
      </c>
      <c r="K8" s="286" t="str">
        <f>IFERROR(VLOOKUP($H2&amp;J8,downloads!$A$1:$E$1000,2,FALSE),"")</f>
        <v/>
      </c>
      <c r="L8" s="36" t="str">
        <f t="shared" si="1"/>
        <v>ECHT</v>
      </c>
      <c r="M8" s="233"/>
      <c r="P8" s="62">
        <v>5</v>
      </c>
      <c r="Q8" s="34">
        <f>IFERROR(IF(P8&gt;MatchDay!$U$2,"-",VLOOKUP(O2,timetables,MatchDay!$U$4+4,FALSE)),0)</f>
        <v>7</v>
      </c>
      <c r="R8" s="286" t="str">
        <f>IFERROR(VLOOKUP($O2&amp;Q8,downloads!$A$1:$E$1000,2,FALSE),"")</f>
        <v>Henry MORRIS</v>
      </c>
      <c r="S8" s="36" t="str">
        <f t="shared" si="2"/>
        <v>Wigan</v>
      </c>
      <c r="T8" s="233">
        <v>4.25</v>
      </c>
      <c r="U8" s="265"/>
      <c r="X8" s="59" t="s">
        <v>209</v>
      </c>
      <c r="Y8" s="62" t="s">
        <v>169</v>
      </c>
      <c r="Z8" s="62">
        <v>42</v>
      </c>
    </row>
    <row r="9" spans="1:37" ht="15.75" x14ac:dyDescent="0.35">
      <c r="B9" s="62">
        <v>6</v>
      </c>
      <c r="C9" s="34">
        <f>IFERROR(IF(B9&gt;MatchDay!$U$2,"-",VLOOKUP(A2,timetables,MatchDay!$U$4+5,FALSE)),0)</f>
        <v>1</v>
      </c>
      <c r="D9" s="286" t="str">
        <f>IFERROR(VLOOKUP($A2&amp;C9,downloads!$A$1:$E$1000,2,FALSE),"")</f>
        <v/>
      </c>
      <c r="E9" s="36" t="str">
        <f t="shared" si="0"/>
        <v>C&amp;N</v>
      </c>
      <c r="F9" s="233"/>
      <c r="I9" s="62">
        <v>6</v>
      </c>
      <c r="J9" s="34">
        <f>IFERROR(IF(I9&gt;MatchDay!$U$2,"-",VLOOKUP(H2,timetables,MatchDay!$U$4+5,FALSE)),0)</f>
        <v>1</v>
      </c>
      <c r="K9" s="286" t="str">
        <f>IFERROR(VLOOKUP($H2&amp;J9,downloads!$A$1:$E$1000,2,FALSE),"")</f>
        <v/>
      </c>
      <c r="L9" s="36" t="str">
        <f t="shared" si="1"/>
        <v>C&amp;N</v>
      </c>
      <c r="M9" s="233"/>
      <c r="P9" s="62">
        <v>6</v>
      </c>
      <c r="Q9" s="34">
        <f>IFERROR(IF(P9&gt;MatchDay!$U$2,"-",VLOOKUP(O2,timetables,MatchDay!$U$4+5,FALSE)),0)</f>
        <v>5</v>
      </c>
      <c r="R9" s="286" t="str">
        <f>IFERROR(VLOOKUP($O2&amp;Q9,downloads!$A$1:$E$1000,2,FALSE),"")</f>
        <v/>
      </c>
      <c r="S9" s="36" t="str">
        <f t="shared" si="2"/>
        <v>Menai</v>
      </c>
      <c r="T9" s="233"/>
      <c r="U9" s="265"/>
      <c r="X9" s="59" t="s">
        <v>210</v>
      </c>
      <c r="Y9" s="62" t="s">
        <v>171</v>
      </c>
      <c r="Z9" s="62">
        <v>61</v>
      </c>
    </row>
    <row r="10" spans="1:37" ht="15" customHeight="1" x14ac:dyDescent="0.35">
      <c r="A10" s="120"/>
      <c r="B10" s="62">
        <v>7</v>
      </c>
      <c r="C10" s="34">
        <f>IFERROR(IF(B10&gt;MatchDay!$U$2,"-",VLOOKUP(A2,timetables,MatchDay!$U$4+6,FALSE)),0)</f>
        <v>3</v>
      </c>
      <c r="D10" s="286" t="str">
        <f>IFERROR(VLOOKUP($A2&amp;C10,downloads!$A$1:$E$1000,2,FALSE),"")</f>
        <v/>
      </c>
      <c r="E10" s="36" t="str">
        <f t="shared" si="0"/>
        <v>Leigh</v>
      </c>
      <c r="F10" s="233"/>
      <c r="H10" s="120"/>
      <c r="I10" s="62">
        <v>7</v>
      </c>
      <c r="J10" s="34">
        <f>IFERROR(IF(I10&gt;MatchDay!$U$2,"-",VLOOKUP(H2,timetables,MatchDay!$U$4+6,FALSE)),0)</f>
        <v>3</v>
      </c>
      <c r="K10" s="286" t="str">
        <f>IFERROR(VLOOKUP($H2&amp;J10,downloads!$A$1:$E$1000,2,FALSE),"")</f>
        <v/>
      </c>
      <c r="L10" s="36" t="str">
        <f t="shared" si="1"/>
        <v>Leigh</v>
      </c>
      <c r="M10" s="233"/>
      <c r="O10" s="66">
        <v>0</v>
      </c>
      <c r="P10" s="62">
        <v>7</v>
      </c>
      <c r="Q10" s="34">
        <f>IFERROR(IF(P10&gt;MatchDay!$U$2,"-",VLOOKUP(O2,timetables,MatchDay!$U$4+6,FALSE)),0)</f>
        <v>6</v>
      </c>
      <c r="R10" s="286" t="str">
        <f>IFERROR(VLOOKUP($O2&amp;Q10,downloads!$A$1:$E$1000,2,FALSE),"")</f>
        <v>Arthur CAMPBELL</v>
      </c>
      <c r="S10" s="36" t="str">
        <f t="shared" si="2"/>
        <v>Stock</v>
      </c>
      <c r="T10" s="233">
        <v>4</v>
      </c>
      <c r="U10" s="265"/>
      <c r="X10" s="59" t="s">
        <v>211</v>
      </c>
      <c r="Y10" s="62" t="s">
        <v>169</v>
      </c>
      <c r="Z10" s="62">
        <v>61</v>
      </c>
    </row>
    <row r="11" spans="1:37" ht="15.75" x14ac:dyDescent="0.35">
      <c r="B11" s="62">
        <v>8</v>
      </c>
      <c r="C11" s="34" t="str">
        <f>IFERROR(IF(B11&gt;MatchDay!$U$2,"-",VLOOKUP(A2,timetables,MatchDay!$U$4+7,FALSE)),0)</f>
        <v>-</v>
      </c>
      <c r="D11" s="286" t="str">
        <f>IFERROR(VLOOKUP($A2&amp;C11,downloads!$A$1:$E$1000,2,FALSE),"")</f>
        <v/>
      </c>
      <c r="E11" s="36" t="str">
        <f t="shared" si="0"/>
        <v/>
      </c>
      <c r="F11" s="233"/>
      <c r="I11" s="62">
        <v>8</v>
      </c>
      <c r="J11" s="34" t="str">
        <f>IFERROR(IF(I11&gt;MatchDay!$U$2,"-",VLOOKUP(H2,timetables,MatchDay!$U$4+7,FALSE)),0)</f>
        <v>-</v>
      </c>
      <c r="K11" s="286" t="str">
        <f>IFERROR(VLOOKUP($H2&amp;J11,downloads!$A$1:$E$1000,2,FALSE),"")</f>
        <v/>
      </c>
      <c r="L11" s="36" t="str">
        <f t="shared" si="1"/>
        <v/>
      </c>
      <c r="M11" s="233"/>
      <c r="P11" s="62">
        <v>8</v>
      </c>
      <c r="Q11" s="34" t="str">
        <f>IFERROR(IF(P11&gt;MatchDay!$U$2,"-",VLOOKUP(O2,timetables,MatchDay!$U$4+7,FALSE)),0)</f>
        <v>-</v>
      </c>
      <c r="R11" s="286" t="str">
        <f>IFERROR(VLOOKUP($O2&amp;Q11,downloads!$A$1:$E$1000,2,FALSE),"")</f>
        <v/>
      </c>
      <c r="S11" s="36" t="str">
        <f t="shared" si="2"/>
        <v/>
      </c>
      <c r="T11" s="233"/>
      <c r="U11" s="265"/>
      <c r="X11" s="59" t="s">
        <v>212</v>
      </c>
      <c r="Y11" s="62" t="s">
        <v>171</v>
      </c>
      <c r="Z11" s="62">
        <v>80</v>
      </c>
    </row>
    <row r="12" spans="1:37" ht="15.75" x14ac:dyDescent="0.35">
      <c r="B12" s="62">
        <v>9</v>
      </c>
      <c r="C12" s="34">
        <f>IFERROR(IF(T(C4)="",C4*11,C4&amp;C4),"-")</f>
        <v>55</v>
      </c>
      <c r="D12" s="286" t="str">
        <f>IFERROR(VLOOKUP($A2&amp;C12,downloads!$A$1:$E$1000,2,FALSE),"")</f>
        <v/>
      </c>
      <c r="E12" s="36" t="str">
        <f t="shared" si="0"/>
        <v>Menai</v>
      </c>
      <c r="F12" s="233"/>
      <c r="I12" s="62">
        <v>9</v>
      </c>
      <c r="J12" s="34">
        <f>IFERROR(IF(T(J4)="",J4*11,J4&amp;J4),"-")</f>
        <v>55</v>
      </c>
      <c r="K12" s="286" t="str">
        <f>IFERROR(VLOOKUP($H2&amp;J12,downloads!$A$1:$E$1000,2,FALSE),"")</f>
        <v/>
      </c>
      <c r="L12" s="36" t="str">
        <f t="shared" si="1"/>
        <v>Menai</v>
      </c>
      <c r="M12" s="233"/>
      <c r="P12" s="62">
        <v>9</v>
      </c>
      <c r="Q12" s="34">
        <f>IFERROR(IF(T(Q4)="",Q4*11,Q4&amp;Q4),"-")</f>
        <v>44</v>
      </c>
      <c r="R12" s="286" t="str">
        <f>IFERROR(VLOOKUP($O2&amp;Q12,downloads!$A$1:$E$1000,2,FALSE),"")</f>
        <v>Dylan BAKER</v>
      </c>
      <c r="S12" s="36" t="str">
        <f t="shared" si="2"/>
        <v>Macc</v>
      </c>
      <c r="T12" s="233">
        <v>3.86</v>
      </c>
      <c r="U12" s="265"/>
      <c r="X12" s="59" t="s">
        <v>213</v>
      </c>
      <c r="Y12" s="62" t="s">
        <v>169</v>
      </c>
      <c r="Z12" s="62">
        <v>80</v>
      </c>
    </row>
    <row r="13" spans="1:37" ht="15.75" x14ac:dyDescent="0.35">
      <c r="B13" s="62">
        <v>10</v>
      </c>
      <c r="C13" s="34">
        <f t="shared" ref="C13:C19" si="3">IFERROR(IF(T(C5)="",C5*11,C5&amp;C5),"-")</f>
        <v>77</v>
      </c>
      <c r="D13" s="286" t="str">
        <f>IFERROR(VLOOKUP($A2&amp;C13,downloads!$A$1:$E$1000,2,FALSE),"")</f>
        <v/>
      </c>
      <c r="E13" s="36" t="str">
        <f t="shared" si="0"/>
        <v>Wigan</v>
      </c>
      <c r="F13" s="233"/>
      <c r="I13" s="62">
        <v>10</v>
      </c>
      <c r="J13" s="34">
        <f t="shared" ref="J13:J19" si="4">IFERROR(IF(T(J5)="",J5*11,J5&amp;J5),"-")</f>
        <v>77</v>
      </c>
      <c r="K13" s="286" t="str">
        <f>IFERROR(VLOOKUP($H2&amp;J13,downloads!$A$1:$E$1000,2,FALSE),"")</f>
        <v/>
      </c>
      <c r="L13" s="36" t="str">
        <f t="shared" si="1"/>
        <v>Wigan</v>
      </c>
      <c r="M13" s="233"/>
      <c r="P13" s="62">
        <v>10</v>
      </c>
      <c r="Q13" s="34">
        <f t="shared" ref="Q13:Q19" si="5">IFERROR(IF(T(Q5)="",Q5*11,Q5&amp;Q5),"-")</f>
        <v>22</v>
      </c>
      <c r="R13" s="286" t="str">
        <f>IFERROR(VLOOKUP($O2&amp;Q13,downloads!$A$1:$E$1000,2,FALSE),"")</f>
        <v>Sebastien GREGORY</v>
      </c>
      <c r="S13" s="36" t="str">
        <f t="shared" si="2"/>
        <v>ECHT</v>
      </c>
      <c r="T13" s="233">
        <v>2.5099999999999998</v>
      </c>
      <c r="U13" s="265"/>
      <c r="X13" s="59" t="s">
        <v>214</v>
      </c>
      <c r="Y13" s="62" t="s">
        <v>171</v>
      </c>
      <c r="Z13" s="62">
        <v>99</v>
      </c>
    </row>
    <row r="14" spans="1:37" ht="15.75" x14ac:dyDescent="0.35">
      <c r="B14" s="62">
        <v>11</v>
      </c>
      <c r="C14" s="34">
        <f t="shared" si="3"/>
        <v>66</v>
      </c>
      <c r="D14" s="286" t="str">
        <f>IFERROR(VLOOKUP($A2&amp;C14,downloads!$A$1:$E$1000,2,FALSE),"")</f>
        <v/>
      </c>
      <c r="E14" s="36" t="str">
        <f t="shared" si="0"/>
        <v>Stock</v>
      </c>
      <c r="F14" s="233"/>
      <c r="I14" s="62">
        <v>11</v>
      </c>
      <c r="J14" s="34">
        <f t="shared" si="4"/>
        <v>66</v>
      </c>
      <c r="K14" s="286" t="str">
        <f>IFERROR(VLOOKUP($H2&amp;J14,downloads!$A$1:$E$1000,2,FALSE),"")</f>
        <v/>
      </c>
      <c r="L14" s="36" t="str">
        <f t="shared" si="1"/>
        <v>Stock</v>
      </c>
      <c r="M14" s="233"/>
      <c r="P14" s="62">
        <v>11</v>
      </c>
      <c r="Q14" s="34">
        <f t="shared" si="5"/>
        <v>33</v>
      </c>
      <c r="R14" s="286" t="str">
        <f>IFERROR(VLOOKUP($O2&amp;Q14,downloads!$A$1:$E$1000,2,FALSE),"")</f>
        <v>Jack FLETCHER</v>
      </c>
      <c r="S14" s="36" t="str">
        <f t="shared" si="2"/>
        <v>Leigh</v>
      </c>
      <c r="T14" s="233">
        <v>3.32</v>
      </c>
      <c r="U14" s="265"/>
      <c r="X14" s="59" t="s">
        <v>215</v>
      </c>
      <c r="Y14" s="62" t="s">
        <v>169</v>
      </c>
      <c r="Z14" s="62">
        <v>99</v>
      </c>
    </row>
    <row r="15" spans="1:37" ht="15.75" x14ac:dyDescent="0.35">
      <c r="B15" s="62">
        <v>12</v>
      </c>
      <c r="C15" s="34">
        <f t="shared" si="3"/>
        <v>44</v>
      </c>
      <c r="D15" s="286" t="str">
        <f>IFERROR(VLOOKUP($A2&amp;C15,downloads!$A$1:$E$1000,2,FALSE),"")</f>
        <v/>
      </c>
      <c r="E15" s="36" t="str">
        <f t="shared" si="0"/>
        <v>Macc</v>
      </c>
      <c r="F15" s="233"/>
      <c r="I15" s="62">
        <v>12</v>
      </c>
      <c r="J15" s="34">
        <f t="shared" si="4"/>
        <v>44</v>
      </c>
      <c r="K15" s="286" t="str">
        <f>IFERROR(VLOOKUP($H2&amp;J15,downloads!$A$1:$E$1000,2,FALSE),"")</f>
        <v/>
      </c>
      <c r="L15" s="36" t="str">
        <f t="shared" si="1"/>
        <v>Macc</v>
      </c>
      <c r="M15" s="233"/>
      <c r="P15" s="62">
        <v>12</v>
      </c>
      <c r="Q15" s="34">
        <f t="shared" si="5"/>
        <v>11</v>
      </c>
      <c r="R15" s="286" t="str">
        <f>IFERROR(VLOOKUP($O2&amp;Q15,downloads!$A$1:$E$1000,2,FALSE),"")</f>
        <v>Kaidan DOS REIS</v>
      </c>
      <c r="S15" s="36" t="str">
        <f t="shared" si="2"/>
        <v>C&amp;N</v>
      </c>
      <c r="T15" s="262">
        <v>3.92</v>
      </c>
      <c r="U15" s="265"/>
      <c r="X15" s="59" t="s">
        <v>216</v>
      </c>
      <c r="Y15" s="62" t="s">
        <v>171</v>
      </c>
      <c r="Z15" s="62">
        <v>118</v>
      </c>
    </row>
    <row r="16" spans="1:37" ht="15.75" x14ac:dyDescent="0.35">
      <c r="B16" s="62">
        <v>13</v>
      </c>
      <c r="C16" s="34">
        <f t="shared" si="3"/>
        <v>22</v>
      </c>
      <c r="D16" s="286" t="str">
        <f>IFERROR(VLOOKUP($A2&amp;C16,downloads!$A$1:$E$1000,2,FALSE),"")</f>
        <v/>
      </c>
      <c r="E16" s="36" t="str">
        <f t="shared" si="0"/>
        <v>ECHT</v>
      </c>
      <c r="F16" s="233"/>
      <c r="I16" s="62">
        <v>13</v>
      </c>
      <c r="J16" s="34">
        <f t="shared" si="4"/>
        <v>22</v>
      </c>
      <c r="K16" s="286" t="str">
        <f>IFERROR(VLOOKUP($H2&amp;J16,downloads!$A$1:$E$1000,2,FALSE),"")</f>
        <v/>
      </c>
      <c r="L16" s="36" t="str">
        <f t="shared" si="1"/>
        <v>ECHT</v>
      </c>
      <c r="M16" s="233"/>
      <c r="P16" s="62">
        <v>13</v>
      </c>
      <c r="Q16" s="34">
        <f t="shared" si="5"/>
        <v>77</v>
      </c>
      <c r="R16" s="286" t="str">
        <f>IFERROR(VLOOKUP($O2&amp;Q16,downloads!$A$1:$E$1000,2,FALSE),"")</f>
        <v>Evan BARNETT</v>
      </c>
      <c r="S16" s="36" t="str">
        <f t="shared" si="2"/>
        <v>Wigan</v>
      </c>
      <c r="T16" s="233">
        <v>2.37</v>
      </c>
      <c r="U16" s="265"/>
      <c r="X16" s="59" t="s">
        <v>217</v>
      </c>
      <c r="Y16" s="62" t="s">
        <v>169</v>
      </c>
      <c r="Z16" s="62">
        <v>118</v>
      </c>
    </row>
    <row r="17" spans="1:26" ht="15.75" x14ac:dyDescent="0.35">
      <c r="B17" s="62">
        <v>14</v>
      </c>
      <c r="C17" s="34">
        <f t="shared" si="3"/>
        <v>11</v>
      </c>
      <c r="D17" s="286" t="str">
        <f>IFERROR(VLOOKUP($A2&amp;C17,downloads!$A$1:$E$1000,2,FALSE),"")</f>
        <v/>
      </c>
      <c r="E17" s="36" t="str">
        <f t="shared" si="0"/>
        <v>C&amp;N</v>
      </c>
      <c r="F17" s="233"/>
      <c r="I17" s="62">
        <v>14</v>
      </c>
      <c r="J17" s="34">
        <f t="shared" si="4"/>
        <v>11</v>
      </c>
      <c r="K17" s="286" t="str">
        <f>IFERROR(VLOOKUP($H2&amp;J17,downloads!$A$1:$E$1000,2,FALSE),"")</f>
        <v/>
      </c>
      <c r="L17" s="36" t="str">
        <f t="shared" si="1"/>
        <v>C&amp;N</v>
      </c>
      <c r="M17" s="262"/>
      <c r="P17" s="62">
        <v>14</v>
      </c>
      <c r="Q17" s="34">
        <f t="shared" si="5"/>
        <v>55</v>
      </c>
      <c r="R17" s="286" t="str">
        <f>IFERROR(VLOOKUP($O2&amp;Q17,downloads!$A$1:$E$1000,2,FALSE),"")</f>
        <v/>
      </c>
      <c r="S17" s="36" t="str">
        <f t="shared" si="2"/>
        <v>Menai</v>
      </c>
      <c r="T17" s="233"/>
      <c r="U17" s="265"/>
      <c r="X17" s="59" t="s">
        <v>218</v>
      </c>
      <c r="Y17" s="62" t="s">
        <v>171</v>
      </c>
      <c r="Z17" s="62">
        <v>137</v>
      </c>
    </row>
    <row r="18" spans="1:26" ht="15.75" x14ac:dyDescent="0.35">
      <c r="B18" s="62">
        <v>15</v>
      </c>
      <c r="C18" s="34">
        <f t="shared" si="3"/>
        <v>33</v>
      </c>
      <c r="D18" s="286" t="str">
        <f>IFERROR(VLOOKUP($A2&amp;C18,downloads!$A$1:$E$1000,2,FALSE),"")</f>
        <v/>
      </c>
      <c r="E18" s="36" t="str">
        <f t="shared" si="0"/>
        <v>Leigh</v>
      </c>
      <c r="F18" s="233"/>
      <c r="I18" s="62">
        <v>15</v>
      </c>
      <c r="J18" s="34">
        <f t="shared" si="4"/>
        <v>33</v>
      </c>
      <c r="K18" s="286" t="str">
        <f>IFERROR(VLOOKUP($H2&amp;J18,downloads!$A$1:$E$1000,2,FALSE),"")</f>
        <v/>
      </c>
      <c r="L18" s="36" t="str">
        <f t="shared" si="1"/>
        <v>Leigh</v>
      </c>
      <c r="M18" s="233"/>
      <c r="P18" s="62">
        <v>15</v>
      </c>
      <c r="Q18" s="34">
        <f t="shared" si="5"/>
        <v>66</v>
      </c>
      <c r="R18" s="286" t="str">
        <f>IFERROR(VLOOKUP($O2&amp;Q18,downloads!$A$1:$E$1000,2,FALSE),"")</f>
        <v>Alex KITCHEN</v>
      </c>
      <c r="S18" s="36" t="str">
        <f t="shared" si="2"/>
        <v>Stock</v>
      </c>
      <c r="T18" s="233">
        <v>3.28</v>
      </c>
      <c r="U18" s="265"/>
      <c r="X18" s="59" t="s">
        <v>219</v>
      </c>
      <c r="Y18" s="62" t="s">
        <v>169</v>
      </c>
      <c r="Z18" s="62">
        <v>137</v>
      </c>
    </row>
    <row r="19" spans="1:26" ht="15.75" x14ac:dyDescent="0.35">
      <c r="B19" s="62">
        <v>16</v>
      </c>
      <c r="C19" s="34" t="str">
        <f t="shared" si="3"/>
        <v>--</v>
      </c>
      <c r="D19" s="286" t="str">
        <f>IFERROR(VLOOKUP($A2&amp;C19,downloads!$A$1:$E$1000,2,FALSE),"")</f>
        <v/>
      </c>
      <c r="E19" s="36" t="str">
        <f t="shared" si="0"/>
        <v>-</v>
      </c>
      <c r="F19" s="233"/>
      <c r="I19" s="62">
        <v>16</v>
      </c>
      <c r="J19" s="34" t="str">
        <f t="shared" si="4"/>
        <v>--</v>
      </c>
      <c r="K19" s="286" t="str">
        <f>IFERROR(VLOOKUP($H2&amp;J19,downloads!$A$1:$E$1000,2,FALSE),"")</f>
        <v/>
      </c>
      <c r="L19" s="36" t="str">
        <f t="shared" si="1"/>
        <v>-</v>
      </c>
      <c r="M19" s="233"/>
      <c r="P19" s="62">
        <v>16</v>
      </c>
      <c r="Q19" s="34" t="str">
        <f t="shared" si="5"/>
        <v>--</v>
      </c>
      <c r="R19" s="286" t="str">
        <f>IFERROR(VLOOKUP($O2&amp;Q19,downloads!$A$1:$E$1000,2,FALSE),"")</f>
        <v/>
      </c>
      <c r="S19" s="36" t="str">
        <f t="shared" si="2"/>
        <v>-</v>
      </c>
      <c r="T19" s="233"/>
      <c r="U19" s="265"/>
      <c r="X19" s="59" t="s">
        <v>248</v>
      </c>
      <c r="Y19" s="62" t="s">
        <v>159</v>
      </c>
      <c r="Z19" s="62">
        <v>4</v>
      </c>
    </row>
    <row r="20" spans="1:26" x14ac:dyDescent="0.3">
      <c r="A20" s="34"/>
      <c r="X20" s="59" t="s">
        <v>249</v>
      </c>
      <c r="Y20" s="62" t="s">
        <v>159</v>
      </c>
      <c r="Z20" s="62">
        <v>23</v>
      </c>
    </row>
    <row r="21" spans="1:26" x14ac:dyDescent="0.3">
      <c r="A21" s="32" t="str">
        <f>IFERROR(IF(LEFT(MatchDay!$C$2,1)="L","L"&amp;A22,"U"&amp;A22),"")</f>
        <v>LFD03</v>
      </c>
      <c r="B21" s="94" t="str">
        <f>IFERROR(VLOOKUP(A21,Timetables!$A:$G,3,FALSE)&amp;" "&amp;VLOOKUP(A21,Timetables!$A:$G,2,FALSE),"")</f>
        <v>U13 Girls Shot</v>
      </c>
      <c r="H21" s="32" t="str">
        <f>IFERROR(IF(LEFT(MatchDay!$C$2,1)="L","L"&amp;H22,"U"&amp;H22),"")</f>
        <v>LFD04</v>
      </c>
      <c r="I21" s="94" t="str">
        <f>IFERROR(VLOOKUP(H21,Timetables!$A:$G,3,FALSE)&amp;" "&amp;VLOOKUP(H21,Timetables!$A:$G,2,FALSE),"")</f>
        <v>U15 Boys Discus</v>
      </c>
      <c r="M21" s="63"/>
      <c r="O21" s="32" t="str">
        <f>IFERROR(IF(LEFT(MatchDay!$C$2,1)="L","L"&amp;O22,"U"&amp;O22),"")</f>
        <v>LFW02</v>
      </c>
      <c r="P21" s="94" t="str">
        <f>IFERROR(VLOOKUP(O21,Timetables!$A:$G,3,FALSE)&amp;" "&amp;VLOOKUP(O21,Timetables!$A:$G,2,FALSE),"")</f>
        <v>U15 Girls Long Jump</v>
      </c>
      <c r="T21" s="63"/>
      <c r="X21" s="59" t="s">
        <v>250</v>
      </c>
      <c r="Y21" s="62" t="s">
        <v>159</v>
      </c>
      <c r="Z21" s="62">
        <v>42</v>
      </c>
    </row>
    <row r="22" spans="1:26" x14ac:dyDescent="0.3">
      <c r="A22" s="33" t="s">
        <v>205</v>
      </c>
      <c r="B22" s="62" t="s">
        <v>122</v>
      </c>
      <c r="C22" s="62" t="s">
        <v>118</v>
      </c>
      <c r="D22" s="59" t="s">
        <v>174</v>
      </c>
      <c r="E22" s="59" t="s">
        <v>175</v>
      </c>
      <c r="F22" s="63" t="s">
        <v>176</v>
      </c>
      <c r="H22" s="33" t="s">
        <v>207</v>
      </c>
      <c r="I22" s="62" t="s">
        <v>122</v>
      </c>
      <c r="J22" s="62" t="s">
        <v>118</v>
      </c>
      <c r="K22" s="59" t="s">
        <v>174</v>
      </c>
      <c r="L22" s="59" t="s">
        <v>175</v>
      </c>
      <c r="M22" s="63" t="s">
        <v>176</v>
      </c>
      <c r="O22" s="33" t="s">
        <v>249</v>
      </c>
      <c r="P22" s="62" t="s">
        <v>122</v>
      </c>
      <c r="Q22" s="62" t="s">
        <v>118</v>
      </c>
      <c r="R22" s="59" t="s">
        <v>174</v>
      </c>
      <c r="S22" s="59" t="s">
        <v>175</v>
      </c>
      <c r="T22" s="63" t="s">
        <v>176</v>
      </c>
      <c r="U22" s="62" t="s">
        <v>206</v>
      </c>
      <c r="X22" s="59" t="s">
        <v>251</v>
      </c>
      <c r="Y22" s="62" t="s">
        <v>159</v>
      </c>
      <c r="Z22" s="62">
        <v>61</v>
      </c>
    </row>
    <row r="23" spans="1:26" ht="15.75" x14ac:dyDescent="0.35">
      <c r="A23" s="62" t="s">
        <v>171</v>
      </c>
      <c r="B23" s="62">
        <v>1</v>
      </c>
      <c r="C23" s="34">
        <f>IFERROR(IF(B23&gt;MatchDay!$U$2,"-",VLOOKUP(A21,timetables,MatchDay!$U$4,FALSE)),0)</f>
        <v>4</v>
      </c>
      <c r="D23" s="286" t="str">
        <f>IFERROR(VLOOKUP($A21&amp;C23,downloads!$A$1:$E$1000,2,FALSE),"")</f>
        <v>Holly WALKER</v>
      </c>
      <c r="E23" s="36" t="str">
        <f t="shared" ref="E23:E38" si="6">IFERROR(VLOOKUP(C23,teamlookup,5,FALSE),"-")</f>
        <v>Macc</v>
      </c>
      <c r="F23" s="233">
        <v>4.4400000000000004</v>
      </c>
      <c r="H23" s="62" t="s">
        <v>169</v>
      </c>
      <c r="I23" s="62">
        <v>1</v>
      </c>
      <c r="J23" s="34">
        <f>IFERROR(IF(I23&gt;MatchDay!$U$2,"-",VLOOKUP(H21,timetables,MatchDay!$U$4,FALSE)),0)</f>
        <v>6</v>
      </c>
      <c r="K23" s="286" t="str">
        <f>IFERROR(VLOOKUP($H21&amp;J23,downloads!$A$1:$E$1000,2,FALSE),"")</f>
        <v/>
      </c>
      <c r="L23" s="36" t="str">
        <f t="shared" ref="L23:L38" si="7">IFERROR(VLOOKUP(J23,teamlookup,5,FALSE),"-")</f>
        <v>Stock</v>
      </c>
      <c r="M23" s="233"/>
      <c r="O23" s="62" t="s">
        <v>159</v>
      </c>
      <c r="P23" s="62">
        <v>1</v>
      </c>
      <c r="Q23" s="34">
        <f>IFERROR(IF(P23&gt;MatchDay!$U$2,"-",VLOOKUP(O21,timetables,MatchDay!$U$4,FALSE)),0)</f>
        <v>4</v>
      </c>
      <c r="R23" s="286" t="str">
        <f>IFERROR(VLOOKUP($O21&amp;Q23,downloads!$A$1:$E$1000,2,FALSE),"")</f>
        <v>Elizabeth PENDRILL</v>
      </c>
      <c r="S23" s="36" t="str">
        <f t="shared" ref="S23:S38" si="8">IFERROR(VLOOKUP(Q23,teamlookup,5,FALSE),"-")</f>
        <v>Macc</v>
      </c>
      <c r="T23" s="233">
        <v>4.04</v>
      </c>
      <c r="U23" s="265"/>
      <c r="X23" s="59" t="s">
        <v>252</v>
      </c>
      <c r="Y23" s="62" t="s">
        <v>159</v>
      </c>
      <c r="Z23" s="62">
        <v>80</v>
      </c>
    </row>
    <row r="24" spans="1:26" ht="15.75" x14ac:dyDescent="0.35">
      <c r="A24" s="62">
        <v>23</v>
      </c>
      <c r="B24" s="62">
        <v>2</v>
      </c>
      <c r="C24" s="34">
        <f>IFERROR(IF(B24&gt;MatchDay!$U$2,"-",VLOOKUP(A21,timetables,MatchDay!$U$4+1,FALSE)),0)</f>
        <v>1</v>
      </c>
      <c r="D24" s="286" t="str">
        <f>IFERROR(VLOOKUP($A21&amp;C24,downloads!$A$1:$E$1000,2,FALSE),"")</f>
        <v>Freya HOWELLS</v>
      </c>
      <c r="E24" s="36" t="str">
        <f t="shared" si="6"/>
        <v>C&amp;N</v>
      </c>
      <c r="F24" s="233">
        <v>3.53</v>
      </c>
      <c r="H24" s="62">
        <f>A24</f>
        <v>23</v>
      </c>
      <c r="I24" s="62">
        <v>2</v>
      </c>
      <c r="J24" s="34">
        <f>IFERROR(IF(I24&gt;MatchDay!$U$2,"-",VLOOKUP(H21,timetables,MatchDay!$U$4+1,FALSE)),0)</f>
        <v>2</v>
      </c>
      <c r="K24" s="286" t="str">
        <f>IFERROR(VLOOKUP($H21&amp;J24,downloads!$A$1:$E$1000,2,FALSE),"")</f>
        <v/>
      </c>
      <c r="L24" s="36" t="str">
        <f t="shared" si="7"/>
        <v>ECHT</v>
      </c>
      <c r="M24" s="233"/>
      <c r="O24" s="62">
        <f>A24</f>
        <v>23</v>
      </c>
      <c r="P24" s="62">
        <v>2</v>
      </c>
      <c r="Q24" s="34">
        <f>IFERROR(IF(P24&gt;MatchDay!$U$2,"-",VLOOKUP(O21,timetables,MatchDay!$U$4+1,FALSE)),0)</f>
        <v>2</v>
      </c>
      <c r="R24" s="286" t="str">
        <f>IFERROR(VLOOKUP($O21&amp;Q24,downloads!$A$1:$E$1000,2,FALSE),"")</f>
        <v>Ava ROYLE</v>
      </c>
      <c r="S24" s="36" t="str">
        <f t="shared" si="8"/>
        <v>ECHT</v>
      </c>
      <c r="T24" s="233">
        <v>4</v>
      </c>
      <c r="U24" s="265"/>
      <c r="X24" s="59" t="s">
        <v>253</v>
      </c>
      <c r="Y24" s="62" t="s">
        <v>159</v>
      </c>
      <c r="Z24" s="62">
        <v>99</v>
      </c>
    </row>
    <row r="25" spans="1:26" ht="15.75" x14ac:dyDescent="0.35">
      <c r="A25" s="138"/>
      <c r="B25" s="62">
        <v>3</v>
      </c>
      <c r="C25" s="34">
        <f>IFERROR(IF(B25&gt;MatchDay!$U$2,"-",VLOOKUP(A21,timetables,MatchDay!$U$4+2,FALSE)),0)</f>
        <v>5</v>
      </c>
      <c r="D25" s="286" t="str">
        <f>IFERROR(VLOOKUP($A21&amp;C25,downloads!$A$1:$E$1000,2,FALSE),"")</f>
        <v>Martha BOWN</v>
      </c>
      <c r="E25" s="36" t="str">
        <f t="shared" si="6"/>
        <v>Menai</v>
      </c>
      <c r="F25" s="233">
        <v>5.73</v>
      </c>
      <c r="H25" s="138"/>
      <c r="I25" s="62">
        <v>3</v>
      </c>
      <c r="J25" s="34">
        <f>IFERROR(IF(I25&gt;MatchDay!$U$2,"-",VLOOKUP(H21,timetables,MatchDay!$U$4+2,FALSE)),0)</f>
        <v>4</v>
      </c>
      <c r="K25" s="286" t="str">
        <f>IFERROR(VLOOKUP($H21&amp;J25,downloads!$A$1:$E$1000,2,FALSE),"")</f>
        <v/>
      </c>
      <c r="L25" s="36" t="str">
        <f t="shared" si="7"/>
        <v>Macc</v>
      </c>
      <c r="M25" s="233"/>
      <c r="O25" s="138"/>
      <c r="P25" s="62">
        <v>3</v>
      </c>
      <c r="Q25" s="34">
        <f>IFERROR(IF(P25&gt;MatchDay!$U$2,"-",VLOOKUP(O21,timetables,MatchDay!$U$4+2,FALSE)),0)</f>
        <v>3</v>
      </c>
      <c r="R25" s="286" t="str">
        <f>IFERROR(VLOOKUP($O21&amp;Q25,downloads!$A$1:$E$1000,2,FALSE),"")</f>
        <v>Olivia COPPER</v>
      </c>
      <c r="S25" s="36" t="str">
        <f t="shared" si="8"/>
        <v>Leigh</v>
      </c>
      <c r="T25" s="233">
        <v>4.1100000000000003</v>
      </c>
      <c r="U25" s="265"/>
      <c r="X25" s="59" t="s">
        <v>254</v>
      </c>
      <c r="Y25" s="62" t="s">
        <v>159</v>
      </c>
      <c r="Z25" s="62">
        <v>118</v>
      </c>
    </row>
    <row r="26" spans="1:26" ht="15.75" x14ac:dyDescent="0.35">
      <c r="B26" s="62">
        <v>4</v>
      </c>
      <c r="C26" s="34">
        <f>IFERROR(IF(B26&gt;MatchDay!$U$2,"-",VLOOKUP(A21,timetables,MatchDay!$U$4+3,FALSE)),0)</f>
        <v>7</v>
      </c>
      <c r="D26" s="286" t="str">
        <f>IFERROR(VLOOKUP($A21&amp;C26,downloads!$A$1:$E$1000,2,FALSE),"")</f>
        <v>Layla HALL</v>
      </c>
      <c r="E26" s="36" t="str">
        <f t="shared" si="6"/>
        <v>Wigan</v>
      </c>
      <c r="F26" s="233">
        <v>3.77</v>
      </c>
      <c r="I26" s="62">
        <v>4</v>
      </c>
      <c r="J26" s="34">
        <f>IFERROR(IF(I26&gt;MatchDay!$U$2,"-",VLOOKUP(H21,timetables,MatchDay!$U$4+3,FALSE)),0)</f>
        <v>3</v>
      </c>
      <c r="K26" s="286" t="str">
        <f>IFERROR(VLOOKUP($H21&amp;J26,downloads!$A$1:$E$1000,2,FALSE),"")</f>
        <v/>
      </c>
      <c r="L26" s="36" t="str">
        <f t="shared" si="7"/>
        <v>Leigh</v>
      </c>
      <c r="M26" s="233"/>
      <c r="P26" s="62">
        <v>4</v>
      </c>
      <c r="Q26" s="34">
        <f>IFERROR(IF(P26&gt;MatchDay!$U$2,"-",VLOOKUP(O21,timetables,MatchDay!$U$4+3,FALSE)),0)</f>
        <v>1</v>
      </c>
      <c r="R26" s="286" t="str">
        <f>IFERROR(VLOOKUP($O21&amp;Q26,downloads!$A$1:$E$1000,2,FALSE),"")</f>
        <v>Olivia WELCH</v>
      </c>
      <c r="S26" s="36" t="str">
        <f t="shared" si="8"/>
        <v>C&amp;N</v>
      </c>
      <c r="T26" s="233">
        <v>4.34</v>
      </c>
      <c r="U26" s="265"/>
      <c r="X26" s="59" t="s">
        <v>255</v>
      </c>
      <c r="Y26" s="62" t="s">
        <v>159</v>
      </c>
      <c r="Z26" s="62">
        <v>137</v>
      </c>
    </row>
    <row r="27" spans="1:26" ht="15.75" x14ac:dyDescent="0.35">
      <c r="B27" s="62">
        <v>5</v>
      </c>
      <c r="C27" s="34">
        <f>IFERROR(IF(B27&gt;MatchDay!$U$2,"-",VLOOKUP(A21,timetables,MatchDay!$U$4+4,FALSE)),0)</f>
        <v>3</v>
      </c>
      <c r="D27" s="286" t="str">
        <f>IFERROR(VLOOKUP($A21&amp;C27,downloads!$A$1:$E$1000,2,FALSE),"")</f>
        <v>Emily ASHTON</v>
      </c>
      <c r="E27" s="36" t="str">
        <f t="shared" si="6"/>
        <v>Leigh</v>
      </c>
      <c r="F27" s="233">
        <v>5.31</v>
      </c>
      <c r="I27" s="62">
        <v>5</v>
      </c>
      <c r="J27" s="34">
        <f>IFERROR(IF(I27&gt;MatchDay!$U$2,"-",VLOOKUP(H21,timetables,MatchDay!$U$4+4,FALSE)),0)</f>
        <v>1</v>
      </c>
      <c r="K27" s="286" t="str">
        <f>IFERROR(VLOOKUP($H21&amp;J27,downloads!$A$1:$E$1000,2,FALSE),"")</f>
        <v>Jack TILLEY</v>
      </c>
      <c r="L27" s="36" t="str">
        <f t="shared" si="7"/>
        <v>C&amp;N</v>
      </c>
      <c r="M27" s="233">
        <v>14.65</v>
      </c>
      <c r="P27" s="62">
        <v>5</v>
      </c>
      <c r="Q27" s="34">
        <f>IFERROR(IF(P27&gt;MatchDay!$U$2,"-",VLOOKUP(O21,timetables,MatchDay!$U$4+4,FALSE)),0)</f>
        <v>7</v>
      </c>
      <c r="R27" s="286" t="str">
        <f>IFERROR(VLOOKUP($O21&amp;Q27,downloads!$A$1:$E$1000,2,FALSE),"")</f>
        <v>Emily WILSON</v>
      </c>
      <c r="S27" s="36" t="str">
        <f t="shared" si="8"/>
        <v>Wigan</v>
      </c>
      <c r="T27" s="262">
        <v>3.85</v>
      </c>
      <c r="U27" s="265"/>
    </row>
    <row r="28" spans="1:26" ht="15.75" x14ac:dyDescent="0.35">
      <c r="B28" s="62">
        <v>6</v>
      </c>
      <c r="C28" s="34">
        <f>IFERROR(IF(B28&gt;MatchDay!$U$2,"-",VLOOKUP(A21,timetables,MatchDay!$U$4+5,FALSE)),0)</f>
        <v>6</v>
      </c>
      <c r="D28" s="286" t="str">
        <f>IFERROR(VLOOKUP($A21&amp;C28,downloads!$A$1:$E$1000,2,FALSE),"")</f>
        <v>Sophie LOW</v>
      </c>
      <c r="E28" s="36" t="str">
        <f t="shared" si="6"/>
        <v>Stock</v>
      </c>
      <c r="F28" s="233">
        <v>5.93</v>
      </c>
      <c r="I28" s="62">
        <v>6</v>
      </c>
      <c r="J28" s="34">
        <f>IFERROR(IF(I28&gt;MatchDay!$U$2,"-",VLOOKUP(H21,timetables,MatchDay!$U$4+5,FALSE)),0)</f>
        <v>5</v>
      </c>
      <c r="K28" s="286" t="str">
        <f>IFERROR(VLOOKUP($H21&amp;J28,downloads!$A$1:$E$1000,2,FALSE),"")</f>
        <v/>
      </c>
      <c r="L28" s="36" t="str">
        <f t="shared" si="7"/>
        <v>Menai</v>
      </c>
      <c r="M28" s="233"/>
      <c r="P28" s="62">
        <v>6</v>
      </c>
      <c r="Q28" s="34">
        <f>IFERROR(IF(P28&gt;MatchDay!$U$2,"-",VLOOKUP(O21,timetables,MatchDay!$U$4+5,FALSE)),0)</f>
        <v>5</v>
      </c>
      <c r="R28" s="286" t="str">
        <f>IFERROR(VLOOKUP($O21&amp;Q28,downloads!$A$1:$E$1000,2,FALSE),"")</f>
        <v>Lily HARDY</v>
      </c>
      <c r="S28" s="36" t="str">
        <f t="shared" si="8"/>
        <v>Menai</v>
      </c>
      <c r="T28" s="233">
        <v>4.24</v>
      </c>
      <c r="U28" s="265"/>
    </row>
    <row r="29" spans="1:26" ht="15" customHeight="1" x14ac:dyDescent="0.35">
      <c r="A29" s="120"/>
      <c r="B29" s="62">
        <v>7</v>
      </c>
      <c r="C29" s="34">
        <f>IFERROR(IF(B29&gt;MatchDay!$U$2,"-",VLOOKUP(A21,timetables,MatchDay!$U$4+6,FALSE)),0)</f>
        <v>2</v>
      </c>
      <c r="D29" s="286" t="str">
        <f>IFERROR(VLOOKUP($A21&amp;C29,downloads!$A$1:$E$1000,2,FALSE),"")</f>
        <v>Imogen MCBURNIE</v>
      </c>
      <c r="E29" s="36" t="str">
        <f t="shared" si="6"/>
        <v>ECHT</v>
      </c>
      <c r="F29" s="233">
        <v>5.52</v>
      </c>
      <c r="H29" s="120"/>
      <c r="I29" s="62">
        <v>7</v>
      </c>
      <c r="J29" s="34">
        <f>IFERROR(IF(I29&gt;MatchDay!$U$2,"-",VLOOKUP(H21,timetables,MatchDay!$U$4+6,FALSE)),0)</f>
        <v>7</v>
      </c>
      <c r="K29" s="286" t="str">
        <f>IFERROR(VLOOKUP($H21&amp;J29,downloads!$A$1:$E$1000,2,FALSE),"")</f>
        <v/>
      </c>
      <c r="L29" s="36" t="str">
        <f t="shared" si="7"/>
        <v>Wigan</v>
      </c>
      <c r="M29" s="233"/>
      <c r="O29" s="120"/>
      <c r="P29" s="62">
        <v>7</v>
      </c>
      <c r="Q29" s="34">
        <f>IFERROR(IF(P29&gt;MatchDay!$U$2,"-",VLOOKUP(O21,timetables,MatchDay!$U$4+6,FALSE)),0)</f>
        <v>6</v>
      </c>
      <c r="R29" s="286" t="str">
        <f>IFERROR(VLOOKUP($O21&amp;Q29,downloads!$A$1:$E$1000,2,FALSE),"")</f>
        <v>Molly MILLS</v>
      </c>
      <c r="S29" s="36" t="str">
        <f t="shared" si="8"/>
        <v>Stock</v>
      </c>
      <c r="T29" s="233">
        <v>4.7300000000000004</v>
      </c>
      <c r="U29" s="265"/>
    </row>
    <row r="30" spans="1:26" ht="15.75" x14ac:dyDescent="0.35">
      <c r="B30" s="62">
        <v>8</v>
      </c>
      <c r="C30" s="34" t="str">
        <f>IFERROR(IF(B30&gt;MatchDay!$U$2,"-",VLOOKUP(A21,timetables,MatchDay!$U$4+7,FALSE)),0)</f>
        <v>-</v>
      </c>
      <c r="D30" s="286" t="str">
        <f>IFERROR(VLOOKUP($A21&amp;C30,downloads!$A$1:$E$1000,2,FALSE),"")</f>
        <v/>
      </c>
      <c r="E30" s="36" t="str">
        <f t="shared" si="6"/>
        <v/>
      </c>
      <c r="F30" s="233"/>
      <c r="I30" s="62">
        <v>8</v>
      </c>
      <c r="J30" s="34" t="str">
        <f>IFERROR(IF(I30&gt;MatchDay!$U$2,"-",VLOOKUP(H21,timetables,MatchDay!$U$4+7,FALSE)),0)</f>
        <v>-</v>
      </c>
      <c r="K30" s="286" t="str">
        <f>IFERROR(VLOOKUP($H21&amp;J30,downloads!$A$1:$E$1000,2,FALSE),"")</f>
        <v/>
      </c>
      <c r="L30" s="36" t="str">
        <f t="shared" si="7"/>
        <v/>
      </c>
      <c r="M30" s="233"/>
      <c r="P30" s="62">
        <v>8</v>
      </c>
      <c r="Q30" s="34" t="str">
        <f>IFERROR(IF(P30&gt;MatchDay!$U$2,"-",VLOOKUP(O21,timetables,MatchDay!$U$4+7,FALSE)),0)</f>
        <v>-</v>
      </c>
      <c r="R30" s="286" t="str">
        <f>IFERROR(VLOOKUP($O21&amp;Q30,downloads!$A$1:$E$1000,2,FALSE),"")</f>
        <v/>
      </c>
      <c r="S30" s="36" t="str">
        <f t="shared" si="8"/>
        <v/>
      </c>
      <c r="T30" s="233"/>
      <c r="U30" s="265"/>
    </row>
    <row r="31" spans="1:26" ht="15.75" x14ac:dyDescent="0.35">
      <c r="B31" s="62">
        <v>9</v>
      </c>
      <c r="C31" s="34">
        <f>IFERROR(IF(T(C23)="",C23*11,C23&amp;C23),"-")</f>
        <v>44</v>
      </c>
      <c r="D31" s="286" t="str">
        <f>IFERROR(VLOOKUP($A21&amp;C31,downloads!$A$1:$E$1000,2,FALSE),"")</f>
        <v>Eve O'DONNELL</v>
      </c>
      <c r="E31" s="36" t="str">
        <f t="shared" si="6"/>
        <v>Macc</v>
      </c>
      <c r="F31" s="233">
        <v>5.09</v>
      </c>
      <c r="I31" s="62">
        <v>9</v>
      </c>
      <c r="J31" s="34">
        <f>IFERROR(IF(T(J23)="",J23*11,J23&amp;J23),"-")</f>
        <v>66</v>
      </c>
      <c r="K31" s="286" t="str">
        <f>IFERROR(VLOOKUP($H21&amp;J31,downloads!$A$1:$E$1000,2,FALSE),"")</f>
        <v/>
      </c>
      <c r="L31" s="36" t="str">
        <f t="shared" si="7"/>
        <v>Stock</v>
      </c>
      <c r="M31" s="233"/>
      <c r="P31" s="62">
        <v>9</v>
      </c>
      <c r="Q31" s="34">
        <f>IFERROR(IF(T(Q23)="",Q23*11,Q23&amp;Q23),"-")</f>
        <v>44</v>
      </c>
      <c r="R31" s="286" t="str">
        <f>IFERROR(VLOOKUP($O21&amp;Q31,downloads!$A$1:$E$1000,2,FALSE),"")</f>
        <v>Brooke SAYCE</v>
      </c>
      <c r="S31" s="36" t="str">
        <f t="shared" si="8"/>
        <v>Macc</v>
      </c>
      <c r="T31" s="233">
        <v>2.84</v>
      </c>
      <c r="U31" s="265"/>
    </row>
    <row r="32" spans="1:26" ht="15.75" x14ac:dyDescent="0.35">
      <c r="B32" s="62">
        <v>10</v>
      </c>
      <c r="C32" s="34">
        <f t="shared" ref="C32:C38" si="9">IFERROR(IF(T(C24)="",C24*11,C24&amp;C24),"-")</f>
        <v>11</v>
      </c>
      <c r="D32" s="286" t="str">
        <f>IFERROR(VLOOKUP($A21&amp;C32,downloads!$A$1:$E$1000,2,FALSE),"")</f>
        <v>Malkia HENRY</v>
      </c>
      <c r="E32" s="36" t="str">
        <f t="shared" si="6"/>
        <v>C&amp;N</v>
      </c>
      <c r="F32" s="233">
        <v>4.8499999999999996</v>
      </c>
      <c r="I32" s="62">
        <v>10</v>
      </c>
      <c r="J32" s="34">
        <f t="shared" ref="J32:J38" si="10">IFERROR(IF(T(J24)="",J24*11,J24&amp;J24),"-")</f>
        <v>22</v>
      </c>
      <c r="K32" s="286" t="str">
        <f>IFERROR(VLOOKUP($H21&amp;J32,downloads!$A$1:$E$1000,2,FALSE),"")</f>
        <v/>
      </c>
      <c r="L32" s="36" t="str">
        <f t="shared" si="7"/>
        <v>ECHT</v>
      </c>
      <c r="M32" s="233"/>
      <c r="P32" s="62">
        <v>10</v>
      </c>
      <c r="Q32" s="34">
        <f t="shared" ref="Q32:Q38" si="11">IFERROR(IF(T(Q24)="",Q24*11,Q24&amp;Q24),"-")</f>
        <v>22</v>
      </c>
      <c r="R32" s="286" t="str">
        <f>IFERROR(VLOOKUP($O21&amp;Q32,downloads!$A$1:$E$1000,2,FALSE),"")</f>
        <v/>
      </c>
      <c r="S32" s="36" t="str">
        <f t="shared" si="8"/>
        <v>ECHT</v>
      </c>
      <c r="T32" s="233"/>
      <c r="U32" s="265"/>
    </row>
    <row r="33" spans="1:21" ht="15.75" x14ac:dyDescent="0.35">
      <c r="B33" s="62">
        <v>11</v>
      </c>
      <c r="C33" s="34">
        <f t="shared" si="9"/>
        <v>55</v>
      </c>
      <c r="D33" s="286" t="str">
        <f>IFERROR(VLOOKUP($A21&amp;C33,downloads!$A$1:$E$1000,2,FALSE),"")</f>
        <v/>
      </c>
      <c r="E33" s="36" t="str">
        <f t="shared" si="6"/>
        <v>Menai</v>
      </c>
      <c r="F33" s="233"/>
      <c r="I33" s="62">
        <v>11</v>
      </c>
      <c r="J33" s="34">
        <f t="shared" si="10"/>
        <v>44</v>
      </c>
      <c r="K33" s="286" t="str">
        <f>IFERROR(VLOOKUP($H21&amp;J33,downloads!$A$1:$E$1000,2,FALSE),"")</f>
        <v/>
      </c>
      <c r="L33" s="36" t="str">
        <f t="shared" si="7"/>
        <v>Macc</v>
      </c>
      <c r="M33" s="233"/>
      <c r="P33" s="62">
        <v>11</v>
      </c>
      <c r="Q33" s="34">
        <f t="shared" si="11"/>
        <v>33</v>
      </c>
      <c r="R33" s="286" t="str">
        <f>IFERROR(VLOOKUP($O21&amp;Q33,downloads!$A$1:$E$1000,2,FALSE),"")</f>
        <v>Isobel EVANS</v>
      </c>
      <c r="S33" s="36" t="str">
        <f t="shared" si="8"/>
        <v>Leigh</v>
      </c>
      <c r="T33" s="233">
        <v>3.93</v>
      </c>
      <c r="U33" s="265"/>
    </row>
    <row r="34" spans="1:21" ht="15.75" x14ac:dyDescent="0.35">
      <c r="B34" s="62">
        <v>12</v>
      </c>
      <c r="C34" s="34">
        <f t="shared" si="9"/>
        <v>77</v>
      </c>
      <c r="D34" s="286" t="str">
        <f>IFERROR(VLOOKUP($A21&amp;C34,downloads!$A$1:$E$1000,2,FALSE),"")</f>
        <v>Maisie CADMAN</v>
      </c>
      <c r="E34" s="36" t="str">
        <f t="shared" si="6"/>
        <v>Wigan</v>
      </c>
      <c r="F34" s="262"/>
      <c r="I34" s="62">
        <v>12</v>
      </c>
      <c r="J34" s="34">
        <f t="shared" si="10"/>
        <v>33</v>
      </c>
      <c r="K34" s="286" t="str">
        <f>IFERROR(VLOOKUP($H21&amp;J34,downloads!$A$1:$E$1000,2,FALSE),"")</f>
        <v/>
      </c>
      <c r="L34" s="36" t="str">
        <f t="shared" si="7"/>
        <v>Leigh</v>
      </c>
      <c r="M34" s="233"/>
      <c r="P34" s="62">
        <v>12</v>
      </c>
      <c r="Q34" s="34">
        <f t="shared" si="11"/>
        <v>11</v>
      </c>
      <c r="R34" s="286" t="str">
        <f>IFERROR(VLOOKUP($O21&amp;Q34,downloads!$A$1:$E$1000,2,FALSE),"")</f>
        <v>Mia O'DONNELL</v>
      </c>
      <c r="S34" s="36" t="str">
        <f t="shared" si="8"/>
        <v>C&amp;N</v>
      </c>
      <c r="T34" s="233">
        <v>4.1900000000000004</v>
      </c>
      <c r="U34" s="265"/>
    </row>
    <row r="35" spans="1:21" ht="15.75" x14ac:dyDescent="0.35">
      <c r="B35" s="62">
        <v>13</v>
      </c>
      <c r="C35" s="34">
        <f t="shared" si="9"/>
        <v>33</v>
      </c>
      <c r="D35" s="286" t="str">
        <f>IFERROR(VLOOKUP($A21&amp;C35,downloads!$A$1:$E$1000,2,FALSE),"")</f>
        <v>Aniko BEHARRIE</v>
      </c>
      <c r="E35" s="36" t="str">
        <f t="shared" si="6"/>
        <v>Leigh</v>
      </c>
      <c r="F35" s="233">
        <v>4.3899999999999997</v>
      </c>
      <c r="I35" s="62">
        <v>13</v>
      </c>
      <c r="J35" s="34">
        <f t="shared" si="10"/>
        <v>11</v>
      </c>
      <c r="K35" s="286" t="str">
        <f>IFERROR(VLOOKUP($H21&amp;J35,downloads!$A$1:$E$1000,2,FALSE),"")</f>
        <v>Oliver BORG-HEFFERNAN</v>
      </c>
      <c r="L35" s="36" t="str">
        <f t="shared" si="7"/>
        <v>C&amp;N</v>
      </c>
      <c r="M35" s="233">
        <v>12.9</v>
      </c>
      <c r="P35" s="62">
        <v>13</v>
      </c>
      <c r="Q35" s="34">
        <f t="shared" si="11"/>
        <v>77</v>
      </c>
      <c r="R35" s="286" t="str">
        <f>IFERROR(VLOOKUP($O21&amp;Q35,downloads!$A$1:$E$1000,2,FALSE),"")</f>
        <v>Emma PIMBLETT</v>
      </c>
      <c r="S35" s="36" t="str">
        <f t="shared" si="8"/>
        <v>Wigan</v>
      </c>
      <c r="T35" s="233">
        <v>4.53</v>
      </c>
      <c r="U35" s="265"/>
    </row>
    <row r="36" spans="1:21" ht="15.75" x14ac:dyDescent="0.35">
      <c r="B36" s="62">
        <v>14</v>
      </c>
      <c r="C36" s="34">
        <f t="shared" si="9"/>
        <v>66</v>
      </c>
      <c r="D36" s="286" t="str">
        <f>IFERROR(VLOOKUP($A21&amp;C36,downloads!$A$1:$E$1000,2,FALSE),"")</f>
        <v>Emily WALTON</v>
      </c>
      <c r="E36" s="36" t="str">
        <f t="shared" si="6"/>
        <v>Stock</v>
      </c>
      <c r="F36" s="233">
        <v>5.01</v>
      </c>
      <c r="I36" s="62">
        <v>14</v>
      </c>
      <c r="J36" s="34">
        <f t="shared" si="10"/>
        <v>55</v>
      </c>
      <c r="K36" s="286" t="str">
        <f>IFERROR(VLOOKUP($H21&amp;J36,downloads!$A$1:$E$1000,2,FALSE),"")</f>
        <v/>
      </c>
      <c r="L36" s="36" t="str">
        <f t="shared" si="7"/>
        <v>Menai</v>
      </c>
      <c r="M36" s="233"/>
      <c r="P36" s="62">
        <v>14</v>
      </c>
      <c r="Q36" s="34">
        <f t="shared" si="11"/>
        <v>55</v>
      </c>
      <c r="R36" s="286" t="str">
        <f>IFERROR(VLOOKUP($O21&amp;Q36,downloads!$A$1:$E$1000,2,FALSE),"")</f>
        <v>Mabli WILLIAMS</v>
      </c>
      <c r="S36" s="36" t="str">
        <f t="shared" si="8"/>
        <v>Menai</v>
      </c>
      <c r="T36" s="233">
        <v>3.35</v>
      </c>
      <c r="U36" s="265"/>
    </row>
    <row r="37" spans="1:21" ht="15.75" x14ac:dyDescent="0.35">
      <c r="B37" s="62">
        <v>15</v>
      </c>
      <c r="C37" s="34">
        <f t="shared" si="9"/>
        <v>22</v>
      </c>
      <c r="D37" s="286" t="str">
        <f>IFERROR(VLOOKUP($A21&amp;C37,downloads!$A$1:$E$1000,2,FALSE),"")</f>
        <v>Erin ROYLE</v>
      </c>
      <c r="E37" s="36" t="str">
        <f t="shared" si="6"/>
        <v>ECHT</v>
      </c>
      <c r="F37" s="233">
        <v>5.42</v>
      </c>
      <c r="I37" s="62">
        <v>15</v>
      </c>
      <c r="J37" s="34">
        <f t="shared" si="10"/>
        <v>77</v>
      </c>
      <c r="K37" s="286" t="str">
        <f>IFERROR(VLOOKUP($H21&amp;J37,downloads!$A$1:$E$1000,2,FALSE),"")</f>
        <v/>
      </c>
      <c r="L37" s="36" t="str">
        <f t="shared" si="7"/>
        <v>Wigan</v>
      </c>
      <c r="M37" s="233"/>
      <c r="P37" s="62">
        <v>15</v>
      </c>
      <c r="Q37" s="34">
        <f t="shared" si="11"/>
        <v>66</v>
      </c>
      <c r="R37" s="286" t="str">
        <f>IFERROR(VLOOKUP($O21&amp;Q37,downloads!$A$1:$E$1000,2,FALSE),"")</f>
        <v/>
      </c>
      <c r="S37" s="36" t="str">
        <f t="shared" si="8"/>
        <v>Stock</v>
      </c>
      <c r="T37" s="233">
        <v>4.21</v>
      </c>
      <c r="U37" s="265"/>
    </row>
    <row r="38" spans="1:21" ht="15.75" x14ac:dyDescent="0.35">
      <c r="B38" s="62">
        <v>16</v>
      </c>
      <c r="C38" s="34" t="str">
        <f t="shared" si="9"/>
        <v>--</v>
      </c>
      <c r="D38" s="286" t="str">
        <f>IFERROR(VLOOKUP($A21&amp;C38,downloads!$A$1:$E$1000,2,FALSE),"")</f>
        <v/>
      </c>
      <c r="E38" s="36" t="str">
        <f t="shared" si="6"/>
        <v>-</v>
      </c>
      <c r="F38" s="233"/>
      <c r="I38" s="62">
        <v>16</v>
      </c>
      <c r="J38" s="34" t="str">
        <f t="shared" si="10"/>
        <v>--</v>
      </c>
      <c r="K38" s="286" t="str">
        <f>IFERROR(VLOOKUP($H21&amp;J38,downloads!$A$1:$E$1000,2,FALSE),"")</f>
        <v/>
      </c>
      <c r="L38" s="36" t="str">
        <f t="shared" si="7"/>
        <v>-</v>
      </c>
      <c r="M38" s="233"/>
      <c r="P38" s="62">
        <v>16</v>
      </c>
      <c r="Q38" s="34" t="str">
        <f t="shared" si="11"/>
        <v>--</v>
      </c>
      <c r="R38" s="286" t="str">
        <f>IFERROR(VLOOKUP($O21&amp;Q38,downloads!$A$1:$E$1000,2,FALSE),"")</f>
        <v/>
      </c>
      <c r="S38" s="36" t="str">
        <f t="shared" si="8"/>
        <v>-</v>
      </c>
      <c r="T38" s="233"/>
      <c r="U38" s="265"/>
    </row>
    <row r="40" spans="1:21" x14ac:dyDescent="0.3">
      <c r="A40" s="32" t="str">
        <f>IFERROR(IF(LEFT(MatchDay!$C$2,1)="L","L"&amp;A41,"U"&amp;A41),"")</f>
        <v>LFD05</v>
      </c>
      <c r="B40" s="94" t="str">
        <f>IFERROR(VLOOKUP(A40,Timetables!$A:$G,3,FALSE)&amp;" "&amp;VLOOKUP(A40,Timetables!$A:$G,2,FALSE),"")</f>
        <v>U15 Girls Discus</v>
      </c>
      <c r="H40" s="32" t="str">
        <f>IFERROR(IF(LEFT(MatchDay!$C$2,1)="L","L"&amp;H41,"U"&amp;H41),"")</f>
        <v>LFD06</v>
      </c>
      <c r="I40" s="94" t="str">
        <f>IFERROR(VLOOKUP(H40,Timetables!$A:$G,3,FALSE)&amp;" "&amp;VLOOKUP(H40,Timetables!$A:$G,2,FALSE),"")</f>
        <v>U15 Boys Shot</v>
      </c>
      <c r="M40" s="63"/>
      <c r="O40" s="32" t="str">
        <f>IFERROR(IF(LEFT(MatchDay!$C$2,1)="L","L"&amp;O41,"U"&amp;O41),"")</f>
        <v>LFW03</v>
      </c>
      <c r="P40" s="94" t="str">
        <f>IFERROR(VLOOKUP(O40,Timetables!$A:$G,3,FALSE)&amp;" "&amp;VLOOKUP(O40,Timetables!$A:$G,2,FALSE),"")</f>
        <v>U13 Girls Long Jump</v>
      </c>
      <c r="T40" s="63"/>
    </row>
    <row r="41" spans="1:21" x14ac:dyDescent="0.3">
      <c r="A41" s="33" t="s">
        <v>208</v>
      </c>
      <c r="B41" s="62" t="s">
        <v>122</v>
      </c>
      <c r="C41" s="62" t="s">
        <v>118</v>
      </c>
      <c r="D41" s="59" t="s">
        <v>174</v>
      </c>
      <c r="E41" s="59" t="s">
        <v>175</v>
      </c>
      <c r="F41" s="63" t="s">
        <v>176</v>
      </c>
      <c r="H41" s="33" t="s">
        <v>209</v>
      </c>
      <c r="I41" s="62" t="s">
        <v>122</v>
      </c>
      <c r="J41" s="62" t="s">
        <v>118</v>
      </c>
      <c r="K41" s="59" t="s">
        <v>174</v>
      </c>
      <c r="L41" s="59" t="s">
        <v>175</v>
      </c>
      <c r="M41" s="63" t="s">
        <v>176</v>
      </c>
      <c r="O41" s="33" t="s">
        <v>250</v>
      </c>
      <c r="P41" s="62" t="s">
        <v>122</v>
      </c>
      <c r="Q41" s="62" t="s">
        <v>118</v>
      </c>
      <c r="R41" s="59" t="s">
        <v>174</v>
      </c>
      <c r="S41" s="59" t="s">
        <v>175</v>
      </c>
      <c r="T41" s="63" t="s">
        <v>176</v>
      </c>
      <c r="U41" s="62" t="s">
        <v>206</v>
      </c>
    </row>
    <row r="42" spans="1:21" ht="15.75" x14ac:dyDescent="0.35">
      <c r="A42" s="62" t="s">
        <v>171</v>
      </c>
      <c r="B42" s="62">
        <v>1</v>
      </c>
      <c r="C42" s="34">
        <f>IFERROR(IF(B42&gt;MatchDay!$U$2,"-",VLOOKUP(A40,timetables,MatchDay!$U$4,FALSE)),0)</f>
        <v>6</v>
      </c>
      <c r="D42" s="286" t="str">
        <f>IFERROR(VLOOKUP($A40&amp;C42,downloads!$A$1:$E$1000,2,FALSE),"")</f>
        <v/>
      </c>
      <c r="E42" s="36" t="str">
        <f t="shared" ref="E42:E57" si="12">IFERROR(VLOOKUP(C42,teamlookup,5,FALSE),"-")</f>
        <v>Stock</v>
      </c>
      <c r="F42" s="233"/>
      <c r="H42" s="62" t="s">
        <v>169</v>
      </c>
      <c r="I42" s="62">
        <v>1</v>
      </c>
      <c r="J42" s="34">
        <f>IFERROR(IF(I42&gt;MatchDay!$U$2,"-",VLOOKUP(H40,timetables,MatchDay!$U$4,FALSE)),0)</f>
        <v>4</v>
      </c>
      <c r="K42" s="286" t="str">
        <f>IFERROR(VLOOKUP($H40&amp;J42,downloads!$A$1:$E$1000,2,FALSE),"")</f>
        <v/>
      </c>
      <c r="L42" s="36" t="str">
        <f t="shared" ref="L42:L57" si="13">IFERROR(VLOOKUP(J42,teamlookup,5,FALSE),"-")</f>
        <v>Macc</v>
      </c>
      <c r="M42" s="233"/>
      <c r="O42" s="62" t="s">
        <v>159</v>
      </c>
      <c r="P42" s="62">
        <v>1</v>
      </c>
      <c r="Q42" s="34">
        <f>IFERROR(IF(P42&gt;MatchDay!$U$2,"-",VLOOKUP(O40,timetables,MatchDay!$U$4,FALSE)),0)</f>
        <v>4</v>
      </c>
      <c r="R42" s="286" t="str">
        <f>IFERROR(VLOOKUP($O40&amp;Q42,downloads!$A$1:$E$1000,2,FALSE),"")</f>
        <v>Lara ADU-GYAMFI</v>
      </c>
      <c r="S42" s="36" t="str">
        <f t="shared" ref="S42:S57" si="14">IFERROR(VLOOKUP(Q42,teamlookup,5,FALSE),"-")</f>
        <v>Macc</v>
      </c>
      <c r="T42" s="233">
        <v>3.52</v>
      </c>
      <c r="U42" s="265"/>
    </row>
    <row r="43" spans="1:21" ht="15.75" x14ac:dyDescent="0.35">
      <c r="A43" s="62">
        <v>42</v>
      </c>
      <c r="B43" s="62">
        <v>2</v>
      </c>
      <c r="C43" s="34">
        <f>IFERROR(IF(B43&gt;MatchDay!$U$2,"-",VLOOKUP(A40,timetables,MatchDay!$U$4+1,FALSE)),0)</f>
        <v>2</v>
      </c>
      <c r="D43" s="286" t="str">
        <f>IFERROR(VLOOKUP($A40&amp;C43,downloads!$A$1:$E$1000,2,FALSE),"")</f>
        <v/>
      </c>
      <c r="E43" s="36" t="str">
        <f t="shared" si="12"/>
        <v>ECHT</v>
      </c>
      <c r="F43" s="233"/>
      <c r="H43" s="62">
        <f>A43</f>
        <v>42</v>
      </c>
      <c r="I43" s="62">
        <v>2</v>
      </c>
      <c r="J43" s="34">
        <f>IFERROR(IF(I43&gt;MatchDay!$U$2,"-",VLOOKUP(H40,timetables,MatchDay!$U$4+1,FALSE)),0)</f>
        <v>1</v>
      </c>
      <c r="K43" s="286" t="str">
        <f>IFERROR(VLOOKUP($H40&amp;J43,downloads!$A$1:$E$1000,2,FALSE),"")</f>
        <v>Lucas BEECH</v>
      </c>
      <c r="L43" s="36" t="str">
        <f t="shared" si="13"/>
        <v>C&amp;N</v>
      </c>
      <c r="M43" s="233">
        <v>7.47</v>
      </c>
      <c r="O43" s="62">
        <f>A43</f>
        <v>42</v>
      </c>
      <c r="P43" s="62">
        <v>2</v>
      </c>
      <c r="Q43" s="34">
        <f>IFERROR(IF(P43&gt;MatchDay!$U$2,"-",VLOOKUP(O40,timetables,MatchDay!$U$4+1,FALSE)),0)</f>
        <v>2</v>
      </c>
      <c r="R43" s="286" t="str">
        <f>IFERROR(VLOOKUP($O40&amp;Q43,downloads!$A$1:$E$1000,2,FALSE),"")</f>
        <v>Madaline BURKE</v>
      </c>
      <c r="S43" s="36" t="str">
        <f t="shared" si="14"/>
        <v>ECHT</v>
      </c>
      <c r="T43" s="233">
        <v>2.99</v>
      </c>
      <c r="U43" s="265"/>
    </row>
    <row r="44" spans="1:21" ht="15.75" x14ac:dyDescent="0.35">
      <c r="A44" s="138"/>
      <c r="B44" s="62">
        <v>3</v>
      </c>
      <c r="C44" s="34">
        <f>IFERROR(IF(B44&gt;MatchDay!$U$2,"-",VLOOKUP(A40,timetables,MatchDay!$U$4+2,FALSE)),0)</f>
        <v>4</v>
      </c>
      <c r="D44" s="286" t="str">
        <f>IFERROR(VLOOKUP($A40&amp;C44,downloads!$A$1:$E$1000,2,FALSE),"")</f>
        <v/>
      </c>
      <c r="E44" s="36" t="str">
        <f t="shared" si="12"/>
        <v>Macc</v>
      </c>
      <c r="F44" s="233"/>
      <c r="H44" s="138"/>
      <c r="I44" s="62">
        <v>3</v>
      </c>
      <c r="J44" s="34">
        <f>IFERROR(IF(I44&gt;MatchDay!$U$2,"-",VLOOKUP(H40,timetables,MatchDay!$U$4+2,FALSE)),0)</f>
        <v>5</v>
      </c>
      <c r="K44" s="286" t="str">
        <f>IFERROR(VLOOKUP($H40&amp;J44,downloads!$A$1:$E$1000,2,FALSE),"")</f>
        <v/>
      </c>
      <c r="L44" s="36" t="str">
        <f t="shared" si="13"/>
        <v>Menai</v>
      </c>
      <c r="M44" s="233"/>
      <c r="O44" s="138"/>
      <c r="P44" s="62">
        <v>3</v>
      </c>
      <c r="Q44" s="34">
        <f>IFERROR(IF(P44&gt;MatchDay!$U$2,"-",VLOOKUP(O40,timetables,MatchDay!$U$4+2,FALSE)),0)</f>
        <v>3</v>
      </c>
      <c r="R44" s="286" t="str">
        <f>IFERROR(VLOOKUP($O40&amp;Q44,downloads!$A$1:$E$1000,2,FALSE),"")</f>
        <v>Ava BROOMES</v>
      </c>
      <c r="S44" s="36" t="str">
        <f t="shared" si="14"/>
        <v>Leigh</v>
      </c>
      <c r="T44" s="233">
        <v>4.0199999999999996</v>
      </c>
      <c r="U44" s="265"/>
    </row>
    <row r="45" spans="1:21" ht="15.75" x14ac:dyDescent="0.35">
      <c r="B45" s="62">
        <v>4</v>
      </c>
      <c r="C45" s="34">
        <f>IFERROR(IF(B45&gt;MatchDay!$U$2,"-",VLOOKUP(A40,timetables,MatchDay!$U$4+3,FALSE)),0)</f>
        <v>3</v>
      </c>
      <c r="D45" s="286" t="str">
        <f>IFERROR(VLOOKUP($A40&amp;C45,downloads!$A$1:$E$1000,2,FALSE),"")</f>
        <v>Eva MELLING</v>
      </c>
      <c r="E45" s="36" t="str">
        <f t="shared" si="12"/>
        <v>Leigh</v>
      </c>
      <c r="F45" s="233">
        <v>10.74</v>
      </c>
      <c r="I45" s="62">
        <v>4</v>
      </c>
      <c r="J45" s="34">
        <f>IFERROR(IF(I45&gt;MatchDay!$U$2,"-",VLOOKUP(H40,timetables,MatchDay!$U$4+3,FALSE)),0)</f>
        <v>7</v>
      </c>
      <c r="K45" s="286" t="str">
        <f>IFERROR(VLOOKUP($H40&amp;J45,downloads!$A$1:$E$1000,2,FALSE),"")</f>
        <v>Matthew HAYTON</v>
      </c>
      <c r="L45" s="36" t="str">
        <f t="shared" si="13"/>
        <v>Wigan</v>
      </c>
      <c r="M45" s="233">
        <v>5.0999999999999996</v>
      </c>
      <c r="P45" s="62">
        <v>4</v>
      </c>
      <c r="Q45" s="34">
        <f>IFERROR(IF(P45&gt;MatchDay!$U$2,"-",VLOOKUP(O40,timetables,MatchDay!$U$4+3,FALSE)),0)</f>
        <v>1</v>
      </c>
      <c r="R45" s="286" t="str">
        <f>IFERROR(VLOOKUP($O40&amp;Q45,downloads!$A$1:$E$1000,2,FALSE),"")</f>
        <v>Lucy HOWARTH</v>
      </c>
      <c r="S45" s="36" t="str">
        <f t="shared" si="14"/>
        <v>C&amp;N</v>
      </c>
      <c r="T45" s="233">
        <v>4.13</v>
      </c>
      <c r="U45" s="265"/>
    </row>
    <row r="46" spans="1:21" ht="15.75" x14ac:dyDescent="0.35">
      <c r="B46" s="62">
        <v>5</v>
      </c>
      <c r="C46" s="34">
        <f>IFERROR(IF(B46&gt;MatchDay!$U$2,"-",VLOOKUP(A40,timetables,MatchDay!$U$4+4,FALSE)),0)</f>
        <v>1</v>
      </c>
      <c r="D46" s="286" t="str">
        <f>IFERROR(VLOOKUP($A40&amp;C46,downloads!$A$1:$E$1000,2,FALSE),"")</f>
        <v>Elisha CARTER</v>
      </c>
      <c r="E46" s="36" t="str">
        <f t="shared" si="12"/>
        <v>C&amp;N</v>
      </c>
      <c r="F46" s="233">
        <v>12.14</v>
      </c>
      <c r="I46" s="62">
        <v>5</v>
      </c>
      <c r="J46" s="34">
        <f>IFERROR(IF(I46&gt;MatchDay!$U$2,"-",VLOOKUP(H40,timetables,MatchDay!$U$4+4,FALSE)),0)</f>
        <v>3</v>
      </c>
      <c r="K46" s="286" t="str">
        <f>IFERROR(VLOOKUP($H40&amp;J46,downloads!$A$1:$E$1000,2,FALSE),"")</f>
        <v>Oliver SANDERSON</v>
      </c>
      <c r="L46" s="36" t="str">
        <f t="shared" si="13"/>
        <v>Leigh</v>
      </c>
      <c r="M46" s="233">
        <v>5.61</v>
      </c>
      <c r="P46" s="62">
        <v>5</v>
      </c>
      <c r="Q46" s="34">
        <f>IFERROR(IF(P46&gt;MatchDay!$U$2,"-",VLOOKUP(O40,timetables,MatchDay!$U$4+4,FALSE)),0)</f>
        <v>7</v>
      </c>
      <c r="R46" s="286" t="str">
        <f>IFERROR(VLOOKUP($O40&amp;Q46,downloads!$A$1:$E$1000,2,FALSE),"")</f>
        <v>Elody HILL</v>
      </c>
      <c r="S46" s="36" t="str">
        <f t="shared" si="14"/>
        <v>Wigan</v>
      </c>
      <c r="T46" s="233">
        <v>3.44</v>
      </c>
      <c r="U46" s="265"/>
    </row>
    <row r="47" spans="1:21" ht="15.75" x14ac:dyDescent="0.35">
      <c r="B47" s="62">
        <v>6</v>
      </c>
      <c r="C47" s="34">
        <f>IFERROR(IF(B47&gt;MatchDay!$U$2,"-",VLOOKUP(A40,timetables,MatchDay!$U$4+5,FALSE)),0)</f>
        <v>5</v>
      </c>
      <c r="D47" s="286" t="str">
        <f>IFERROR(VLOOKUP($A40&amp;C47,downloads!$A$1:$E$1000,2,FALSE),"")</f>
        <v>Erin JACOBS</v>
      </c>
      <c r="E47" s="36" t="str">
        <f t="shared" si="12"/>
        <v>Menai</v>
      </c>
      <c r="F47" s="233">
        <v>23.77</v>
      </c>
      <c r="I47" s="62">
        <v>6</v>
      </c>
      <c r="J47" s="34">
        <f>IFERROR(IF(I47&gt;MatchDay!$U$2,"-",VLOOKUP(H40,timetables,MatchDay!$U$4+5,FALSE)),0)</f>
        <v>6</v>
      </c>
      <c r="K47" s="286" t="str">
        <f>IFERROR(VLOOKUP($H40&amp;J47,downloads!$A$1:$E$1000,2,FALSE),"")</f>
        <v>Campbell JOHNSON</v>
      </c>
      <c r="L47" s="36" t="str">
        <f t="shared" si="13"/>
        <v>Stock</v>
      </c>
      <c r="M47" s="233">
        <v>5.57</v>
      </c>
      <c r="P47" s="62">
        <v>6</v>
      </c>
      <c r="Q47" s="34">
        <f>IFERROR(IF(P47&gt;MatchDay!$U$2,"-",VLOOKUP(O40,timetables,MatchDay!$U$4+5,FALSE)),0)</f>
        <v>5</v>
      </c>
      <c r="R47" s="286" t="str">
        <f>IFERROR(VLOOKUP($O40&amp;Q47,downloads!$A$1:$E$1000,2,FALSE),"")</f>
        <v>Holly WORTH</v>
      </c>
      <c r="S47" s="36" t="str">
        <f t="shared" si="14"/>
        <v>Menai</v>
      </c>
      <c r="T47" s="233">
        <v>3.79</v>
      </c>
      <c r="U47" s="265"/>
    </row>
    <row r="48" spans="1:21" ht="15" customHeight="1" x14ac:dyDescent="0.35">
      <c r="A48" s="120"/>
      <c r="B48" s="62">
        <v>7</v>
      </c>
      <c r="C48" s="34">
        <f>IFERROR(IF(B48&gt;MatchDay!$U$2,"-",VLOOKUP(A40,timetables,MatchDay!$U$4+6,FALSE)),0)</f>
        <v>7</v>
      </c>
      <c r="D48" s="286" t="str">
        <f>IFERROR(VLOOKUP($A40&amp;C48,downloads!$A$1:$E$1000,2,FALSE),"")</f>
        <v/>
      </c>
      <c r="E48" s="36" t="str">
        <f t="shared" si="12"/>
        <v>Wigan</v>
      </c>
      <c r="F48" s="233"/>
      <c r="H48" s="120"/>
      <c r="I48" s="62">
        <v>7</v>
      </c>
      <c r="J48" s="34">
        <f>IFERROR(IF(I48&gt;MatchDay!$U$2,"-",VLOOKUP(H40,timetables,MatchDay!$U$4+6,FALSE)),0)</f>
        <v>2</v>
      </c>
      <c r="K48" s="286" t="str">
        <f>IFERROR(VLOOKUP($H40&amp;J48,downloads!$A$1:$E$1000,2,FALSE),"")</f>
        <v>Marshall FLEET</v>
      </c>
      <c r="L48" s="36" t="str">
        <f t="shared" si="13"/>
        <v>ECHT</v>
      </c>
      <c r="M48" s="233">
        <v>7.1</v>
      </c>
      <c r="O48" s="120"/>
      <c r="P48" s="62">
        <v>7</v>
      </c>
      <c r="Q48" s="34">
        <f>IFERROR(IF(P48&gt;MatchDay!$U$2,"-",VLOOKUP(O40,timetables,MatchDay!$U$4+6,FALSE)),0)</f>
        <v>6</v>
      </c>
      <c r="R48" s="286" t="str">
        <f>IFERROR(VLOOKUP($O40&amp;Q48,downloads!$A$1:$E$1000,2,FALSE),"")</f>
        <v>Emily WALTON</v>
      </c>
      <c r="S48" s="36" t="str">
        <f t="shared" si="14"/>
        <v>Stock</v>
      </c>
      <c r="T48" s="233">
        <v>3.84</v>
      </c>
      <c r="U48" s="265"/>
    </row>
    <row r="49" spans="1:21" ht="15.75" x14ac:dyDescent="0.35">
      <c r="B49" s="62">
        <v>8</v>
      </c>
      <c r="C49" s="34" t="str">
        <f>IFERROR(IF(B49&gt;MatchDay!$U$2,"-",VLOOKUP(A40,timetables,MatchDay!$U$4+7,FALSE)),0)</f>
        <v>-</v>
      </c>
      <c r="D49" s="286" t="str">
        <f>IFERROR(VLOOKUP($A40&amp;C49,downloads!$A$1:$E$1000,2,FALSE),"")</f>
        <v/>
      </c>
      <c r="E49" s="36" t="str">
        <f t="shared" si="12"/>
        <v/>
      </c>
      <c r="F49" s="233"/>
      <c r="I49" s="62">
        <v>8</v>
      </c>
      <c r="J49" s="34" t="str">
        <f>IFERROR(IF(I49&gt;MatchDay!$U$2,"-",VLOOKUP(H40,timetables,MatchDay!$U$4+7,FALSE)),0)</f>
        <v>-</v>
      </c>
      <c r="K49" s="286" t="str">
        <f>IFERROR(VLOOKUP($H40&amp;J49,downloads!$A$1:$E$1000,2,FALSE),"")</f>
        <v/>
      </c>
      <c r="L49" s="36" t="str">
        <f t="shared" si="13"/>
        <v/>
      </c>
      <c r="M49" s="233"/>
      <c r="P49" s="62">
        <v>8</v>
      </c>
      <c r="Q49" s="34" t="str">
        <f>IFERROR(IF(P49&gt;MatchDay!$U$2,"-",VLOOKUP(O40,timetables,MatchDay!$U$4+7,FALSE)),0)</f>
        <v>-</v>
      </c>
      <c r="R49" s="286" t="str">
        <f>IFERROR(VLOOKUP($O40&amp;Q49,downloads!$A$1:$E$1000,2,FALSE),"")</f>
        <v/>
      </c>
      <c r="S49" s="36" t="str">
        <f t="shared" si="14"/>
        <v/>
      </c>
      <c r="T49" s="233"/>
      <c r="U49" s="265"/>
    </row>
    <row r="50" spans="1:21" ht="15.75" x14ac:dyDescent="0.35">
      <c r="B50" s="62">
        <v>9</v>
      </c>
      <c r="C50" s="34">
        <f>IFERROR(IF(T(C42)="",C42*11,C42&amp;C42),"-")</f>
        <v>66</v>
      </c>
      <c r="D50" s="286" t="str">
        <f>IFERROR(VLOOKUP($A40&amp;C50,downloads!$A$1:$E$1000,2,FALSE),"")</f>
        <v/>
      </c>
      <c r="E50" s="36" t="str">
        <f t="shared" si="12"/>
        <v>Stock</v>
      </c>
      <c r="F50" s="233"/>
      <c r="I50" s="62">
        <v>9</v>
      </c>
      <c r="J50" s="34">
        <f>IFERROR(IF(T(J42)="",J42*11,J42&amp;J42),"-")</f>
        <v>44</v>
      </c>
      <c r="K50" s="286" t="str">
        <f>IFERROR(VLOOKUP($H40&amp;J50,downloads!$A$1:$E$1000,2,FALSE),"")</f>
        <v/>
      </c>
      <c r="L50" s="36" t="str">
        <f t="shared" si="13"/>
        <v>Macc</v>
      </c>
      <c r="M50" s="233"/>
      <c r="P50" s="62">
        <v>9</v>
      </c>
      <c r="Q50" s="34">
        <f>IFERROR(IF(T(Q42)="",Q42*11,Q42&amp;Q42),"-")</f>
        <v>44</v>
      </c>
      <c r="R50" s="286" t="str">
        <f>IFERROR(VLOOKUP($O40&amp;Q50,downloads!$A$1:$E$1000,2,FALSE),"")</f>
        <v>Iona FISHER</v>
      </c>
      <c r="S50" s="36" t="str">
        <f t="shared" si="14"/>
        <v>Macc</v>
      </c>
      <c r="T50" s="233">
        <v>3.03</v>
      </c>
      <c r="U50" s="265"/>
    </row>
    <row r="51" spans="1:21" ht="15.75" x14ac:dyDescent="0.35">
      <c r="B51" s="62">
        <v>10</v>
      </c>
      <c r="C51" s="34">
        <f t="shared" ref="C51:C57" si="15">IFERROR(IF(T(C43)="",C43*11,C43&amp;C43),"-")</f>
        <v>22</v>
      </c>
      <c r="D51" s="286" t="str">
        <f>IFERROR(VLOOKUP($A40&amp;C51,downloads!$A$1:$E$1000,2,FALSE),"")</f>
        <v/>
      </c>
      <c r="E51" s="36" t="str">
        <f t="shared" si="12"/>
        <v>ECHT</v>
      </c>
      <c r="F51" s="262"/>
      <c r="I51" s="62">
        <v>10</v>
      </c>
      <c r="J51" s="34">
        <f t="shared" ref="J51:J57" si="16">IFERROR(IF(T(J43)="",J43*11,J43&amp;J43),"-")</f>
        <v>11</v>
      </c>
      <c r="K51" s="286" t="str">
        <f>IFERROR(VLOOKUP($H40&amp;J51,downloads!$A$1:$E$1000,2,FALSE),"")</f>
        <v>Oliver BORG-HEFFERNAN</v>
      </c>
      <c r="L51" s="36" t="str">
        <f t="shared" si="13"/>
        <v>C&amp;N</v>
      </c>
      <c r="M51" s="233">
        <v>5.92</v>
      </c>
      <c r="P51" s="62">
        <v>10</v>
      </c>
      <c r="Q51" s="34">
        <f t="shared" ref="Q51:Q57" si="17">IFERROR(IF(T(Q43)="",Q43*11,Q43&amp;Q43),"-")</f>
        <v>22</v>
      </c>
      <c r="R51" s="286" t="str">
        <f>IFERROR(VLOOKUP($O40&amp;Q51,downloads!$A$1:$E$1000,2,FALSE),"")</f>
        <v>Kyla MILLINGTON</v>
      </c>
      <c r="S51" s="36" t="str">
        <f t="shared" si="14"/>
        <v>ECHT</v>
      </c>
      <c r="T51" s="233">
        <v>3.13</v>
      </c>
      <c r="U51" s="265"/>
    </row>
    <row r="52" spans="1:21" ht="15.75" x14ac:dyDescent="0.35">
      <c r="B52" s="62">
        <v>11</v>
      </c>
      <c r="C52" s="34">
        <f t="shared" si="15"/>
        <v>44</v>
      </c>
      <c r="D52" s="286" t="str">
        <f>IFERROR(VLOOKUP($A40&amp;C52,downloads!$A$1:$E$1000,2,FALSE),"")</f>
        <v/>
      </c>
      <c r="E52" s="36" t="str">
        <f t="shared" si="12"/>
        <v>Macc</v>
      </c>
      <c r="F52" s="233"/>
      <c r="I52" s="62">
        <v>11</v>
      </c>
      <c r="J52" s="34">
        <f t="shared" si="16"/>
        <v>55</v>
      </c>
      <c r="K52" s="286" t="str">
        <f>IFERROR(VLOOKUP($H40&amp;J52,downloads!$A$1:$E$1000,2,FALSE),"")</f>
        <v/>
      </c>
      <c r="L52" s="36" t="str">
        <f t="shared" si="13"/>
        <v>Menai</v>
      </c>
      <c r="M52" s="233"/>
      <c r="P52" s="62">
        <v>11</v>
      </c>
      <c r="Q52" s="34">
        <f t="shared" si="17"/>
        <v>33</v>
      </c>
      <c r="R52" s="286" t="str">
        <f>IFERROR(VLOOKUP($O40&amp;Q52,downloads!$A$1:$E$1000,2,FALSE),"")</f>
        <v>Isabella GORMAN</v>
      </c>
      <c r="S52" s="36" t="str">
        <f t="shared" si="14"/>
        <v>Leigh</v>
      </c>
      <c r="T52" s="233">
        <v>3.1</v>
      </c>
      <c r="U52" s="265"/>
    </row>
    <row r="53" spans="1:21" ht="15.75" x14ac:dyDescent="0.35">
      <c r="B53" s="62">
        <v>12</v>
      </c>
      <c r="C53" s="34">
        <f t="shared" si="15"/>
        <v>33</v>
      </c>
      <c r="D53" s="286" t="str">
        <f>IFERROR(VLOOKUP($A40&amp;C53,downloads!$A$1:$E$1000,2,FALSE),"")</f>
        <v/>
      </c>
      <c r="E53" s="36" t="str">
        <f t="shared" si="12"/>
        <v>Leigh</v>
      </c>
      <c r="F53" s="233"/>
      <c r="I53" s="62">
        <v>12</v>
      </c>
      <c r="J53" s="34">
        <f t="shared" si="16"/>
        <v>77</v>
      </c>
      <c r="K53" s="286" t="str">
        <f>IFERROR(VLOOKUP($H40&amp;J53,downloads!$A$1:$E$1000,2,FALSE),"")</f>
        <v/>
      </c>
      <c r="L53" s="36" t="str">
        <f t="shared" si="13"/>
        <v>Wigan</v>
      </c>
      <c r="M53" s="233"/>
      <c r="P53" s="62">
        <v>12</v>
      </c>
      <c r="Q53" s="34">
        <f t="shared" si="17"/>
        <v>11</v>
      </c>
      <c r="R53" s="286" t="str">
        <f>IFERROR(VLOOKUP($O40&amp;Q53,downloads!$A$1:$E$1000,2,FALSE),"")</f>
        <v>Bethany HALL</v>
      </c>
      <c r="S53" s="36" t="str">
        <f t="shared" si="14"/>
        <v>C&amp;N</v>
      </c>
      <c r="T53" s="233">
        <v>3.5</v>
      </c>
      <c r="U53" s="265"/>
    </row>
    <row r="54" spans="1:21" ht="15.75" x14ac:dyDescent="0.35">
      <c r="B54" s="62">
        <v>13</v>
      </c>
      <c r="C54" s="34">
        <f t="shared" si="15"/>
        <v>11</v>
      </c>
      <c r="D54" s="286" t="str">
        <f>IFERROR(VLOOKUP($A40&amp;C54,downloads!$A$1:$E$1000,2,FALSE),"")</f>
        <v>Freya MASON</v>
      </c>
      <c r="E54" s="36" t="str">
        <f t="shared" si="12"/>
        <v>C&amp;N</v>
      </c>
      <c r="F54" s="233">
        <v>10.82</v>
      </c>
      <c r="I54" s="62">
        <v>13</v>
      </c>
      <c r="J54" s="34">
        <f t="shared" si="16"/>
        <v>33</v>
      </c>
      <c r="K54" s="286" t="str">
        <f>IFERROR(VLOOKUP($H40&amp;J54,downloads!$A$1:$E$1000,2,FALSE),"")</f>
        <v>Archer GILDART</v>
      </c>
      <c r="L54" s="36" t="str">
        <f t="shared" si="13"/>
        <v>Leigh</v>
      </c>
      <c r="M54" s="233">
        <v>6.4</v>
      </c>
      <c r="P54" s="62">
        <v>13</v>
      </c>
      <c r="Q54" s="34">
        <f t="shared" si="17"/>
        <v>77</v>
      </c>
      <c r="R54" s="286" t="str">
        <f>IFERROR(VLOOKUP($O40&amp;Q54,downloads!$A$1:$E$1000,2,FALSE),"")</f>
        <v>Katie-lou MALLEY</v>
      </c>
      <c r="S54" s="36" t="str">
        <f t="shared" si="14"/>
        <v>Wigan</v>
      </c>
      <c r="T54" s="233">
        <v>3.34</v>
      </c>
      <c r="U54" s="265"/>
    </row>
    <row r="55" spans="1:21" ht="15.75" x14ac:dyDescent="0.35">
      <c r="B55" s="62">
        <v>14</v>
      </c>
      <c r="C55" s="34">
        <f t="shared" si="15"/>
        <v>55</v>
      </c>
      <c r="D55" s="286" t="str">
        <f>IFERROR(VLOOKUP($A40&amp;C55,downloads!$A$1:$E$1000,2,FALSE),"")</f>
        <v>Elliw MOSS</v>
      </c>
      <c r="E55" s="36" t="str">
        <f t="shared" si="12"/>
        <v>Menai</v>
      </c>
      <c r="F55" s="233">
        <v>15.99</v>
      </c>
      <c r="I55" s="62">
        <v>14</v>
      </c>
      <c r="J55" s="34">
        <f t="shared" si="16"/>
        <v>66</v>
      </c>
      <c r="K55" s="286" t="str">
        <f>IFERROR(VLOOKUP($H40&amp;J55,downloads!$A$1:$E$1000,2,FALSE),"")</f>
        <v/>
      </c>
      <c r="L55" s="36" t="str">
        <f t="shared" si="13"/>
        <v>Stock</v>
      </c>
      <c r="M55" s="233"/>
      <c r="P55" s="62">
        <v>14</v>
      </c>
      <c r="Q55" s="34">
        <f t="shared" si="17"/>
        <v>55</v>
      </c>
      <c r="R55" s="286" t="str">
        <f>IFERROR(VLOOKUP($O40&amp;Q55,downloads!$A$1:$E$1000,2,FALSE),"")</f>
        <v>Ela EDWARDS</v>
      </c>
      <c r="S55" s="36" t="str">
        <f t="shared" si="14"/>
        <v>Menai</v>
      </c>
      <c r="T55" s="233">
        <v>2.99</v>
      </c>
      <c r="U55" s="265"/>
    </row>
    <row r="56" spans="1:21" ht="15.75" x14ac:dyDescent="0.35">
      <c r="B56" s="62">
        <v>15</v>
      </c>
      <c r="C56" s="34">
        <f t="shared" si="15"/>
        <v>77</v>
      </c>
      <c r="D56" s="286" t="str">
        <f>IFERROR(VLOOKUP($A40&amp;C56,downloads!$A$1:$E$1000,2,FALSE),"")</f>
        <v/>
      </c>
      <c r="E56" s="36" t="str">
        <f t="shared" si="12"/>
        <v>Wigan</v>
      </c>
      <c r="F56" s="233"/>
      <c r="I56" s="62">
        <v>15</v>
      </c>
      <c r="J56" s="34">
        <f t="shared" si="16"/>
        <v>22</v>
      </c>
      <c r="K56" s="286" t="str">
        <f>IFERROR(VLOOKUP($H40&amp;J56,downloads!$A$1:$E$1000,2,FALSE),"")</f>
        <v/>
      </c>
      <c r="L56" s="36" t="str">
        <f t="shared" si="13"/>
        <v>ECHT</v>
      </c>
      <c r="M56" s="233"/>
      <c r="P56" s="62">
        <v>15</v>
      </c>
      <c r="Q56" s="34">
        <f t="shared" si="17"/>
        <v>66</v>
      </c>
      <c r="R56" s="286" t="str">
        <f>IFERROR(VLOOKUP($O40&amp;Q56,downloads!$A$1:$E$1000,2,FALSE),"")</f>
        <v/>
      </c>
      <c r="S56" s="36" t="str">
        <f t="shared" si="14"/>
        <v>Stock</v>
      </c>
      <c r="T56" s="233"/>
      <c r="U56" s="265"/>
    </row>
    <row r="57" spans="1:21" ht="15.75" x14ac:dyDescent="0.35">
      <c r="B57" s="62">
        <v>16</v>
      </c>
      <c r="C57" s="34" t="str">
        <f t="shared" si="15"/>
        <v>--</v>
      </c>
      <c r="D57" s="286" t="str">
        <f>IFERROR(VLOOKUP($A40&amp;C57,downloads!$A$1:$E$1000,2,FALSE),"")</f>
        <v/>
      </c>
      <c r="E57" s="36" t="str">
        <f t="shared" si="12"/>
        <v>-</v>
      </c>
      <c r="F57" s="233"/>
      <c r="I57" s="62">
        <v>16</v>
      </c>
      <c r="J57" s="34" t="str">
        <f t="shared" si="16"/>
        <v>--</v>
      </c>
      <c r="K57" s="286" t="str">
        <f>IFERROR(VLOOKUP($H40&amp;J57,downloads!$A$1:$E$1000,2,FALSE),"")</f>
        <v/>
      </c>
      <c r="L57" s="36" t="str">
        <f t="shared" si="13"/>
        <v>-</v>
      </c>
      <c r="M57" s="233"/>
      <c r="P57" s="62">
        <v>16</v>
      </c>
      <c r="Q57" s="34" t="str">
        <f t="shared" si="17"/>
        <v>--</v>
      </c>
      <c r="R57" s="286" t="str">
        <f>IFERROR(VLOOKUP($O40&amp;Q57,downloads!$A$1:$E$1000,2,FALSE),"")</f>
        <v/>
      </c>
      <c r="S57" s="36" t="str">
        <f t="shared" si="14"/>
        <v>-</v>
      </c>
      <c r="T57" s="233"/>
      <c r="U57" s="265"/>
    </row>
    <row r="59" spans="1:21" x14ac:dyDescent="0.3">
      <c r="A59" s="32" t="str">
        <f>IFERROR(IF(LEFT(MatchDay!$C$2,1)="L","L"&amp;A60,"U"&amp;A60),"")</f>
        <v>LFD07</v>
      </c>
      <c r="B59" s="94" t="str">
        <f>IFERROR(VLOOKUP(A59,Timetables!$A:$G,3,FALSE)&amp;" "&amp;VLOOKUP(A59,Timetables!$A:$G,2,FALSE),"")</f>
        <v>U15 Boys Javelin</v>
      </c>
      <c r="H59" s="32" t="str">
        <f>IFERROR(IF(LEFT(MatchDay!$C$2,1)="L","L"&amp;H60,"U"&amp;H60),"")</f>
        <v>LFD08</v>
      </c>
      <c r="I59" s="94" t="str">
        <f>IFERROR(VLOOKUP(H59,Timetables!$A:$G,3,FALSE)&amp;" "&amp;VLOOKUP(H59,Timetables!$A:$G,2,FALSE),"")</f>
        <v>U15 Girls Javelin</v>
      </c>
      <c r="M59" s="63"/>
      <c r="O59" s="32" t="str">
        <f>IFERROR(IF(LEFT(MatchDay!$C$2,1)="L","L"&amp;O60,"U"&amp;O60),"")</f>
        <v>LFW04</v>
      </c>
      <c r="P59" s="94" t="str">
        <f>IFERROR(VLOOKUP(O59,Timetables!$A:$G,3,FALSE)&amp;" "&amp;VLOOKUP(O59,Timetables!$A:$G,2,FALSE),"")</f>
        <v>U15 Boys Long Jump</v>
      </c>
      <c r="T59" s="63"/>
    </row>
    <row r="60" spans="1:21" x14ac:dyDescent="0.3">
      <c r="A60" s="33" t="s">
        <v>210</v>
      </c>
      <c r="B60" s="62" t="s">
        <v>122</v>
      </c>
      <c r="C60" s="62" t="s">
        <v>118</v>
      </c>
      <c r="D60" s="59" t="s">
        <v>174</v>
      </c>
      <c r="E60" s="59" t="s">
        <v>175</v>
      </c>
      <c r="F60" s="63" t="s">
        <v>176</v>
      </c>
      <c r="H60" s="33" t="s">
        <v>211</v>
      </c>
      <c r="I60" s="62" t="s">
        <v>122</v>
      </c>
      <c r="J60" s="62" t="s">
        <v>118</v>
      </c>
      <c r="K60" s="59" t="s">
        <v>174</v>
      </c>
      <c r="L60" s="59" t="s">
        <v>175</v>
      </c>
      <c r="M60" s="63" t="s">
        <v>176</v>
      </c>
      <c r="O60" s="33" t="s">
        <v>251</v>
      </c>
      <c r="P60" s="62" t="s">
        <v>122</v>
      </c>
      <c r="Q60" s="62" t="s">
        <v>118</v>
      </c>
      <c r="R60" s="59" t="s">
        <v>174</v>
      </c>
      <c r="S60" s="59" t="s">
        <v>175</v>
      </c>
      <c r="T60" s="63" t="s">
        <v>176</v>
      </c>
      <c r="U60" s="62" t="s">
        <v>206</v>
      </c>
    </row>
    <row r="61" spans="1:21" ht="15.75" x14ac:dyDescent="0.35">
      <c r="A61" s="62" t="s">
        <v>171</v>
      </c>
      <c r="B61" s="62">
        <v>1</v>
      </c>
      <c r="C61" s="34">
        <f>IFERROR(IF(B61&gt;MatchDay!$U$2,"-",VLOOKUP(A59,timetables,MatchDay!$U$4,FALSE)),0)</f>
        <v>1</v>
      </c>
      <c r="D61" s="286" t="str">
        <f>IFERROR(VLOOKUP($A59&amp;C61,downloads!$A$1:$E$1000,2,FALSE),"")</f>
        <v>Jack TILLEY</v>
      </c>
      <c r="E61" s="36" t="str">
        <f t="shared" ref="E61:E76" si="18">IFERROR(VLOOKUP(C61,teamlookup,5,FALSE),"-")</f>
        <v>C&amp;N</v>
      </c>
      <c r="F61" s="233">
        <v>19.510000000000002</v>
      </c>
      <c r="H61" s="62" t="s">
        <v>169</v>
      </c>
      <c r="I61" s="62">
        <v>1</v>
      </c>
      <c r="J61" s="34">
        <f>IFERROR(IF(I61&gt;MatchDay!$U$2,"-",VLOOKUP(H59,timetables,MatchDay!$U$4,FALSE)),0)</f>
        <v>1</v>
      </c>
      <c r="K61" s="286" t="str">
        <f>IFERROR(VLOOKUP($H59&amp;J61,downloads!$A$1:$E$1000,2,FALSE),"")</f>
        <v>Elisha CARTER</v>
      </c>
      <c r="L61" s="36" t="str">
        <f t="shared" ref="L61:L76" si="19">IFERROR(VLOOKUP(J61,teamlookup,5,FALSE),"-")</f>
        <v>C&amp;N</v>
      </c>
      <c r="M61" s="233">
        <v>19.98</v>
      </c>
      <c r="O61" s="62" t="s">
        <v>159</v>
      </c>
      <c r="P61" s="62">
        <v>1</v>
      </c>
      <c r="Q61" s="34">
        <f>IFERROR(IF(P61&gt;MatchDay!$U$2,"-",VLOOKUP(O59,timetables,MatchDay!$U$4,FALSE)),0)</f>
        <v>4</v>
      </c>
      <c r="R61" s="286" t="str">
        <f>IFERROR(VLOOKUP($O59&amp;Q61,downloads!$A$1:$E$1000,2,FALSE),"")</f>
        <v>Thomas WOOD</v>
      </c>
      <c r="S61" s="36" t="str">
        <f t="shared" ref="S61:S76" si="20">IFERROR(VLOOKUP(Q61,teamlookup,5,FALSE),"-")</f>
        <v>Macc</v>
      </c>
      <c r="T61" s="233">
        <v>4.0199999999999996</v>
      </c>
      <c r="U61" s="265"/>
    </row>
    <row r="62" spans="1:21" ht="15.75" x14ac:dyDescent="0.35">
      <c r="A62" s="62">
        <v>61</v>
      </c>
      <c r="B62" s="62">
        <v>2</v>
      </c>
      <c r="C62" s="34">
        <f>IFERROR(IF(B62&gt;MatchDay!$U$2,"-",VLOOKUP(A59,timetables,MatchDay!$U$4+1,FALSE)),0)</f>
        <v>2</v>
      </c>
      <c r="D62" s="286" t="str">
        <f>IFERROR(VLOOKUP($A59&amp;C62,downloads!$A$1:$E$1000,2,FALSE),"")</f>
        <v>Sebastian STEWART</v>
      </c>
      <c r="E62" s="36" t="str">
        <f t="shared" si="18"/>
        <v>ECHT</v>
      </c>
      <c r="F62" s="233">
        <v>14.47</v>
      </c>
      <c r="H62" s="62">
        <f>A62</f>
        <v>61</v>
      </c>
      <c r="I62" s="62">
        <v>2</v>
      </c>
      <c r="J62" s="34">
        <f>IFERROR(IF(I62&gt;MatchDay!$U$2,"-",VLOOKUP(H59,timetables,MatchDay!$U$4+1,FALSE)),0)</f>
        <v>2</v>
      </c>
      <c r="K62" s="286" t="str">
        <f>IFERROR(VLOOKUP($H59&amp;J62,downloads!$A$1:$E$1000,2,FALSE),"")</f>
        <v>Anna ROOKE</v>
      </c>
      <c r="L62" s="36" t="str">
        <f t="shared" si="19"/>
        <v>ECHT</v>
      </c>
      <c r="M62" s="233">
        <v>15.6</v>
      </c>
      <c r="O62" s="62">
        <f>A62</f>
        <v>61</v>
      </c>
      <c r="P62" s="62">
        <v>2</v>
      </c>
      <c r="Q62" s="34">
        <f>IFERROR(IF(P62&gt;MatchDay!$U$2,"-",VLOOKUP(O59,timetables,MatchDay!$U$4+1,FALSE)),0)</f>
        <v>2</v>
      </c>
      <c r="R62" s="286" t="str">
        <f>IFERROR(VLOOKUP($O59&amp;Q62,downloads!$A$1:$E$1000,2,FALSE),"")</f>
        <v>Max ORMSTON</v>
      </c>
      <c r="S62" s="36" t="str">
        <f t="shared" si="20"/>
        <v>ECHT</v>
      </c>
      <c r="T62" s="233">
        <v>4.95</v>
      </c>
      <c r="U62" s="265"/>
    </row>
    <row r="63" spans="1:21" ht="15.75" x14ac:dyDescent="0.35">
      <c r="A63" s="138"/>
      <c r="B63" s="62">
        <v>3</v>
      </c>
      <c r="C63" s="34">
        <f>IFERROR(IF(B63&gt;MatchDay!$U$2,"-",VLOOKUP(A59,timetables,MatchDay!$U$4+2,FALSE)),0)</f>
        <v>6</v>
      </c>
      <c r="D63" s="286" t="str">
        <f>IFERROR(VLOOKUP($A59&amp;C63,downloads!$A$1:$E$1000,2,FALSE),"")</f>
        <v>Jacob HARWOOD-BRETNALL</v>
      </c>
      <c r="E63" s="36" t="str">
        <f t="shared" si="18"/>
        <v>Stock</v>
      </c>
      <c r="F63" s="233">
        <v>17.87</v>
      </c>
      <c r="H63" s="138"/>
      <c r="I63" s="62">
        <v>3</v>
      </c>
      <c r="J63" s="34">
        <f>IFERROR(IF(I63&gt;MatchDay!$U$2,"-",VLOOKUP(H59,timetables,MatchDay!$U$4+2,FALSE)),0)</f>
        <v>6</v>
      </c>
      <c r="K63" s="286" t="str">
        <f>IFERROR(VLOOKUP($H59&amp;J63,downloads!$A$1:$E$1000,2,FALSE),"")</f>
        <v>Molly MILLS</v>
      </c>
      <c r="L63" s="36" t="str">
        <f t="shared" si="19"/>
        <v>Stock</v>
      </c>
      <c r="M63" s="262">
        <v>30.06</v>
      </c>
      <c r="O63" s="138"/>
      <c r="P63" s="62">
        <v>3</v>
      </c>
      <c r="Q63" s="34">
        <f>IFERROR(IF(P63&gt;MatchDay!$U$2,"-",VLOOKUP(O59,timetables,MatchDay!$U$4+2,FALSE)),0)</f>
        <v>3</v>
      </c>
      <c r="R63" s="286" t="str">
        <f>IFERROR(VLOOKUP($O59&amp;Q63,downloads!$A$1:$E$1000,2,FALSE),"")</f>
        <v>Hugo JAMES</v>
      </c>
      <c r="S63" s="36" t="str">
        <f t="shared" si="20"/>
        <v>Leigh</v>
      </c>
      <c r="T63" s="233">
        <v>4.66</v>
      </c>
      <c r="U63" s="265"/>
    </row>
    <row r="64" spans="1:21" ht="15.75" x14ac:dyDescent="0.35">
      <c r="B64" s="62">
        <v>4</v>
      </c>
      <c r="C64" s="34">
        <f>IFERROR(IF(B64&gt;MatchDay!$U$2,"-",VLOOKUP(A59,timetables,MatchDay!$U$4+3,FALSE)),0)</f>
        <v>7</v>
      </c>
      <c r="D64" s="286" t="str">
        <f>IFERROR(VLOOKUP($A59&amp;C64,downloads!$A$1:$E$1000,2,FALSE),"")</f>
        <v>Joshua BOURNE</v>
      </c>
      <c r="E64" s="36" t="str">
        <f t="shared" si="18"/>
        <v>Wigan</v>
      </c>
      <c r="F64" s="262" t="s">
        <v>1812</v>
      </c>
      <c r="I64" s="62">
        <v>4</v>
      </c>
      <c r="J64" s="34">
        <f>IFERROR(IF(I64&gt;MatchDay!$U$2,"-",VLOOKUP(H59,timetables,MatchDay!$U$4+3,FALSE)),0)</f>
        <v>7</v>
      </c>
      <c r="K64" s="286" t="str">
        <f>IFERROR(VLOOKUP($H59&amp;J64,downloads!$A$1:$E$1000,2,FALSE),"")</f>
        <v>Niamh JOHNSON</v>
      </c>
      <c r="L64" s="36" t="str">
        <f t="shared" si="19"/>
        <v>Wigan</v>
      </c>
      <c r="M64" s="262" t="s">
        <v>1812</v>
      </c>
      <c r="P64" s="62">
        <v>4</v>
      </c>
      <c r="Q64" s="34">
        <f>IFERROR(IF(P64&gt;MatchDay!$U$2,"-",VLOOKUP(O59,timetables,MatchDay!$U$4+3,FALSE)),0)</f>
        <v>1</v>
      </c>
      <c r="R64" s="286" t="str">
        <f>IFERROR(VLOOKUP($O59&amp;Q64,downloads!$A$1:$E$1000,2,FALSE),"")</f>
        <v>Isaac PICKERING</v>
      </c>
      <c r="S64" s="36" t="str">
        <f t="shared" si="20"/>
        <v>C&amp;N</v>
      </c>
      <c r="T64" s="233">
        <v>4.63</v>
      </c>
      <c r="U64" s="265"/>
    </row>
    <row r="65" spans="1:21" ht="15.75" x14ac:dyDescent="0.35">
      <c r="B65" s="62">
        <v>5</v>
      </c>
      <c r="C65" s="34">
        <f>IFERROR(IF(B65&gt;MatchDay!$U$2,"-",VLOOKUP(A59,timetables,MatchDay!$U$4+4,FALSE)),0)</f>
        <v>3</v>
      </c>
      <c r="D65" s="286" t="str">
        <f>IFERROR(VLOOKUP($A59&amp;C65,downloads!$A$1:$E$1000,2,FALSE),"")</f>
        <v>Oliver SANDERSON</v>
      </c>
      <c r="E65" s="36" t="str">
        <f t="shared" si="18"/>
        <v>Leigh</v>
      </c>
      <c r="F65" s="262">
        <v>29.79</v>
      </c>
      <c r="I65" s="62">
        <v>5</v>
      </c>
      <c r="J65" s="34">
        <f>IFERROR(IF(I65&gt;MatchDay!$U$2,"-",VLOOKUP(H59,timetables,MatchDay!$U$4+4,FALSE)),0)</f>
        <v>3</v>
      </c>
      <c r="K65" s="286" t="str">
        <f>IFERROR(VLOOKUP($H59&amp;J65,downloads!$A$1:$E$1000,2,FALSE),"")</f>
        <v/>
      </c>
      <c r="L65" s="36" t="str">
        <f t="shared" si="19"/>
        <v>Leigh</v>
      </c>
      <c r="M65" s="233"/>
      <c r="P65" s="62">
        <v>5</v>
      </c>
      <c r="Q65" s="34">
        <f>IFERROR(IF(P65&gt;MatchDay!$U$2,"-",VLOOKUP(O59,timetables,MatchDay!$U$4+4,FALSE)),0)</f>
        <v>7</v>
      </c>
      <c r="R65" s="286" t="str">
        <f>IFERROR(VLOOKUP($O59&amp;Q65,downloads!$A$1:$E$1000,2,FALSE),"")</f>
        <v>Joshua ROBERTS</v>
      </c>
      <c r="S65" s="36" t="str">
        <f t="shared" si="20"/>
        <v>Wigan</v>
      </c>
      <c r="T65" s="233">
        <v>4.3099999999999996</v>
      </c>
      <c r="U65" s="265"/>
    </row>
    <row r="66" spans="1:21" ht="15.75" x14ac:dyDescent="0.35">
      <c r="B66" s="62">
        <v>6</v>
      </c>
      <c r="C66" s="34">
        <f>IFERROR(IF(B66&gt;MatchDay!$U$2,"-",VLOOKUP(A59,timetables,MatchDay!$U$4+5,FALSE)),0)</f>
        <v>4</v>
      </c>
      <c r="D66" s="286" t="str">
        <f>IFERROR(VLOOKUP($A59&amp;C66,downloads!$A$1:$E$1000,2,FALSE),"")</f>
        <v>Tristan LAMPRECHT</v>
      </c>
      <c r="E66" s="36" t="str">
        <f t="shared" si="18"/>
        <v>Macc</v>
      </c>
      <c r="F66" s="233">
        <v>37.17</v>
      </c>
      <c r="I66" s="62">
        <v>6</v>
      </c>
      <c r="J66" s="34">
        <f>IFERROR(IF(I66&gt;MatchDay!$U$2,"-",VLOOKUP(H59,timetables,MatchDay!$U$4+5,FALSE)),0)</f>
        <v>4</v>
      </c>
      <c r="K66" s="286" t="str">
        <f>IFERROR(VLOOKUP($H59&amp;J66,downloads!$A$1:$E$1000,2,FALSE),"")</f>
        <v/>
      </c>
      <c r="L66" s="36" t="str">
        <f t="shared" si="19"/>
        <v>Macc</v>
      </c>
      <c r="M66" s="262"/>
      <c r="P66" s="62">
        <v>6</v>
      </c>
      <c r="Q66" s="34">
        <f>IFERROR(IF(P66&gt;MatchDay!$U$2,"-",VLOOKUP(O59,timetables,MatchDay!$U$4+5,FALSE)),0)</f>
        <v>5</v>
      </c>
      <c r="R66" s="286" t="str">
        <f>IFERROR(VLOOKUP($O59&amp;Q66,downloads!$A$1:$E$1000,2,FALSE),"")</f>
        <v>Morgan JONES</v>
      </c>
      <c r="S66" s="36" t="str">
        <f t="shared" si="20"/>
        <v>Menai</v>
      </c>
      <c r="T66" s="233">
        <v>4.75</v>
      </c>
      <c r="U66" s="265"/>
    </row>
    <row r="67" spans="1:21" ht="15" customHeight="1" x14ac:dyDescent="0.35">
      <c r="A67" s="120"/>
      <c r="B67" s="62">
        <v>7</v>
      </c>
      <c r="C67" s="34">
        <f>IFERROR(IF(B67&gt;MatchDay!$U$2,"-",VLOOKUP(A59,timetables,MatchDay!$U$4+6,FALSE)),0)</f>
        <v>5</v>
      </c>
      <c r="D67" s="286" t="str">
        <f>IFERROR(VLOOKUP($A59&amp;C67,downloads!$A$1:$E$1000,2,FALSE),"")</f>
        <v>Alex BAYNHAM</v>
      </c>
      <c r="E67" s="36" t="str">
        <f t="shared" si="18"/>
        <v>Menai</v>
      </c>
      <c r="F67" s="233">
        <v>7.28</v>
      </c>
      <c r="H67" s="120"/>
      <c r="I67" s="62">
        <v>7</v>
      </c>
      <c r="J67" s="34">
        <f>IFERROR(IF(I67&gt;MatchDay!$U$2,"-",VLOOKUP(H59,timetables,MatchDay!$U$4+6,FALSE)),0)</f>
        <v>5</v>
      </c>
      <c r="K67" s="286" t="str">
        <f>IFERROR(VLOOKUP($H59&amp;J67,downloads!$A$1:$E$1000,2,FALSE),"")</f>
        <v>Erin JACOBS</v>
      </c>
      <c r="L67" s="36" t="str">
        <f t="shared" si="19"/>
        <v>Menai</v>
      </c>
      <c r="M67" s="233">
        <v>13.77</v>
      </c>
      <c r="O67" s="120"/>
      <c r="P67" s="62">
        <v>7</v>
      </c>
      <c r="Q67" s="34">
        <f>IFERROR(IF(P67&gt;MatchDay!$U$2,"-",VLOOKUP(O59,timetables,MatchDay!$U$4+6,FALSE)),0)</f>
        <v>6</v>
      </c>
      <c r="R67" s="286" t="str">
        <f>IFERROR(VLOOKUP($O59&amp;Q67,downloads!$A$1:$E$1000,2,FALSE),"")</f>
        <v>Quaid SIN</v>
      </c>
      <c r="S67" s="36" t="str">
        <f t="shared" si="20"/>
        <v>Stock</v>
      </c>
      <c r="T67" s="233">
        <v>4.3600000000000003</v>
      </c>
      <c r="U67" s="265"/>
    </row>
    <row r="68" spans="1:21" ht="15.75" x14ac:dyDescent="0.35">
      <c r="B68" s="62">
        <v>8</v>
      </c>
      <c r="C68" s="34" t="str">
        <f>IFERROR(IF(B68&gt;MatchDay!$U$2,"-",VLOOKUP(A59,timetables,MatchDay!$U$4+7,FALSE)),0)</f>
        <v>-</v>
      </c>
      <c r="D68" s="286" t="str">
        <f>IFERROR(VLOOKUP($A59&amp;C68,downloads!$A$1:$E$1000,2,FALSE),"")</f>
        <v/>
      </c>
      <c r="E68" s="36" t="str">
        <f t="shared" si="18"/>
        <v/>
      </c>
      <c r="F68" s="233"/>
      <c r="I68" s="62">
        <v>8</v>
      </c>
      <c r="J68" s="34" t="str">
        <f>IFERROR(IF(I68&gt;MatchDay!$U$2,"-",VLOOKUP(H59,timetables,MatchDay!$U$4+7,FALSE)),0)</f>
        <v>-</v>
      </c>
      <c r="K68" s="286" t="str">
        <f>IFERROR(VLOOKUP($H59&amp;J68,downloads!$A$1:$E$1000,2,FALSE),"")</f>
        <v/>
      </c>
      <c r="L68" s="36" t="str">
        <f t="shared" si="19"/>
        <v/>
      </c>
      <c r="M68" s="233"/>
      <c r="P68" s="62">
        <v>8</v>
      </c>
      <c r="Q68" s="34" t="str">
        <f>IFERROR(IF(P68&gt;MatchDay!$U$2,"-",VLOOKUP(O59,timetables,MatchDay!$U$4+7,FALSE)),0)</f>
        <v>-</v>
      </c>
      <c r="R68" s="286" t="str">
        <f>IFERROR(VLOOKUP($O59&amp;Q68,downloads!$A$1:$E$1000,2,FALSE),"")</f>
        <v/>
      </c>
      <c r="S68" s="36" t="str">
        <f t="shared" si="20"/>
        <v/>
      </c>
      <c r="T68" s="233"/>
      <c r="U68" s="265"/>
    </row>
    <row r="69" spans="1:21" ht="15.75" x14ac:dyDescent="0.35">
      <c r="B69" s="62">
        <v>9</v>
      </c>
      <c r="C69" s="34">
        <f>IFERROR(IF(T(C61)="",C61*11,C61&amp;C61),"-")</f>
        <v>11</v>
      </c>
      <c r="D69" s="286" t="str">
        <f>IFERROR(VLOOKUP($A59&amp;C69,downloads!$A$1:$E$1000,2,FALSE),"")</f>
        <v>Saif AL-BAYATTI</v>
      </c>
      <c r="E69" s="36" t="str">
        <f t="shared" si="18"/>
        <v>C&amp;N</v>
      </c>
      <c r="F69" s="262">
        <v>15.71</v>
      </c>
      <c r="I69" s="62">
        <v>9</v>
      </c>
      <c r="J69" s="34">
        <f>IFERROR(IF(T(J61)="",J61*11,J61&amp;J61),"-")</f>
        <v>11</v>
      </c>
      <c r="K69" s="286" t="str">
        <f>IFERROR(VLOOKUP($H59&amp;J69,downloads!$A$1:$E$1000,2,FALSE),"")</f>
        <v>Lucy HARDING</v>
      </c>
      <c r="L69" s="36" t="str">
        <f t="shared" si="19"/>
        <v>C&amp;N</v>
      </c>
      <c r="M69" s="233">
        <v>21.79</v>
      </c>
      <c r="P69" s="62">
        <v>9</v>
      </c>
      <c r="Q69" s="34">
        <f>IFERROR(IF(T(Q61)="",Q61*11,Q61&amp;Q61),"-")</f>
        <v>44</v>
      </c>
      <c r="R69" s="286" t="str">
        <f>IFERROR(VLOOKUP($O59&amp;Q69,downloads!$A$1:$E$1000,2,FALSE),"")</f>
        <v>Will HAMMOND</v>
      </c>
      <c r="S69" s="36" t="str">
        <f t="shared" si="20"/>
        <v>Macc</v>
      </c>
      <c r="T69" s="233">
        <v>4.07</v>
      </c>
      <c r="U69" s="265"/>
    </row>
    <row r="70" spans="1:21" ht="15.75" x14ac:dyDescent="0.35">
      <c r="B70" s="62">
        <v>10</v>
      </c>
      <c r="C70" s="34">
        <f t="shared" ref="C70:C76" si="21">IFERROR(IF(T(C62)="",C62*11,C62&amp;C62),"-")</f>
        <v>22</v>
      </c>
      <c r="D70" s="286" t="str">
        <f>IFERROR(VLOOKUP($A59&amp;C70,downloads!$A$1:$E$1000,2,FALSE),"")</f>
        <v/>
      </c>
      <c r="E70" s="36" t="str">
        <f t="shared" si="18"/>
        <v>ECHT</v>
      </c>
      <c r="F70" s="262"/>
      <c r="I70" s="62">
        <v>10</v>
      </c>
      <c r="J70" s="34">
        <f t="shared" ref="J70:J76" si="22">IFERROR(IF(T(J62)="",J62*11,J62&amp;J62),"-")</f>
        <v>22</v>
      </c>
      <c r="K70" s="286" t="str">
        <f>IFERROR(VLOOKUP($H59&amp;J70,downloads!$A$1:$E$1000,2,FALSE),"")</f>
        <v>Sophia GUSH</v>
      </c>
      <c r="L70" s="36" t="str">
        <f t="shared" si="19"/>
        <v>ECHT</v>
      </c>
      <c r="M70" s="233">
        <v>13.25</v>
      </c>
      <c r="P70" s="62">
        <v>10</v>
      </c>
      <c r="Q70" s="34">
        <f t="shared" ref="Q70:Q76" si="23">IFERROR(IF(T(Q62)="",Q62*11,Q62&amp;Q62),"-")</f>
        <v>22</v>
      </c>
      <c r="R70" s="286" t="str">
        <f>IFERROR(VLOOKUP($O59&amp;Q70,downloads!$A$1:$E$1000,2,FALSE),"")</f>
        <v>Alfie MILLINGTON</v>
      </c>
      <c r="S70" s="36" t="str">
        <f t="shared" si="20"/>
        <v>ECHT</v>
      </c>
      <c r="T70" s="233">
        <v>3</v>
      </c>
      <c r="U70" s="265"/>
    </row>
    <row r="71" spans="1:21" ht="15.75" x14ac:dyDescent="0.35">
      <c r="B71" s="62">
        <v>11</v>
      </c>
      <c r="C71" s="34">
        <f t="shared" si="21"/>
        <v>66</v>
      </c>
      <c r="D71" s="286" t="str">
        <f>IFERROR(VLOOKUP($A59&amp;C71,downloads!$A$1:$E$1000,2,FALSE),"")</f>
        <v>Arthur WOLSTENHOLME</v>
      </c>
      <c r="E71" s="36" t="str">
        <f t="shared" si="18"/>
        <v>Stock</v>
      </c>
      <c r="F71" s="233">
        <v>12.48</v>
      </c>
      <c r="I71" s="62">
        <v>11</v>
      </c>
      <c r="J71" s="34">
        <f t="shared" si="22"/>
        <v>66</v>
      </c>
      <c r="K71" s="286" t="str">
        <f>IFERROR(VLOOKUP($H59&amp;J71,downloads!$A$1:$E$1000,2,FALSE),"")</f>
        <v/>
      </c>
      <c r="L71" s="36" t="str">
        <f t="shared" si="19"/>
        <v>Stock</v>
      </c>
      <c r="M71" s="233"/>
      <c r="P71" s="62">
        <v>11</v>
      </c>
      <c r="Q71" s="34">
        <f t="shared" si="23"/>
        <v>33</v>
      </c>
      <c r="R71" s="286" t="str">
        <f>IFERROR(VLOOKUP($O59&amp;Q71,downloads!$A$1:$E$1000,2,FALSE),"")</f>
        <v>Ben JAYATILLEKE</v>
      </c>
      <c r="S71" s="36" t="str">
        <f t="shared" si="20"/>
        <v>Leigh</v>
      </c>
      <c r="T71" s="233">
        <v>3.4</v>
      </c>
      <c r="U71" s="265"/>
    </row>
    <row r="72" spans="1:21" ht="15.75" x14ac:dyDescent="0.35">
      <c r="B72" s="62">
        <v>12</v>
      </c>
      <c r="C72" s="34">
        <f t="shared" si="21"/>
        <v>77</v>
      </c>
      <c r="D72" s="286" t="str">
        <f>IFERROR(VLOOKUP($A59&amp;C72,downloads!$A$1:$E$1000,2,FALSE),"")</f>
        <v/>
      </c>
      <c r="E72" s="36" t="str">
        <f t="shared" si="18"/>
        <v>Wigan</v>
      </c>
      <c r="F72" s="233"/>
      <c r="I72" s="62">
        <v>12</v>
      </c>
      <c r="J72" s="34">
        <f t="shared" si="22"/>
        <v>77</v>
      </c>
      <c r="K72" s="286" t="str">
        <f>IFERROR(VLOOKUP($H59&amp;J72,downloads!$A$1:$E$1000,2,FALSE),"")</f>
        <v>Esme HARRIS</v>
      </c>
      <c r="L72" s="36" t="str">
        <f t="shared" si="19"/>
        <v>Wigan</v>
      </c>
      <c r="M72" s="233">
        <v>11.61</v>
      </c>
      <c r="P72" s="62">
        <v>12</v>
      </c>
      <c r="Q72" s="34">
        <f t="shared" si="23"/>
        <v>11</v>
      </c>
      <c r="R72" s="286" t="str">
        <f>IFERROR(VLOOKUP($O59&amp;Q72,downloads!$A$1:$E$1000,2,FALSE),"")</f>
        <v>William CATTELL</v>
      </c>
      <c r="S72" s="36" t="str">
        <f t="shared" si="20"/>
        <v>C&amp;N</v>
      </c>
      <c r="T72" s="233">
        <v>4.5</v>
      </c>
      <c r="U72" s="265"/>
    </row>
    <row r="73" spans="1:21" ht="15.75" x14ac:dyDescent="0.35">
      <c r="B73" s="62">
        <v>13</v>
      </c>
      <c r="C73" s="34">
        <f t="shared" si="21"/>
        <v>33</v>
      </c>
      <c r="D73" s="286" t="str">
        <f>IFERROR(VLOOKUP($A59&amp;C73,downloads!$A$1:$E$1000,2,FALSE),"")</f>
        <v/>
      </c>
      <c r="E73" s="36" t="str">
        <f t="shared" si="18"/>
        <v>Leigh</v>
      </c>
      <c r="F73" s="233"/>
      <c r="I73" s="62">
        <v>13</v>
      </c>
      <c r="J73" s="34">
        <f t="shared" si="22"/>
        <v>33</v>
      </c>
      <c r="K73" s="286" t="str">
        <f>IFERROR(VLOOKUP($H59&amp;J73,downloads!$A$1:$E$1000,2,FALSE),"")</f>
        <v/>
      </c>
      <c r="L73" s="36" t="str">
        <f t="shared" si="19"/>
        <v>Leigh</v>
      </c>
      <c r="M73" s="233"/>
      <c r="P73" s="62">
        <v>13</v>
      </c>
      <c r="Q73" s="34">
        <f t="shared" si="23"/>
        <v>77</v>
      </c>
      <c r="R73" s="286" t="str">
        <f>IFERROR(VLOOKUP($O59&amp;Q73,downloads!$A$1:$E$1000,2,FALSE),"")</f>
        <v>Joshua BOURNE</v>
      </c>
      <c r="S73" s="36" t="str">
        <f t="shared" si="20"/>
        <v>Wigan</v>
      </c>
      <c r="T73" s="233">
        <v>3.83</v>
      </c>
      <c r="U73" s="265"/>
    </row>
    <row r="74" spans="1:21" ht="15.75" x14ac:dyDescent="0.35">
      <c r="B74" s="62">
        <v>14</v>
      </c>
      <c r="C74" s="34">
        <f t="shared" si="21"/>
        <v>44</v>
      </c>
      <c r="D74" s="286" t="str">
        <f>IFERROR(VLOOKUP($A59&amp;C74,downloads!$A$1:$E$1000,2,FALSE),"")</f>
        <v/>
      </c>
      <c r="E74" s="36" t="str">
        <f t="shared" si="18"/>
        <v>Macc</v>
      </c>
      <c r="F74" s="233"/>
      <c r="I74" s="62">
        <v>14</v>
      </c>
      <c r="J74" s="34">
        <f t="shared" si="22"/>
        <v>44</v>
      </c>
      <c r="K74" s="286" t="str">
        <f>IFERROR(VLOOKUP($H59&amp;J74,downloads!$A$1:$E$1000,2,FALSE),"")</f>
        <v/>
      </c>
      <c r="L74" s="36" t="str">
        <f t="shared" si="19"/>
        <v>Macc</v>
      </c>
      <c r="M74" s="233"/>
      <c r="P74" s="62">
        <v>14</v>
      </c>
      <c r="Q74" s="34">
        <f t="shared" si="23"/>
        <v>55</v>
      </c>
      <c r="R74" s="286" t="str">
        <f>IFERROR(VLOOKUP($O59&amp;Q74,downloads!$A$1:$E$1000,2,FALSE),"")</f>
        <v>Owain WILLIAMS</v>
      </c>
      <c r="S74" s="36" t="str">
        <f t="shared" si="20"/>
        <v>Menai</v>
      </c>
      <c r="T74" s="233">
        <v>3.42</v>
      </c>
      <c r="U74" s="265"/>
    </row>
    <row r="75" spans="1:21" ht="15.75" x14ac:dyDescent="0.35">
      <c r="B75" s="62">
        <v>15</v>
      </c>
      <c r="C75" s="34">
        <f t="shared" si="21"/>
        <v>55</v>
      </c>
      <c r="D75" s="286" t="str">
        <f>IFERROR(VLOOKUP($A59&amp;C75,downloads!$A$1:$E$1000,2,FALSE),"")</f>
        <v/>
      </c>
      <c r="E75" s="36" t="str">
        <f t="shared" si="18"/>
        <v>Menai</v>
      </c>
      <c r="F75" s="233"/>
      <c r="I75" s="62">
        <v>15</v>
      </c>
      <c r="J75" s="34">
        <f t="shared" si="22"/>
        <v>55</v>
      </c>
      <c r="K75" s="286" t="str">
        <f>IFERROR(VLOOKUP($H59&amp;J75,downloads!$A$1:$E$1000,2,FALSE),"")</f>
        <v>Elliw MOSS</v>
      </c>
      <c r="L75" s="36" t="str">
        <f t="shared" si="19"/>
        <v>Menai</v>
      </c>
      <c r="M75" s="233">
        <v>9.5500000000000007</v>
      </c>
      <c r="P75" s="62">
        <v>15</v>
      </c>
      <c r="Q75" s="34">
        <f t="shared" si="23"/>
        <v>66</v>
      </c>
      <c r="R75" s="286" t="str">
        <f>IFERROR(VLOOKUP($O59&amp;Q75,downloads!$A$1:$E$1000,2,FALSE),"")</f>
        <v>Campbell JOHNSON</v>
      </c>
      <c r="S75" s="36" t="str">
        <f t="shared" si="20"/>
        <v>Stock</v>
      </c>
      <c r="T75" s="233">
        <v>4.24</v>
      </c>
      <c r="U75" s="265"/>
    </row>
    <row r="76" spans="1:21" ht="15.75" x14ac:dyDescent="0.35">
      <c r="B76" s="62">
        <v>16</v>
      </c>
      <c r="C76" s="34" t="str">
        <f t="shared" si="21"/>
        <v>--</v>
      </c>
      <c r="D76" s="286" t="str">
        <f>IFERROR(VLOOKUP($A59&amp;C76,downloads!$A$1:$E$1000,2,FALSE),"")</f>
        <v/>
      </c>
      <c r="E76" s="36" t="str">
        <f t="shared" si="18"/>
        <v>-</v>
      </c>
      <c r="F76" s="233"/>
      <c r="I76" s="62">
        <v>16</v>
      </c>
      <c r="J76" s="34" t="str">
        <f t="shared" si="22"/>
        <v>--</v>
      </c>
      <c r="K76" s="286" t="str">
        <f>IFERROR(VLOOKUP($H59&amp;J76,downloads!$A$1:$E$1000,2,FALSE),"")</f>
        <v/>
      </c>
      <c r="L76" s="36" t="str">
        <f t="shared" si="19"/>
        <v>-</v>
      </c>
      <c r="M76" s="233"/>
      <c r="P76" s="62">
        <v>16</v>
      </c>
      <c r="Q76" s="34" t="str">
        <f t="shared" si="23"/>
        <v>--</v>
      </c>
      <c r="R76" s="286" t="str">
        <f>IFERROR(VLOOKUP($O59&amp;Q76,downloads!$A$1:$E$1000,2,FALSE),"")</f>
        <v/>
      </c>
      <c r="S76" s="36" t="str">
        <f t="shared" si="20"/>
        <v>-</v>
      </c>
      <c r="T76" s="233"/>
      <c r="U76" s="265"/>
    </row>
    <row r="78" spans="1:21" x14ac:dyDescent="0.3">
      <c r="A78" s="32" t="str">
        <f>IFERROR(IF(LEFT(MatchDay!$C$2,1)="L","L"&amp;A79,"U"&amp;A79),"")</f>
        <v>LFD09</v>
      </c>
      <c r="B78" s="94" t="str">
        <f>IFERROR(VLOOKUP(A78,Timetables!$A:$G,3,FALSE)&amp;" "&amp;VLOOKUP(A78,Timetables!$A:$G,2,FALSE),"")</f>
        <v>U13 Boys Shot</v>
      </c>
      <c r="H78" s="32" t="str">
        <f>IFERROR(IF(LEFT(MatchDay!$C$2,1)="L","L"&amp;H79,"U"&amp;H79),"")</f>
        <v>LFD10</v>
      </c>
      <c r="I78" s="94" t="str">
        <f>IFERROR(VLOOKUP(H78,Timetables!$A:$G,3,FALSE)&amp;" "&amp;VLOOKUP(H78,Timetables!$A:$G,2,FALSE),"")</f>
        <v>U13 Boys Javelin</v>
      </c>
      <c r="M78" s="63"/>
      <c r="O78" s="32" t="str">
        <f>IFERROR(IF(LEFT(MatchDay!$C$2,1)="L","L"&amp;O79,"U"&amp;O79),"")</f>
        <v>LFW05</v>
      </c>
      <c r="P78" s="94" t="str">
        <f>IFERROR(VLOOKUP(O78,Timetables!$A:$G,3,FALSE)&amp;" "&amp;VLOOKUP(O78,Timetables!$A:$G,2,FALSE),"")</f>
        <v/>
      </c>
      <c r="T78" s="63"/>
    </row>
    <row r="79" spans="1:21" x14ac:dyDescent="0.3">
      <c r="A79" s="33" t="s">
        <v>212</v>
      </c>
      <c r="B79" s="62" t="s">
        <v>122</v>
      </c>
      <c r="C79" s="62" t="s">
        <v>118</v>
      </c>
      <c r="D79" s="59" t="s">
        <v>174</v>
      </c>
      <c r="E79" s="59" t="s">
        <v>175</v>
      </c>
      <c r="F79" s="63" t="s">
        <v>176</v>
      </c>
      <c r="H79" s="33" t="s">
        <v>213</v>
      </c>
      <c r="I79" s="62" t="s">
        <v>122</v>
      </c>
      <c r="J79" s="62" t="s">
        <v>118</v>
      </c>
      <c r="K79" s="59" t="s">
        <v>174</v>
      </c>
      <c r="L79" s="59" t="s">
        <v>175</v>
      </c>
      <c r="M79" s="63" t="s">
        <v>176</v>
      </c>
      <c r="O79" s="33" t="s">
        <v>252</v>
      </c>
      <c r="P79" s="62" t="s">
        <v>122</v>
      </c>
      <c r="Q79" s="62" t="s">
        <v>118</v>
      </c>
      <c r="R79" s="59" t="s">
        <v>174</v>
      </c>
      <c r="S79" s="59" t="s">
        <v>175</v>
      </c>
      <c r="T79" s="63" t="s">
        <v>176</v>
      </c>
      <c r="U79" s="62" t="s">
        <v>206</v>
      </c>
    </row>
    <row r="80" spans="1:21" ht="15.75" x14ac:dyDescent="0.35">
      <c r="A80" s="62" t="s">
        <v>171</v>
      </c>
      <c r="B80" s="62">
        <v>1</v>
      </c>
      <c r="C80" s="34">
        <f>IFERROR(IF(B80&gt;MatchDay!$U$2,"-",VLOOKUP(A78,timetables,MatchDay!$U$4,FALSE)),0)</f>
        <v>4</v>
      </c>
      <c r="D80" s="286" t="str">
        <f>IFERROR(VLOOKUP($A78&amp;C80,downloads!$A$1:$E$1000,2,FALSE),"")</f>
        <v>Samuel SAVAGE</v>
      </c>
      <c r="E80" s="36" t="str">
        <f t="shared" ref="E80:E95" si="24">IFERROR(VLOOKUP(C80,teamlookup,5,FALSE),"-")</f>
        <v>Macc</v>
      </c>
      <c r="F80" s="233">
        <v>9.2100000000000009</v>
      </c>
      <c r="H80" s="62" t="s">
        <v>169</v>
      </c>
      <c r="I80" s="62">
        <v>1</v>
      </c>
      <c r="J80" s="34">
        <f>IFERROR(IF(I80&gt;MatchDay!$U$2,"-",VLOOKUP(H78,timetables,MatchDay!$U$4,FALSE)),0)</f>
        <v>1</v>
      </c>
      <c r="K80" s="286" t="str">
        <f>IFERROR(VLOOKUP($H78&amp;J80,downloads!$A$1:$E$1000,2,FALSE),"")</f>
        <v>Kaidan DOS REIS</v>
      </c>
      <c r="L80" s="36" t="str">
        <f t="shared" ref="L80:L95" si="25">IFERROR(VLOOKUP(J80,teamlookup,5,FALSE),"-")</f>
        <v>C&amp;N</v>
      </c>
      <c r="M80" s="233">
        <v>17.399999999999999</v>
      </c>
      <c r="O80" s="62" t="s">
        <v>159</v>
      </c>
      <c r="P80" s="62">
        <v>1</v>
      </c>
      <c r="Q80" s="34">
        <f>IFERROR(IF(P80&gt;MatchDay!$U$2,"-",VLOOKUP(O78,timetables,MatchDay!$U$4,FALSE)),0)</f>
        <v>0</v>
      </c>
      <c r="R80" s="286" t="str">
        <f>IFERROR(VLOOKUP($O78&amp;Q80,downloads!$A$1:$E$1000,2,FALSE),"")</f>
        <v/>
      </c>
      <c r="S80" s="36" t="str">
        <f t="shared" ref="S80:S95" si="26">IFERROR(VLOOKUP(Q80,teamlookup,5,FALSE),"-")</f>
        <v>-</v>
      </c>
      <c r="T80" s="233"/>
      <c r="U80" s="265"/>
    </row>
    <row r="81" spans="1:21" ht="15.75" x14ac:dyDescent="0.35">
      <c r="A81" s="62">
        <v>80</v>
      </c>
      <c r="B81" s="62">
        <v>2</v>
      </c>
      <c r="C81" s="34">
        <f>IFERROR(IF(B81&gt;MatchDay!$U$2,"-",VLOOKUP(A78,timetables,MatchDay!$U$4+1,FALSE)),0)</f>
        <v>1</v>
      </c>
      <c r="D81" s="286" t="str">
        <f>IFERROR(VLOOKUP($A78&amp;C81,downloads!$A$1:$E$1000,2,FALSE),"")</f>
        <v>Ben JEFFS</v>
      </c>
      <c r="E81" s="36" t="str">
        <f t="shared" si="24"/>
        <v>C&amp;N</v>
      </c>
      <c r="F81" s="262">
        <v>7.23</v>
      </c>
      <c r="H81" s="62">
        <f>A81</f>
        <v>80</v>
      </c>
      <c r="I81" s="62">
        <v>2</v>
      </c>
      <c r="J81" s="34">
        <f>IFERROR(IF(I81&gt;MatchDay!$U$2,"-",VLOOKUP(H78,timetables,MatchDay!$U$4+1,FALSE)),0)</f>
        <v>2</v>
      </c>
      <c r="K81" s="286" t="str">
        <f>IFERROR(VLOOKUP($H78&amp;J81,downloads!$A$1:$E$1000,2,FALSE),"")</f>
        <v>Benjamin SYKES</v>
      </c>
      <c r="L81" s="36" t="str">
        <f t="shared" si="25"/>
        <v>ECHT</v>
      </c>
      <c r="M81" s="233">
        <v>29.44</v>
      </c>
      <c r="O81" s="62">
        <f>A81</f>
        <v>80</v>
      </c>
      <c r="P81" s="62">
        <v>2</v>
      </c>
      <c r="Q81" s="34">
        <f>IFERROR(IF(P81&gt;MatchDay!$U$2,"-",VLOOKUP(O78,timetables,MatchDay!$U$4+1,FALSE)),0)</f>
        <v>0</v>
      </c>
      <c r="R81" s="286" t="str">
        <f>IFERROR(VLOOKUP($O78&amp;Q81,downloads!$A$1:$E$1000,2,FALSE),"")</f>
        <v/>
      </c>
      <c r="S81" s="36" t="str">
        <f t="shared" si="26"/>
        <v>-</v>
      </c>
      <c r="T81" s="233"/>
      <c r="U81" s="265"/>
    </row>
    <row r="82" spans="1:21" ht="15.75" x14ac:dyDescent="0.35">
      <c r="A82" s="138"/>
      <c r="B82" s="62">
        <v>3</v>
      </c>
      <c r="C82" s="34">
        <f>IFERROR(IF(B82&gt;MatchDay!$U$2,"-",VLOOKUP(A78,timetables,MatchDay!$U$4+2,FALSE)),0)</f>
        <v>5</v>
      </c>
      <c r="D82" s="286" t="str">
        <f>IFERROR(VLOOKUP($A78&amp;C82,downloads!$A$1:$E$1000,2,FALSE),"")</f>
        <v/>
      </c>
      <c r="E82" s="36" t="str">
        <f t="shared" si="24"/>
        <v>Menai</v>
      </c>
      <c r="F82" s="233"/>
      <c r="H82" s="138"/>
      <c r="I82" s="62">
        <v>3</v>
      </c>
      <c r="J82" s="34">
        <f>IFERROR(IF(I82&gt;MatchDay!$U$2,"-",VLOOKUP(H78,timetables,MatchDay!$U$4+2,FALSE)),0)</f>
        <v>6</v>
      </c>
      <c r="K82" s="286" t="str">
        <f>IFERROR(VLOOKUP($H78&amp;J82,downloads!$A$1:$E$1000,2,FALSE),"")</f>
        <v/>
      </c>
      <c r="L82" s="36" t="str">
        <f t="shared" si="25"/>
        <v>Stock</v>
      </c>
      <c r="M82" s="233"/>
      <c r="O82" s="138"/>
      <c r="P82" s="62">
        <v>3</v>
      </c>
      <c r="Q82" s="34">
        <f>IFERROR(IF(P82&gt;MatchDay!$U$2,"-",VLOOKUP(O78,timetables,MatchDay!$U$4+2,FALSE)),0)</f>
        <v>0</v>
      </c>
      <c r="R82" s="286" t="str">
        <f>IFERROR(VLOOKUP($O78&amp;Q82,downloads!$A$1:$E$1000,2,FALSE),"")</f>
        <v/>
      </c>
      <c r="S82" s="36" t="str">
        <f t="shared" si="26"/>
        <v>-</v>
      </c>
      <c r="T82" s="233"/>
      <c r="U82" s="265"/>
    </row>
    <row r="83" spans="1:21" ht="15.75" x14ac:dyDescent="0.35">
      <c r="B83" s="62">
        <v>4</v>
      </c>
      <c r="C83" s="34">
        <f>IFERROR(IF(B83&gt;MatchDay!$U$2,"-",VLOOKUP(A78,timetables,MatchDay!$U$4+3,FALSE)),0)</f>
        <v>7</v>
      </c>
      <c r="D83" s="286" t="str">
        <f>IFERROR(VLOOKUP($A78&amp;C83,downloads!$A$1:$E$1000,2,FALSE),"")</f>
        <v>Charlie STRETTON</v>
      </c>
      <c r="E83" s="36" t="str">
        <f t="shared" si="24"/>
        <v>Wigan</v>
      </c>
      <c r="F83" s="233">
        <v>3.72</v>
      </c>
      <c r="I83" s="62">
        <v>4</v>
      </c>
      <c r="J83" s="34">
        <f>IFERROR(IF(I83&gt;MatchDay!$U$2,"-",VLOOKUP(H78,timetables,MatchDay!$U$4+3,FALSE)),0)</f>
        <v>7</v>
      </c>
      <c r="K83" s="286" t="str">
        <f>IFERROR(VLOOKUP($H78&amp;J83,downloads!$A$1:$E$1000,2,FALSE),"")</f>
        <v>Samuel HODGKINSON</v>
      </c>
      <c r="L83" s="36" t="str">
        <f t="shared" si="25"/>
        <v>Wigan</v>
      </c>
      <c r="M83" s="233">
        <v>22.45</v>
      </c>
      <c r="P83" s="62">
        <v>4</v>
      </c>
      <c r="Q83" s="34">
        <f>IFERROR(IF(P83&gt;MatchDay!$U$2,"-",VLOOKUP(O78,timetables,MatchDay!$U$4+3,FALSE)),0)</f>
        <v>0</v>
      </c>
      <c r="R83" s="286" t="str">
        <f>IFERROR(VLOOKUP($O78&amp;Q83,downloads!$A$1:$E$1000,2,FALSE),"")</f>
        <v/>
      </c>
      <c r="S83" s="36" t="str">
        <f t="shared" si="26"/>
        <v>-</v>
      </c>
      <c r="T83" s="233"/>
      <c r="U83" s="265"/>
    </row>
    <row r="84" spans="1:21" ht="15.75" x14ac:dyDescent="0.35">
      <c r="B84" s="62">
        <v>5</v>
      </c>
      <c r="C84" s="34">
        <f>IFERROR(IF(B84&gt;MatchDay!$U$2,"-",VLOOKUP(A78,timetables,MatchDay!$U$4+4,FALSE)),0)</f>
        <v>3</v>
      </c>
      <c r="D84" s="286" t="str">
        <f>IFERROR(VLOOKUP($A78&amp;C84,downloads!$A$1:$E$1000,2,FALSE),"")</f>
        <v>Henri MANNION</v>
      </c>
      <c r="E84" s="36" t="str">
        <f t="shared" si="24"/>
        <v>Leigh</v>
      </c>
      <c r="F84" s="233">
        <v>5.93</v>
      </c>
      <c r="I84" s="62">
        <v>5</v>
      </c>
      <c r="J84" s="34">
        <f>IFERROR(IF(I84&gt;MatchDay!$U$2,"-",VLOOKUP(H78,timetables,MatchDay!$U$4+4,FALSE)),0)</f>
        <v>3</v>
      </c>
      <c r="K84" s="286" t="str">
        <f>IFERROR(VLOOKUP($H78&amp;J84,downloads!$A$1:$E$1000,2,FALSE),"")</f>
        <v>Oscar FINCH</v>
      </c>
      <c r="L84" s="36" t="str">
        <f t="shared" si="25"/>
        <v>Leigh</v>
      </c>
      <c r="M84" s="233">
        <v>31.74</v>
      </c>
      <c r="P84" s="62">
        <v>5</v>
      </c>
      <c r="Q84" s="34">
        <f>IFERROR(IF(P84&gt;MatchDay!$U$2,"-",VLOOKUP(O78,timetables,MatchDay!$U$4+4,FALSE)),0)</f>
        <v>0</v>
      </c>
      <c r="R84" s="286" t="str">
        <f>IFERROR(VLOOKUP($O78&amp;Q84,downloads!$A$1:$E$1000,2,FALSE),"")</f>
        <v/>
      </c>
      <c r="S84" s="36" t="str">
        <f t="shared" si="26"/>
        <v>-</v>
      </c>
      <c r="T84" s="233"/>
      <c r="U84" s="265"/>
    </row>
    <row r="85" spans="1:21" ht="15.75" x14ac:dyDescent="0.35">
      <c r="B85" s="62">
        <v>6</v>
      </c>
      <c r="C85" s="34">
        <f>IFERROR(IF(B85&gt;MatchDay!$U$2,"-",VLOOKUP(A78,timetables,MatchDay!$U$4+5,FALSE)),0)</f>
        <v>6</v>
      </c>
      <c r="D85" s="286" t="str">
        <f>IFERROR(VLOOKUP($A78&amp;C85,downloads!$A$1:$E$1000,2,FALSE),"")</f>
        <v/>
      </c>
      <c r="E85" s="36" t="str">
        <f t="shared" si="24"/>
        <v>Stock</v>
      </c>
      <c r="F85" s="233"/>
      <c r="I85" s="62">
        <v>6</v>
      </c>
      <c r="J85" s="34">
        <f>IFERROR(IF(I85&gt;MatchDay!$U$2,"-",VLOOKUP(H78,timetables,MatchDay!$U$4+5,FALSE)),0)</f>
        <v>4</v>
      </c>
      <c r="K85" s="286" t="str">
        <f>IFERROR(VLOOKUP($H78&amp;J85,downloads!$A$1:$E$1000,2,FALSE),"")</f>
        <v>Robert NWANKWO</v>
      </c>
      <c r="L85" s="36" t="str">
        <f t="shared" si="25"/>
        <v>Macc</v>
      </c>
      <c r="M85" s="262">
        <v>19.25</v>
      </c>
      <c r="P85" s="62">
        <v>6</v>
      </c>
      <c r="Q85" s="34">
        <f>IFERROR(IF(P85&gt;MatchDay!$U$2,"-",VLOOKUP(O78,timetables,MatchDay!$U$4+5,FALSE)),0)</f>
        <v>0</v>
      </c>
      <c r="R85" s="286" t="str">
        <f>IFERROR(VLOOKUP($O78&amp;Q85,downloads!$A$1:$E$1000,2,FALSE),"")</f>
        <v/>
      </c>
      <c r="S85" s="36" t="str">
        <f t="shared" si="26"/>
        <v>-</v>
      </c>
      <c r="T85" s="233"/>
      <c r="U85" s="265"/>
    </row>
    <row r="86" spans="1:21" ht="15" customHeight="1" x14ac:dyDescent="0.35">
      <c r="A86" s="120"/>
      <c r="B86" s="62">
        <v>7</v>
      </c>
      <c r="C86" s="34">
        <f>IFERROR(IF(B86&gt;MatchDay!$U$2,"-",VLOOKUP(A78,timetables,MatchDay!$U$4+6,FALSE)),0)</f>
        <v>2</v>
      </c>
      <c r="D86" s="286" t="str">
        <f>IFERROR(VLOOKUP($A78&amp;C86,downloads!$A$1:$E$1000,2,FALSE),"")</f>
        <v>Benjamin SYKES</v>
      </c>
      <c r="E86" s="36" t="str">
        <f t="shared" si="24"/>
        <v>ECHT</v>
      </c>
      <c r="F86" s="233">
        <v>7.25</v>
      </c>
      <c r="H86" s="120"/>
      <c r="I86" s="62">
        <v>7</v>
      </c>
      <c r="J86" s="34">
        <f>IFERROR(IF(I86&gt;MatchDay!$U$2,"-",VLOOKUP(H78,timetables,MatchDay!$U$4+6,FALSE)),0)</f>
        <v>5</v>
      </c>
      <c r="K86" s="286" t="str">
        <f>IFERROR(VLOOKUP($H78&amp;J86,downloads!$A$1:$E$1000,2,FALSE),"")</f>
        <v/>
      </c>
      <c r="L86" s="36" t="str">
        <f t="shared" si="25"/>
        <v>Menai</v>
      </c>
      <c r="M86" s="233"/>
      <c r="O86" s="120"/>
      <c r="P86" s="62">
        <v>7</v>
      </c>
      <c r="Q86" s="34">
        <f>IFERROR(IF(P86&gt;MatchDay!$U$2,"-",VLOOKUP(O78,timetables,MatchDay!$U$4+6,FALSE)),0)</f>
        <v>0</v>
      </c>
      <c r="R86" s="286" t="str">
        <f>IFERROR(VLOOKUP($O78&amp;Q86,downloads!$A$1:$E$1000,2,FALSE),"")</f>
        <v/>
      </c>
      <c r="S86" s="36" t="str">
        <f t="shared" si="26"/>
        <v>-</v>
      </c>
      <c r="T86" s="233"/>
      <c r="U86" s="265"/>
    </row>
    <row r="87" spans="1:21" ht="15.75" x14ac:dyDescent="0.35">
      <c r="B87" s="62">
        <v>8</v>
      </c>
      <c r="C87" s="34" t="str">
        <f>IFERROR(IF(B87&gt;MatchDay!$U$2,"-",VLOOKUP(A78,timetables,MatchDay!$U$4+7,FALSE)),0)</f>
        <v>-</v>
      </c>
      <c r="D87" s="286" t="str">
        <f>IFERROR(VLOOKUP($A78&amp;C87,downloads!$A$1:$E$1000,2,FALSE),"")</f>
        <v/>
      </c>
      <c r="E87" s="36" t="str">
        <f t="shared" si="24"/>
        <v/>
      </c>
      <c r="F87" s="233"/>
      <c r="I87" s="62">
        <v>8</v>
      </c>
      <c r="J87" s="34" t="str">
        <f>IFERROR(IF(I87&gt;MatchDay!$U$2,"-",VLOOKUP(H78,timetables,MatchDay!$U$4+7,FALSE)),0)</f>
        <v>-</v>
      </c>
      <c r="K87" s="286" t="str">
        <f>IFERROR(VLOOKUP($H78&amp;J87,downloads!$A$1:$E$1000,2,FALSE),"")</f>
        <v/>
      </c>
      <c r="L87" s="36" t="str">
        <f t="shared" si="25"/>
        <v/>
      </c>
      <c r="M87" s="233"/>
      <c r="P87" s="62">
        <v>8</v>
      </c>
      <c r="Q87" s="34" t="str">
        <f>IFERROR(IF(P87&gt;MatchDay!$U$2,"-",VLOOKUP(O78,timetables,MatchDay!$U$4+7,FALSE)),0)</f>
        <v>-</v>
      </c>
      <c r="R87" s="286" t="str">
        <f>IFERROR(VLOOKUP($O78&amp;Q87,downloads!$A$1:$E$1000,2,FALSE),"")</f>
        <v/>
      </c>
      <c r="S87" s="36" t="str">
        <f t="shared" si="26"/>
        <v/>
      </c>
      <c r="T87" s="233"/>
      <c r="U87" s="265"/>
    </row>
    <row r="88" spans="1:21" ht="15.75" x14ac:dyDescent="0.35">
      <c r="B88" s="62">
        <v>9</v>
      </c>
      <c r="C88" s="34">
        <f>IFERROR(IF(T(C80)="",C80*11,C80&amp;C80),"-")</f>
        <v>44</v>
      </c>
      <c r="D88" s="286" t="str">
        <f>IFERROR(VLOOKUP($A78&amp;C88,downloads!$A$1:$E$1000,2,FALSE),"")</f>
        <v>Robert NWANKWO</v>
      </c>
      <c r="E88" s="36" t="str">
        <f t="shared" si="24"/>
        <v>Macc</v>
      </c>
      <c r="F88" s="233">
        <v>7.04</v>
      </c>
      <c r="I88" s="62">
        <v>9</v>
      </c>
      <c r="J88" s="34">
        <f>IFERROR(IF(T(J80)="",J80*11,J80&amp;J80),"-")</f>
        <v>11</v>
      </c>
      <c r="K88" s="286" t="str">
        <f>IFERROR(VLOOKUP($H78&amp;J88,downloads!$A$1:$E$1000,2,FALSE),"")</f>
        <v>Gabriel BRZEZINSKI</v>
      </c>
      <c r="L88" s="36" t="str">
        <f t="shared" si="25"/>
        <v>C&amp;N</v>
      </c>
      <c r="M88" s="262">
        <v>12.41</v>
      </c>
      <c r="P88" s="62">
        <v>9</v>
      </c>
      <c r="Q88" s="34">
        <f>IFERROR(IF(T(Q80)="",Q80*11,Q80&amp;Q80),"-")</f>
        <v>0</v>
      </c>
      <c r="R88" s="286" t="str">
        <f>IFERROR(VLOOKUP($O78&amp;Q88,downloads!$A$1:$E$1000,2,FALSE),"")</f>
        <v/>
      </c>
      <c r="S88" s="36" t="str">
        <f t="shared" si="26"/>
        <v>-</v>
      </c>
      <c r="T88" s="233"/>
      <c r="U88" s="265"/>
    </row>
    <row r="89" spans="1:21" ht="15.75" x14ac:dyDescent="0.35">
      <c r="B89" s="62">
        <v>10</v>
      </c>
      <c r="C89" s="34">
        <f t="shared" ref="C89:C95" si="27">IFERROR(IF(T(C81)="",C81*11,C81&amp;C81),"-")</f>
        <v>11</v>
      </c>
      <c r="D89" s="286" t="str">
        <f>IFERROR(VLOOKUP($A78&amp;C89,downloads!$A$1:$E$1000,2,FALSE),"")</f>
        <v>Ewan DAVIES</v>
      </c>
      <c r="E89" s="36" t="str">
        <f t="shared" si="24"/>
        <v>C&amp;N</v>
      </c>
      <c r="F89" s="233">
        <v>5.7</v>
      </c>
      <c r="I89" s="62">
        <v>10</v>
      </c>
      <c r="J89" s="34">
        <f t="shared" ref="J89:J95" si="28">IFERROR(IF(T(J81)="",J81*11,J81&amp;J81),"-")</f>
        <v>22</v>
      </c>
      <c r="K89" s="286" t="str">
        <f>IFERROR(VLOOKUP($H78&amp;J89,downloads!$A$1:$E$1000,2,FALSE),"")</f>
        <v>James NELSON</v>
      </c>
      <c r="L89" s="36" t="str">
        <f t="shared" si="25"/>
        <v>ECHT</v>
      </c>
      <c r="M89" s="233">
        <v>14.58</v>
      </c>
      <c r="P89" s="62">
        <v>10</v>
      </c>
      <c r="Q89" s="34">
        <f t="shared" ref="Q89:Q95" si="29">IFERROR(IF(T(Q81)="",Q81*11,Q81&amp;Q81),"-")</f>
        <v>0</v>
      </c>
      <c r="R89" s="286" t="str">
        <f>IFERROR(VLOOKUP($O78&amp;Q89,downloads!$A$1:$E$1000,2,FALSE),"")</f>
        <v/>
      </c>
      <c r="S89" s="36" t="str">
        <f t="shared" si="26"/>
        <v>-</v>
      </c>
      <c r="T89" s="233"/>
      <c r="U89" s="265"/>
    </row>
    <row r="90" spans="1:21" ht="15.75" x14ac:dyDescent="0.35">
      <c r="B90" s="62">
        <v>11</v>
      </c>
      <c r="C90" s="34">
        <f t="shared" si="27"/>
        <v>55</v>
      </c>
      <c r="D90" s="286" t="str">
        <f>IFERROR(VLOOKUP($A78&amp;C90,downloads!$A$1:$E$1000,2,FALSE),"")</f>
        <v/>
      </c>
      <c r="E90" s="36" t="str">
        <f t="shared" si="24"/>
        <v>Menai</v>
      </c>
      <c r="F90" s="233"/>
      <c r="I90" s="62">
        <v>11</v>
      </c>
      <c r="J90" s="34">
        <f t="shared" si="28"/>
        <v>66</v>
      </c>
      <c r="K90" s="286" t="str">
        <f>IFERROR(VLOOKUP($H78&amp;J90,downloads!$A$1:$E$1000,2,FALSE),"")</f>
        <v/>
      </c>
      <c r="L90" s="36" t="str">
        <f t="shared" si="25"/>
        <v>Stock</v>
      </c>
      <c r="M90" s="262"/>
      <c r="P90" s="62">
        <v>11</v>
      </c>
      <c r="Q90" s="34">
        <f t="shared" si="29"/>
        <v>0</v>
      </c>
      <c r="R90" s="286" t="str">
        <f>IFERROR(VLOOKUP($O78&amp;Q90,downloads!$A$1:$E$1000,2,FALSE),"")</f>
        <v/>
      </c>
      <c r="S90" s="36" t="str">
        <f t="shared" si="26"/>
        <v>-</v>
      </c>
      <c r="T90" s="233"/>
      <c r="U90" s="265"/>
    </row>
    <row r="91" spans="1:21" ht="15.75" x14ac:dyDescent="0.35">
      <c r="B91" s="62">
        <v>12</v>
      </c>
      <c r="C91" s="34">
        <f t="shared" si="27"/>
        <v>77</v>
      </c>
      <c r="D91" s="286" t="str">
        <f>IFERROR(VLOOKUP($A78&amp;C91,downloads!$A$1:$E$1000,2,FALSE),"")</f>
        <v>Theo MORGAN</v>
      </c>
      <c r="E91" s="36" t="str">
        <f t="shared" si="24"/>
        <v>Wigan</v>
      </c>
      <c r="F91" s="233">
        <v>6.45</v>
      </c>
      <c r="I91" s="62">
        <v>12</v>
      </c>
      <c r="J91" s="34">
        <f t="shared" si="28"/>
        <v>77</v>
      </c>
      <c r="K91" s="286" t="str">
        <f>IFERROR(VLOOKUP($H78&amp;J91,downloads!$A$1:$E$1000,2,FALSE),"")</f>
        <v>Charlie STRETTON</v>
      </c>
      <c r="L91" s="36" t="str">
        <f t="shared" si="25"/>
        <v>Wigan</v>
      </c>
      <c r="M91" s="233">
        <v>10.91</v>
      </c>
      <c r="P91" s="62">
        <v>12</v>
      </c>
      <c r="Q91" s="34">
        <f t="shared" si="29"/>
        <v>0</v>
      </c>
      <c r="R91" s="286" t="str">
        <f>IFERROR(VLOOKUP($O78&amp;Q91,downloads!$A$1:$E$1000,2,FALSE),"")</f>
        <v/>
      </c>
      <c r="S91" s="36" t="str">
        <f t="shared" si="26"/>
        <v>-</v>
      </c>
      <c r="T91" s="233"/>
      <c r="U91" s="265"/>
    </row>
    <row r="92" spans="1:21" ht="15.75" x14ac:dyDescent="0.35">
      <c r="B92" s="62">
        <v>13</v>
      </c>
      <c r="C92" s="34">
        <f t="shared" si="27"/>
        <v>33</v>
      </c>
      <c r="D92" s="286" t="str">
        <f>IFERROR(VLOOKUP($A78&amp;C92,downloads!$A$1:$E$1000,2,FALSE),"")</f>
        <v>Jack FLETCHER</v>
      </c>
      <c r="E92" s="36" t="str">
        <f t="shared" si="24"/>
        <v>Leigh</v>
      </c>
      <c r="F92" s="233">
        <v>6.01</v>
      </c>
      <c r="I92" s="62">
        <v>13</v>
      </c>
      <c r="J92" s="34">
        <f t="shared" si="28"/>
        <v>33</v>
      </c>
      <c r="K92" s="286" t="str">
        <f>IFERROR(VLOOKUP($H78&amp;J92,downloads!$A$1:$E$1000,2,FALSE),"")</f>
        <v>James HOWARTH-LINTON</v>
      </c>
      <c r="L92" s="36" t="str">
        <f t="shared" si="25"/>
        <v>Leigh</v>
      </c>
      <c r="M92" s="233">
        <v>25.74</v>
      </c>
      <c r="P92" s="62">
        <v>13</v>
      </c>
      <c r="Q92" s="34">
        <f t="shared" si="29"/>
        <v>0</v>
      </c>
      <c r="R92" s="286" t="str">
        <f>IFERROR(VLOOKUP($O78&amp;Q92,downloads!$A$1:$E$1000,2,FALSE),"")</f>
        <v/>
      </c>
      <c r="S92" s="36" t="str">
        <f t="shared" si="26"/>
        <v>-</v>
      </c>
      <c r="T92" s="233"/>
      <c r="U92" s="265"/>
    </row>
    <row r="93" spans="1:21" ht="15.75" x14ac:dyDescent="0.35">
      <c r="B93" s="62">
        <v>14</v>
      </c>
      <c r="C93" s="34">
        <f t="shared" si="27"/>
        <v>66</v>
      </c>
      <c r="D93" s="286" t="str">
        <f>IFERROR(VLOOKUP($A78&amp;C93,downloads!$A$1:$E$1000,2,FALSE),"")</f>
        <v/>
      </c>
      <c r="E93" s="36" t="str">
        <f t="shared" si="24"/>
        <v>Stock</v>
      </c>
      <c r="F93" s="233"/>
      <c r="I93" s="62">
        <v>14</v>
      </c>
      <c r="J93" s="34">
        <f t="shared" si="28"/>
        <v>44</v>
      </c>
      <c r="K93" s="286" t="str">
        <f>IFERROR(VLOOKUP($H78&amp;J93,downloads!$A$1:$E$1000,2,FALSE),"")</f>
        <v>Isaac BAKER</v>
      </c>
      <c r="L93" s="36" t="str">
        <f t="shared" si="25"/>
        <v>Macc</v>
      </c>
      <c r="M93" s="233">
        <v>14.64</v>
      </c>
      <c r="P93" s="62">
        <v>14</v>
      </c>
      <c r="Q93" s="34">
        <f t="shared" si="29"/>
        <v>0</v>
      </c>
      <c r="R93" s="286" t="str">
        <f>IFERROR(VLOOKUP($O78&amp;Q93,downloads!$A$1:$E$1000,2,FALSE),"")</f>
        <v/>
      </c>
      <c r="S93" s="36" t="str">
        <f t="shared" si="26"/>
        <v>-</v>
      </c>
      <c r="T93" s="233"/>
      <c r="U93" s="265"/>
    </row>
    <row r="94" spans="1:21" ht="15.75" x14ac:dyDescent="0.35">
      <c r="B94" s="62">
        <v>15</v>
      </c>
      <c r="C94" s="34">
        <f t="shared" si="27"/>
        <v>22</v>
      </c>
      <c r="D94" s="286" t="str">
        <f>IFERROR(VLOOKUP($A78&amp;C94,downloads!$A$1:$E$1000,2,FALSE),"")</f>
        <v>Oliver MANNION</v>
      </c>
      <c r="E94" s="36" t="str">
        <f t="shared" si="24"/>
        <v>ECHT</v>
      </c>
      <c r="F94" s="233">
        <v>5.15</v>
      </c>
      <c r="I94" s="62">
        <v>15</v>
      </c>
      <c r="J94" s="34">
        <f t="shared" si="28"/>
        <v>55</v>
      </c>
      <c r="K94" s="286" t="str">
        <f>IFERROR(VLOOKUP($H78&amp;J94,downloads!$A$1:$E$1000,2,FALSE),"")</f>
        <v/>
      </c>
      <c r="L94" s="36" t="str">
        <f t="shared" si="25"/>
        <v>Menai</v>
      </c>
      <c r="M94" s="233"/>
      <c r="P94" s="62">
        <v>15</v>
      </c>
      <c r="Q94" s="34">
        <f t="shared" si="29"/>
        <v>0</v>
      </c>
      <c r="R94" s="286" t="str">
        <f>IFERROR(VLOOKUP($O78&amp;Q94,downloads!$A$1:$E$1000,2,FALSE),"")</f>
        <v/>
      </c>
      <c r="S94" s="36" t="str">
        <f t="shared" si="26"/>
        <v>-</v>
      </c>
      <c r="T94" s="233"/>
      <c r="U94" s="265"/>
    </row>
    <row r="95" spans="1:21" ht="15.75" x14ac:dyDescent="0.35">
      <c r="B95" s="62">
        <v>16</v>
      </c>
      <c r="C95" s="34" t="str">
        <f t="shared" si="27"/>
        <v>--</v>
      </c>
      <c r="D95" s="286" t="str">
        <f>IFERROR(VLOOKUP($A78&amp;C95,downloads!$A$1:$E$1000,2,FALSE),"")</f>
        <v/>
      </c>
      <c r="E95" s="36" t="str">
        <f t="shared" si="24"/>
        <v>-</v>
      </c>
      <c r="F95" s="233"/>
      <c r="I95" s="62">
        <v>16</v>
      </c>
      <c r="J95" s="34" t="str">
        <f t="shared" si="28"/>
        <v>--</v>
      </c>
      <c r="K95" s="286" t="str">
        <f>IFERROR(VLOOKUP($H78&amp;J95,downloads!$A$1:$E$1000,2,FALSE),"")</f>
        <v/>
      </c>
      <c r="L95" s="36" t="str">
        <f t="shared" si="25"/>
        <v>-</v>
      </c>
      <c r="M95" s="233"/>
      <c r="P95" s="62">
        <v>16</v>
      </c>
      <c r="Q95" s="34" t="str">
        <f t="shared" si="29"/>
        <v>--</v>
      </c>
      <c r="R95" s="286" t="str">
        <f>IFERROR(VLOOKUP($O78&amp;Q95,downloads!$A$1:$E$1000,2,FALSE),"")</f>
        <v/>
      </c>
      <c r="S95" s="36" t="str">
        <f t="shared" si="26"/>
        <v>-</v>
      </c>
      <c r="T95" s="233"/>
      <c r="U95" s="265"/>
    </row>
    <row r="96" spans="1:21" x14ac:dyDescent="0.3">
      <c r="M96" s="233"/>
    </row>
    <row r="97" spans="1:21" x14ac:dyDescent="0.3">
      <c r="A97" s="32" t="str">
        <f>IFERROR(IF(LEFT(MatchDay!$C$2,1)="L","L"&amp;A98,"U"&amp;A98),"")</f>
        <v>LFD11</v>
      </c>
      <c r="B97" s="94" t="str">
        <f>IFERROR(VLOOKUP(A97,Timetables!$A:$G,3,FALSE)&amp;" "&amp;VLOOKUP(A97,Timetables!$A:$G,2,FALSE),"")</f>
        <v>U15 Girls Shot</v>
      </c>
      <c r="H97" s="32" t="str">
        <f>IFERROR(IF(LEFT(MatchDay!$C$2,1)="L","L"&amp;H98,"U"&amp;H98),"")</f>
        <v>LFD12</v>
      </c>
      <c r="I97" s="94" t="str">
        <f>IFERROR(VLOOKUP(H97,Timetables!$A:$G,3,FALSE)&amp;" "&amp;VLOOKUP(H97,Timetables!$A:$G,2,FALSE),"")</f>
        <v>U13 Girls Javelin</v>
      </c>
      <c r="M97" s="63"/>
      <c r="O97" s="32" t="str">
        <f>IFERROR(IF(LEFT(MatchDay!$C$2,1)="L","L"&amp;O98,"U"&amp;O98),"")</f>
        <v>LFW06</v>
      </c>
      <c r="P97" s="94" t="str">
        <f>IFERROR(VLOOKUP(O97,Timetables!$A:$G,3,FALSE)&amp;" "&amp;VLOOKUP(O97,Timetables!$A:$G,2,FALSE),"")</f>
        <v/>
      </c>
      <c r="T97" s="63"/>
    </row>
    <row r="98" spans="1:21" x14ac:dyDescent="0.3">
      <c r="A98" s="33" t="s">
        <v>214</v>
      </c>
      <c r="B98" s="62" t="s">
        <v>122</v>
      </c>
      <c r="C98" s="62" t="s">
        <v>118</v>
      </c>
      <c r="D98" s="59" t="s">
        <v>174</v>
      </c>
      <c r="E98" s="59" t="s">
        <v>175</v>
      </c>
      <c r="F98" s="63" t="s">
        <v>176</v>
      </c>
      <c r="H98" s="33" t="s">
        <v>215</v>
      </c>
      <c r="I98" s="62" t="s">
        <v>122</v>
      </c>
      <c r="J98" s="62" t="s">
        <v>118</v>
      </c>
      <c r="K98" s="59" t="s">
        <v>174</v>
      </c>
      <c r="L98" s="59" t="s">
        <v>175</v>
      </c>
      <c r="M98" s="63" t="s">
        <v>176</v>
      </c>
      <c r="O98" s="33" t="s">
        <v>253</v>
      </c>
      <c r="P98" s="62" t="s">
        <v>122</v>
      </c>
      <c r="Q98" s="62" t="s">
        <v>118</v>
      </c>
      <c r="R98" s="59" t="s">
        <v>174</v>
      </c>
      <c r="S98" s="59" t="s">
        <v>175</v>
      </c>
      <c r="T98" s="63" t="s">
        <v>176</v>
      </c>
      <c r="U98" s="62" t="s">
        <v>206</v>
      </c>
    </row>
    <row r="99" spans="1:21" ht="15.75" x14ac:dyDescent="0.35">
      <c r="A99" s="62" t="s">
        <v>171</v>
      </c>
      <c r="B99" s="62">
        <v>1</v>
      </c>
      <c r="C99" s="34">
        <f>IFERROR(IF(B99&gt;MatchDay!$U$2,"-",VLOOKUP(A97,timetables,MatchDay!$U$4,FALSE)),0)</f>
        <v>4</v>
      </c>
      <c r="D99" s="286" t="str">
        <f>IFERROR(VLOOKUP($A97&amp;C99,downloads!$A$1:$E$1000,2,FALSE),"")</f>
        <v/>
      </c>
      <c r="E99" s="36" t="str">
        <f t="shared" ref="E99:E114" si="30">IFERROR(VLOOKUP(C99,teamlookup,5,FALSE),"-")</f>
        <v>Macc</v>
      </c>
      <c r="F99" s="233"/>
      <c r="H99" s="62" t="s">
        <v>169</v>
      </c>
      <c r="I99" s="62">
        <v>1</v>
      </c>
      <c r="J99" s="34">
        <f>IFERROR(IF(I99&gt;MatchDay!$U$2,"-",VLOOKUP(H97,timetables,MatchDay!$U$4,FALSE)),0)</f>
        <v>1</v>
      </c>
      <c r="K99" s="286" t="str">
        <f>IFERROR(VLOOKUP($H97&amp;J99,downloads!$A$1:$E$1000,2,FALSE),"")</f>
        <v>Ruby WILKINS</v>
      </c>
      <c r="L99" s="36" t="str">
        <f t="shared" ref="L99:L114" si="31">IFERROR(VLOOKUP(J99,teamlookup,5,FALSE),"-")</f>
        <v>C&amp;N</v>
      </c>
      <c r="M99" s="233">
        <v>15.32</v>
      </c>
      <c r="O99" s="62" t="s">
        <v>159</v>
      </c>
      <c r="P99" s="62">
        <v>1</v>
      </c>
      <c r="Q99" s="34">
        <f>IFERROR(IF(P99&gt;MatchDay!$U$2,"-",VLOOKUP(O97,timetables,MatchDay!$U$4,FALSE)),0)</f>
        <v>0</v>
      </c>
      <c r="R99" s="286" t="str">
        <f>IFERROR(VLOOKUP($O97&amp;Q99,downloads!$A$1:$E$1000,2,FALSE),"")</f>
        <v/>
      </c>
      <c r="S99" s="36" t="str">
        <f t="shared" ref="S99:S114" si="32">IFERROR(VLOOKUP(Q99,teamlookup,5,FALSE),"-")</f>
        <v>-</v>
      </c>
      <c r="T99" s="233"/>
      <c r="U99" s="265"/>
    </row>
    <row r="100" spans="1:21" ht="15.75" x14ac:dyDescent="0.35">
      <c r="A100" s="62">
        <v>99</v>
      </c>
      <c r="B100" s="62">
        <v>2</v>
      </c>
      <c r="C100" s="34">
        <f>IFERROR(IF(B100&gt;MatchDay!$U$2,"-",VLOOKUP(A97,timetables,MatchDay!$U$4+1,FALSE)),0)</f>
        <v>1</v>
      </c>
      <c r="D100" s="286" t="str">
        <f>IFERROR(VLOOKUP($A97&amp;C100,downloads!$A$1:$E$1000,2,FALSE),"")</f>
        <v>Lucy HARDING</v>
      </c>
      <c r="E100" s="36" t="str">
        <f t="shared" si="30"/>
        <v>C&amp;N</v>
      </c>
      <c r="F100" s="233">
        <v>7.4</v>
      </c>
      <c r="H100" s="62">
        <f>A100</f>
        <v>99</v>
      </c>
      <c r="I100" s="62">
        <v>2</v>
      </c>
      <c r="J100" s="34">
        <f>IFERROR(IF(I100&gt;MatchDay!$U$2,"-",VLOOKUP(H97,timetables,MatchDay!$U$4+1,FALSE)),0)</f>
        <v>2</v>
      </c>
      <c r="K100" s="286" t="str">
        <f>IFERROR(VLOOKUP($H97&amp;J100,downloads!$A$1:$E$1000,2,FALSE),"")</f>
        <v>Imogen MCBURNIE</v>
      </c>
      <c r="L100" s="36" t="str">
        <f t="shared" si="31"/>
        <v>ECHT</v>
      </c>
      <c r="M100" s="233">
        <v>14.02</v>
      </c>
      <c r="O100" s="62">
        <f>A100</f>
        <v>99</v>
      </c>
      <c r="P100" s="62">
        <v>2</v>
      </c>
      <c r="Q100" s="34">
        <f>IFERROR(IF(P100&gt;MatchDay!$U$2,"-",VLOOKUP(O97,timetables,MatchDay!$U$4+1,FALSE)),0)</f>
        <v>0</v>
      </c>
      <c r="R100" s="286" t="str">
        <f>IFERROR(VLOOKUP($O97&amp;Q100,downloads!$A$1:$E$1000,2,FALSE),"")</f>
        <v/>
      </c>
      <c r="S100" s="36" t="str">
        <f t="shared" si="32"/>
        <v>-</v>
      </c>
      <c r="T100" s="233"/>
      <c r="U100" s="265"/>
    </row>
    <row r="101" spans="1:21" ht="15.75" x14ac:dyDescent="0.35">
      <c r="A101" s="138"/>
      <c r="B101" s="62">
        <v>3</v>
      </c>
      <c r="C101" s="34">
        <f>IFERROR(IF(B101&gt;MatchDay!$U$2,"-",VLOOKUP(A97,timetables,MatchDay!$U$4+2,FALSE)),0)</f>
        <v>5</v>
      </c>
      <c r="D101" s="286" t="str">
        <f>IFERROR(VLOOKUP($A97&amp;C101,downloads!$A$1:$E$1000,2,FALSE),"")</f>
        <v>Erin JACOBS</v>
      </c>
      <c r="E101" s="36" t="str">
        <f t="shared" si="30"/>
        <v>Menai</v>
      </c>
      <c r="F101" s="233">
        <v>7.19</v>
      </c>
      <c r="H101" s="138"/>
      <c r="I101" s="62">
        <v>3</v>
      </c>
      <c r="J101" s="34">
        <f>IFERROR(IF(I101&gt;MatchDay!$U$2,"-",VLOOKUP(H97,timetables,MatchDay!$U$4+2,FALSE)),0)</f>
        <v>6</v>
      </c>
      <c r="K101" s="286" t="str">
        <f>IFERROR(VLOOKUP($H97&amp;J101,downloads!$A$1:$E$1000,2,FALSE),"")</f>
        <v/>
      </c>
      <c r="L101" s="36" t="str">
        <f t="shared" si="31"/>
        <v>Stock</v>
      </c>
      <c r="M101" s="233"/>
      <c r="O101" s="138"/>
      <c r="P101" s="62">
        <v>3</v>
      </c>
      <c r="Q101" s="34">
        <f>IFERROR(IF(P101&gt;MatchDay!$U$2,"-",VLOOKUP(O97,timetables,MatchDay!$U$4+2,FALSE)),0)</f>
        <v>0</v>
      </c>
      <c r="R101" s="286" t="str">
        <f>IFERROR(VLOOKUP($O97&amp;Q101,downloads!$A$1:$E$1000,2,FALSE),"")</f>
        <v/>
      </c>
      <c r="S101" s="36" t="str">
        <f t="shared" si="32"/>
        <v>-</v>
      </c>
      <c r="T101" s="233"/>
      <c r="U101" s="265"/>
    </row>
    <row r="102" spans="1:21" ht="15.75" x14ac:dyDescent="0.35">
      <c r="B102" s="62">
        <v>4</v>
      </c>
      <c r="C102" s="34">
        <f>IFERROR(IF(B102&gt;MatchDay!$U$2,"-",VLOOKUP(A97,timetables,MatchDay!$U$4+3,FALSE)),0)</f>
        <v>7</v>
      </c>
      <c r="D102" s="286" t="str">
        <f>IFERROR(VLOOKUP($A97&amp;C102,downloads!$A$1:$E$1000,2,FALSE),"")</f>
        <v>Lauren HEWITT</v>
      </c>
      <c r="E102" s="36" t="str">
        <f t="shared" si="30"/>
        <v>Wigan</v>
      </c>
      <c r="F102" s="233">
        <v>8.32</v>
      </c>
      <c r="I102" s="62">
        <v>4</v>
      </c>
      <c r="J102" s="34">
        <f>IFERROR(IF(I102&gt;MatchDay!$U$2,"-",VLOOKUP(H97,timetables,MatchDay!$U$4+3,FALSE)),0)</f>
        <v>7</v>
      </c>
      <c r="K102" s="286" t="str">
        <f>IFERROR(VLOOKUP($H97&amp;J102,downloads!$A$1:$E$1000,2,FALSE),"")</f>
        <v>Maisie CADMAN</v>
      </c>
      <c r="L102" s="36" t="str">
        <f t="shared" si="31"/>
        <v>Wigan</v>
      </c>
      <c r="M102" s="233">
        <v>11.2</v>
      </c>
      <c r="P102" s="62">
        <v>4</v>
      </c>
      <c r="Q102" s="34">
        <f>IFERROR(IF(P102&gt;MatchDay!$U$2,"-",VLOOKUP(O97,timetables,MatchDay!$U$4+3,FALSE)),0)</f>
        <v>0</v>
      </c>
      <c r="R102" s="286" t="str">
        <f>IFERROR(VLOOKUP($O97&amp;Q102,downloads!$A$1:$E$1000,2,FALSE),"")</f>
        <v/>
      </c>
      <c r="S102" s="36" t="str">
        <f t="shared" si="32"/>
        <v>-</v>
      </c>
      <c r="T102" s="233"/>
      <c r="U102" s="265"/>
    </row>
    <row r="103" spans="1:21" ht="15.75" x14ac:dyDescent="0.35">
      <c r="B103" s="62">
        <v>5</v>
      </c>
      <c r="C103" s="34">
        <f>IFERROR(IF(B103&gt;MatchDay!$U$2,"-",VLOOKUP(A97,timetables,MatchDay!$U$4+4,FALSE)),0)</f>
        <v>3</v>
      </c>
      <c r="D103" s="286" t="str">
        <f>IFERROR(VLOOKUP($A97&amp;C103,downloads!$A$1:$E$1000,2,FALSE),"")</f>
        <v>Eva MELLING</v>
      </c>
      <c r="E103" s="36" t="str">
        <f t="shared" si="30"/>
        <v>Leigh</v>
      </c>
      <c r="F103" s="233">
        <v>5.79</v>
      </c>
      <c r="I103" s="62">
        <v>5</v>
      </c>
      <c r="J103" s="34">
        <f>IFERROR(IF(I103&gt;MatchDay!$U$2,"-",VLOOKUP(H97,timetables,MatchDay!$U$4+4,FALSE)),0)</f>
        <v>3</v>
      </c>
      <c r="K103" s="286" t="str">
        <f>IFERROR(VLOOKUP($H97&amp;J103,downloads!$A$1:$E$1000,2,FALSE),"")</f>
        <v>Emily ASHTON</v>
      </c>
      <c r="L103" s="36" t="str">
        <f t="shared" si="31"/>
        <v>Leigh</v>
      </c>
      <c r="M103" s="262">
        <v>15.31</v>
      </c>
      <c r="P103" s="62">
        <v>5</v>
      </c>
      <c r="Q103" s="34">
        <f>IFERROR(IF(P103&gt;MatchDay!$U$2,"-",VLOOKUP(O97,timetables,MatchDay!$U$4+4,FALSE)),0)</f>
        <v>0</v>
      </c>
      <c r="R103" s="286" t="str">
        <f>IFERROR(VLOOKUP($O97&amp;Q103,downloads!$A$1:$E$1000,2,FALSE),"")</f>
        <v/>
      </c>
      <c r="S103" s="36" t="str">
        <f t="shared" si="32"/>
        <v>-</v>
      </c>
      <c r="T103" s="233"/>
      <c r="U103" s="265"/>
    </row>
    <row r="104" spans="1:21" ht="15.75" x14ac:dyDescent="0.35">
      <c r="B104" s="62">
        <v>6</v>
      </c>
      <c r="C104" s="34">
        <f>IFERROR(IF(B104&gt;MatchDay!$U$2,"-",VLOOKUP(A97,timetables,MatchDay!$U$4+5,FALSE)),0)</f>
        <v>6</v>
      </c>
      <c r="D104" s="286" t="str">
        <f>IFERROR(VLOOKUP($A97&amp;C104,downloads!$A$1:$E$1000,2,FALSE),"")</f>
        <v>Lucy JONES</v>
      </c>
      <c r="E104" s="36" t="str">
        <f t="shared" si="30"/>
        <v>Stock</v>
      </c>
      <c r="F104" s="233">
        <v>7.86</v>
      </c>
      <c r="I104" s="62">
        <v>6</v>
      </c>
      <c r="J104" s="34">
        <f>IFERROR(IF(I104&gt;MatchDay!$U$2,"-",VLOOKUP(H97,timetables,MatchDay!$U$4+5,FALSE)),0)</f>
        <v>4</v>
      </c>
      <c r="K104" s="286" t="str">
        <f>IFERROR(VLOOKUP($H97&amp;J104,downloads!$A$1:$E$1000,2,FALSE),"")</f>
        <v>Lauren HARPER</v>
      </c>
      <c r="L104" s="36" t="str">
        <f t="shared" si="31"/>
        <v>Macc</v>
      </c>
      <c r="M104" s="233">
        <v>8.4</v>
      </c>
      <c r="P104" s="62">
        <v>6</v>
      </c>
      <c r="Q104" s="34">
        <f>IFERROR(IF(P104&gt;MatchDay!$U$2,"-",VLOOKUP(O97,timetables,MatchDay!$U$4+5,FALSE)),0)</f>
        <v>0</v>
      </c>
      <c r="R104" s="286" t="str">
        <f>IFERROR(VLOOKUP($O97&amp;Q104,downloads!$A$1:$E$1000,2,FALSE),"")</f>
        <v/>
      </c>
      <c r="S104" s="36" t="str">
        <f t="shared" si="32"/>
        <v>-</v>
      </c>
      <c r="T104" s="233"/>
      <c r="U104" s="265"/>
    </row>
    <row r="105" spans="1:21" ht="15" customHeight="1" x14ac:dyDescent="0.35">
      <c r="A105" s="120"/>
      <c r="B105" s="62">
        <v>7</v>
      </c>
      <c r="C105" s="34">
        <f>IFERROR(IF(B105&gt;MatchDay!$U$2,"-",VLOOKUP(A97,timetables,MatchDay!$U$4+6,FALSE)),0)</f>
        <v>2</v>
      </c>
      <c r="D105" s="286" t="str">
        <f>IFERROR(VLOOKUP($A97&amp;C105,downloads!$A$1:$E$1000,2,FALSE),"")</f>
        <v>Isla HERRING</v>
      </c>
      <c r="E105" s="36" t="str">
        <f t="shared" si="30"/>
        <v>ECHT</v>
      </c>
      <c r="F105" s="233">
        <v>4.34</v>
      </c>
      <c r="H105" s="120"/>
      <c r="I105" s="62">
        <v>7</v>
      </c>
      <c r="J105" s="34">
        <f>IFERROR(IF(I105&gt;MatchDay!$U$2,"-",VLOOKUP(H97,timetables,MatchDay!$U$4+6,FALSE)),0)</f>
        <v>5</v>
      </c>
      <c r="K105" s="286" t="str">
        <f>IFERROR(VLOOKUP($H97&amp;J105,downloads!$A$1:$E$1000,2,FALSE),"")</f>
        <v/>
      </c>
      <c r="L105" s="36" t="str">
        <f t="shared" si="31"/>
        <v>Menai</v>
      </c>
      <c r="M105" s="233"/>
      <c r="O105" s="120"/>
      <c r="P105" s="62">
        <v>7</v>
      </c>
      <c r="Q105" s="34">
        <f>IFERROR(IF(P105&gt;MatchDay!$U$2,"-",VLOOKUP(O97,timetables,MatchDay!$U$4+6,FALSE)),0)</f>
        <v>0</v>
      </c>
      <c r="R105" s="286" t="str">
        <f>IFERROR(VLOOKUP($O97&amp;Q105,downloads!$A$1:$E$1000,2,FALSE),"")</f>
        <v/>
      </c>
      <c r="S105" s="36" t="str">
        <f t="shared" si="32"/>
        <v>-</v>
      </c>
      <c r="T105" s="233"/>
      <c r="U105" s="265"/>
    </row>
    <row r="106" spans="1:21" ht="15.75" x14ac:dyDescent="0.35">
      <c r="B106" s="62">
        <v>8</v>
      </c>
      <c r="C106" s="34" t="str">
        <f>IFERROR(IF(B106&gt;MatchDay!$U$2,"-",VLOOKUP(A97,timetables,MatchDay!$U$4+7,FALSE)),0)</f>
        <v>-</v>
      </c>
      <c r="D106" s="286" t="str">
        <f>IFERROR(VLOOKUP($A97&amp;C106,downloads!$A$1:$E$1000,2,FALSE),"")</f>
        <v/>
      </c>
      <c r="E106" s="36" t="str">
        <f t="shared" si="30"/>
        <v/>
      </c>
      <c r="F106" s="233"/>
      <c r="I106" s="62">
        <v>8</v>
      </c>
      <c r="J106" s="34" t="str">
        <f>IFERROR(IF(I106&gt;MatchDay!$U$2,"-",VLOOKUP(H97,timetables,MatchDay!$U$4+7,FALSE)),0)</f>
        <v>-</v>
      </c>
      <c r="K106" s="286" t="str">
        <f>IFERROR(VLOOKUP($H97&amp;J106,downloads!$A$1:$E$1000,2,FALSE),"")</f>
        <v/>
      </c>
      <c r="L106" s="36" t="str">
        <f t="shared" si="31"/>
        <v/>
      </c>
      <c r="M106" s="233"/>
      <c r="P106" s="62">
        <v>8</v>
      </c>
      <c r="Q106" s="34" t="str">
        <f>IFERROR(IF(P106&gt;MatchDay!$U$2,"-",VLOOKUP(O97,timetables,MatchDay!$U$4+7,FALSE)),0)</f>
        <v>-</v>
      </c>
      <c r="R106" s="286" t="str">
        <f>IFERROR(VLOOKUP($O97&amp;Q106,downloads!$A$1:$E$1000,2,FALSE),"")</f>
        <v/>
      </c>
      <c r="S106" s="36" t="str">
        <f t="shared" si="32"/>
        <v/>
      </c>
      <c r="T106" s="233"/>
      <c r="U106" s="265"/>
    </row>
    <row r="107" spans="1:21" ht="15.75" x14ac:dyDescent="0.35">
      <c r="B107" s="62">
        <v>9</v>
      </c>
      <c r="C107" s="34">
        <f>IFERROR(IF(T(C99)="",C99*11,C99&amp;C99),"-")</f>
        <v>44</v>
      </c>
      <c r="D107" s="286" t="str">
        <f>IFERROR(VLOOKUP($A97&amp;C107,downloads!$A$1:$E$1000,2,FALSE),"")</f>
        <v/>
      </c>
      <c r="E107" s="36" t="str">
        <f t="shared" si="30"/>
        <v>Macc</v>
      </c>
      <c r="F107" s="262"/>
      <c r="I107" s="62">
        <v>9</v>
      </c>
      <c r="J107" s="34">
        <f>IFERROR(IF(T(J99)="",J99*11,J99&amp;J99),"-")</f>
        <v>11</v>
      </c>
      <c r="K107" s="286" t="str">
        <f>IFERROR(VLOOKUP($H97&amp;J107,downloads!$A$1:$E$1000,2,FALSE),"")</f>
        <v>Malkia HENRY</v>
      </c>
      <c r="L107" s="36" t="str">
        <f t="shared" si="31"/>
        <v>C&amp;N</v>
      </c>
      <c r="M107" s="262">
        <v>12.62</v>
      </c>
      <c r="P107" s="62">
        <v>9</v>
      </c>
      <c r="Q107" s="34">
        <f>IFERROR(IF(T(Q99)="",Q99*11,Q99&amp;Q99),"-")</f>
        <v>0</v>
      </c>
      <c r="R107" s="286" t="str">
        <f>IFERROR(VLOOKUP($O97&amp;Q107,downloads!$A$1:$E$1000,2,FALSE),"")</f>
        <v/>
      </c>
      <c r="S107" s="36" t="str">
        <f t="shared" si="32"/>
        <v>-</v>
      </c>
      <c r="T107" s="233"/>
      <c r="U107" s="265"/>
    </row>
    <row r="108" spans="1:21" ht="15.75" x14ac:dyDescent="0.35">
      <c r="B108" s="62">
        <v>10</v>
      </c>
      <c r="C108" s="34">
        <f t="shared" ref="C108:C114" si="33">IFERROR(IF(T(C100)="",C100*11,C100&amp;C100),"-")</f>
        <v>11</v>
      </c>
      <c r="D108" s="286" t="str">
        <f>IFERROR(VLOOKUP($A97&amp;C108,downloads!$A$1:$E$1000,2,FALSE),"")</f>
        <v>Bella VARLEY</v>
      </c>
      <c r="E108" s="36" t="str">
        <f t="shared" si="30"/>
        <v>C&amp;N</v>
      </c>
      <c r="F108" s="262">
        <v>6.49</v>
      </c>
      <c r="I108" s="62">
        <v>10</v>
      </c>
      <c r="J108" s="34">
        <f t="shared" ref="J108:J114" si="34">IFERROR(IF(T(J100)="",J100*11,J100&amp;J100),"-")</f>
        <v>22</v>
      </c>
      <c r="K108" s="286" t="str">
        <f>IFERROR(VLOOKUP($H97&amp;J108,downloads!$A$1:$E$1000,2,FALSE),"")</f>
        <v>Demi BAXTER</v>
      </c>
      <c r="L108" s="36" t="str">
        <f t="shared" si="31"/>
        <v>ECHT</v>
      </c>
      <c r="M108" s="233">
        <v>12.17</v>
      </c>
      <c r="P108" s="62">
        <v>10</v>
      </c>
      <c r="Q108" s="34">
        <f t="shared" ref="Q108:Q114" si="35">IFERROR(IF(T(Q100)="",Q100*11,Q100&amp;Q100),"-")</f>
        <v>0</v>
      </c>
      <c r="R108" s="286" t="str">
        <f>IFERROR(VLOOKUP($O97&amp;Q108,downloads!$A$1:$E$1000,2,FALSE),"")</f>
        <v/>
      </c>
      <c r="S108" s="36" t="str">
        <f t="shared" si="32"/>
        <v>-</v>
      </c>
      <c r="T108" s="233"/>
      <c r="U108" s="265"/>
    </row>
    <row r="109" spans="1:21" ht="15.75" x14ac:dyDescent="0.35">
      <c r="B109" s="62">
        <v>11</v>
      </c>
      <c r="C109" s="34">
        <f t="shared" si="33"/>
        <v>55</v>
      </c>
      <c r="D109" s="286" t="str">
        <f>IFERROR(VLOOKUP($A97&amp;C109,downloads!$A$1:$E$1000,2,FALSE),"")</f>
        <v>Krista JONES</v>
      </c>
      <c r="E109" s="36" t="str">
        <f t="shared" si="30"/>
        <v>Menai</v>
      </c>
      <c r="F109" s="233">
        <v>5.54</v>
      </c>
      <c r="I109" s="62">
        <v>11</v>
      </c>
      <c r="J109" s="34">
        <f t="shared" si="34"/>
        <v>66</v>
      </c>
      <c r="K109" s="286" t="str">
        <f>IFERROR(VLOOKUP($H97&amp;J109,downloads!$A$1:$E$1000,2,FALSE),"")</f>
        <v/>
      </c>
      <c r="L109" s="36" t="str">
        <f t="shared" si="31"/>
        <v>Stock</v>
      </c>
      <c r="M109" s="233"/>
      <c r="P109" s="62">
        <v>11</v>
      </c>
      <c r="Q109" s="34">
        <f t="shared" si="35"/>
        <v>0</v>
      </c>
      <c r="R109" s="286" t="str">
        <f>IFERROR(VLOOKUP($O97&amp;Q109,downloads!$A$1:$E$1000,2,FALSE),"")</f>
        <v/>
      </c>
      <c r="S109" s="36" t="str">
        <f t="shared" si="32"/>
        <v>-</v>
      </c>
      <c r="T109" s="233"/>
      <c r="U109" s="265"/>
    </row>
    <row r="110" spans="1:21" ht="15.75" x14ac:dyDescent="0.35">
      <c r="B110" s="62">
        <v>12</v>
      </c>
      <c r="C110" s="34">
        <f t="shared" si="33"/>
        <v>77</v>
      </c>
      <c r="D110" s="286" t="str">
        <f>IFERROR(VLOOKUP($A97&amp;C110,downloads!$A$1:$E$1000,2,FALSE),"")</f>
        <v>Lucy STRETTON</v>
      </c>
      <c r="E110" s="36" t="str">
        <f t="shared" si="30"/>
        <v>Wigan</v>
      </c>
      <c r="F110" s="233">
        <v>5.72</v>
      </c>
      <c r="I110" s="62">
        <v>12</v>
      </c>
      <c r="J110" s="34">
        <f t="shared" si="34"/>
        <v>77</v>
      </c>
      <c r="K110" s="286" t="str">
        <f>IFERROR(VLOOKUP($H97&amp;J110,downloads!$A$1:$E$1000,2,FALSE),"")</f>
        <v>Grace HARRIS</v>
      </c>
      <c r="L110" s="36" t="str">
        <f t="shared" si="31"/>
        <v>Wigan</v>
      </c>
      <c r="M110" s="233">
        <v>3.9</v>
      </c>
      <c r="P110" s="62">
        <v>12</v>
      </c>
      <c r="Q110" s="34">
        <f t="shared" si="35"/>
        <v>0</v>
      </c>
      <c r="R110" s="286" t="str">
        <f>IFERROR(VLOOKUP($O97&amp;Q110,downloads!$A$1:$E$1000,2,FALSE),"")</f>
        <v/>
      </c>
      <c r="S110" s="36" t="str">
        <f t="shared" si="32"/>
        <v>-</v>
      </c>
      <c r="T110" s="233"/>
      <c r="U110" s="265"/>
    </row>
    <row r="111" spans="1:21" ht="15.75" x14ac:dyDescent="0.35">
      <c r="B111" s="62">
        <v>13</v>
      </c>
      <c r="C111" s="34">
        <f t="shared" si="33"/>
        <v>33</v>
      </c>
      <c r="D111" s="286" t="str">
        <f>IFERROR(VLOOKUP($A97&amp;C111,downloads!$A$1:$E$1000,2,FALSE),"")</f>
        <v>Olivia COPPER</v>
      </c>
      <c r="E111" s="36" t="str">
        <f t="shared" si="30"/>
        <v>Leigh</v>
      </c>
      <c r="F111" s="233">
        <v>6.11</v>
      </c>
      <c r="I111" s="62">
        <v>13</v>
      </c>
      <c r="J111" s="34">
        <f t="shared" si="34"/>
        <v>33</v>
      </c>
      <c r="K111" s="286" t="str">
        <f>IFERROR(VLOOKUP($H97&amp;J111,downloads!$A$1:$E$1000,2,FALSE),"")</f>
        <v>Aniko BEHARRIE</v>
      </c>
      <c r="L111" s="36" t="str">
        <f t="shared" si="31"/>
        <v>Leigh</v>
      </c>
      <c r="M111" s="233">
        <v>13.7</v>
      </c>
      <c r="P111" s="62">
        <v>13</v>
      </c>
      <c r="Q111" s="34">
        <f t="shared" si="35"/>
        <v>0</v>
      </c>
      <c r="R111" s="286" t="str">
        <f>IFERROR(VLOOKUP($O97&amp;Q111,downloads!$A$1:$E$1000,2,FALSE),"")</f>
        <v/>
      </c>
      <c r="S111" s="36" t="str">
        <f t="shared" si="32"/>
        <v>-</v>
      </c>
      <c r="T111" s="233"/>
      <c r="U111" s="265"/>
    </row>
    <row r="112" spans="1:21" ht="15.75" x14ac:dyDescent="0.35">
      <c r="B112" s="62">
        <v>14</v>
      </c>
      <c r="C112" s="34">
        <f t="shared" si="33"/>
        <v>66</v>
      </c>
      <c r="D112" s="286" t="str">
        <f>IFERROR(VLOOKUP($A97&amp;C112,downloads!$A$1:$E$1000,2,FALSE),"")</f>
        <v/>
      </c>
      <c r="E112" s="36" t="str">
        <f t="shared" si="30"/>
        <v>Stock</v>
      </c>
      <c r="F112" s="233"/>
      <c r="I112" s="62">
        <v>14</v>
      </c>
      <c r="J112" s="34">
        <f t="shared" si="34"/>
        <v>44</v>
      </c>
      <c r="K112" s="286" t="str">
        <f>IFERROR(VLOOKUP($H97&amp;J112,downloads!$A$1:$E$1000,2,FALSE),"")</f>
        <v>Charlotte RHODES</v>
      </c>
      <c r="L112" s="36" t="str">
        <f t="shared" si="31"/>
        <v>Macc</v>
      </c>
      <c r="M112" s="233">
        <v>3.15</v>
      </c>
      <c r="P112" s="62">
        <v>14</v>
      </c>
      <c r="Q112" s="34">
        <f t="shared" si="35"/>
        <v>0</v>
      </c>
      <c r="R112" s="286" t="str">
        <f>IFERROR(VLOOKUP($O97&amp;Q112,downloads!$A$1:$E$1000,2,FALSE),"")</f>
        <v/>
      </c>
      <c r="S112" s="36" t="str">
        <f t="shared" si="32"/>
        <v>-</v>
      </c>
      <c r="T112" s="233"/>
      <c r="U112" s="265"/>
    </row>
    <row r="113" spans="1:21" ht="15.75" x14ac:dyDescent="0.35">
      <c r="B113" s="62">
        <v>15</v>
      </c>
      <c r="C113" s="34">
        <f t="shared" si="33"/>
        <v>22</v>
      </c>
      <c r="D113" s="286" t="str">
        <f>IFERROR(VLOOKUP($A97&amp;C113,downloads!$A$1:$E$1000,2,FALSE),"")</f>
        <v>Lily-grace POOLE</v>
      </c>
      <c r="E113" s="36" t="str">
        <f t="shared" si="30"/>
        <v>ECHT</v>
      </c>
      <c r="F113" s="233"/>
      <c r="I113" s="62">
        <v>15</v>
      </c>
      <c r="J113" s="34">
        <f t="shared" si="34"/>
        <v>55</v>
      </c>
      <c r="K113" s="286" t="str">
        <f>IFERROR(VLOOKUP($H97&amp;J113,downloads!$A$1:$E$1000,2,FALSE),"")</f>
        <v/>
      </c>
      <c r="L113" s="36" t="str">
        <f t="shared" si="31"/>
        <v>Menai</v>
      </c>
      <c r="M113" s="233"/>
      <c r="P113" s="62">
        <v>15</v>
      </c>
      <c r="Q113" s="34">
        <f t="shared" si="35"/>
        <v>0</v>
      </c>
      <c r="R113" s="286" t="str">
        <f>IFERROR(VLOOKUP($O97&amp;Q113,downloads!$A$1:$E$1000,2,FALSE),"")</f>
        <v/>
      </c>
      <c r="S113" s="36" t="str">
        <f t="shared" si="32"/>
        <v>-</v>
      </c>
      <c r="T113" s="233"/>
      <c r="U113" s="265"/>
    </row>
    <row r="114" spans="1:21" ht="15.75" x14ac:dyDescent="0.35">
      <c r="B114" s="62">
        <v>16</v>
      </c>
      <c r="C114" s="34" t="str">
        <f t="shared" si="33"/>
        <v>--</v>
      </c>
      <c r="D114" s="286" t="str">
        <f>IFERROR(VLOOKUP($A97&amp;C114,downloads!$A$1:$E$1000,2,FALSE),"")</f>
        <v/>
      </c>
      <c r="E114" s="36" t="str">
        <f t="shared" si="30"/>
        <v>-</v>
      </c>
      <c r="F114" s="233"/>
      <c r="I114" s="62">
        <v>16</v>
      </c>
      <c r="J114" s="34" t="str">
        <f t="shared" si="34"/>
        <v>--</v>
      </c>
      <c r="K114" s="286" t="str">
        <f>IFERROR(VLOOKUP($H97&amp;J114,downloads!$A$1:$E$1000,2,FALSE),"")</f>
        <v/>
      </c>
      <c r="L114" s="36" t="str">
        <f t="shared" si="31"/>
        <v>-</v>
      </c>
      <c r="M114" s="233"/>
      <c r="P114" s="62">
        <v>16</v>
      </c>
      <c r="Q114" s="34" t="str">
        <f t="shared" si="35"/>
        <v>--</v>
      </c>
      <c r="R114" s="286" t="str">
        <f>IFERROR(VLOOKUP($O97&amp;Q114,downloads!$A$1:$E$1000,2,FALSE),"")</f>
        <v/>
      </c>
      <c r="S114" s="36" t="str">
        <f t="shared" si="32"/>
        <v>-</v>
      </c>
      <c r="T114" s="233"/>
      <c r="U114" s="265"/>
    </row>
    <row r="116" spans="1:21" x14ac:dyDescent="0.3">
      <c r="A116" s="32" t="str">
        <f>IFERROR(IF(LEFT(MatchDay!$C$2,1)="L","L"&amp;#REF!,"U"&amp;#REF!),"")</f>
        <v/>
      </c>
      <c r="B116" s="94" t="str">
        <f>IFERROR(#REF!&amp;" "&amp;VLOOKUP(A116,Timetables!$A:$G,3,FALSE)&amp;" "&amp;VLOOKUP(A116,Timetables!$A:$G,2,FALSE),"")</f>
        <v/>
      </c>
      <c r="H116" s="32" t="str">
        <f>IFERROR(IF(LEFT(MatchDay!$C$2,1)="L","L"&amp;#REF!,"U"&amp;#REF!),"")</f>
        <v/>
      </c>
      <c r="I116" s="94" t="str">
        <f>IFERROR(#REF!&amp;" "&amp;VLOOKUP(H116,Timetables!$A:$G,3,FALSE)&amp;" "&amp;VLOOKUP(H116,Timetables!$A:$G,2,FALSE),"")</f>
        <v/>
      </c>
      <c r="M116" s="63"/>
      <c r="O116" s="32" t="str">
        <f>IFERROR(IF(LEFT(MatchDay!$C$2,1)="L","L"&amp;#REF!,"U"&amp;#REF!),"")</f>
        <v/>
      </c>
      <c r="P116" s="94" t="str">
        <f>IFERROR(#REF!&amp;" "&amp;VLOOKUP(O116,Timetables!$A:$G,3,FALSE)&amp;" "&amp;VLOOKUP(O116,Timetables!$A:$G,2,FALSE),"")</f>
        <v/>
      </c>
      <c r="T116" s="63"/>
    </row>
    <row r="118" spans="1:21" x14ac:dyDescent="0.3">
      <c r="A118" s="32"/>
      <c r="B118" s="94"/>
      <c r="H118" s="32"/>
      <c r="I118" s="94"/>
      <c r="M118" s="63"/>
      <c r="O118" s="32"/>
      <c r="P118" s="94"/>
      <c r="T118" s="63"/>
    </row>
    <row r="119" spans="1:21" x14ac:dyDescent="0.3">
      <c r="A119" s="33"/>
      <c r="C119" s="62"/>
      <c r="H119" s="33"/>
      <c r="I119" s="62"/>
      <c r="J119" s="62"/>
      <c r="M119" s="63"/>
      <c r="O119" s="33"/>
      <c r="P119" s="62"/>
      <c r="Q119" s="62"/>
      <c r="T119" s="63"/>
    </row>
    <row r="120" spans="1:21" x14ac:dyDescent="0.3">
      <c r="C120" s="35"/>
      <c r="E120" s="36"/>
      <c r="I120" s="62"/>
      <c r="J120" s="35"/>
      <c r="L120" s="36"/>
      <c r="M120" s="63"/>
      <c r="P120" s="62"/>
      <c r="Q120" s="35"/>
      <c r="S120" s="36"/>
      <c r="T120" s="63"/>
    </row>
    <row r="121" spans="1:21" x14ac:dyDescent="0.3">
      <c r="C121" s="35"/>
      <c r="E121" s="36"/>
      <c r="I121" s="62"/>
      <c r="J121" s="35"/>
      <c r="L121" s="36"/>
      <c r="M121" s="63"/>
      <c r="P121" s="62"/>
      <c r="Q121" s="35"/>
      <c r="S121" s="36"/>
      <c r="T121" s="63"/>
    </row>
    <row r="122" spans="1:21" x14ac:dyDescent="0.3">
      <c r="C122" s="35"/>
      <c r="E122" s="36"/>
      <c r="I122" s="62"/>
      <c r="J122" s="35"/>
      <c r="L122" s="36"/>
      <c r="M122" s="63"/>
      <c r="P122" s="62"/>
      <c r="Q122" s="35"/>
      <c r="S122" s="36"/>
      <c r="T122" s="63"/>
    </row>
    <row r="123" spans="1:21" x14ac:dyDescent="0.3">
      <c r="C123" s="35"/>
      <c r="E123" s="36"/>
      <c r="I123" s="62"/>
      <c r="J123" s="35"/>
      <c r="L123" s="36"/>
      <c r="M123" s="63"/>
      <c r="P123" s="62"/>
      <c r="Q123" s="35"/>
      <c r="S123" s="36"/>
      <c r="T123" s="63"/>
    </row>
    <row r="124" spans="1:21" x14ac:dyDescent="0.3">
      <c r="C124" s="35"/>
      <c r="E124" s="36"/>
      <c r="I124" s="62"/>
      <c r="J124" s="35"/>
      <c r="L124" s="36"/>
      <c r="M124" s="63"/>
      <c r="P124" s="62"/>
      <c r="Q124" s="35"/>
      <c r="S124" s="36"/>
      <c r="T124" s="63"/>
    </row>
    <row r="125" spans="1:21" x14ac:dyDescent="0.3">
      <c r="C125" s="35"/>
      <c r="E125" s="36"/>
      <c r="I125" s="62"/>
      <c r="J125" s="35"/>
      <c r="L125" s="36"/>
      <c r="M125" s="63"/>
      <c r="P125" s="62"/>
      <c r="Q125" s="35"/>
      <c r="S125" s="36"/>
      <c r="T125" s="63"/>
    </row>
    <row r="126" spans="1:21" x14ac:dyDescent="0.3">
      <c r="C126" s="35"/>
      <c r="E126" s="36"/>
      <c r="I126" s="62"/>
      <c r="J126" s="35"/>
      <c r="L126" s="36"/>
      <c r="M126" s="63"/>
      <c r="P126" s="62"/>
      <c r="Q126" s="35"/>
      <c r="S126" s="36"/>
      <c r="T126" s="63"/>
    </row>
    <row r="127" spans="1:21" x14ac:dyDescent="0.3">
      <c r="C127" s="35"/>
      <c r="E127" s="36"/>
      <c r="I127" s="62"/>
      <c r="J127" s="35"/>
      <c r="L127" s="36"/>
      <c r="M127" s="63"/>
      <c r="P127" s="62"/>
      <c r="Q127" s="35"/>
      <c r="S127" s="36"/>
      <c r="T127" s="63"/>
    </row>
    <row r="128" spans="1:21" x14ac:dyDescent="0.3">
      <c r="C128" s="35"/>
      <c r="E128" s="36"/>
      <c r="I128" s="62"/>
      <c r="J128" s="35"/>
      <c r="L128" s="36"/>
      <c r="M128" s="63"/>
      <c r="P128" s="62"/>
      <c r="Q128" s="35"/>
      <c r="S128" s="36"/>
      <c r="T128" s="63"/>
    </row>
    <row r="129" spans="3:20" x14ac:dyDescent="0.3">
      <c r="C129" s="35"/>
      <c r="E129" s="36"/>
      <c r="I129" s="62"/>
      <c r="J129" s="35"/>
      <c r="L129" s="36"/>
      <c r="M129" s="63"/>
      <c r="P129" s="62"/>
      <c r="Q129" s="35"/>
      <c r="S129" s="36"/>
      <c r="T129" s="63"/>
    </row>
    <row r="130" spans="3:20" x14ac:dyDescent="0.3">
      <c r="C130" s="35"/>
      <c r="E130" s="36"/>
      <c r="I130" s="62"/>
      <c r="J130" s="35"/>
      <c r="L130" s="36"/>
      <c r="M130" s="63"/>
      <c r="P130" s="62"/>
      <c r="Q130" s="35"/>
      <c r="S130" s="36"/>
      <c r="T130" s="63"/>
    </row>
    <row r="131" spans="3:20" x14ac:dyDescent="0.3">
      <c r="C131" s="35"/>
      <c r="E131" s="36"/>
      <c r="I131" s="62"/>
      <c r="J131" s="35"/>
      <c r="L131" s="36"/>
      <c r="M131" s="63"/>
      <c r="P131" s="62"/>
      <c r="Q131" s="35"/>
      <c r="S131" s="36"/>
      <c r="T131" s="63"/>
    </row>
    <row r="132" spans="3:20" x14ac:dyDescent="0.3">
      <c r="C132" s="35"/>
      <c r="E132" s="36"/>
      <c r="I132" s="62"/>
      <c r="J132" s="35"/>
      <c r="L132" s="36"/>
      <c r="M132" s="63"/>
      <c r="P132" s="62"/>
      <c r="Q132" s="35"/>
      <c r="S132" s="36"/>
      <c r="T132" s="63"/>
    </row>
    <row r="133" spans="3:20" x14ac:dyDescent="0.3">
      <c r="C133" s="35"/>
      <c r="E133" s="36"/>
      <c r="I133" s="62"/>
      <c r="J133" s="35"/>
      <c r="L133" s="36"/>
      <c r="M133" s="63"/>
      <c r="P133" s="62"/>
      <c r="Q133" s="35"/>
      <c r="S133" s="36"/>
      <c r="T133" s="63"/>
    </row>
    <row r="134" spans="3:20" x14ac:dyDescent="0.3">
      <c r="C134" s="35"/>
      <c r="E134" s="36"/>
      <c r="I134" s="62"/>
      <c r="J134" s="35"/>
      <c r="L134" s="36"/>
      <c r="M134" s="63"/>
      <c r="P134" s="62"/>
      <c r="Q134" s="35"/>
      <c r="S134" s="36"/>
      <c r="T134" s="63"/>
    </row>
    <row r="135" spans="3:20" x14ac:dyDescent="0.3">
      <c r="C135" s="35"/>
      <c r="E135" s="36"/>
      <c r="I135" s="62"/>
      <c r="J135" s="35"/>
      <c r="L135" s="36"/>
      <c r="M135" s="63"/>
      <c r="P135" s="62"/>
      <c r="Q135" s="35"/>
      <c r="S135" s="36"/>
      <c r="T135" s="63"/>
    </row>
  </sheetData>
  <sheetProtection algorithmName="SHA-512" hashValue="Hwnl7lM3BgkgpvTAJLH6YmE3PRhd7/ZrAeSYRDFEb1uHuohWzOzfmOEZ4cq/lcMkJp/BEPzP1oQPbXEma4LZfQ==" saltValue="ZGxMt685EC16jatc5aTp0g==" spinCount="100000" sheet="1" objects="1" scenarios="1" formatCells="0" formatColumns="0" formatRows="0" sort="0" autoFilter="0"/>
  <conditionalFormatting sqref="F4:F19">
    <cfRule type="duplicateValues" dxfId="26" priority="28"/>
  </conditionalFormatting>
  <conditionalFormatting sqref="M4:M19">
    <cfRule type="duplicateValues" dxfId="25" priority="27"/>
  </conditionalFormatting>
  <conditionalFormatting sqref="T4:T20">
    <cfRule type="duplicateValues" dxfId="24" priority="26"/>
  </conditionalFormatting>
  <conditionalFormatting sqref="F23:F38">
    <cfRule type="duplicateValues" dxfId="23" priority="15"/>
  </conditionalFormatting>
  <conditionalFormatting sqref="F42:F57">
    <cfRule type="duplicateValues" dxfId="22" priority="14"/>
  </conditionalFormatting>
  <conditionalFormatting sqref="F61:F76">
    <cfRule type="duplicateValues" dxfId="21" priority="13"/>
  </conditionalFormatting>
  <conditionalFormatting sqref="F80:F95">
    <cfRule type="duplicateValues" dxfId="20" priority="12"/>
  </conditionalFormatting>
  <conditionalFormatting sqref="F99:F114">
    <cfRule type="duplicateValues" dxfId="19" priority="11"/>
  </conditionalFormatting>
  <conditionalFormatting sqref="M23:M38">
    <cfRule type="duplicateValues" dxfId="18" priority="10"/>
  </conditionalFormatting>
  <conditionalFormatting sqref="M42:M57">
    <cfRule type="duplicateValues" dxfId="17" priority="9"/>
  </conditionalFormatting>
  <conditionalFormatting sqref="M61:M76">
    <cfRule type="duplicateValues" dxfId="16" priority="8"/>
  </conditionalFormatting>
  <conditionalFormatting sqref="M80:M95">
    <cfRule type="duplicateValues" dxfId="15" priority="7"/>
  </conditionalFormatting>
  <conditionalFormatting sqref="M99:M114">
    <cfRule type="duplicateValues" dxfId="14" priority="6"/>
  </conditionalFormatting>
  <conditionalFormatting sqref="T23:T38">
    <cfRule type="duplicateValues" dxfId="13" priority="5"/>
  </conditionalFormatting>
  <conditionalFormatting sqref="T42:T57">
    <cfRule type="duplicateValues" dxfId="12" priority="4"/>
  </conditionalFormatting>
  <conditionalFormatting sqref="T61:T76">
    <cfRule type="duplicateValues" dxfId="11" priority="3"/>
  </conditionalFormatting>
  <conditionalFormatting sqref="T80:T95">
    <cfRule type="duplicateValues" dxfId="10" priority="2"/>
  </conditionalFormatting>
  <conditionalFormatting sqref="T99:T114">
    <cfRule type="duplicateValues" dxfId="9" priority="1"/>
  </conditionalFormatting>
  <dataValidations count="1">
    <dataValidation type="custom" allowBlank="1" showInputMessage="1" showErrorMessage="1" errorTitle="Field Performance" error="Input not allowed.  Please enter a value for the performance or X for a foul instead of NJ, NT, NP, NMR, NHC etc" promptTitle="Distance Card Input" prompt="Enter either a numeric value or an X instead of NJ, NT etc.  Enter 99 if event cancelled or 98 if no competitors declared" sqref="F80:F95 F4:F19 M61:M76 M4:M19 M80:M96 T4:U19 F99:F114 F23:F38 M99:M114 M23:M38 F42:F57 T23:U38 M42:M57 F61:F76 T42:U57 T61:U76 T80:U95 T99:U114" xr:uid="{00000000-0002-0000-0B00-000000000000}">
      <formula1>OR(F4="X",T(F4)="")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>
    <tabColor theme="7" tint="-0.249977111117893"/>
  </sheetPr>
  <dimension ref="A1:AF43"/>
  <sheetViews>
    <sheetView showZeros="0" topLeftCell="B2" workbookViewId="0">
      <selection activeCell="O6" sqref="O6"/>
    </sheetView>
  </sheetViews>
  <sheetFormatPr defaultColWidth="8.7109375" defaultRowHeight="15" x14ac:dyDescent="0.3"/>
  <cols>
    <col min="1" max="1" width="6.7109375" style="62" hidden="1" customWidth="1"/>
    <col min="2" max="3" width="4.7109375" style="62" customWidth="1"/>
    <col min="4" max="4" width="4.7109375" style="59" customWidth="1"/>
    <col min="5" max="5" width="20.7109375" style="59" customWidth="1"/>
    <col min="6" max="6" width="10.5703125" style="59" bestFit="1" customWidth="1"/>
    <col min="7" max="7" width="7.7109375" style="63" customWidth="1"/>
    <col min="8" max="8" width="2.7109375" style="59" customWidth="1"/>
    <col min="9" max="9" width="6.7109375" style="62" hidden="1" customWidth="1"/>
    <col min="10" max="12" width="4.7109375" style="59" customWidth="1"/>
    <col min="13" max="13" width="20.7109375" style="59" customWidth="1"/>
    <col min="14" max="14" width="10.5703125" style="59" bestFit="1" customWidth="1"/>
    <col min="15" max="15" width="7.7109375" style="62" customWidth="1"/>
    <col min="16" max="16" width="2.7109375" style="59" customWidth="1"/>
    <col min="17" max="17" width="6.7109375" style="62" hidden="1" customWidth="1"/>
    <col min="18" max="20" width="4.7109375" style="59" customWidth="1"/>
    <col min="21" max="21" width="20.7109375" style="59" customWidth="1"/>
    <col min="22" max="22" width="10.5703125" style="59" bestFit="1" customWidth="1"/>
    <col min="23" max="23" width="7.7109375" style="62" customWidth="1"/>
    <col min="24" max="24" width="8.7109375" style="62" hidden="1" customWidth="1"/>
    <col min="25" max="27" width="8.7109375" style="59" hidden="1" customWidth="1"/>
    <col min="28" max="30" width="4.7109375" style="62" hidden="1" customWidth="1"/>
    <col min="31" max="32" width="8.7109375" style="59" hidden="1" customWidth="1"/>
    <col min="33" max="33" width="0" style="59" hidden="1" customWidth="1"/>
    <col min="34" max="16384" width="8.7109375" style="59"/>
  </cols>
  <sheetData>
    <row r="1" spans="1:30" hidden="1" x14ac:dyDescent="0.3"/>
    <row r="2" spans="1:30" x14ac:dyDescent="0.3">
      <c r="A2" s="32" t="s">
        <v>180</v>
      </c>
      <c r="B2" s="94" t="str">
        <f>IFERROR(VLOOKUP(A2,Timetables!$A:$G,3,FALSE)&amp;" "&amp;VLOOKUP(A2,Timetables!$A:$G,2,FALSE),"")</f>
        <v>U15 Girls High Jump</v>
      </c>
      <c r="I2" s="32" t="s">
        <v>181</v>
      </c>
      <c r="J2" s="94" t="str">
        <f>IFERROR(VLOOKUP(I2,Timetables!$A:$G,3,FALSE)&amp;" "&amp;VLOOKUP(I2,Timetables!$A:$G,2,FALSE),"")</f>
        <v>U13 Boys High Jump</v>
      </c>
      <c r="O2" s="63"/>
      <c r="Q2" s="32" t="s">
        <v>185</v>
      </c>
      <c r="R2" s="94" t="str">
        <f>IFERROR(VLOOKUP(Q2,Timetables!$A:$G,3,FALSE)&amp;" "&amp;VLOOKUP(Q2,Timetables!$A:$G,2,FALSE),"")</f>
        <v>U13 Girls High Jump</v>
      </c>
      <c r="W2" s="63"/>
    </row>
    <row r="3" spans="1:30" x14ac:dyDescent="0.3">
      <c r="A3" s="33"/>
      <c r="B3" s="62" t="s">
        <v>122</v>
      </c>
      <c r="C3" s="62" t="s">
        <v>177</v>
      </c>
      <c r="D3" s="62" t="s">
        <v>141</v>
      </c>
      <c r="E3" s="59" t="s">
        <v>174</v>
      </c>
      <c r="F3" s="59" t="s">
        <v>175</v>
      </c>
      <c r="G3" s="63" t="s">
        <v>176</v>
      </c>
      <c r="I3" s="33"/>
      <c r="J3" s="62" t="s">
        <v>122</v>
      </c>
      <c r="K3" s="62" t="s">
        <v>177</v>
      </c>
      <c r="L3" s="62" t="s">
        <v>141</v>
      </c>
      <c r="M3" s="59" t="s">
        <v>174</v>
      </c>
      <c r="N3" s="59" t="s">
        <v>175</v>
      </c>
      <c r="O3" s="63" t="s">
        <v>176</v>
      </c>
      <c r="Q3" s="33"/>
      <c r="R3" s="62" t="s">
        <v>122</v>
      </c>
      <c r="S3" s="62" t="s">
        <v>177</v>
      </c>
      <c r="T3" s="62" t="s">
        <v>141</v>
      </c>
      <c r="U3" s="59" t="s">
        <v>174</v>
      </c>
      <c r="V3" s="59" t="s">
        <v>175</v>
      </c>
      <c r="W3" s="63" t="s">
        <v>176</v>
      </c>
      <c r="AA3" s="59" t="s">
        <v>272</v>
      </c>
      <c r="AB3" s="62" t="s">
        <v>280</v>
      </c>
      <c r="AC3" s="62" t="s">
        <v>172</v>
      </c>
      <c r="AD3" s="62">
        <v>4</v>
      </c>
    </row>
    <row r="4" spans="1:30" ht="15.75" x14ac:dyDescent="0.35">
      <c r="A4" s="62" t="s">
        <v>171</v>
      </c>
      <c r="B4" s="62">
        <v>1</v>
      </c>
      <c r="C4" s="110">
        <v>3</v>
      </c>
      <c r="D4" s="34">
        <f>IFERROR(IF(B4&gt;MatchDay!$U$2,"-",VLOOKUP(A2,timetables,MatchDay!$U$4,FALSE)),0)</f>
        <v>1</v>
      </c>
      <c r="E4" s="286" t="str">
        <f>IFERROR(VLOOKUP($A2&amp;D4,downloads!$A$1:$E$1000,2,FALSE),"")</f>
        <v>Olivia WELCH</v>
      </c>
      <c r="F4" s="36" t="str">
        <f t="shared" ref="F4:F19" si="0">IFERROR(VLOOKUP(D4,teamlookup,5,FALSE),"-")</f>
        <v>C&amp;N</v>
      </c>
      <c r="G4" s="262">
        <v>1.35</v>
      </c>
      <c r="I4" s="62" t="s">
        <v>169</v>
      </c>
      <c r="J4" s="62">
        <v>1</v>
      </c>
      <c r="K4" s="110">
        <v>5</v>
      </c>
      <c r="L4" s="34">
        <f>IFERROR(IF(J4&gt;MatchDay!$U$2,"-",VLOOKUP(I2,timetables,MatchDay!$U$4,FALSE)),0)</f>
        <v>1</v>
      </c>
      <c r="M4" s="286" t="str">
        <f>IFERROR(VLOOKUP($I$2&amp;L4,downloads!$A$1:$I$1000,2,FALSE),"")</f>
        <v>Ewan DAVIES</v>
      </c>
      <c r="N4" s="36" t="str">
        <f t="shared" ref="N4:N19" si="1">IFERROR(VLOOKUP(L4,teamlookup,5,FALSE),"-")</f>
        <v>C&amp;N</v>
      </c>
      <c r="O4" s="233">
        <v>1.2</v>
      </c>
      <c r="Q4" s="62" t="s">
        <v>159</v>
      </c>
      <c r="R4" s="62">
        <v>1</v>
      </c>
      <c r="S4" s="110">
        <v>6</v>
      </c>
      <c r="T4" s="34">
        <f>IFERROR(IF(R4&gt;MatchDay!$U$2,"-",VLOOKUP(Q2,timetables,MatchDay!$U$4,FALSE)),0)</f>
        <v>1</v>
      </c>
      <c r="U4" s="286" t="str">
        <f>IFERROR(VLOOKUP($Q$2&amp;T4,downloads!$A$1:$O$1000,2,FALSE),"")</f>
        <v>Jasmine COOPER</v>
      </c>
      <c r="V4" s="36" t="str">
        <f t="shared" ref="V4:V19" si="2">IFERROR(VLOOKUP(T4,teamlookup,5,FALSE),"-")</f>
        <v>C&amp;N</v>
      </c>
      <c r="W4" s="262">
        <v>1.1000000000000001</v>
      </c>
      <c r="AA4" s="59" t="s">
        <v>273</v>
      </c>
      <c r="AB4" s="62" t="s">
        <v>167</v>
      </c>
      <c r="AC4" s="62" t="s">
        <v>163</v>
      </c>
      <c r="AD4" s="62">
        <v>4</v>
      </c>
    </row>
    <row r="5" spans="1:30" ht="15.75" x14ac:dyDescent="0.35">
      <c r="A5" s="62">
        <v>4</v>
      </c>
      <c r="B5" s="62">
        <v>2</v>
      </c>
      <c r="C5" s="110"/>
      <c r="D5" s="34">
        <f>IFERROR(IF(B5&gt;MatchDay!$U$2,"-",VLOOKUP(A2,timetables,MatchDay!$U$4+1,FALSE)),0)</f>
        <v>2</v>
      </c>
      <c r="E5" s="286" t="str">
        <f>IFERROR(VLOOKUP($A2&amp;D5,downloads!$A$1:$E$1000,2,FALSE),"")</f>
        <v/>
      </c>
      <c r="F5" s="36" t="str">
        <f t="shared" si="0"/>
        <v>ECHT</v>
      </c>
      <c r="G5" s="233"/>
      <c r="I5" s="62">
        <f>A5</f>
        <v>4</v>
      </c>
      <c r="J5" s="62">
        <v>2</v>
      </c>
      <c r="K5" s="383">
        <v>3</v>
      </c>
      <c r="L5" s="34">
        <f>IFERROR(IF(J5&gt;MatchDay!$U$2,"-",VLOOKUP(I2,timetables,MatchDay!$U$4+1,FALSE)),0)</f>
        <v>2</v>
      </c>
      <c r="M5" s="286" t="str">
        <f>IFERROR(VLOOKUP($I$2&amp;L5,downloads!$A$1:$I$1000,2,FALSE),"")</f>
        <v>Ryan MCCARTHY</v>
      </c>
      <c r="N5" s="36" t="str">
        <f t="shared" si="1"/>
        <v>ECHT</v>
      </c>
      <c r="O5" s="233">
        <v>1.25</v>
      </c>
      <c r="Q5" s="62">
        <f>A5</f>
        <v>4</v>
      </c>
      <c r="R5" s="62">
        <v>2</v>
      </c>
      <c r="S5" s="110">
        <v>5.0999999999999996</v>
      </c>
      <c r="T5" s="34">
        <f>IFERROR(IF(R5&gt;MatchDay!$U$2,"-",VLOOKUP(Q2,timetables,MatchDay!$U$4+1,FALSE)),0)</f>
        <v>2</v>
      </c>
      <c r="U5" s="286" t="str">
        <f>IFERROR(VLOOKUP($Q$2&amp;T5,downloads!$A$1:$O$1000,2,FALSE),"")</f>
        <v>Imogen MCBURNIE</v>
      </c>
      <c r="V5" s="36" t="str">
        <f t="shared" si="2"/>
        <v>ECHT</v>
      </c>
      <c r="W5" s="358">
        <v>1.1000000000000001</v>
      </c>
      <c r="AA5" s="59" t="s">
        <v>274</v>
      </c>
      <c r="AB5" s="62" t="s">
        <v>281</v>
      </c>
      <c r="AC5" s="62" t="s">
        <v>162</v>
      </c>
      <c r="AD5" s="62">
        <v>4</v>
      </c>
    </row>
    <row r="6" spans="1:30" ht="15" customHeight="1" x14ac:dyDescent="0.35">
      <c r="A6" s="138"/>
      <c r="B6" s="62">
        <v>3</v>
      </c>
      <c r="C6" s="110"/>
      <c r="D6" s="34">
        <f>IFERROR(IF(B6&gt;MatchDay!$U$2,"-",VLOOKUP(A2,timetables,MatchDay!$U$4+2,FALSE)),0)</f>
        <v>6</v>
      </c>
      <c r="E6" s="286" t="str">
        <f>IFERROR(VLOOKUP($A2&amp;D6,downloads!$A$1:$E$1000,2,FALSE),"")</f>
        <v/>
      </c>
      <c r="F6" s="36" t="str">
        <f t="shared" si="0"/>
        <v>Stock</v>
      </c>
      <c r="G6" s="233"/>
      <c r="I6" s="138"/>
      <c r="J6" s="62">
        <v>3</v>
      </c>
      <c r="K6" s="110"/>
      <c r="L6" s="34">
        <f>IFERROR(IF(J6&gt;MatchDay!$U$2,"-",VLOOKUP(I2,timetables,MatchDay!$U$4+2,FALSE)),0)</f>
        <v>6</v>
      </c>
      <c r="M6" s="286" t="str">
        <f>IFERROR(VLOOKUP($I$2&amp;L6,downloads!$A$1:$I$1000,2,FALSE),"")</f>
        <v/>
      </c>
      <c r="N6" s="36" t="str">
        <f t="shared" si="1"/>
        <v>Stock</v>
      </c>
      <c r="O6" s="233"/>
      <c r="Q6" s="138"/>
      <c r="R6" s="62">
        <v>3</v>
      </c>
      <c r="S6" s="110"/>
      <c r="T6" s="34">
        <f>IFERROR(IF(R6&gt;MatchDay!$U$2,"-",VLOOKUP(Q2,timetables,MatchDay!$U$4+2,FALSE)),0)</f>
        <v>6</v>
      </c>
      <c r="U6" s="286" t="str">
        <f>IFERROR(VLOOKUP($Q$2&amp;T6,downloads!$A$1:$O$1000,2,FALSE),"")</f>
        <v/>
      </c>
      <c r="V6" s="36" t="str">
        <f t="shared" si="2"/>
        <v>Stock</v>
      </c>
      <c r="W6" s="358"/>
      <c r="AA6" s="59" t="s">
        <v>275</v>
      </c>
      <c r="AB6" s="62" t="s">
        <v>280</v>
      </c>
      <c r="AC6" s="62" t="s">
        <v>172</v>
      </c>
      <c r="AD6" s="62">
        <v>23</v>
      </c>
    </row>
    <row r="7" spans="1:30" ht="15.75" x14ac:dyDescent="0.35">
      <c r="B7" s="62">
        <v>4</v>
      </c>
      <c r="C7" s="383">
        <v>2</v>
      </c>
      <c r="D7" s="34">
        <f>IFERROR(IF(B7&gt;MatchDay!$U$2,"-",VLOOKUP(A2,timetables,MatchDay!$U$4+3,FALSE)),0)</f>
        <v>7</v>
      </c>
      <c r="E7" s="286" t="str">
        <f>IFERROR(VLOOKUP($A2&amp;D7,downloads!$A$1:$E$1000,2,FALSE),"")</f>
        <v>Lauren HEWITT</v>
      </c>
      <c r="F7" s="36" t="str">
        <f t="shared" si="0"/>
        <v>Wigan</v>
      </c>
      <c r="G7" s="233">
        <v>1.45</v>
      </c>
      <c r="J7" s="62">
        <v>4</v>
      </c>
      <c r="K7" s="110">
        <v>4</v>
      </c>
      <c r="L7" s="34">
        <f>IFERROR(IF(J7&gt;MatchDay!$U$2,"-",VLOOKUP(I2,timetables,MatchDay!$U$4+3,FALSE)),0)</f>
        <v>7</v>
      </c>
      <c r="M7" s="286" t="str">
        <f>IFERROR(VLOOKUP($I$2&amp;L7,downloads!$A$1:$I$1000,2,FALSE),"")</f>
        <v>Samuel HODGKINSON</v>
      </c>
      <c r="N7" s="36" t="str">
        <f t="shared" si="1"/>
        <v>Wigan</v>
      </c>
      <c r="O7" s="233">
        <v>1.25</v>
      </c>
      <c r="R7" s="62">
        <v>4</v>
      </c>
      <c r="S7" s="110">
        <v>3</v>
      </c>
      <c r="T7" s="34">
        <f>IFERROR(IF(R7&gt;MatchDay!$U$2,"-",VLOOKUP(Q2,timetables,MatchDay!$U$4+3,FALSE)),0)</f>
        <v>7</v>
      </c>
      <c r="U7" s="286" t="str">
        <f>IFERROR(VLOOKUP($Q$2&amp;T7,downloads!$A$1:$O$1000,2,FALSE),"")</f>
        <v>Layla HALL</v>
      </c>
      <c r="V7" s="36" t="str">
        <f t="shared" si="2"/>
        <v>Wigan</v>
      </c>
      <c r="W7" s="358">
        <v>1.1499999999999999</v>
      </c>
      <c r="AA7" s="59" t="s">
        <v>276</v>
      </c>
      <c r="AB7" s="62" t="s">
        <v>167</v>
      </c>
      <c r="AC7" s="62" t="s">
        <v>163</v>
      </c>
      <c r="AD7" s="62">
        <v>23</v>
      </c>
    </row>
    <row r="8" spans="1:30" ht="15.75" x14ac:dyDescent="0.35">
      <c r="B8" s="62">
        <v>5</v>
      </c>
      <c r="C8" s="110">
        <v>4</v>
      </c>
      <c r="D8" s="34">
        <f>IFERROR(IF(B8&gt;MatchDay!$U$2,"-",VLOOKUP(A2,timetables,MatchDay!$U$4+4,FALSE)),0)</f>
        <v>3</v>
      </c>
      <c r="E8" s="286" t="str">
        <f>IFERROR(VLOOKUP($A2&amp;D8,downloads!$A$1:$E$1000,2,FALSE),"")</f>
        <v>Freya CASH</v>
      </c>
      <c r="F8" s="36" t="str">
        <f t="shared" si="0"/>
        <v>Leigh</v>
      </c>
      <c r="G8" s="262">
        <v>1.3</v>
      </c>
      <c r="J8" s="62">
        <v>5</v>
      </c>
      <c r="K8" s="110"/>
      <c r="L8" s="34">
        <f>IFERROR(IF(J8&gt;MatchDay!$U$2,"-",VLOOKUP(I2,timetables,MatchDay!$U$4+4,FALSE)),0)</f>
        <v>3</v>
      </c>
      <c r="M8" s="286" t="str">
        <f>IFERROR(VLOOKUP($I$2&amp;L8,downloads!$A$1:$I$1000,2,FALSE),"")</f>
        <v>Henri MANNION</v>
      </c>
      <c r="N8" s="36" t="str">
        <f t="shared" si="1"/>
        <v>Leigh</v>
      </c>
      <c r="O8" s="233"/>
      <c r="R8" s="62">
        <v>5</v>
      </c>
      <c r="S8" s="110">
        <v>5.2</v>
      </c>
      <c r="T8" s="34">
        <f>IFERROR(IF(R8&gt;MatchDay!$U$2,"-",VLOOKUP(Q2,timetables,MatchDay!$U$4+4,FALSE)),0)</f>
        <v>3</v>
      </c>
      <c r="U8" s="286" t="str">
        <f>IFERROR(VLOOKUP($Q$2&amp;T8,downloads!$A$1:$O$1000,2,FALSE),"")</f>
        <v>Lois MELLING</v>
      </c>
      <c r="V8" s="36" t="str">
        <f t="shared" si="2"/>
        <v>Leigh</v>
      </c>
      <c r="W8" s="358">
        <v>1.1000000000000001</v>
      </c>
      <c r="AA8" s="59" t="s">
        <v>277</v>
      </c>
      <c r="AB8" s="62" t="s">
        <v>281</v>
      </c>
      <c r="AC8" s="62" t="s">
        <v>162</v>
      </c>
      <c r="AD8" s="62">
        <v>23</v>
      </c>
    </row>
    <row r="9" spans="1:30" ht="15.75" x14ac:dyDescent="0.35">
      <c r="B9" s="62">
        <v>6</v>
      </c>
      <c r="C9" s="110"/>
      <c r="D9" s="34">
        <f>IFERROR(IF(B9&gt;MatchDay!$U$2,"-",VLOOKUP(A2,timetables,MatchDay!$U$4+5,FALSE)),0)</f>
        <v>4</v>
      </c>
      <c r="E9" s="286" t="str">
        <f>IFERROR(VLOOKUP($A2&amp;D9,downloads!$A$1:$E$1000,2,FALSE),"")</f>
        <v/>
      </c>
      <c r="F9" s="36" t="str">
        <f t="shared" si="0"/>
        <v>Macc</v>
      </c>
      <c r="G9" s="233"/>
      <c r="J9" s="62">
        <v>6</v>
      </c>
      <c r="K9" s="110">
        <v>2</v>
      </c>
      <c r="L9" s="34">
        <f>IFERROR(IF(J9&gt;MatchDay!$U$2,"-",VLOOKUP(I2,timetables,MatchDay!$U$4+5,FALSE)),0)</f>
        <v>4</v>
      </c>
      <c r="M9" s="286" t="str">
        <f>IFERROR(VLOOKUP($I$2&amp;L9,downloads!$A$1:$I$1000,2,FALSE),"")</f>
        <v>Tomas BEDOYA</v>
      </c>
      <c r="N9" s="36" t="str">
        <f t="shared" si="1"/>
        <v>Macc</v>
      </c>
      <c r="O9" s="233">
        <v>1.33</v>
      </c>
      <c r="R9" s="62">
        <v>6</v>
      </c>
      <c r="S9" s="110">
        <v>7</v>
      </c>
      <c r="T9" s="34">
        <f>IFERROR(IF(R9&gt;MatchDay!$U$2,"-",VLOOKUP(Q2,timetables,MatchDay!$U$4+5,FALSE)),0)</f>
        <v>4</v>
      </c>
      <c r="U9" s="286" t="str">
        <f>IFERROR(VLOOKUP($Q$2&amp;T9,downloads!$A$1:$O$1000,2,FALSE),"")</f>
        <v>Eve O'DONNELL</v>
      </c>
      <c r="V9" s="36" t="str">
        <f t="shared" si="2"/>
        <v>Macc</v>
      </c>
      <c r="W9" s="262">
        <v>1.1000000000000001</v>
      </c>
      <c r="AA9" s="59" t="s">
        <v>278</v>
      </c>
      <c r="AB9" s="62" t="s">
        <v>280</v>
      </c>
      <c r="AC9" s="62" t="s">
        <v>172</v>
      </c>
      <c r="AD9" s="62">
        <v>42</v>
      </c>
    </row>
    <row r="10" spans="1:30" ht="15" customHeight="1" x14ac:dyDescent="0.35">
      <c r="A10" s="120">
        <f>IFERROR(SEARCH("U17",B2),0)</f>
        <v>0</v>
      </c>
      <c r="B10" s="62">
        <v>7</v>
      </c>
      <c r="C10" s="110">
        <v>7</v>
      </c>
      <c r="D10" s="34">
        <f>IFERROR(IF(B10&gt;MatchDay!$U$2,"-",VLOOKUP(A2,timetables,MatchDay!$U$4+6,FALSE)),0)</f>
        <v>5</v>
      </c>
      <c r="E10" s="286" t="str">
        <f>IFERROR(VLOOKUP($A2&amp;D10,downloads!$A$1:$E$1000,2,FALSE),"")</f>
        <v>Krista JONES</v>
      </c>
      <c r="F10" s="36" t="str">
        <f t="shared" si="0"/>
        <v>Menai</v>
      </c>
      <c r="G10" s="233">
        <v>1.1499999999999999</v>
      </c>
      <c r="I10" s="120">
        <f>IFERROR(SEARCH("U17",J2),0)</f>
        <v>0</v>
      </c>
      <c r="J10" s="62">
        <v>7</v>
      </c>
      <c r="K10" s="110"/>
      <c r="L10" s="34">
        <f>IFERROR(IF(J10&gt;MatchDay!$U$2,"-",VLOOKUP(I2,timetables,MatchDay!$U$4+6,FALSE)),0)</f>
        <v>5</v>
      </c>
      <c r="M10" s="286" t="str">
        <f>IFERROR(VLOOKUP($I$2&amp;L10,downloads!$A$1:$I$1000,2,FALSE),"")</f>
        <v>Perry MARSLAND</v>
      </c>
      <c r="N10" s="36" t="str">
        <f t="shared" si="1"/>
        <v>Menai</v>
      </c>
      <c r="O10" s="233"/>
      <c r="Q10" s="120">
        <f>IFERROR(SEARCH("U17",R2),0)</f>
        <v>0</v>
      </c>
      <c r="R10" s="62">
        <v>7</v>
      </c>
      <c r="S10" s="110">
        <v>5.3</v>
      </c>
      <c r="T10" s="34">
        <f>IFERROR(IF(R10&gt;MatchDay!$U$2,"-",VLOOKUP(Q2,timetables,MatchDay!$U$4+6,FALSE)),0)</f>
        <v>5</v>
      </c>
      <c r="U10" s="286" t="str">
        <f>IFERROR(VLOOKUP($Q$2&amp;T10,downloads!$A$1:$O$1000,2,FALSE),"")</f>
        <v>Tamsin SEGUIN</v>
      </c>
      <c r="V10" s="36" t="str">
        <f t="shared" si="2"/>
        <v>Menai</v>
      </c>
      <c r="W10" s="358">
        <v>1.1000000000000001</v>
      </c>
      <c r="AA10" s="59" t="s">
        <v>279</v>
      </c>
      <c r="AB10" s="62" t="s">
        <v>167</v>
      </c>
      <c r="AC10" s="62" t="s">
        <v>163</v>
      </c>
      <c r="AD10" s="62">
        <v>42</v>
      </c>
    </row>
    <row r="11" spans="1:30" ht="15.75" x14ac:dyDescent="0.35">
      <c r="B11" s="62">
        <v>8</v>
      </c>
      <c r="C11" s="110"/>
      <c r="D11" s="34" t="str">
        <f>IFERROR(IF(B11&gt;MatchDay!$U$2,"-",VLOOKUP(A2,timetables,MatchDay!$U$4+7,FALSE)),0)</f>
        <v>-</v>
      </c>
      <c r="E11" s="286" t="str">
        <f>IFERROR(VLOOKUP($A2&amp;D11,downloads!$A$1:$E$1000,2,FALSE),"")</f>
        <v/>
      </c>
      <c r="F11" s="36" t="str">
        <f t="shared" si="0"/>
        <v/>
      </c>
      <c r="G11" s="233"/>
      <c r="J11" s="62">
        <v>8</v>
      </c>
      <c r="K11" s="110"/>
      <c r="L11" s="34" t="str">
        <f>IFERROR(IF(J11&gt;MatchDay!$U$2,"-",VLOOKUP(I2,timetables,MatchDay!$U$4+7,FALSE)),0)</f>
        <v>-</v>
      </c>
      <c r="M11" s="286" t="str">
        <f>IFERROR(VLOOKUP($I$2&amp;L11,downloads!$A$1:$I$1000,2,FALSE),"")</f>
        <v/>
      </c>
      <c r="N11" s="36" t="str">
        <f t="shared" si="1"/>
        <v/>
      </c>
      <c r="O11" s="233"/>
      <c r="R11" s="62">
        <v>8</v>
      </c>
      <c r="S11" s="110"/>
      <c r="T11" s="34" t="str">
        <f>IFERROR(IF(R11&gt;MatchDay!$U$2,"-",VLOOKUP(Q2,timetables,MatchDay!$U$4+7,FALSE)),0)</f>
        <v>-</v>
      </c>
      <c r="U11" s="286" t="str">
        <f>IFERROR(VLOOKUP($Q$2&amp;T11,downloads!$A$1:$O$1000,2,FALSE),"")</f>
        <v/>
      </c>
      <c r="V11" s="36" t="str">
        <f t="shared" si="2"/>
        <v/>
      </c>
      <c r="W11" s="358"/>
    </row>
    <row r="12" spans="1:30" ht="15.75" x14ac:dyDescent="0.35">
      <c r="B12" s="62">
        <v>9</v>
      </c>
      <c r="C12" s="352">
        <v>6</v>
      </c>
      <c r="D12" s="34">
        <f>IFERROR(IF(T(D4)="",D4*11,D4&amp;D4),"-")</f>
        <v>11</v>
      </c>
      <c r="E12" s="286" t="str">
        <f>IFERROR(VLOOKUP($A2&amp;D12,downloads!$A$1:$E$1000,2,FALSE),"")</f>
        <v>Elisha CARTER</v>
      </c>
      <c r="F12" s="36" t="str">
        <f t="shared" si="0"/>
        <v>C&amp;N</v>
      </c>
      <c r="G12" s="262">
        <v>1.2</v>
      </c>
      <c r="J12" s="62">
        <v>9</v>
      </c>
      <c r="K12" s="110">
        <v>1</v>
      </c>
      <c r="L12" s="34">
        <f>IFERROR(IF(T(L4)="",L4*11,L4&amp;L4),"-")</f>
        <v>11</v>
      </c>
      <c r="M12" s="286" t="str">
        <f>IFERROR(VLOOKUP($I$2&amp;L12,downloads!$A$1:$I$1000,2,FALSE),"")</f>
        <v>Kaidan DOS REIS</v>
      </c>
      <c r="N12" s="36" t="str">
        <f t="shared" si="1"/>
        <v>C&amp;N</v>
      </c>
      <c r="O12" s="233">
        <v>1.36</v>
      </c>
      <c r="R12" s="62">
        <v>9</v>
      </c>
      <c r="S12" s="110">
        <v>1</v>
      </c>
      <c r="T12" s="34">
        <f>IFERROR(IF(T(T4)="",T4*11,T4&amp;T4),"-")</f>
        <v>11</v>
      </c>
      <c r="U12" s="286" t="str">
        <f>IFERROR(VLOOKUP($Q$2&amp;T12,downloads!$A$1:$O$1000,2,FALSE),"")</f>
        <v>Ruby WILKINS</v>
      </c>
      <c r="V12" s="36" t="str">
        <f t="shared" si="2"/>
        <v>C&amp;N</v>
      </c>
      <c r="W12" s="358">
        <v>1.2</v>
      </c>
    </row>
    <row r="13" spans="1:30" ht="15.75" x14ac:dyDescent="0.35">
      <c r="B13" s="62">
        <v>10</v>
      </c>
      <c r="C13" s="110"/>
      <c r="D13" s="34">
        <f t="shared" ref="D13:D19" si="3">IFERROR(IF(T(D5)="",D5*11,D5&amp;D5),"-")</f>
        <v>22</v>
      </c>
      <c r="E13" s="286" t="str">
        <f>IFERROR(VLOOKUP($A2&amp;D13,downloads!$A$1:$E$1000,2,FALSE),"")</f>
        <v/>
      </c>
      <c r="F13" s="36" t="str">
        <f t="shared" si="0"/>
        <v>ECHT</v>
      </c>
      <c r="G13" s="262"/>
      <c r="J13" s="62">
        <v>10</v>
      </c>
      <c r="K13" s="110"/>
      <c r="L13" s="34">
        <f t="shared" ref="L13:L19" si="4">IFERROR(IF(T(L5)="",L5*11,L5&amp;L5),"-")</f>
        <v>22</v>
      </c>
      <c r="M13" s="286" t="str">
        <f>IFERROR(VLOOKUP($I$2&amp;L13,downloads!$A$1:$I$1000,2,FALSE),"")</f>
        <v/>
      </c>
      <c r="N13" s="36" t="str">
        <f t="shared" si="1"/>
        <v>ECHT</v>
      </c>
      <c r="O13" s="262"/>
      <c r="R13" s="62">
        <v>10</v>
      </c>
      <c r="S13" s="110">
        <v>2</v>
      </c>
      <c r="T13" s="34">
        <f t="shared" ref="T13:T19" si="5">IFERROR(IF(T(T5)="",T5*11,T5&amp;T5),"-")</f>
        <v>22</v>
      </c>
      <c r="U13" s="286" t="str">
        <f>IFERROR(VLOOKUP($Q$2&amp;T13,downloads!$A$1:$O$1000,2,FALSE),"")</f>
        <v>Scarlett LYNE</v>
      </c>
      <c r="V13" s="36" t="str">
        <f t="shared" si="2"/>
        <v>ECHT</v>
      </c>
      <c r="W13" s="358">
        <v>1.2</v>
      </c>
    </row>
    <row r="14" spans="1:30" ht="15.75" x14ac:dyDescent="0.35">
      <c r="B14" s="62">
        <v>11</v>
      </c>
      <c r="C14" s="110"/>
      <c r="D14" s="34">
        <f t="shared" si="3"/>
        <v>66</v>
      </c>
      <c r="E14" s="286" t="str">
        <f>IFERROR(VLOOKUP($A2&amp;D14,downloads!$A$1:$E$1000,2,FALSE),"")</f>
        <v/>
      </c>
      <c r="F14" s="36" t="str">
        <f t="shared" si="0"/>
        <v>Stock</v>
      </c>
      <c r="G14" s="262"/>
      <c r="J14" s="62">
        <v>11</v>
      </c>
      <c r="K14" s="110"/>
      <c r="L14" s="34">
        <f t="shared" si="4"/>
        <v>66</v>
      </c>
      <c r="M14" s="286" t="str">
        <f>IFERROR(VLOOKUP($I$2&amp;L14,downloads!$A$1:$I$1000,2,FALSE),"")</f>
        <v/>
      </c>
      <c r="N14" s="36" t="str">
        <f t="shared" si="1"/>
        <v>Stock</v>
      </c>
      <c r="O14" s="233"/>
      <c r="R14" s="62">
        <v>11</v>
      </c>
      <c r="S14" s="110"/>
      <c r="T14" s="34">
        <f t="shared" si="5"/>
        <v>66</v>
      </c>
      <c r="U14" s="286" t="str">
        <f>IFERROR(VLOOKUP($Q$2&amp;T14,downloads!$A$1:$O$1000,2,FALSE),"")</f>
        <v/>
      </c>
      <c r="V14" s="36" t="str">
        <f t="shared" si="2"/>
        <v>Stock</v>
      </c>
      <c r="W14" s="262"/>
    </row>
    <row r="15" spans="1:30" ht="15.75" x14ac:dyDescent="0.35">
      <c r="B15" s="62">
        <v>12</v>
      </c>
      <c r="C15" s="110">
        <v>1</v>
      </c>
      <c r="D15" s="34">
        <f t="shared" si="3"/>
        <v>77</v>
      </c>
      <c r="E15" s="286" t="str">
        <f>IFERROR(VLOOKUP($A2&amp;D15,downloads!$A$1:$E$1000,2,FALSE),"")</f>
        <v>Kady HALL</v>
      </c>
      <c r="F15" s="36" t="str">
        <f t="shared" si="0"/>
        <v>Wigan</v>
      </c>
      <c r="G15" s="233">
        <v>1.5</v>
      </c>
      <c r="J15" s="62">
        <v>12</v>
      </c>
      <c r="K15" s="110"/>
      <c r="L15" s="34">
        <f t="shared" si="4"/>
        <v>77</v>
      </c>
      <c r="M15" s="286" t="str">
        <f>IFERROR(VLOOKUP($I$2&amp;L15,downloads!$A$1:$I$1000,2,FALSE),"")</f>
        <v>James DARBY</v>
      </c>
      <c r="N15" s="36" t="str">
        <f t="shared" si="1"/>
        <v>Wigan</v>
      </c>
      <c r="O15" s="233">
        <v>0</v>
      </c>
      <c r="R15" s="62">
        <v>12</v>
      </c>
      <c r="S15" s="110">
        <v>4</v>
      </c>
      <c r="T15" s="34">
        <f t="shared" si="5"/>
        <v>77</v>
      </c>
      <c r="U15" s="286" t="str">
        <f>IFERROR(VLOOKUP($Q$2&amp;T15,downloads!$A$1:$O$1000,2,FALSE),"")</f>
        <v>Mia LACEY</v>
      </c>
      <c r="V15" s="36" t="str">
        <f t="shared" si="2"/>
        <v>Wigan</v>
      </c>
      <c r="W15" s="358">
        <v>1.1499999999999999</v>
      </c>
    </row>
    <row r="16" spans="1:30" ht="15.75" x14ac:dyDescent="0.35">
      <c r="B16" s="62">
        <v>13</v>
      </c>
      <c r="C16" s="110">
        <v>5</v>
      </c>
      <c r="D16" s="34">
        <f t="shared" si="3"/>
        <v>33</v>
      </c>
      <c r="E16" s="286" t="str">
        <f>IFERROR(VLOOKUP($A2&amp;D16,downloads!$A$1:$E$1000,2,FALSE),"")</f>
        <v>Gabriella TAYLOR</v>
      </c>
      <c r="F16" s="36" t="str">
        <f t="shared" si="0"/>
        <v>Leigh</v>
      </c>
      <c r="G16" s="233">
        <v>1.25</v>
      </c>
      <c r="J16" s="62">
        <v>13</v>
      </c>
      <c r="K16" s="110"/>
      <c r="L16" s="34">
        <f t="shared" si="4"/>
        <v>33</v>
      </c>
      <c r="M16" s="286" t="str">
        <f>IFERROR(VLOOKUP($I$2&amp;L16,downloads!$A$1:$I$1000,2,FALSE),"")</f>
        <v/>
      </c>
      <c r="N16" s="36" t="str">
        <f t="shared" si="1"/>
        <v>Leigh</v>
      </c>
      <c r="O16" s="233"/>
      <c r="R16" s="62">
        <v>13</v>
      </c>
      <c r="S16" s="110">
        <v>5.4</v>
      </c>
      <c r="T16" s="34">
        <f t="shared" si="5"/>
        <v>33</v>
      </c>
      <c r="U16" s="286" t="str">
        <f>IFERROR(VLOOKUP($Q$2&amp;T16,downloads!$A$1:$O$1000,2,FALSE),"")</f>
        <v>Maddison PENDLEBURY</v>
      </c>
      <c r="V16" s="36" t="str">
        <f t="shared" si="2"/>
        <v>Leigh</v>
      </c>
      <c r="W16" s="262">
        <v>1.1000000000000001</v>
      </c>
    </row>
    <row r="17" spans="1:23" ht="15.75" x14ac:dyDescent="0.35">
      <c r="B17" s="62">
        <v>14</v>
      </c>
      <c r="C17" s="110"/>
      <c r="D17" s="34">
        <f t="shared" si="3"/>
        <v>44</v>
      </c>
      <c r="E17" s="286" t="str">
        <f>IFERROR(VLOOKUP($A2&amp;D17,downloads!$A$1:$E$1000,2,FALSE),"")</f>
        <v/>
      </c>
      <c r="F17" s="36" t="str">
        <f t="shared" si="0"/>
        <v>Macc</v>
      </c>
      <c r="G17" s="233"/>
      <c r="J17" s="62">
        <v>14</v>
      </c>
      <c r="K17" s="110"/>
      <c r="L17" s="34">
        <f t="shared" si="4"/>
        <v>44</v>
      </c>
      <c r="M17" s="286" t="str">
        <f>IFERROR(VLOOKUP($I$2&amp;L17,downloads!$A$1:$I$1000,2,FALSE),"")</f>
        <v/>
      </c>
      <c r="N17" s="36" t="str">
        <f t="shared" si="1"/>
        <v>Macc</v>
      </c>
      <c r="O17" s="233"/>
      <c r="R17" s="62">
        <v>14</v>
      </c>
      <c r="S17" s="110">
        <v>0</v>
      </c>
      <c r="T17" s="34">
        <f t="shared" si="5"/>
        <v>44</v>
      </c>
      <c r="U17" s="286" t="str">
        <f>IFERROR(VLOOKUP($Q$2&amp;T17,downloads!$A$1:$O$1000,2,FALSE),"")</f>
        <v>Lauren HARPER</v>
      </c>
      <c r="V17" s="36" t="str">
        <f t="shared" si="2"/>
        <v>Macc</v>
      </c>
      <c r="W17" s="262" t="s">
        <v>1806</v>
      </c>
    </row>
    <row r="18" spans="1:23" ht="15.75" x14ac:dyDescent="0.35">
      <c r="B18" s="62">
        <v>15</v>
      </c>
      <c r="C18" s="110"/>
      <c r="D18" s="34">
        <f t="shared" si="3"/>
        <v>55</v>
      </c>
      <c r="E18" s="286" t="str">
        <f>IFERROR(VLOOKUP($A2&amp;D18,downloads!$A$1:$E$1000,2,FALSE),"")</f>
        <v/>
      </c>
      <c r="F18" s="36" t="str">
        <f t="shared" si="0"/>
        <v>Menai</v>
      </c>
      <c r="G18" s="233"/>
      <c r="J18" s="62">
        <v>15</v>
      </c>
      <c r="K18" s="110"/>
      <c r="L18" s="34">
        <f t="shared" si="4"/>
        <v>55</v>
      </c>
      <c r="M18" s="286" t="str">
        <f>IFERROR(VLOOKUP($I$2&amp;L18,downloads!$A$1:$I$1000,2,FALSE),"")</f>
        <v/>
      </c>
      <c r="N18" s="36" t="str">
        <f t="shared" si="1"/>
        <v>Menai</v>
      </c>
      <c r="O18" s="233"/>
      <c r="R18" s="62">
        <v>15</v>
      </c>
      <c r="S18" s="110"/>
      <c r="T18" s="34">
        <f t="shared" si="5"/>
        <v>55</v>
      </c>
      <c r="U18" s="286" t="str">
        <f>IFERROR(VLOOKUP($Q$2&amp;T18,downloads!$A$1:$O$1000,2,FALSE),"")</f>
        <v/>
      </c>
      <c r="V18" s="36" t="str">
        <f t="shared" si="2"/>
        <v>Menai</v>
      </c>
      <c r="W18" s="233"/>
    </row>
    <row r="19" spans="1:23" ht="15.75" x14ac:dyDescent="0.35">
      <c r="B19" s="62">
        <v>16</v>
      </c>
      <c r="C19" s="110"/>
      <c r="D19" s="34" t="str">
        <f t="shared" si="3"/>
        <v>--</v>
      </c>
      <c r="E19" s="286" t="str">
        <f>IFERROR(VLOOKUP($A2&amp;D19,downloads!$A$1:$E$1000,2,FALSE),"")</f>
        <v/>
      </c>
      <c r="F19" s="36" t="str">
        <f t="shared" si="0"/>
        <v>-</v>
      </c>
      <c r="G19" s="233"/>
      <c r="J19" s="62">
        <v>16</v>
      </c>
      <c r="K19" s="110"/>
      <c r="L19" s="34" t="str">
        <f t="shared" si="4"/>
        <v>--</v>
      </c>
      <c r="M19" s="286" t="str">
        <f>IFERROR(VLOOKUP($I$2&amp;L19,downloads!$A$1:$I$1000,2,FALSE),"")</f>
        <v/>
      </c>
      <c r="N19" s="36" t="str">
        <f t="shared" si="1"/>
        <v>-</v>
      </c>
      <c r="O19" s="233"/>
      <c r="R19" s="62">
        <v>16</v>
      </c>
      <c r="S19" s="110"/>
      <c r="T19" s="34" t="str">
        <f t="shared" si="5"/>
        <v>--</v>
      </c>
      <c r="U19" s="286" t="str">
        <f>IFERROR(VLOOKUP($Q$2&amp;T19,downloads!$A$1:$O$1000,2,FALSE),"")</f>
        <v/>
      </c>
      <c r="V19" s="36" t="str">
        <f t="shared" si="2"/>
        <v>-</v>
      </c>
      <c r="W19" s="233"/>
    </row>
    <row r="20" spans="1:23" x14ac:dyDescent="0.3">
      <c r="A20" s="34"/>
    </row>
    <row r="21" spans="1:23" x14ac:dyDescent="0.3">
      <c r="A21" s="32" t="s">
        <v>186</v>
      </c>
      <c r="B21" s="94" t="str">
        <f>IFERROR(VLOOKUP(A21,Timetables!$A:$G,3,FALSE)&amp;" "&amp;VLOOKUP(A21,Timetables!$A:$G,2,FALSE),"")</f>
        <v>U15 Boys Pole Vault</v>
      </c>
      <c r="I21" s="32" t="s">
        <v>187</v>
      </c>
      <c r="J21" s="94" t="str">
        <f>IFERROR(VLOOKUP(I21,Timetables!$A:$G,3,FALSE)&amp;" "&amp;VLOOKUP(I21,Timetables!$A:$G,2,FALSE),"")</f>
        <v>U15 Girls Pole Vault</v>
      </c>
      <c r="O21" s="63"/>
      <c r="Q21" s="32" t="s">
        <v>188</v>
      </c>
      <c r="R21" s="94" t="str">
        <f>IFERROR(VLOOKUP(Q21,Timetables!$A:$G,3,FALSE)&amp;" "&amp;VLOOKUP(Q21,Timetables!$A:$G,2,FALSE),"")</f>
        <v>U15 Boys High Jump</v>
      </c>
      <c r="W21" s="63"/>
    </row>
    <row r="22" spans="1:23" x14ac:dyDescent="0.3">
      <c r="A22" s="33"/>
      <c r="B22" s="62" t="s">
        <v>122</v>
      </c>
      <c r="C22" s="62" t="s">
        <v>177</v>
      </c>
      <c r="D22" s="62" t="s">
        <v>141</v>
      </c>
      <c r="E22" s="59" t="s">
        <v>174</v>
      </c>
      <c r="F22" s="59" t="s">
        <v>175</v>
      </c>
      <c r="G22" s="63" t="s">
        <v>176</v>
      </c>
      <c r="I22" s="33"/>
      <c r="J22" s="62" t="s">
        <v>122</v>
      </c>
      <c r="K22" s="62" t="s">
        <v>177</v>
      </c>
      <c r="L22" s="62" t="s">
        <v>141</v>
      </c>
      <c r="M22" s="59" t="s">
        <v>174</v>
      </c>
      <c r="N22" s="59" t="s">
        <v>175</v>
      </c>
      <c r="O22" s="63" t="s">
        <v>176</v>
      </c>
      <c r="Q22" s="33"/>
      <c r="R22" s="62" t="s">
        <v>122</v>
      </c>
      <c r="S22" s="62" t="s">
        <v>177</v>
      </c>
      <c r="T22" s="62" t="s">
        <v>141</v>
      </c>
      <c r="U22" s="59" t="s">
        <v>174</v>
      </c>
      <c r="V22" s="59" t="s">
        <v>175</v>
      </c>
      <c r="W22" s="63" t="s">
        <v>176</v>
      </c>
    </row>
    <row r="23" spans="1:23" ht="15.75" x14ac:dyDescent="0.35">
      <c r="A23" s="62" t="s">
        <v>171</v>
      </c>
      <c r="B23" s="62">
        <v>1</v>
      </c>
      <c r="C23" s="110"/>
      <c r="D23" s="34">
        <f>IFERROR(IF(B23&gt;MatchDay!$U$2,"-",VLOOKUP(A21,timetables,MatchDay!$U$4,FALSE)),0)</f>
        <v>3</v>
      </c>
      <c r="E23" s="286" t="str">
        <f>IFERROR(VLOOKUP($A$21&amp;D23,downloads!$A$1:$E$1000,2,FALSE),"")</f>
        <v/>
      </c>
      <c r="F23" s="36" t="str">
        <f t="shared" ref="F23:F38" si="6">IFERROR(VLOOKUP(D23,teamlookup,5,FALSE),"-")</f>
        <v>Leigh</v>
      </c>
      <c r="G23" s="233"/>
      <c r="I23" s="62" t="s">
        <v>169</v>
      </c>
      <c r="J23" s="62">
        <v>1</v>
      </c>
      <c r="K23" s="110"/>
      <c r="L23" s="34">
        <f>IFERROR(IF(J23&gt;MatchDay!$U$2,"-",VLOOKUP(I21,timetables,MatchDay!$U$4,FALSE)),0)</f>
        <v>3</v>
      </c>
      <c r="M23" s="286" t="str">
        <f>IFERROR(VLOOKUP($I$21&amp;L23,downloads!$A$1:$I$1000,2,FALSE),"")</f>
        <v/>
      </c>
      <c r="N23" s="36" t="str">
        <f t="shared" ref="N23:N38" si="7">IFERROR(VLOOKUP(L23,teamlookup,5,FALSE),"-")</f>
        <v>Leigh</v>
      </c>
      <c r="O23" s="233"/>
      <c r="Q23" s="62" t="s">
        <v>159</v>
      </c>
      <c r="R23" s="62">
        <v>1</v>
      </c>
      <c r="S23" s="110">
        <v>6</v>
      </c>
      <c r="T23" s="34">
        <f>IFERROR(IF(R23&gt;MatchDay!$U$2,"-",VLOOKUP(Q21,timetables,MatchDay!$U$4,FALSE)),0)</f>
        <v>1</v>
      </c>
      <c r="U23" s="286" t="str">
        <f>IFERROR(VLOOKUP($Q$21&amp;T23,downloads!$A$1:$O$600,2,FALSE),"")</f>
        <v>William CATTELL</v>
      </c>
      <c r="V23" s="36" t="str">
        <f t="shared" ref="V23:V38" si="8">IFERROR(VLOOKUP(T23,teamlookup,5,FALSE),"-")</f>
        <v>C&amp;N</v>
      </c>
      <c r="W23" s="233">
        <v>1.3</v>
      </c>
    </row>
    <row r="24" spans="1:23" ht="15.75" x14ac:dyDescent="0.35">
      <c r="A24" s="62">
        <v>23</v>
      </c>
      <c r="B24" s="62">
        <v>2</v>
      </c>
      <c r="C24" s="110"/>
      <c r="D24" s="34">
        <f>IFERROR(IF(B24&gt;MatchDay!$U$2,"-",VLOOKUP(A21,timetables,MatchDay!$U$4+1,FALSE)),0)</f>
        <v>2</v>
      </c>
      <c r="E24" s="286" t="str">
        <f>IFERROR(VLOOKUP($A$21&amp;D24,downloads!$A$1:$E$1000,2,FALSE),"")</f>
        <v/>
      </c>
      <c r="F24" s="36" t="str">
        <f t="shared" si="6"/>
        <v>ECHT</v>
      </c>
      <c r="G24" s="233"/>
      <c r="I24" s="62">
        <f>A24</f>
        <v>23</v>
      </c>
      <c r="J24" s="62">
        <v>2</v>
      </c>
      <c r="K24" s="110"/>
      <c r="L24" s="34">
        <f>IFERROR(IF(J24&gt;MatchDay!$U$2,"-",VLOOKUP(I21,timetables,MatchDay!$U$4+1,FALSE)),0)</f>
        <v>2</v>
      </c>
      <c r="M24" s="286" t="str">
        <f>IFERROR(VLOOKUP($I$21&amp;L24,downloads!$A$1:$I$1000,2,FALSE),"")</f>
        <v/>
      </c>
      <c r="N24" s="36" t="str">
        <f t="shared" si="7"/>
        <v>ECHT</v>
      </c>
      <c r="O24" s="262"/>
      <c r="Q24" s="62">
        <f>A24</f>
        <v>23</v>
      </c>
      <c r="R24" s="62">
        <v>2</v>
      </c>
      <c r="S24" s="110"/>
      <c r="T24" s="34">
        <f>IFERROR(IF(R24&gt;MatchDay!$U$2,"-",VLOOKUP(Q21,timetables,MatchDay!$U$4+1,FALSE)),0)</f>
        <v>2</v>
      </c>
      <c r="U24" s="286" t="str">
        <f>IFERROR(VLOOKUP($Q$21&amp;T24,downloads!$A$1:$O$600,2,FALSE),"")</f>
        <v/>
      </c>
      <c r="V24" s="36" t="str">
        <f t="shared" si="8"/>
        <v>ECHT</v>
      </c>
      <c r="W24" s="262"/>
    </row>
    <row r="25" spans="1:23" ht="15.75" x14ac:dyDescent="0.35">
      <c r="A25" s="138"/>
      <c r="B25" s="62">
        <v>3</v>
      </c>
      <c r="C25" s="110"/>
      <c r="D25" s="34">
        <f>IFERROR(IF(B25&gt;MatchDay!$U$2,"-",VLOOKUP(A21,timetables,MatchDay!$U$4+2,FALSE)),0)</f>
        <v>6</v>
      </c>
      <c r="E25" s="286" t="str">
        <f>IFERROR(VLOOKUP($A$21&amp;D25,downloads!$A$1:$E$1000,2,FALSE),"")</f>
        <v/>
      </c>
      <c r="F25" s="36" t="str">
        <f t="shared" si="6"/>
        <v>Stock</v>
      </c>
      <c r="G25" s="233"/>
      <c r="I25" s="138"/>
      <c r="J25" s="62">
        <v>3</v>
      </c>
      <c r="K25" s="110"/>
      <c r="L25" s="34">
        <f>IFERROR(IF(J25&gt;MatchDay!$U$2,"-",VLOOKUP(I21,timetables,MatchDay!$U$4+2,FALSE)),0)</f>
        <v>6</v>
      </c>
      <c r="M25" s="286" t="str">
        <f>IFERROR(VLOOKUP($I$21&amp;L25,downloads!$A$1:$I$1000,2,FALSE),"")</f>
        <v/>
      </c>
      <c r="N25" s="36" t="str">
        <f t="shared" si="7"/>
        <v>Stock</v>
      </c>
      <c r="O25" s="233"/>
      <c r="Q25" s="138"/>
      <c r="R25" s="62">
        <v>3</v>
      </c>
      <c r="S25" s="110">
        <v>1</v>
      </c>
      <c r="T25" s="34">
        <f>IFERROR(IF(R25&gt;MatchDay!$U$2,"-",VLOOKUP(Q21,timetables,MatchDay!$U$4+2,FALSE)),0)</f>
        <v>6</v>
      </c>
      <c r="U25" s="286" t="str">
        <f>IFERROR(VLOOKUP($Q$21&amp;T25,downloads!$A$1:$O$600,2,FALSE),"")</f>
        <v>Jacob HARWOOD-BRETNALL</v>
      </c>
      <c r="V25" s="36" t="str">
        <f t="shared" si="8"/>
        <v>Stock</v>
      </c>
      <c r="W25" s="233">
        <v>1.5</v>
      </c>
    </row>
    <row r="26" spans="1:23" ht="15.75" x14ac:dyDescent="0.35">
      <c r="B26" s="62">
        <v>4</v>
      </c>
      <c r="C26" s="110">
        <v>1</v>
      </c>
      <c r="D26" s="34">
        <f>IFERROR(IF(B26&gt;MatchDay!$U$2,"-",VLOOKUP(A21,timetables,MatchDay!$U$4+3,FALSE)),0)</f>
        <v>1</v>
      </c>
      <c r="E26" s="286" t="str">
        <f>IFERROR(VLOOKUP($A$21&amp;D26,downloads!$A$1:$E$1000,2,FALSE),"")</f>
        <v>Isaac PICKERING</v>
      </c>
      <c r="F26" s="36" t="str">
        <f t="shared" si="6"/>
        <v>C&amp;N</v>
      </c>
      <c r="G26" s="233">
        <v>2.2999999999999998</v>
      </c>
      <c r="J26" s="62">
        <v>4</v>
      </c>
      <c r="K26" s="110"/>
      <c r="L26" s="34">
        <f>IFERROR(IF(J26&gt;MatchDay!$U$2,"-",VLOOKUP(I21,timetables,MatchDay!$U$4+3,FALSE)),0)</f>
        <v>1</v>
      </c>
      <c r="M26" s="286" t="str">
        <f>IFERROR(VLOOKUP($I$21&amp;L26,downloads!$A$1:$I$1000,2,FALSE),"")</f>
        <v/>
      </c>
      <c r="N26" s="36" t="str">
        <f t="shared" si="7"/>
        <v>C&amp;N</v>
      </c>
      <c r="O26" s="262"/>
      <c r="R26" s="62">
        <v>4</v>
      </c>
      <c r="S26" s="110"/>
      <c r="T26" s="34">
        <f>IFERROR(IF(R26&gt;MatchDay!$U$2,"-",VLOOKUP(Q21,timetables,MatchDay!$U$4+3,FALSE)),0)</f>
        <v>7</v>
      </c>
      <c r="U26" s="286" t="str">
        <f>IFERROR(VLOOKUP($Q$21&amp;T26,downloads!$A$1:$O$600,2,FALSE),"")</f>
        <v/>
      </c>
      <c r="V26" s="36" t="str">
        <f t="shared" si="8"/>
        <v>Wigan</v>
      </c>
      <c r="W26" s="233"/>
    </row>
    <row r="27" spans="1:23" ht="15.75" x14ac:dyDescent="0.35">
      <c r="B27" s="62">
        <v>5</v>
      </c>
      <c r="C27" s="110"/>
      <c r="D27" s="34">
        <f>IFERROR(IF(B27&gt;MatchDay!$U$2,"-",VLOOKUP(A21,timetables,MatchDay!$U$4+4,FALSE)),0)</f>
        <v>5</v>
      </c>
      <c r="E27" s="286" t="str">
        <f>IFERROR(VLOOKUP($A$21&amp;D27,downloads!$A$1:$E$1000,2,FALSE),"")</f>
        <v/>
      </c>
      <c r="F27" s="36" t="str">
        <f t="shared" si="6"/>
        <v>Menai</v>
      </c>
      <c r="G27" s="233"/>
      <c r="J27" s="62">
        <v>5</v>
      </c>
      <c r="K27" s="110"/>
      <c r="L27" s="34">
        <f>IFERROR(IF(J27&gt;MatchDay!$U$2,"-",VLOOKUP(I21,timetables,MatchDay!$U$4+4,FALSE)),0)</f>
        <v>5</v>
      </c>
      <c r="M27" s="286" t="str">
        <f>IFERROR(VLOOKUP($I$21&amp;L27,downloads!$A$1:$I$1000,2,FALSE),"")</f>
        <v/>
      </c>
      <c r="N27" s="36" t="str">
        <f t="shared" si="7"/>
        <v>Menai</v>
      </c>
      <c r="O27" s="233"/>
      <c r="R27" s="62">
        <v>5</v>
      </c>
      <c r="S27" s="110">
        <v>2</v>
      </c>
      <c r="T27" s="34">
        <f>IFERROR(IF(R27&gt;MatchDay!$U$2,"-",VLOOKUP(Q21,timetables,MatchDay!$U$4+4,FALSE)),0)</f>
        <v>3</v>
      </c>
      <c r="U27" s="286" t="str">
        <f>IFERROR(VLOOKUP($Q$21&amp;T27,downloads!$A$1:$O$600,2,FALSE),"")</f>
        <v>Hugo JAMES</v>
      </c>
      <c r="V27" s="36" t="str">
        <f t="shared" si="8"/>
        <v>Leigh</v>
      </c>
      <c r="W27" s="233">
        <v>1.45</v>
      </c>
    </row>
    <row r="28" spans="1:23" ht="15.75" x14ac:dyDescent="0.35">
      <c r="B28" s="62">
        <v>6</v>
      </c>
      <c r="C28" s="110"/>
      <c r="D28" s="34">
        <f>IFERROR(IF(B28&gt;MatchDay!$U$2,"-",VLOOKUP(A21,timetables,MatchDay!$U$4+5,FALSE)),0)</f>
        <v>4</v>
      </c>
      <c r="E28" s="286" t="str">
        <f>IFERROR(VLOOKUP($A$21&amp;D28,downloads!$A$1:$E$1000,2,FALSE),"")</f>
        <v/>
      </c>
      <c r="F28" s="36" t="str">
        <f t="shared" si="6"/>
        <v>Macc</v>
      </c>
      <c r="G28" s="233"/>
      <c r="J28" s="62">
        <v>6</v>
      </c>
      <c r="K28" s="110"/>
      <c r="L28" s="34">
        <f>IFERROR(IF(J28&gt;MatchDay!$U$2,"-",VLOOKUP(I21,timetables,MatchDay!$U$4+5,FALSE)),0)</f>
        <v>4</v>
      </c>
      <c r="M28" s="286" t="str">
        <f>IFERROR(VLOOKUP($I$21&amp;L28,downloads!$A$1:$I$1000,2,FALSE),"")</f>
        <v/>
      </c>
      <c r="N28" s="36" t="str">
        <f t="shared" si="7"/>
        <v>Macc</v>
      </c>
      <c r="O28" s="233"/>
      <c r="R28" s="62">
        <v>6</v>
      </c>
      <c r="S28" s="110">
        <v>3</v>
      </c>
      <c r="T28" s="34">
        <f>IFERROR(IF(R28&gt;MatchDay!$U$2,"-",VLOOKUP(Q21,timetables,MatchDay!$U$4+5,FALSE)),0)</f>
        <v>4</v>
      </c>
      <c r="U28" s="286" t="str">
        <f>IFERROR(VLOOKUP($Q$21&amp;T28,downloads!$A$1:$O$600,2,FALSE),"")</f>
        <v>Will HAMMOND</v>
      </c>
      <c r="V28" s="36" t="str">
        <f t="shared" si="8"/>
        <v>Macc</v>
      </c>
      <c r="W28" s="233">
        <v>1.4</v>
      </c>
    </row>
    <row r="29" spans="1:23" ht="15" customHeight="1" x14ac:dyDescent="0.35">
      <c r="A29" s="120">
        <f>IFERROR(SEARCH("U17",B21),0)</f>
        <v>0</v>
      </c>
      <c r="B29" s="62">
        <v>7</v>
      </c>
      <c r="C29" s="110"/>
      <c r="D29" s="34">
        <f>IFERROR(IF(B29&gt;MatchDay!$U$2,"-",VLOOKUP(A21,timetables,MatchDay!$U$4+6,FALSE)),0)</f>
        <v>7</v>
      </c>
      <c r="E29" s="286" t="str">
        <f>IFERROR(VLOOKUP($A$21&amp;D29,downloads!$A$1:$E$1000,2,FALSE),"")</f>
        <v/>
      </c>
      <c r="F29" s="36" t="str">
        <f t="shared" si="6"/>
        <v>Wigan</v>
      </c>
      <c r="G29" s="233"/>
      <c r="I29" s="120">
        <f>IFERROR(SEARCH("U17",J21),0)</f>
        <v>0</v>
      </c>
      <c r="J29" s="62">
        <v>7</v>
      </c>
      <c r="K29" s="110">
        <v>1</v>
      </c>
      <c r="L29" s="34">
        <f>IFERROR(IF(J29&gt;MatchDay!$U$2,"-",VLOOKUP(I21,timetables,MatchDay!$U$4+6,FALSE)),0)</f>
        <v>7</v>
      </c>
      <c r="M29" s="286" t="str">
        <f>IFERROR(VLOOKUP($I$21&amp;L29,downloads!$A$1:$I$1000,2,FALSE),"")</f>
        <v>Claudia BERRY</v>
      </c>
      <c r="N29" s="36" t="str">
        <f t="shared" si="7"/>
        <v>Wigan</v>
      </c>
      <c r="O29" s="233">
        <v>2.6</v>
      </c>
      <c r="Q29" s="120">
        <f>IFERROR(SEARCH("U17",R21),0)</f>
        <v>0</v>
      </c>
      <c r="R29" s="62">
        <v>7</v>
      </c>
      <c r="S29" s="110"/>
      <c r="T29" s="34">
        <f>IFERROR(IF(R29&gt;MatchDay!$U$2,"-",VLOOKUP(Q21,timetables,MatchDay!$U$4+6,FALSE)),0)</f>
        <v>5</v>
      </c>
      <c r="U29" s="286" t="str">
        <f>IFERROR(VLOOKUP($Q$21&amp;T29,downloads!$A$1:$O$600,2,FALSE),"")</f>
        <v/>
      </c>
      <c r="V29" s="36" t="str">
        <f t="shared" si="8"/>
        <v>Menai</v>
      </c>
      <c r="W29" s="233"/>
    </row>
    <row r="30" spans="1:23" ht="15.75" x14ac:dyDescent="0.35">
      <c r="B30" s="62">
        <v>8</v>
      </c>
      <c r="C30" s="110"/>
      <c r="D30" s="34" t="str">
        <f>IFERROR(IF(B30&gt;MatchDay!$U$2,"-",VLOOKUP(A21,timetables,MatchDay!$U$4+7,FALSE)),0)</f>
        <v>-</v>
      </c>
      <c r="E30" s="286" t="str">
        <f>IFERROR(VLOOKUP($A$21&amp;D30,downloads!$A$1:$E$1000,2,FALSE),"")</f>
        <v/>
      </c>
      <c r="F30" s="36" t="str">
        <f t="shared" si="6"/>
        <v/>
      </c>
      <c r="G30" s="233"/>
      <c r="J30" s="62">
        <v>8</v>
      </c>
      <c r="K30" s="110"/>
      <c r="L30" s="34" t="str">
        <f>IFERROR(IF(J30&gt;MatchDay!$U$2,"-",VLOOKUP(I21,timetables,MatchDay!$U$4+7,FALSE)),0)</f>
        <v>-</v>
      </c>
      <c r="M30" s="286" t="str">
        <f>IFERROR(VLOOKUP($I$21&amp;L30,downloads!$A$1:$I$1000,2,FALSE),"")</f>
        <v/>
      </c>
      <c r="N30" s="36" t="str">
        <f t="shared" si="7"/>
        <v/>
      </c>
      <c r="O30" s="233"/>
      <c r="R30" s="62">
        <v>8</v>
      </c>
      <c r="S30" s="110"/>
      <c r="T30" s="34" t="str">
        <f>IFERROR(IF(R30&gt;MatchDay!$U$2,"-",VLOOKUP(Q21,timetables,MatchDay!$U$4+7,FALSE)),0)</f>
        <v>-</v>
      </c>
      <c r="U30" s="286" t="str">
        <f>IFERROR(VLOOKUP($Q$21&amp;T30,downloads!$A$1:$O$600,2,FALSE),"")</f>
        <v/>
      </c>
      <c r="V30" s="36" t="str">
        <f t="shared" si="8"/>
        <v/>
      </c>
      <c r="W30" s="233"/>
    </row>
    <row r="31" spans="1:23" ht="15.75" x14ac:dyDescent="0.35">
      <c r="B31" s="62">
        <v>9</v>
      </c>
      <c r="C31" s="110"/>
      <c r="D31" s="34">
        <f>IFERROR(IF(T(D23)="",D23*11,D23&amp;D23),"-")</f>
        <v>33</v>
      </c>
      <c r="E31" s="286" t="str">
        <f>IFERROR(VLOOKUP($A$21&amp;D31,downloads!$A$1:$E$1000,2,FALSE),"")</f>
        <v/>
      </c>
      <c r="F31" s="36" t="str">
        <f t="shared" si="6"/>
        <v>Leigh</v>
      </c>
      <c r="G31" s="233"/>
      <c r="J31" s="62">
        <v>9</v>
      </c>
      <c r="K31" s="110"/>
      <c r="L31" s="34">
        <f>IFERROR(IF(T(L23)="",L23*11,L23&amp;L23),"-")</f>
        <v>33</v>
      </c>
      <c r="M31" s="286" t="str">
        <f>IFERROR(VLOOKUP($I$21&amp;L31,downloads!$A$1:$I$1000,2,FALSE),"")</f>
        <v/>
      </c>
      <c r="N31" s="36" t="str">
        <f t="shared" si="7"/>
        <v>Leigh</v>
      </c>
      <c r="O31" s="233"/>
      <c r="R31" s="62">
        <v>9</v>
      </c>
      <c r="S31" s="110">
        <v>7</v>
      </c>
      <c r="T31" s="34">
        <f>IFERROR(IF(T(T23)="",T23*11,T23&amp;T23),"-")</f>
        <v>11</v>
      </c>
      <c r="U31" s="286" t="str">
        <f>IFERROR(VLOOKUP($Q$21&amp;T31,downloads!$A$1:$O$600,2,FALSE),"")</f>
        <v>Sam FIRMAN</v>
      </c>
      <c r="V31" s="36" t="str">
        <f t="shared" si="8"/>
        <v>C&amp;N</v>
      </c>
      <c r="W31" s="233">
        <v>1.25</v>
      </c>
    </row>
    <row r="32" spans="1:23" ht="15.75" x14ac:dyDescent="0.35">
      <c r="B32" s="62">
        <v>10</v>
      </c>
      <c r="C32" s="110"/>
      <c r="D32" s="34">
        <f t="shared" ref="D32:D38" si="9">IFERROR(IF(T(D24)="",D24*11,D24&amp;D24),"-")</f>
        <v>22</v>
      </c>
      <c r="E32" s="286" t="str">
        <f>IFERROR(VLOOKUP($A$21&amp;D32,downloads!$A$1:$E$1000,2,FALSE),"")</f>
        <v/>
      </c>
      <c r="F32" s="36" t="str">
        <f t="shared" si="6"/>
        <v>ECHT</v>
      </c>
      <c r="G32" s="262"/>
      <c r="J32" s="62">
        <v>10</v>
      </c>
      <c r="K32" s="110"/>
      <c r="L32" s="34">
        <f t="shared" ref="L32:L38" si="10">IFERROR(IF(T(L24)="",L24*11,L24&amp;L24),"-")</f>
        <v>22</v>
      </c>
      <c r="M32" s="286" t="str">
        <f>IFERROR(VLOOKUP($I$21&amp;L32,downloads!$A$1:$I$1000,2,FALSE),"")</f>
        <v/>
      </c>
      <c r="N32" s="36" t="str">
        <f t="shared" si="7"/>
        <v>ECHT</v>
      </c>
      <c r="O32" s="262"/>
      <c r="R32" s="62">
        <v>10</v>
      </c>
      <c r="S32" s="110"/>
      <c r="T32" s="34">
        <f t="shared" ref="T32:T38" si="11">IFERROR(IF(T(T24)="",T24*11,T24&amp;T24),"-")</f>
        <v>22</v>
      </c>
      <c r="U32" s="286" t="str">
        <f>IFERROR(VLOOKUP($Q$21&amp;T32,downloads!$A$1:$O$600,2,FALSE),"")</f>
        <v/>
      </c>
      <c r="V32" s="36" t="str">
        <f t="shared" si="8"/>
        <v>ECHT</v>
      </c>
      <c r="W32" s="262"/>
    </row>
    <row r="33" spans="2:27" ht="15.75" x14ac:dyDescent="0.35">
      <c r="B33" s="62">
        <v>11</v>
      </c>
      <c r="C33" s="110"/>
      <c r="D33" s="34">
        <f t="shared" si="9"/>
        <v>66</v>
      </c>
      <c r="E33" s="286" t="str">
        <f>IFERROR(VLOOKUP($A$21&amp;D33,downloads!$A$1:$E$1000,2,FALSE),"")</f>
        <v/>
      </c>
      <c r="F33" s="36" t="str">
        <f t="shared" si="6"/>
        <v>Stock</v>
      </c>
      <c r="G33" s="262"/>
      <c r="J33" s="62">
        <v>11</v>
      </c>
      <c r="K33" s="110"/>
      <c r="L33" s="34">
        <f t="shared" si="10"/>
        <v>66</v>
      </c>
      <c r="M33" s="286" t="str">
        <f>IFERROR(VLOOKUP($I$21&amp;L33,downloads!$A$1:$I$1000,2,FALSE),"")</f>
        <v/>
      </c>
      <c r="N33" s="36" t="str">
        <f t="shared" si="7"/>
        <v>Stock</v>
      </c>
      <c r="O33" s="233"/>
      <c r="R33" s="62">
        <v>11</v>
      </c>
      <c r="S33" s="110">
        <v>5</v>
      </c>
      <c r="T33" s="34">
        <f t="shared" si="11"/>
        <v>66</v>
      </c>
      <c r="U33" s="286" t="str">
        <f>IFERROR(VLOOKUP($Q$21&amp;T33,downloads!$A$1:$O$600,2,FALSE),"")</f>
        <v>Campbell JOHNSON</v>
      </c>
      <c r="V33" s="36" t="str">
        <f t="shared" si="8"/>
        <v>Stock</v>
      </c>
      <c r="W33" s="233">
        <v>1.35</v>
      </c>
    </row>
    <row r="34" spans="2:27" ht="15.75" x14ac:dyDescent="0.35">
      <c r="B34" s="62">
        <v>12</v>
      </c>
      <c r="C34" s="110"/>
      <c r="D34" s="34">
        <f t="shared" si="9"/>
        <v>11</v>
      </c>
      <c r="E34" s="286" t="str">
        <f>IFERROR(VLOOKUP($A$21&amp;D34,downloads!$A$1:$E$1000,2,FALSE),"")</f>
        <v/>
      </c>
      <c r="F34" s="36" t="str">
        <f t="shared" si="6"/>
        <v>C&amp;N</v>
      </c>
      <c r="G34" s="233"/>
      <c r="J34" s="62">
        <v>12</v>
      </c>
      <c r="K34" s="110"/>
      <c r="L34" s="34">
        <f t="shared" si="10"/>
        <v>11</v>
      </c>
      <c r="M34" s="286" t="str">
        <f>IFERROR(VLOOKUP($I$21&amp;L34,downloads!$A$1:$I$1000,2,FALSE),"")</f>
        <v/>
      </c>
      <c r="N34" s="36" t="str">
        <f t="shared" si="7"/>
        <v>C&amp;N</v>
      </c>
      <c r="O34" s="233"/>
      <c r="R34" s="62">
        <v>12</v>
      </c>
      <c r="S34" s="110"/>
      <c r="T34" s="34">
        <f t="shared" si="11"/>
        <v>77</v>
      </c>
      <c r="U34" s="286" t="str">
        <f>IFERROR(VLOOKUP($Q$21&amp;T34,downloads!$A$1:$O$600,2,FALSE),"")</f>
        <v/>
      </c>
      <c r="V34" s="36" t="str">
        <f t="shared" si="8"/>
        <v>Wigan</v>
      </c>
      <c r="W34" s="233"/>
    </row>
    <row r="35" spans="2:27" ht="15.75" x14ac:dyDescent="0.35">
      <c r="B35" s="62">
        <v>13</v>
      </c>
      <c r="C35" s="110"/>
      <c r="D35" s="34">
        <f t="shared" si="9"/>
        <v>55</v>
      </c>
      <c r="E35" s="286" t="str">
        <f>IFERROR(VLOOKUP($A$21&amp;D35,downloads!$A$1:$E$1000,2,FALSE),"")</f>
        <v/>
      </c>
      <c r="F35" s="36" t="str">
        <f t="shared" si="6"/>
        <v>Menai</v>
      </c>
      <c r="G35" s="233"/>
      <c r="J35" s="62">
        <v>13</v>
      </c>
      <c r="K35" s="110"/>
      <c r="L35" s="34">
        <f t="shared" si="10"/>
        <v>55</v>
      </c>
      <c r="M35" s="286" t="str">
        <f>IFERROR(VLOOKUP($I$21&amp;L35,downloads!$A$1:$I$1000,2,FALSE),"")</f>
        <v/>
      </c>
      <c r="N35" s="36" t="str">
        <f t="shared" si="7"/>
        <v>Menai</v>
      </c>
      <c r="O35" s="233"/>
      <c r="R35" s="62">
        <v>13</v>
      </c>
      <c r="S35" s="110"/>
      <c r="T35" s="34">
        <f t="shared" si="11"/>
        <v>33</v>
      </c>
      <c r="U35" s="286" t="str">
        <f>IFERROR(VLOOKUP($Q$21&amp;T35,downloads!$A$1:$O$600,2,FALSE),"")</f>
        <v/>
      </c>
      <c r="V35" s="36" t="str">
        <f t="shared" si="8"/>
        <v>Leigh</v>
      </c>
      <c r="W35" s="262"/>
    </row>
    <row r="36" spans="2:27" ht="15.75" x14ac:dyDescent="0.35">
      <c r="B36" s="62">
        <v>14</v>
      </c>
      <c r="C36" s="110"/>
      <c r="D36" s="34">
        <f t="shared" si="9"/>
        <v>44</v>
      </c>
      <c r="E36" s="286" t="str">
        <f>IFERROR(VLOOKUP($A$21&amp;D36,downloads!$A$1:$E$1000,2,FALSE),"")</f>
        <v/>
      </c>
      <c r="F36" s="36" t="str">
        <f t="shared" si="6"/>
        <v>Macc</v>
      </c>
      <c r="G36" s="233"/>
      <c r="J36" s="62">
        <v>14</v>
      </c>
      <c r="K36" s="110"/>
      <c r="L36" s="34">
        <f t="shared" si="10"/>
        <v>44</v>
      </c>
      <c r="M36" s="286" t="str">
        <f>IFERROR(VLOOKUP($I$21&amp;L36,downloads!$A$1:$I$1000,2,FALSE),"")</f>
        <v/>
      </c>
      <c r="N36" s="36" t="str">
        <f t="shared" si="7"/>
        <v>Macc</v>
      </c>
      <c r="O36" s="233"/>
      <c r="R36" s="62">
        <v>14</v>
      </c>
      <c r="S36" s="110">
        <v>4</v>
      </c>
      <c r="T36" s="34">
        <f t="shared" si="11"/>
        <v>44</v>
      </c>
      <c r="U36" s="286" t="str">
        <f>IFERROR(VLOOKUP($Q$21&amp;T36,downloads!$A$1:$O$600,2,FALSE),"")</f>
        <v>Tristan LAMPRECHT</v>
      </c>
      <c r="V36" s="36" t="str">
        <f t="shared" si="8"/>
        <v>Macc</v>
      </c>
      <c r="W36" s="233">
        <v>1.4</v>
      </c>
    </row>
    <row r="37" spans="2:27" ht="15.75" x14ac:dyDescent="0.35">
      <c r="B37" s="62">
        <v>15</v>
      </c>
      <c r="C37" s="110"/>
      <c r="D37" s="34">
        <f t="shared" si="9"/>
        <v>77</v>
      </c>
      <c r="E37" s="286" t="str">
        <f>IFERROR(VLOOKUP($A$21&amp;D37,downloads!$A$1:$E$1000,2,FALSE),"")</f>
        <v/>
      </c>
      <c r="F37" s="36" t="str">
        <f t="shared" si="6"/>
        <v>Wigan</v>
      </c>
      <c r="G37" s="233"/>
      <c r="J37" s="62">
        <v>15</v>
      </c>
      <c r="K37" s="110">
        <v>2</v>
      </c>
      <c r="L37" s="34">
        <f t="shared" si="10"/>
        <v>77</v>
      </c>
      <c r="M37" s="286" t="str">
        <f>IFERROR(VLOOKUP($I$21&amp;L37,downloads!$A$1:$I$1000,2,FALSE),"")</f>
        <v>Lucy STRETTON</v>
      </c>
      <c r="N37" s="36" t="str">
        <f t="shared" si="7"/>
        <v>Wigan</v>
      </c>
      <c r="O37" s="233">
        <v>2</v>
      </c>
      <c r="R37" s="62">
        <v>15</v>
      </c>
      <c r="S37" s="110"/>
      <c r="T37" s="34">
        <f t="shared" si="11"/>
        <v>55</v>
      </c>
      <c r="U37" s="286" t="str">
        <f>IFERROR(VLOOKUP($Q$21&amp;T37,downloads!$A$1:$O$600,2,FALSE),"")</f>
        <v/>
      </c>
      <c r="V37" s="36" t="str">
        <f t="shared" si="8"/>
        <v>Menai</v>
      </c>
      <c r="W37" s="233"/>
    </row>
    <row r="38" spans="2:27" ht="15.75" x14ac:dyDescent="0.35">
      <c r="B38" s="62">
        <v>16</v>
      </c>
      <c r="C38" s="110"/>
      <c r="D38" s="34" t="str">
        <f t="shared" si="9"/>
        <v>--</v>
      </c>
      <c r="E38" s="286" t="str">
        <f>IFERROR(VLOOKUP($A$21&amp;D38,downloads!$A$1:$E$1000,2,FALSE),"")</f>
        <v/>
      </c>
      <c r="F38" s="36" t="str">
        <f t="shared" si="6"/>
        <v>-</v>
      </c>
      <c r="G38" s="233"/>
      <c r="J38" s="62">
        <v>16</v>
      </c>
      <c r="K38" s="110"/>
      <c r="L38" s="34" t="str">
        <f t="shared" si="10"/>
        <v>--</v>
      </c>
      <c r="M38" s="286" t="str">
        <f>IFERROR(VLOOKUP($I$21&amp;L38,downloads!$A$1:$I$1000,2,FALSE),"")</f>
        <v/>
      </c>
      <c r="N38" s="36" t="str">
        <f t="shared" si="7"/>
        <v>-</v>
      </c>
      <c r="O38" s="233"/>
      <c r="R38" s="62">
        <v>16</v>
      </c>
      <c r="S38" s="110"/>
      <c r="T38" s="34" t="str">
        <f t="shared" si="11"/>
        <v>--</v>
      </c>
      <c r="U38" s="286" t="str">
        <f>IFERROR(VLOOKUP($Q$21&amp;T38,downloads!$A$1:$O$600,2,FALSE),"")</f>
        <v/>
      </c>
      <c r="V38" s="36" t="str">
        <f t="shared" si="8"/>
        <v>-</v>
      </c>
      <c r="W38" s="233"/>
    </row>
    <row r="41" spans="2:27" s="62" customFormat="1" x14ac:dyDescent="0.3">
      <c r="D41" s="35"/>
      <c r="E41" s="59"/>
      <c r="F41" s="36"/>
      <c r="G41" s="63"/>
      <c r="H41" s="59"/>
      <c r="L41" s="35"/>
      <c r="M41" s="59"/>
      <c r="N41" s="36"/>
      <c r="O41" s="63"/>
      <c r="P41" s="59"/>
      <c r="T41" s="35"/>
      <c r="U41" s="59"/>
      <c r="V41" s="36"/>
      <c r="W41" s="63"/>
      <c r="Y41" s="59"/>
      <c r="Z41" s="59"/>
      <c r="AA41" s="59"/>
    </row>
    <row r="42" spans="2:27" s="62" customFormat="1" x14ac:dyDescent="0.3">
      <c r="D42" s="35"/>
      <c r="E42" s="59"/>
      <c r="F42" s="36"/>
      <c r="G42" s="63"/>
      <c r="H42" s="59"/>
      <c r="L42" s="35"/>
      <c r="M42" s="59"/>
      <c r="N42" s="36"/>
      <c r="O42" s="63"/>
      <c r="P42" s="59"/>
      <c r="T42" s="35"/>
      <c r="U42" s="59"/>
      <c r="V42" s="36"/>
      <c r="W42" s="63"/>
      <c r="Y42" s="59"/>
      <c r="Z42" s="59"/>
      <c r="AA42" s="59"/>
    </row>
    <row r="43" spans="2:27" s="62" customFormat="1" x14ac:dyDescent="0.3">
      <c r="D43" s="35"/>
      <c r="E43" s="59"/>
      <c r="F43" s="36"/>
      <c r="G43" s="63"/>
      <c r="H43" s="59"/>
      <c r="L43" s="35"/>
      <c r="M43" s="59"/>
      <c r="N43" s="36"/>
      <c r="O43" s="63"/>
      <c r="P43" s="59"/>
      <c r="T43" s="35"/>
      <c r="U43" s="59"/>
      <c r="V43" s="36"/>
      <c r="W43" s="63"/>
      <c r="Y43" s="59"/>
      <c r="Z43" s="59"/>
      <c r="AA43" s="59"/>
    </row>
  </sheetData>
  <sheetProtection algorithmName="SHA-512" hashValue="g4KfVtU40UNXHqXXBzARwdz6ChkXH7HrfEMKoHH6/qkd3ixjedfrnkB4OC/n/2unevQDzKMLfkA+U9mdiweNDA==" saltValue="4xnteeL3VXR5IvOjA+LFxg==" spinCount="100000" sheet="1" objects="1" scenarios="1" formatCells="0" formatColumns="0" formatRows="0" sort="0" autoFilter="0"/>
  <conditionalFormatting sqref="C4:C19">
    <cfRule type="duplicateValues" dxfId="8" priority="6"/>
  </conditionalFormatting>
  <conditionalFormatting sqref="K4:K19">
    <cfRule type="duplicateValues" dxfId="7" priority="5"/>
  </conditionalFormatting>
  <conditionalFormatting sqref="S4:S19">
    <cfRule type="duplicateValues" dxfId="6" priority="4"/>
  </conditionalFormatting>
  <conditionalFormatting sqref="C23:C38">
    <cfRule type="duplicateValues" dxfId="5" priority="3"/>
  </conditionalFormatting>
  <conditionalFormatting sqref="K23:K38">
    <cfRule type="duplicateValues" dxfId="4" priority="2"/>
  </conditionalFormatting>
  <conditionalFormatting sqref="S23:S38">
    <cfRule type="duplicateValues" dxfId="3" priority="1"/>
  </conditionalFormatting>
  <dataValidations xWindow="780" yWindow="492" count="2">
    <dataValidation type="custom" allowBlank="1" showInputMessage="1" showErrorMessage="1" errorTitle="Field Performance" error="Input not allowed.  Please enter a value for the performance or X for a foul instead of NJ, NT, NP, NMR, NHC etc" promptTitle="Height Card Input" prompt="Enter either a numeric value or an X instead of NJ, NHR etc.  Enter 99 if event cancelled or 98 if no competitors declared" sqref="O23:O38 G4:G19 W4:W19 G23:G38 O4:O19 W23:W38" xr:uid="{00000000-0002-0000-0C00-000000000000}">
      <formula1>OR(G4="X",T(G4)="")</formula1>
    </dataValidation>
    <dataValidation type="custom" allowBlank="1" showInputMessage="1" showErrorMessage="1" errorTitle="Height Card Position" error="Please do not use A or B.  Performances should be ranked for the number of competitors in the competition regardless of A or B position e.g. 1 to 12 for a 6 club match" promptTitle="Height Position Input" prompt="Enter ranked positions for whole (A&amp;B) match.  No A, B or '=' allowed.  For tied positons enter that position followed by .1 for the 1st occurrence, .2 for the 2nd occurrence and so on.  E.g. 2 tied 5th places are 5.1, 5.2; 3 tied 7th places 7.1, 7.2, 7.3" sqref="S23:S38 C4:C19 S4:S19 K4:K19 K23:K38 C23:C38" xr:uid="{00000000-0002-0000-0C00-000001000000}">
      <formula1>T(C4)=""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">
    <tabColor theme="8" tint="-0.249977111117893"/>
    <pageSetUpPr autoPageBreaks="0"/>
  </sheetPr>
  <dimension ref="A1:V44"/>
  <sheetViews>
    <sheetView showZeros="0" zoomScaleNormal="100" zoomScaleSheetLayoutView="100" workbookViewId="0">
      <pane ySplit="1" topLeftCell="A2" activePane="bottomLeft" state="frozen"/>
      <selection activeCell="F7" sqref="F7"/>
      <selection pane="bottomLeft" activeCell="E15" sqref="E15"/>
    </sheetView>
  </sheetViews>
  <sheetFormatPr defaultColWidth="8.7109375" defaultRowHeight="15" x14ac:dyDescent="0.35"/>
  <cols>
    <col min="1" max="3" width="8.7109375" style="64" hidden="1" customWidth="1"/>
    <col min="4" max="4" width="3.7109375" style="64" customWidth="1"/>
    <col min="5" max="5" width="3.7109375" style="66" customWidth="1"/>
    <col min="6" max="6" width="20.7109375" style="85" customWidth="1"/>
    <col min="7" max="7" width="7.7109375" style="64" customWidth="1"/>
    <col min="8" max="8" width="7.28515625" style="97" customWidth="1"/>
    <col min="9" max="9" width="3.7109375" style="147" customWidth="1"/>
    <col min="10" max="10" width="1.7109375" style="64" customWidth="1"/>
    <col min="11" max="12" width="3.7109375" style="64" customWidth="1"/>
    <col min="13" max="13" width="20.7109375" style="85" customWidth="1"/>
    <col min="14" max="14" width="7.7109375" style="64" customWidth="1"/>
    <col min="15" max="15" width="7.42578125" style="96" bestFit="1" customWidth="1"/>
    <col min="16" max="16" width="3.7109375" style="149" customWidth="1"/>
    <col min="17" max="17" width="8.7109375" style="64"/>
    <col min="18" max="19" width="8.7109375" style="64" customWidth="1"/>
    <col min="20" max="20" width="8.7109375" style="168" customWidth="1"/>
    <col min="21" max="23" width="8.7109375" style="64" customWidth="1"/>
    <col min="24" max="16384" width="8.7109375" style="64"/>
  </cols>
  <sheetData>
    <row r="1" spans="1:22" ht="45" customHeight="1" x14ac:dyDescent="0.35">
      <c r="C1" s="150" t="str">
        <f>"UK ATHLETICS :: YOUTH DEVELOPMENT LEAGUE 2017 "</f>
        <v xml:space="preserve">UK ATHLETICS :: YOUTH DEVELOPMENT LEAGUE 2017 </v>
      </c>
      <c r="D1" s="170" t="str">
        <f>Dashboard!E1</f>
        <v>LOWER NORTH West 2 Macclesfield Leisure Centre</v>
      </c>
      <c r="F1" s="170"/>
      <c r="H1" s="67"/>
      <c r="M1" s="151"/>
      <c r="N1" s="453">
        <f>Dashboard!E2</f>
        <v>45053</v>
      </c>
      <c r="O1" s="453"/>
      <c r="R1" s="79" t="s">
        <v>200</v>
      </c>
      <c r="S1" s="70"/>
      <c r="T1" s="152">
        <f ca="1">SUM(T2:T214)</f>
        <v>4</v>
      </c>
      <c r="U1" s="79">
        <f ca="1">SUM(U2:U214)</f>
        <v>0</v>
      </c>
    </row>
    <row r="2" spans="1:22" x14ac:dyDescent="0.35">
      <c r="C2" s="98" t="s">
        <v>256</v>
      </c>
      <c r="D2" s="99" t="str">
        <f>IFERROR(VLOOKUP(C2,timetables,2,FALSE)&amp;" "&amp;VLOOKUP(C2,timetables,3,FALSE)&amp;" A","")</f>
        <v>1200m U13 Girls A</v>
      </c>
      <c r="E2" s="99"/>
      <c r="H2" s="100" t="str">
        <f ca="1">IFERROR(IF(OR(H4=0,H4=""),"",IF(H4&lt;C11,"REC",IF(H4=C11,"=Rec",""))),"")</f>
        <v/>
      </c>
      <c r="K2" s="101" t="str">
        <f>IFERROR(VLOOKUP(C2,timetables,2,FALSE)&amp;" "&amp;VLOOKUP(C2,timetables,3,FALSE)&amp;" B","")</f>
        <v>1200m U13 Girls B</v>
      </c>
      <c r="L2" s="102"/>
      <c r="R2" s="66" t="s">
        <v>53</v>
      </c>
      <c r="S2" s="66" t="s">
        <v>54</v>
      </c>
    </row>
    <row r="3" spans="1:22" x14ac:dyDescent="0.35">
      <c r="A3" s="420">
        <f>IFERROR(VLOOKUP(C2,standards,11,FALSE),"-")</f>
        <v>2.7430555555555559E-3</v>
      </c>
      <c r="B3" s="419">
        <v>9</v>
      </c>
      <c r="C3" s="79"/>
      <c r="D3" s="45" t="s">
        <v>177</v>
      </c>
      <c r="E3" s="45" t="s">
        <v>141</v>
      </c>
      <c r="F3" s="139" t="s">
        <v>174</v>
      </c>
      <c r="G3" s="47" t="s">
        <v>175</v>
      </c>
      <c r="H3" s="134" t="s">
        <v>176</v>
      </c>
      <c r="I3" s="148" t="s">
        <v>1003</v>
      </c>
      <c r="J3" s="47"/>
      <c r="K3" s="45" t="s">
        <v>177</v>
      </c>
      <c r="L3" s="45" t="s">
        <v>141</v>
      </c>
      <c r="M3" s="139" t="s">
        <v>174</v>
      </c>
      <c r="N3" s="47" t="s">
        <v>175</v>
      </c>
      <c r="O3" s="134" t="s">
        <v>176</v>
      </c>
      <c r="P3" s="148" t="s">
        <v>1003</v>
      </c>
      <c r="R3" s="66">
        <f>IFERROR(SEARCH("NS",D2),0)</f>
        <v>0</v>
      </c>
      <c r="V3" s="67"/>
    </row>
    <row r="4" spans="1:22" x14ac:dyDescent="0.35">
      <c r="A4" s="420">
        <f>IFERROR(VLOOKUP(C2,standards,10,FALSE),"-")</f>
        <v>2.7893518518518519E-3</v>
      </c>
      <c r="B4" s="419">
        <v>8</v>
      </c>
      <c r="C4" s="103">
        <f>VLOOKUP(C2,'Middle D'!$A:$C,2,FALSE)</f>
        <v>19</v>
      </c>
      <c r="D4" s="104">
        <v>1</v>
      </c>
      <c r="E4" s="104">
        <f ca="1">IFERROR(INDIRECT(CONCATENATE("'Middle D'!E",C4)),"")</f>
        <v>55</v>
      </c>
      <c r="F4" s="425" t="str">
        <f ca="1">IFERROR(VLOOKUP($C2&amp;E4,downloads!$A$1:$E$1000,2,FALSE),"")</f>
        <v>Martha BOWN</v>
      </c>
      <c r="G4" s="64" t="str">
        <f t="shared" ref="G4:G11" ca="1" si="0">IFERROR(VLOOKUP(E4,teamlookup,5,FALSE),"")</f>
        <v>Menai</v>
      </c>
      <c r="H4" s="96">
        <f ca="1">IFERROR(INDIRECT(CONCATENATE("'Middle D'!h",C4)),"")</f>
        <v>2.7835648148148147E-3</v>
      </c>
      <c r="I4" s="147">
        <f ca="1">IFERROR(IF(OR(H4="",H4=0,H4&gt;A11),"",VLOOKUP(H4,A3:B11,2,TRUE)),9)</f>
        <v>9</v>
      </c>
      <c r="J4" s="67"/>
      <c r="K4" s="104">
        <v>1</v>
      </c>
      <c r="L4" s="104">
        <f ca="1">IFERROR(INDIRECT(CONCATENATE("'Middle D'!E",C4+9)),"")</f>
        <v>5</v>
      </c>
      <c r="M4" s="425" t="str">
        <f ca="1">IFERROR(VLOOKUP($C2&amp;L4,downloads!$A$1:$E$1000,2,FALSE),"")</f>
        <v>Tamsin SEGUIN</v>
      </c>
      <c r="N4" s="64" t="str">
        <f t="shared" ref="N4:N11" ca="1" si="1">IFERROR(VLOOKUP(L4,teamlookup,5,FALSE),"")</f>
        <v>Menai</v>
      </c>
      <c r="O4" s="96">
        <f ca="1">IFERROR(INDIRECT(CONCATENATE("'Middle D'!h",C4+9)),"")</f>
        <v>2.7847222222222223E-3</v>
      </c>
      <c r="P4" s="147">
        <f ca="1">IFERROR(IF(OR(O4="",O4=0,O4&gt;A11),"",VLOOKUP(O4,A3:B11,2,TRUE)),9)</f>
        <v>9</v>
      </c>
      <c r="R4" s="66">
        <f ca="1">IFERROR(IF(OR(E4=0,E4="",H4=0,H4="",$R3&lt;&gt;0,LEFT(H4,1)="D"),0,VLOOKUP(D4,INDIRECT(MatchDay!$W$2),2,FALSE)),"")</f>
        <v>10</v>
      </c>
      <c r="S4" s="66">
        <f ca="1">IFERROR(IF(OR(L4=0,L4="",O4=0,O4="",$R3&lt;&gt;0,LEFT(O4,1)="D"),0,VLOOKUP(K4,INDIRECT(MatchDay!$W$2),3,FALSE)),"")</f>
        <v>8</v>
      </c>
      <c r="T4" s="168">
        <f ca="1">COUNTIF(E4,"&gt;0")</f>
        <v>1</v>
      </c>
      <c r="U4" s="66">
        <f ca="1">IFERROR(IF(E4&gt;88,1,0),0)</f>
        <v>0</v>
      </c>
    </row>
    <row r="5" spans="1:22" x14ac:dyDescent="0.35">
      <c r="A5" s="420">
        <f>IFERROR(VLOOKUP(C2,standards,9,FALSE),"-")</f>
        <v>2.8472222222222219E-3</v>
      </c>
      <c r="B5" s="419">
        <v>7</v>
      </c>
      <c r="C5" s="64">
        <v>0</v>
      </c>
      <c r="D5" s="104">
        <v>2</v>
      </c>
      <c r="E5" s="104">
        <f ca="1">IFERROR(INDIRECT(CONCATENATE("'Middle D'!E",C4+1)),"")</f>
        <v>2</v>
      </c>
      <c r="F5" s="425" t="str">
        <f ca="1">IFERROR(VLOOKUP($C2&amp;E5,downloads!$A$1:$E$1000,2,FALSE),"")</f>
        <v>Demi BAXTER</v>
      </c>
      <c r="G5" s="64" t="str">
        <f t="shared" ca="1" si="0"/>
        <v>ECHT</v>
      </c>
      <c r="H5" s="96">
        <f ca="1">IFERROR(INDIRECT(CONCATENATE("'Middle D'!h",C4+1)),"")</f>
        <v>2.8530092592592596E-3</v>
      </c>
      <c r="I5" s="147">
        <f ca="1">IFERROR(IF(OR(H5="",H5=0,H5&gt;A11),"",VLOOKUP(H5,A3:B11,2,TRUE)),9)</f>
        <v>7</v>
      </c>
      <c r="J5" s="67"/>
      <c r="K5" s="104">
        <v>2</v>
      </c>
      <c r="L5" s="104">
        <f ca="1">IFERROR(INDIRECT(CONCATENATE("'Middle D'!E",C4+10)),"")</f>
        <v>11</v>
      </c>
      <c r="M5" s="425" t="str">
        <f ca="1">IFERROR(VLOOKUP($C2&amp;L5,downloads!$A$1:$E$1000,2,FALSE),"")</f>
        <v>Sofiya HARE</v>
      </c>
      <c r="N5" s="64" t="str">
        <f t="shared" ca="1" si="1"/>
        <v>C&amp;N</v>
      </c>
      <c r="O5" s="96">
        <f ca="1">IFERROR(INDIRECT(CONCATENATE("'Middle D'!h",C4+10)),"")</f>
        <v>3.0104166666666664E-3</v>
      </c>
      <c r="P5" s="147">
        <f ca="1">IFERROR(IF(OR(O5="",O5=0,O5&gt;A11),"",VLOOKUP(O5,A3:B11,2,TRUE)),9)</f>
        <v>5</v>
      </c>
      <c r="R5" s="66">
        <f ca="1">IFERROR(IF(OR(E5=0,E5="",H5=0,H5="",$R3&lt;&gt;0,LEFT(H5,1)="D"),0,VLOOKUP(D5,INDIRECT(MatchDay!$W$2),2,FALSE)),"")</f>
        <v>8</v>
      </c>
      <c r="S5" s="66">
        <f ca="1">IFERROR(IF(OR(L5=0,L5="",O5=0,O5="",$R3&lt;&gt;0,LEFT(O5,1)="D"),0,VLOOKUP(K5,INDIRECT(MatchDay!$W$2),3,FALSE)),"")</f>
        <v>6</v>
      </c>
    </row>
    <row r="6" spans="1:22" x14ac:dyDescent="0.35">
      <c r="A6" s="420">
        <f>IFERROR(VLOOKUP(C2,standards,8,FALSE),"-")</f>
        <v>2.9282407407407412E-3</v>
      </c>
      <c r="B6" s="419">
        <v>6</v>
      </c>
      <c r="C6" s="105"/>
      <c r="D6" s="104">
        <v>3</v>
      </c>
      <c r="E6" s="104">
        <f ca="1">IFERROR(INDIRECT(CONCATENATE("'Middle D'!E",C4+2)),"")</f>
        <v>7</v>
      </c>
      <c r="F6" s="425" t="str">
        <f ca="1">IFERROR(VLOOKUP($C2&amp;E6,downloads!$A$1:$E$1000,2,FALSE),"")</f>
        <v>Maisie CADMAN</v>
      </c>
      <c r="G6" s="64" t="str">
        <f t="shared" ca="1" si="0"/>
        <v>Wigan</v>
      </c>
      <c r="H6" s="96">
        <f ca="1">IFERROR(INDIRECT(CONCATENATE("'Middle D'!h",C4+2)),"")</f>
        <v>2.9074074074074076E-3</v>
      </c>
      <c r="I6" s="147">
        <f ca="1">IFERROR(IF(OR(H6="",H6=0,H6&gt;A11),"",VLOOKUP(H6,A3:B11,2,TRUE)),9)</f>
        <v>7</v>
      </c>
      <c r="J6" s="67"/>
      <c r="K6" s="104">
        <v>3</v>
      </c>
      <c r="L6" s="104">
        <f ca="1">IFERROR(INDIRECT(CONCATENATE("'Middle D'!E",C4+11)),"")</f>
        <v>33</v>
      </c>
      <c r="M6" s="425" t="str">
        <f ca="1">IFERROR(VLOOKUP($C2&amp;L6,downloads!$A$1:$E$1000,2,FALSE),"")</f>
        <v>Rae VAUGHAN</v>
      </c>
      <c r="N6" s="64" t="str">
        <f t="shared" ca="1" si="1"/>
        <v>Leigh</v>
      </c>
      <c r="O6" s="96">
        <f ca="1">IFERROR(INDIRECT(CONCATENATE("'Middle D'!h",C4+11)),"")</f>
        <v>3.0613425925925925E-3</v>
      </c>
      <c r="P6" s="147">
        <f ca="1">IFERROR(IF(OR(O6="",O6=0,O6&gt;A11),"",VLOOKUP(O6,A3:B11,2,TRUE)),9)</f>
        <v>5</v>
      </c>
      <c r="R6" s="66">
        <f ca="1">IFERROR(IF(OR(E6=0,E6="",H6=0,H6="",$R3&lt;&gt;0,LEFT(H6,1)="D"),0,VLOOKUP(D6,INDIRECT(MatchDay!$W$2),2,FALSE)),"")</f>
        <v>7</v>
      </c>
      <c r="S6" s="66">
        <f ca="1">IFERROR(IF(OR(L6=0,L6="",O6=0,O6="",$R3&lt;&gt;0,LEFT(O6,1)="D"),0,VLOOKUP(K6,INDIRECT(MatchDay!$W$2),3,FALSE)),"")</f>
        <v>5</v>
      </c>
    </row>
    <row r="7" spans="1:22" x14ac:dyDescent="0.35">
      <c r="A7" s="420">
        <f>IFERROR(VLOOKUP(C2,standards,7,FALSE),"-")</f>
        <v>3.0092592592592588E-3</v>
      </c>
      <c r="B7" s="419">
        <v>5</v>
      </c>
      <c r="C7" s="105"/>
      <c r="D7" s="104">
        <v>4</v>
      </c>
      <c r="E7" s="104">
        <f ca="1">IFERROR(INDIRECT(CONCATENATE("'Middle D'!E",C4+3)),"")</f>
        <v>1</v>
      </c>
      <c r="F7" s="425" t="str">
        <f ca="1">IFERROR(VLOOKUP($C2&amp;E7,downloads!$A$1:$E$1000,2,FALSE),"")</f>
        <v>Bethany HALL</v>
      </c>
      <c r="G7" s="64" t="str">
        <f t="shared" ca="1" si="0"/>
        <v>C&amp;N</v>
      </c>
      <c r="H7" s="96">
        <f ca="1">IFERROR(INDIRECT(CONCATENATE("'Middle D'!h",C4+3)),"")</f>
        <v>2.91087962962963E-3</v>
      </c>
      <c r="I7" s="147">
        <f ca="1">IFERROR(IF(OR(H7="",H7=0,H7&gt;A11),"",VLOOKUP(H7,A3:B11,2,TRUE)),9)</f>
        <v>7</v>
      </c>
      <c r="J7" s="67"/>
      <c r="K7" s="104">
        <v>4</v>
      </c>
      <c r="L7" s="104">
        <f ca="1">IFERROR(INDIRECT(CONCATENATE("'Middle D'!E",C4+12)),"")</f>
        <v>77</v>
      </c>
      <c r="M7" s="425" t="str">
        <f ca="1">IFERROR(VLOOKUP($C2&amp;L7,downloads!$A$1:$E$1000,2,FALSE),"")</f>
        <v>Layla HALL</v>
      </c>
      <c r="N7" s="64" t="str">
        <f t="shared" ca="1" si="1"/>
        <v>Wigan</v>
      </c>
      <c r="O7" s="96">
        <f ca="1">IFERROR(INDIRECT(CONCATENATE("'Middle D'!h",C4+12)),"")</f>
        <v>3.351851851851852E-3</v>
      </c>
      <c r="P7" s="147">
        <f ca="1">IFERROR(IF(OR(O7="",O7=0,O7&gt;A11),"",VLOOKUP(O7,A3:B11,2,TRUE)),9)</f>
        <v>3</v>
      </c>
      <c r="R7" s="66">
        <f ca="1">IFERROR(IF(OR(E7=0,E7="",H7=0,H7="",$R3&lt;&gt;0,LEFT(H7,1)="D"),0,VLOOKUP(D7,INDIRECT(MatchDay!$W$2),2,FALSE)),"")</f>
        <v>6</v>
      </c>
      <c r="S7" s="66">
        <f ca="1">IFERROR(IF(OR(L7=0,L7="",O7=0,O7="",$R3&lt;&gt;0,LEFT(O7,1)="D"),0,VLOOKUP(K7,INDIRECT(MatchDay!$W$2),3,FALSE)),"")</f>
        <v>4</v>
      </c>
    </row>
    <row r="8" spans="1:22" x14ac:dyDescent="0.35">
      <c r="A8" s="420">
        <f>IFERROR(VLOOKUP(C2,standards,6,FALSE),"-")</f>
        <v>3.1249999999999997E-3</v>
      </c>
      <c r="B8" s="419">
        <v>4</v>
      </c>
      <c r="C8" s="105"/>
      <c r="D8" s="104">
        <v>5</v>
      </c>
      <c r="E8" s="104">
        <f ca="1">IFERROR(INDIRECT(CONCATENATE("'Middle D'!E",C4+4)),"")</f>
        <v>3</v>
      </c>
      <c r="F8" s="425" t="str">
        <f ca="1">IFERROR(VLOOKUP($C2&amp;E8,downloads!$A$1:$E$1000,2,FALSE),"")</f>
        <v>Bee METCALFE</v>
      </c>
      <c r="G8" s="64" t="str">
        <f t="shared" ca="1" si="0"/>
        <v>Leigh</v>
      </c>
      <c r="H8" s="96">
        <f ca="1">IFERROR(INDIRECT(CONCATENATE("'Middle D'!h",C4+4)),"")</f>
        <v>2.9386574074074076E-3</v>
      </c>
      <c r="I8" s="147">
        <f ca="1">IFERROR(IF(OR(H8="",H8=0,H8&gt;A11),"",VLOOKUP(H8,A3:B11,2,TRUE)),9)</f>
        <v>6</v>
      </c>
      <c r="J8" s="67"/>
      <c r="K8" s="104">
        <v>5</v>
      </c>
      <c r="L8" s="104">
        <f ca="1">IFERROR(INDIRECT(CONCATENATE("'Middle D'!E",C4+13)),"")</f>
        <v>22</v>
      </c>
      <c r="M8" s="425" t="str">
        <f ca="1">IFERROR(VLOOKUP($C2&amp;L8,downloads!$A$1:$E$1000,2,FALSE),"")</f>
        <v>Scarlett LYNE</v>
      </c>
      <c r="N8" s="64" t="str">
        <f t="shared" ca="1" si="1"/>
        <v>ECHT</v>
      </c>
      <c r="O8" s="96">
        <f ca="1">IFERROR(INDIRECT(CONCATENATE("'Middle D'!h",C4+13)),"")</f>
        <v>3.4513888888888888E-3</v>
      </c>
      <c r="P8" s="147">
        <f ca="1">IFERROR(IF(OR(O8="",O8=0,O8&gt;A11),"",VLOOKUP(O8,A3:B11,2,TRUE)),9)</f>
        <v>2</v>
      </c>
      <c r="R8" s="66">
        <f ca="1">IFERROR(IF(OR(E8=0,E8="",H8=0,H8="",$R3&lt;&gt;0,LEFT(H8,1)="D"),0,VLOOKUP(D8,INDIRECT(MatchDay!$W$2),2,FALSE)),"")</f>
        <v>5</v>
      </c>
      <c r="S8" s="66">
        <f ca="1">IFERROR(IF(OR(L8=0,L8="",O8=0,O8="",$R3&lt;&gt;0,LEFT(O8,1)="D"),0,VLOOKUP(K8,INDIRECT(MatchDay!$W$2),3,FALSE)),"")</f>
        <v>3</v>
      </c>
    </row>
    <row r="9" spans="1:22" x14ac:dyDescent="0.35">
      <c r="A9" s="420">
        <f>IFERROR(VLOOKUP(C2,standards,5,FALSE),"-")</f>
        <v>3.2407407407407406E-3</v>
      </c>
      <c r="B9" s="419">
        <v>3</v>
      </c>
      <c r="C9" s="105"/>
      <c r="D9" s="104">
        <v>6</v>
      </c>
      <c r="E9" s="104">
        <f ca="1">IFERROR(INDIRECT(CONCATENATE("'Middle D'!E",C4+5)),"")</f>
        <v>4</v>
      </c>
      <c r="F9" s="425" t="str">
        <f ca="1">IFERROR(VLOOKUP($C2&amp;E9,downloads!$A$1:$E$1000,2,FALSE),"")</f>
        <v>Iona FISHER</v>
      </c>
      <c r="G9" s="64" t="str">
        <f t="shared" ca="1" si="0"/>
        <v>Macc</v>
      </c>
      <c r="H9" s="96">
        <f ca="1">IFERROR(INDIRECT(CONCATENATE("'Middle D'!h",C4+5)),"")</f>
        <v>3.2025462962962962E-3</v>
      </c>
      <c r="I9" s="147">
        <f ca="1">IFERROR(IF(OR(H9="",H9=0,H9&gt;A11),"",VLOOKUP(H9,A3:B11,2,TRUE)),9)</f>
        <v>4</v>
      </c>
      <c r="J9" s="67"/>
      <c r="K9" s="104">
        <v>6</v>
      </c>
      <c r="L9" s="104">
        <f ca="1">IFERROR(INDIRECT(CONCATENATE("'Middle D'!E",C4+14)),"")</f>
        <v>44</v>
      </c>
      <c r="M9" s="425" t="str">
        <f ca="1">IFERROR(VLOOKUP($C2&amp;L9,downloads!$A$1:$E$1000,2,FALSE),"")</f>
        <v>Holly WALKER</v>
      </c>
      <c r="N9" s="64" t="str">
        <f t="shared" ca="1" si="1"/>
        <v>Macc</v>
      </c>
      <c r="O9" s="96">
        <f ca="1">IFERROR(INDIRECT(CONCATENATE("'Middle D'!h",C4+14)),"")</f>
        <v>3.607638888888889E-3</v>
      </c>
      <c r="P9" s="147" t="str">
        <f ca="1">IFERROR(IF(OR(O9="",O9=0,O9&gt;A11),"",VLOOKUP(O9,A3:B11,2,TRUE)),9)</f>
        <v/>
      </c>
      <c r="R9" s="66">
        <f ca="1">IFERROR(IF(OR(E9=0,E9="",H9=0,H9="",$R3&lt;&gt;0,LEFT(H9,1)="D"),0,VLOOKUP(D9,INDIRECT(MatchDay!$W$2),2,FALSE)),"")</f>
        <v>4</v>
      </c>
      <c r="S9" s="66">
        <f ca="1">IFERROR(IF(OR(L9=0,L9="",O9=0,O9="",$R3&lt;&gt;0,LEFT(O9,1)="D"),0,VLOOKUP(K9,INDIRECT(MatchDay!$W$2),3,FALSE)),"")</f>
        <v>2</v>
      </c>
    </row>
    <row r="10" spans="1:22" x14ac:dyDescent="0.35">
      <c r="A10" s="420">
        <f>IFERROR(VLOOKUP(C2,standards,4,FALSE),"-")</f>
        <v>3.3564814814814811E-3</v>
      </c>
      <c r="B10" s="419">
        <v>2</v>
      </c>
      <c r="C10" s="103" t="s">
        <v>151</v>
      </c>
      <c r="D10" s="104">
        <v>7</v>
      </c>
      <c r="E10" s="104">
        <f ca="1">IFERROR(INDIRECT(CONCATENATE("'Middle D'!E",C4+6)),"")</f>
        <v>6</v>
      </c>
      <c r="F10" s="425" t="str">
        <f ca="1">IFERROR(VLOOKUP($C2&amp;E10,downloads!$A$1:$E$1000,2,FALSE),"")</f>
        <v>Emily FOX</v>
      </c>
      <c r="G10" s="64" t="str">
        <f t="shared" ca="1" si="0"/>
        <v>Stock</v>
      </c>
      <c r="H10" s="96">
        <f ca="1">IFERROR(INDIRECT(CONCATENATE("'Middle D'!h",C4+6)),"")</f>
        <v>3.2615740740740743E-3</v>
      </c>
      <c r="I10" s="147">
        <f ca="1">IFERROR(IF(OR(H10="",H10=0,H10&gt;A11),"",VLOOKUP(H10,A3:B11,2,TRUE)),9)</f>
        <v>3</v>
      </c>
      <c r="J10" s="67"/>
      <c r="K10" s="104">
        <v>7</v>
      </c>
      <c r="L10" s="104" t="str">
        <f ca="1">IFERROR(INDIRECT(CONCATENATE("'Middle D'!E",C4+15)),"")</f>
        <v/>
      </c>
      <c r="M10" s="425" t="str">
        <f ca="1">IFERROR(VLOOKUP($C2&amp;L10,downloads!$A$1:$E$1000,2,FALSE),"")</f>
        <v/>
      </c>
      <c r="N10" s="64" t="str">
        <f t="shared" ca="1" si="1"/>
        <v/>
      </c>
      <c r="O10" s="96" t="str">
        <f ca="1">IFERROR(INDIRECT(CONCATENATE("'Middle D'!h",C4+15)),"")</f>
        <v/>
      </c>
      <c r="P10" s="147" t="str">
        <f ca="1">IFERROR(IF(OR(O10="",O10=0,O10&gt;A11),"",VLOOKUP(O10,A3:B11,2,TRUE)),9)</f>
        <v/>
      </c>
      <c r="R10" s="66">
        <f ca="1">IFERROR(IF(OR(E10=0,E10="",H10=0,H10="",$R3&lt;&gt;0,LEFT(H10,1)="D"),0,VLOOKUP(D10,INDIRECT(MatchDay!$W$2),2,FALSE)),"")</f>
        <v>3</v>
      </c>
      <c r="S10" s="66">
        <f ca="1">IFERROR(IF(OR(L10=0,L10="",O10=0,O10="",$R3&lt;&gt;0,LEFT(O10,1)="D"),0,VLOOKUP(K10,INDIRECT(MatchDay!$W$2),3,FALSE)),"")</f>
        <v>0</v>
      </c>
    </row>
    <row r="11" spans="1:22" x14ac:dyDescent="0.35">
      <c r="A11" s="420">
        <f>IFERROR(VLOOKUP(C2,standards,3,FALSE),"-")</f>
        <v>3.472222222222222E-3</v>
      </c>
      <c r="B11" s="419">
        <v>1</v>
      </c>
      <c r="C11" s="196">
        <f>IFERROR(VLOOKUP(C2,records,5,FALSE),"")</f>
        <v>2.5648148148148149E-3</v>
      </c>
      <c r="D11" s="104">
        <v>8</v>
      </c>
      <c r="E11" s="104" t="str">
        <f ca="1">IFERROR(INDIRECT(CONCATENATE("'Middle D'!E",C4+7)),"")</f>
        <v/>
      </c>
      <c r="F11" s="425" t="str">
        <f ca="1">IFERROR(VLOOKUP($C2&amp;E11,downloads!$A$1:$E$1000,2,FALSE),"")</f>
        <v/>
      </c>
      <c r="G11" s="64" t="str">
        <f t="shared" ca="1" si="0"/>
        <v/>
      </c>
      <c r="H11" s="96" t="str">
        <f ca="1">IFERROR(INDIRECT(CONCATENATE("'Middle D'!h",C4+7)),"")</f>
        <v/>
      </c>
      <c r="I11" s="147" t="str">
        <f ca="1">IFERROR(IF(OR(H11="",H11=0,H11&gt;A11),"",VLOOKUP(H11,A3:B11,2,TRUE)),9)</f>
        <v/>
      </c>
      <c r="J11" s="67"/>
      <c r="K11" s="104">
        <v>8</v>
      </c>
      <c r="L11" s="104" t="str">
        <f ca="1">IFERROR(INDIRECT(CONCATENATE("'Middle D'!E",C4+16)),"")</f>
        <v/>
      </c>
      <c r="M11" s="425" t="str">
        <f ca="1">IFERROR(VLOOKUP($C2&amp;L11,downloads!$A$1:$E$1000,2,FALSE),"")</f>
        <v/>
      </c>
      <c r="N11" s="64" t="str">
        <f t="shared" ca="1" si="1"/>
        <v/>
      </c>
      <c r="O11" s="96" t="str">
        <f ca="1">IFERROR(INDIRECT(CONCATENATE("'Middle D'!h",C4+16)),"")</f>
        <v/>
      </c>
      <c r="P11" s="147" t="str">
        <f ca="1">IFERROR(IF(OR(O11="",O11=0,O11&gt;A11),"",VLOOKUP(O11,A3:B11,2,TRUE)),9)</f>
        <v/>
      </c>
      <c r="R11" s="66">
        <f ca="1">IFERROR(IF(OR(E11=0,E11="",H11=0,H11="",$R3&lt;&gt;0,LEFT(H11,1)="D"),0,VLOOKUP(D11,INDIRECT(MatchDay!$W$2),2,FALSE)),"")</f>
        <v>0</v>
      </c>
      <c r="S11" s="66">
        <f ca="1">IFERROR(IF(OR(L11=0,L11="",O11=0,O11="",$R3&lt;&gt;0,LEFT(O11,1)="D"),0,VLOOKUP(K11,INDIRECT(MatchDay!$W$2),3,FALSE)),"")</f>
        <v>0</v>
      </c>
    </row>
    <row r="12" spans="1:22" x14ac:dyDescent="0.35">
      <c r="F12" s="426"/>
      <c r="M12" s="426"/>
    </row>
    <row r="13" spans="1:22" x14ac:dyDescent="0.35">
      <c r="C13" s="98" t="s">
        <v>257</v>
      </c>
      <c r="D13" s="99" t="str">
        <f>IFERROR(VLOOKUP(C13,timetables,2,FALSE)&amp;" "&amp;VLOOKUP(C13,timetables,3,FALSE)&amp;" A","")</f>
        <v>1200m U13 Boys A</v>
      </c>
      <c r="E13" s="99"/>
      <c r="F13" s="426"/>
      <c r="H13" s="100" t="str">
        <f ca="1">IFERROR(IF(OR(H15=0,H15=""),"",IF(H15&lt;C22,"REC",IF(H15=C22,"=Rec",""))),"")</f>
        <v/>
      </c>
      <c r="K13" s="101" t="str">
        <f>IFERROR(VLOOKUP(C13,timetables,2,FALSE)&amp;" "&amp;VLOOKUP(C13,timetables,3,FALSE)&amp;" B","")</f>
        <v>1200m U13 Boys B</v>
      </c>
      <c r="L13" s="102"/>
      <c r="M13" s="426"/>
      <c r="R13" s="66" t="s">
        <v>53</v>
      </c>
      <c r="S13" s="66" t="s">
        <v>54</v>
      </c>
    </row>
    <row r="14" spans="1:22" x14ac:dyDescent="0.35">
      <c r="A14" s="420">
        <f>IFERROR(TIMEVALUE(VLOOKUP(C13,standards,11,FALSE)),"-")</f>
        <v>2.627314814814815E-3</v>
      </c>
      <c r="B14" s="419">
        <v>9</v>
      </c>
      <c r="C14" s="79"/>
      <c r="D14" s="45" t="s">
        <v>177</v>
      </c>
      <c r="E14" s="45" t="s">
        <v>141</v>
      </c>
      <c r="F14" s="427" t="s">
        <v>174</v>
      </c>
      <c r="G14" s="47" t="s">
        <v>175</v>
      </c>
      <c r="H14" s="134" t="s">
        <v>176</v>
      </c>
      <c r="I14" s="148" t="s">
        <v>1003</v>
      </c>
      <c r="J14" s="47"/>
      <c r="K14" s="45" t="s">
        <v>177</v>
      </c>
      <c r="L14" s="45" t="s">
        <v>141</v>
      </c>
      <c r="M14" s="427" t="s">
        <v>174</v>
      </c>
      <c r="N14" s="47" t="s">
        <v>175</v>
      </c>
      <c r="O14" s="134" t="s">
        <v>176</v>
      </c>
      <c r="P14" s="148" t="s">
        <v>1003</v>
      </c>
      <c r="R14" s="66">
        <f>IFERROR(SEARCH("NS",D13),0)</f>
        <v>0</v>
      </c>
      <c r="V14" s="67"/>
    </row>
    <row r="15" spans="1:22" x14ac:dyDescent="0.35">
      <c r="A15" s="420">
        <f>IFERROR(TIMEVALUE(VLOOKUP(C13,standards,10,FALSE)),"-")</f>
        <v>2.673611111111111E-3</v>
      </c>
      <c r="B15" s="419">
        <v>8</v>
      </c>
      <c r="C15" s="103">
        <f>VLOOKUP(C13,'Middle D'!$A:$C,2,FALSE)</f>
        <v>55</v>
      </c>
      <c r="D15" s="104">
        <v>1</v>
      </c>
      <c r="E15" s="104">
        <f ca="1">IFERROR(INDIRECT(CONCATENATE("'Middle D'!E",C15)),"")</f>
        <v>2</v>
      </c>
      <c r="F15" s="425" t="str">
        <f ca="1">IFERROR(VLOOKUP($C13&amp;E15,downloads!$A$1:$E$1000,2,FALSE),"")</f>
        <v>Oliver MANNION</v>
      </c>
      <c r="G15" s="64" t="str">
        <f t="shared" ref="G15:G22" ca="1" si="2">IFERROR(VLOOKUP(E15,teamlookup,5,FALSE),"")</f>
        <v>ECHT</v>
      </c>
      <c r="H15" s="96">
        <f ca="1">IFERROR(INDIRECT(CONCATENATE("'Middle D'!h",C15)),"")</f>
        <v>2.9942129629629633E-3</v>
      </c>
      <c r="I15" s="147">
        <f ca="1">IFERROR(IF(OR(H15="",H15=0,H15&gt;A22),"",VLOOKUP(H15,A14:B22,2,TRUE)),9)</f>
        <v>5</v>
      </c>
      <c r="J15" s="67"/>
      <c r="K15" s="104">
        <v>1</v>
      </c>
      <c r="L15" s="104">
        <f ca="1">IFERROR(INDIRECT(CONCATENATE("'Middle D'!E",C15+9)),"")</f>
        <v>22</v>
      </c>
      <c r="M15" s="425" t="str">
        <f ca="1">IFERROR(VLOOKUP($C13&amp;L15,downloads!$A$1:$E$1000,2,FALSE),"")</f>
        <v>James NELSON</v>
      </c>
      <c r="N15" s="64" t="str">
        <f t="shared" ref="N15:N22" ca="1" si="3">IFERROR(VLOOKUP(L15,teamlookup,5,FALSE),"")</f>
        <v>ECHT</v>
      </c>
      <c r="O15" s="96">
        <f ca="1">IFERROR(INDIRECT(CONCATENATE("'Middle D'!h",C15+9)),"")</f>
        <v>3.2569444444444443E-3</v>
      </c>
      <c r="P15" s="147">
        <f ca="1">IFERROR(IF(OR(O15="",O15=0,O15&gt;A22),"",VLOOKUP(O15,A14:B22,2,TRUE)),9)</f>
        <v>2</v>
      </c>
      <c r="R15" s="66">
        <f ca="1">IFERROR(IF(OR(E15=0,E15="",H15=0,H15="",$R14&lt;&gt;0,LEFT(H15,1)="D"),0,VLOOKUP(D15,INDIRECT(MatchDay!$W$2),2,FALSE)),"")</f>
        <v>10</v>
      </c>
      <c r="S15" s="66">
        <f ca="1">IFERROR(IF(OR(L15=0,L15="",O15=0,O15="",$R14&lt;&gt;0,LEFT(O15,1)="D"),0,VLOOKUP(K15,INDIRECT(MatchDay!$W$2),3,FALSE)),"")</f>
        <v>8</v>
      </c>
      <c r="T15" s="168">
        <f ca="1">COUNTIF(E15,"&gt;0")</f>
        <v>1</v>
      </c>
      <c r="U15" s="66">
        <f ca="1">IFERROR(IF(E15&gt;88,1,0),0)</f>
        <v>0</v>
      </c>
    </row>
    <row r="16" spans="1:22" x14ac:dyDescent="0.35">
      <c r="A16" s="420">
        <f>IFERROR(TIMEVALUE(VLOOKUP(C13,standards,9,FALSE)),"-")</f>
        <v>2.7314814814814819E-3</v>
      </c>
      <c r="B16" s="419">
        <v>7</v>
      </c>
      <c r="C16" s="64">
        <v>0</v>
      </c>
      <c r="D16" s="104">
        <v>2</v>
      </c>
      <c r="E16" s="104">
        <f ca="1">IFERROR(INDIRECT(CONCATENATE("'Middle D'!E",C15+1)),"")</f>
        <v>5</v>
      </c>
      <c r="F16" s="425" t="str">
        <f ca="1">IFERROR(VLOOKUP($C13&amp;E16,downloads!$A$1:$E$1000,2,FALSE),"")</f>
        <v>Perry MARSLAND</v>
      </c>
      <c r="G16" s="64" t="str">
        <f t="shared" ca="1" si="2"/>
        <v>Menai</v>
      </c>
      <c r="H16" s="96">
        <f ca="1">IFERROR(INDIRECT(CONCATENATE("'Middle D'!h",C15+1)),"")</f>
        <v>3.0277777777777781E-3</v>
      </c>
      <c r="I16" s="147">
        <f ca="1">IFERROR(IF(OR(H16="",H16=0,H16&gt;A22),"",VLOOKUP(H16,A14:B22,2,TRUE)),9)</f>
        <v>4</v>
      </c>
      <c r="J16" s="67"/>
      <c r="K16" s="104">
        <v>2</v>
      </c>
      <c r="L16" s="104">
        <f ca="1">IFERROR(INDIRECT(CONCATENATE("'Middle D'!E",C15+10)),"")</f>
        <v>33</v>
      </c>
      <c r="M16" s="425" t="str">
        <f ca="1">IFERROR(VLOOKUP($C13&amp;L16,downloads!$A$1:$E$1000,2,FALSE),"")</f>
        <v>Samuel WILLIAMS</v>
      </c>
      <c r="N16" s="64" t="str">
        <f t="shared" ca="1" si="3"/>
        <v>Leigh</v>
      </c>
      <c r="O16" s="96">
        <f ca="1">IFERROR(INDIRECT(CONCATENATE("'Middle D'!h",C15+10)),"")</f>
        <v>3.5856481481481481E-3</v>
      </c>
      <c r="P16" s="147" t="str">
        <f ca="1">IFERROR(IF(OR(O16="",O16=0,O16&gt;A22),"",VLOOKUP(O16,A14:B22,2,TRUE)),9)</f>
        <v/>
      </c>
      <c r="R16" s="66">
        <f ca="1">IFERROR(IF(OR(E16=0,E16="",H16=0,H16="",$R14&lt;&gt;0,LEFT(H16,1)="D"),0,VLOOKUP(D16,INDIRECT(MatchDay!$W$2),2,FALSE)),"")</f>
        <v>8</v>
      </c>
      <c r="S16" s="66">
        <f ca="1">IFERROR(IF(OR(L16=0,L16="",O16=0,O16="",$R14&lt;&gt;0,LEFT(O16,1)="D"),0,VLOOKUP(K16,INDIRECT(MatchDay!$W$2),3,FALSE)),"")</f>
        <v>6</v>
      </c>
    </row>
    <row r="17" spans="1:22" x14ac:dyDescent="0.35">
      <c r="A17" s="420">
        <f>IFERROR(TIMEVALUE(VLOOKUP(C13,standards,8,FALSE)),"-")</f>
        <v>2.8124999999999995E-3</v>
      </c>
      <c r="B17" s="419">
        <v>6</v>
      </c>
      <c r="C17" s="105"/>
      <c r="D17" s="104">
        <v>3</v>
      </c>
      <c r="E17" s="104">
        <f ca="1">IFERROR(INDIRECT(CONCATENATE("'Middle D'!E",C15+2)),"")</f>
        <v>4</v>
      </c>
      <c r="F17" s="425" t="str">
        <f ca="1">IFERROR(VLOOKUP($C13&amp;E17,downloads!$A$1:$E$1000,2,FALSE),"")</f>
        <v>Alexander MCLAREN</v>
      </c>
      <c r="G17" s="64" t="str">
        <f t="shared" ca="1" si="2"/>
        <v>Macc</v>
      </c>
      <c r="H17" s="96">
        <f ca="1">IFERROR(INDIRECT(CONCATENATE("'Middle D'!h",C15+2)),"")</f>
        <v>3.0833333333333338E-3</v>
      </c>
      <c r="I17" s="147">
        <f ca="1">IFERROR(IF(OR(H17="",H17=0,H17&gt;A22),"",VLOOKUP(H17,A14:B22,2,TRUE)),9)</f>
        <v>4</v>
      </c>
      <c r="J17" s="67"/>
      <c r="K17" s="104">
        <v>3</v>
      </c>
      <c r="L17" s="104" t="str">
        <f ca="1">IFERROR(INDIRECT(CONCATENATE("'Middle D'!E",C15+11)),"")</f>
        <v/>
      </c>
      <c r="M17" s="425" t="str">
        <f ca="1">IFERROR(VLOOKUP($C13&amp;L17,downloads!$A$1:$E$1000,2,FALSE),"")</f>
        <v/>
      </c>
      <c r="N17" s="64" t="str">
        <f t="shared" ca="1" si="3"/>
        <v/>
      </c>
      <c r="O17" s="96" t="str">
        <f ca="1">IFERROR(INDIRECT(CONCATENATE("'Middle D'!h",C15+11)),"")</f>
        <v/>
      </c>
      <c r="P17" s="147" t="str">
        <f ca="1">IFERROR(IF(OR(O17="",O17=0,O17&gt;A22),"",VLOOKUP(O17,A14:B22,2,TRUE)),9)</f>
        <v/>
      </c>
      <c r="R17" s="66">
        <f ca="1">IFERROR(IF(OR(E17=0,E17="",H17=0,H17="",$R14&lt;&gt;0,LEFT(H17,1)="D"),0,VLOOKUP(D17,INDIRECT(MatchDay!$W$2),2,FALSE)),"")</f>
        <v>7</v>
      </c>
      <c r="S17" s="66">
        <f ca="1">IFERROR(IF(OR(L17=0,L17="",O17=0,O17="",$R14&lt;&gt;0,LEFT(O17,1)="D"),0,VLOOKUP(K17,INDIRECT(MatchDay!$W$2),3,FALSE)),"")</f>
        <v>0</v>
      </c>
    </row>
    <row r="18" spans="1:22" x14ac:dyDescent="0.35">
      <c r="A18" s="420">
        <f>IFERROR(TIMEVALUE(VLOOKUP(C13,standards,7,FALSE)),"-")</f>
        <v>2.8935185185185188E-3</v>
      </c>
      <c r="B18" s="419">
        <v>5</v>
      </c>
      <c r="C18" s="105"/>
      <c r="D18" s="264">
        <v>4</v>
      </c>
      <c r="E18" s="104">
        <f ca="1">IFERROR(INDIRECT(CONCATENATE("'Middle D'!E",C15+3)),"")</f>
        <v>3</v>
      </c>
      <c r="F18" s="425" t="str">
        <f ca="1">IFERROR(VLOOKUP($C13&amp;E18,downloads!$A$1:$E$1000,2,FALSE),"")</f>
        <v>Jasper PARKIN-KERNER</v>
      </c>
      <c r="G18" s="64" t="str">
        <f t="shared" ca="1" si="2"/>
        <v>Leigh</v>
      </c>
      <c r="H18" s="96">
        <f ca="1">IFERROR(INDIRECT(CONCATENATE("'Middle D'!h",C15+3)),"")</f>
        <v>3.196759259259259E-3</v>
      </c>
      <c r="I18" s="147">
        <f ca="1">IFERROR(IF(OR(H18="",H18=0,H18&gt;A22),"",VLOOKUP(H18,A14:B22,2,TRUE)),9)</f>
        <v>3</v>
      </c>
      <c r="J18" s="67"/>
      <c r="K18" s="104">
        <v>4</v>
      </c>
      <c r="L18" s="104" t="str">
        <f ca="1">IFERROR(INDIRECT(CONCATENATE("'Middle D'!E",C15+12)),"")</f>
        <v/>
      </c>
      <c r="M18" s="425" t="str">
        <f ca="1">IFERROR(VLOOKUP($C13&amp;L18,downloads!$A$1:$E$1000,2,FALSE),"")</f>
        <v/>
      </c>
      <c r="N18" s="64" t="str">
        <f t="shared" ca="1" si="3"/>
        <v/>
      </c>
      <c r="O18" s="96" t="str">
        <f ca="1">IFERROR(INDIRECT(CONCATENATE("'Middle D'!h",C15+12)),"")</f>
        <v/>
      </c>
      <c r="P18" s="147" t="str">
        <f ca="1">IFERROR(IF(OR(O18="",O18=0,O18&gt;A22),"",VLOOKUP(O18,A14:B22,2,TRUE)),9)</f>
        <v/>
      </c>
      <c r="R18" s="66">
        <f ca="1">IFERROR(IF(OR(E18=0,E18="",H18=0,H18="",$R14&lt;&gt;0,LEFT(H18,1)="D"),0,VLOOKUP(D18,INDIRECT(MatchDay!$W$2),2,FALSE)),"")</f>
        <v>6</v>
      </c>
      <c r="S18" s="66">
        <f ca="1">IFERROR(IF(OR(L18=0,L18="",O18=0,O18="",$R14&lt;&gt;0,LEFT(O18,1)="D"),0,VLOOKUP(K18,INDIRECT(MatchDay!$W$2),3,FALSE)),"")</f>
        <v>0</v>
      </c>
    </row>
    <row r="19" spans="1:22" x14ac:dyDescent="0.35">
      <c r="A19" s="420">
        <f>IFERROR(TIMEVALUE(VLOOKUP(C13,standards,6,FALSE)),"-")</f>
        <v>3.0092592592592588E-3</v>
      </c>
      <c r="B19" s="419">
        <v>4</v>
      </c>
      <c r="C19" s="105"/>
      <c r="D19" s="264">
        <v>5</v>
      </c>
      <c r="E19" s="104">
        <f ca="1">IFERROR(INDIRECT(CONCATENATE("'Middle D'!E",C15+4)),"")</f>
        <v>7</v>
      </c>
      <c r="F19" s="425" t="str">
        <f ca="1">IFERROR(VLOOKUP($C13&amp;E19,downloads!$A$1:$E$1000,2,FALSE),"")</f>
        <v>Samuel HODGKINSON</v>
      </c>
      <c r="G19" s="64" t="str">
        <f t="shared" ca="1" si="2"/>
        <v>Wigan</v>
      </c>
      <c r="H19" s="96">
        <f ca="1">IFERROR(INDIRECT(CONCATENATE("'Middle D'!h",C15+4)),"")</f>
        <v>3.251157407407407E-3</v>
      </c>
      <c r="I19" s="147">
        <f ca="1">IFERROR(IF(OR(H19="",H19=0,H19&gt;A22),"",VLOOKUP(H19,A14:B22,2,TRUE)),9)</f>
        <v>2</v>
      </c>
      <c r="J19" s="67"/>
      <c r="K19" s="104">
        <v>5</v>
      </c>
      <c r="L19" s="104" t="str">
        <f ca="1">IFERROR(INDIRECT(CONCATENATE("'Middle D'!E",C15+13)),"")</f>
        <v/>
      </c>
      <c r="M19" s="425" t="str">
        <f ca="1">IFERROR(VLOOKUP($C13&amp;L19,downloads!$A$1:$E$1000,2,FALSE),"")</f>
        <v/>
      </c>
      <c r="N19" s="64" t="str">
        <f t="shared" ca="1" si="3"/>
        <v/>
      </c>
      <c r="O19" s="96" t="str">
        <f ca="1">IFERROR(INDIRECT(CONCATENATE("'Middle D'!h",C15+13)),"")</f>
        <v/>
      </c>
      <c r="P19" s="147" t="str">
        <f ca="1">IFERROR(IF(OR(O19="",O19=0,O19&gt;A22),"",VLOOKUP(O19,A14:B22,2,TRUE)),9)</f>
        <v/>
      </c>
      <c r="R19" s="66">
        <f ca="1">IFERROR(IF(OR(E19=0,E19="",H19=0,H19="",$R14&lt;&gt;0,LEFT(H19,1)="D"),0,VLOOKUP(D19,INDIRECT(MatchDay!$W$2),2,FALSE)),"")</f>
        <v>5</v>
      </c>
      <c r="S19" s="66">
        <f ca="1">IFERROR(IF(OR(L19=0,L19="",O19=0,O19="",$R14&lt;&gt;0,LEFT(O19,1)="D"),0,VLOOKUP(K19,INDIRECT(MatchDay!$W$2),3,FALSE)),"")</f>
        <v>0</v>
      </c>
    </row>
    <row r="20" spans="1:22" x14ac:dyDescent="0.35">
      <c r="A20" s="420">
        <f>IFERROR(TIMEVALUE(VLOOKUP(C13,standards,5,FALSE)),"-")</f>
        <v>3.1249999999999997E-3</v>
      </c>
      <c r="B20" s="419">
        <v>3</v>
      </c>
      <c r="C20" s="105"/>
      <c r="D20" s="104">
        <v>6</v>
      </c>
      <c r="E20" s="104" t="str">
        <f ca="1">IFERROR(INDIRECT(CONCATENATE("'Middle D'!E",C15+5)),"")</f>
        <v/>
      </c>
      <c r="F20" s="425" t="str">
        <f ca="1">IFERROR(VLOOKUP($C13&amp;E20,downloads!$A$1:$E$1000,2,FALSE),"")</f>
        <v/>
      </c>
      <c r="G20" s="64" t="str">
        <f t="shared" ca="1" si="2"/>
        <v/>
      </c>
      <c r="H20" s="96" t="str">
        <f ca="1">IFERROR(INDIRECT(CONCATENATE("'Middle D'!h",C15+5)),"")</f>
        <v/>
      </c>
      <c r="I20" s="147" t="str">
        <f ca="1">IFERROR(IF(OR(H20="",H20=0,H20&gt;A22),"",VLOOKUP(H20,A14:B22,2,TRUE)),9)</f>
        <v/>
      </c>
      <c r="J20" s="67"/>
      <c r="K20" s="104">
        <v>6</v>
      </c>
      <c r="L20" s="104" t="str">
        <f ca="1">IFERROR(INDIRECT(CONCATENATE("'Middle D'!E",C15+14)),"")</f>
        <v/>
      </c>
      <c r="M20" s="425" t="str">
        <f ca="1">IFERROR(VLOOKUP($C13&amp;L20,downloads!$A$1:$E$1000,2,FALSE),"")</f>
        <v/>
      </c>
      <c r="N20" s="64" t="str">
        <f t="shared" ca="1" si="3"/>
        <v/>
      </c>
      <c r="O20" s="96" t="str">
        <f ca="1">IFERROR(INDIRECT(CONCATENATE("'Middle D'!h",C15+14)),"")</f>
        <v/>
      </c>
      <c r="P20" s="147" t="str">
        <f ca="1">IFERROR(IF(OR(O20="",O20=0,O20&gt;A22),"",VLOOKUP(O20,A14:B22,2,TRUE)),9)</f>
        <v/>
      </c>
      <c r="R20" s="66">
        <f ca="1">IFERROR(IF(OR(E20=0,E20="",H20=0,H20="",$R14&lt;&gt;0,LEFT(H20,1)="D"),0,VLOOKUP(D20,INDIRECT(MatchDay!$W$2),2,FALSE)),"")</f>
        <v>0</v>
      </c>
      <c r="S20" s="66">
        <f ca="1">IFERROR(IF(OR(L20=0,L20="",O20=0,O20="",$R14&lt;&gt;0,LEFT(O20,1)="D"),0,VLOOKUP(K20,INDIRECT(MatchDay!$W$2),3,FALSE)),"")</f>
        <v>0</v>
      </c>
    </row>
    <row r="21" spans="1:22" x14ac:dyDescent="0.35">
      <c r="A21" s="420">
        <f>IFERROR(TIMEVALUE(VLOOKUP(C13,standards,4,FALSE)),"-")</f>
        <v>3.2407407407407406E-3</v>
      </c>
      <c r="B21" s="419">
        <v>2</v>
      </c>
      <c r="C21" s="103" t="s">
        <v>151</v>
      </c>
      <c r="D21" s="104">
        <v>7</v>
      </c>
      <c r="E21" s="104" t="str">
        <f ca="1">IFERROR(INDIRECT(CONCATENATE("'Middle D'!E",C15+6)),"")</f>
        <v/>
      </c>
      <c r="F21" s="425" t="str">
        <f ca="1">IFERROR(VLOOKUP($C13&amp;E21,downloads!$A$1:$E$1000,2,FALSE),"")</f>
        <v/>
      </c>
      <c r="G21" s="64" t="str">
        <f t="shared" ca="1" si="2"/>
        <v/>
      </c>
      <c r="H21" s="96" t="str">
        <f ca="1">IFERROR(INDIRECT(CONCATENATE("'Middle D'!h",C15+6)),"")</f>
        <v/>
      </c>
      <c r="I21" s="147" t="str">
        <f ca="1">IFERROR(IF(OR(H21="",H21=0,H21&gt;A22),"",VLOOKUP(H21,A14:B22,2,TRUE)),9)</f>
        <v/>
      </c>
      <c r="J21" s="67"/>
      <c r="K21" s="104">
        <v>7</v>
      </c>
      <c r="L21" s="104" t="str">
        <f ca="1">IFERROR(INDIRECT(CONCATENATE("'Middle D'!E",C15+15)),"")</f>
        <v/>
      </c>
      <c r="M21" s="425" t="str">
        <f ca="1">IFERROR(VLOOKUP($C13&amp;L21,downloads!$A$1:$E$1000,2,FALSE),"")</f>
        <v/>
      </c>
      <c r="N21" s="64" t="str">
        <f t="shared" ca="1" si="3"/>
        <v/>
      </c>
      <c r="O21" s="96" t="str">
        <f ca="1">IFERROR(INDIRECT(CONCATENATE("'Middle D'!h",C15+15)),"")</f>
        <v/>
      </c>
      <c r="P21" s="147" t="str">
        <f ca="1">IFERROR(IF(OR(O21="",O21=0,O21&gt;A22),"",VLOOKUP(O21,A14:B22,2,TRUE)),9)</f>
        <v/>
      </c>
      <c r="R21" s="66">
        <f ca="1">IFERROR(IF(OR(E21=0,E21="",H21=0,H21="",$R14&lt;&gt;0,LEFT(H21,1)="D"),0,VLOOKUP(D21,INDIRECT(MatchDay!$W$2),2,FALSE)),"")</f>
        <v>0</v>
      </c>
      <c r="S21" s="66">
        <f ca="1">IFERROR(IF(OR(L21=0,L21="",O21=0,O21="",$R14&lt;&gt;0,LEFT(O21,1)="D"),0,VLOOKUP(K21,INDIRECT(MatchDay!$W$2),3,FALSE)),"")</f>
        <v>0</v>
      </c>
    </row>
    <row r="22" spans="1:22" x14ac:dyDescent="0.35">
      <c r="A22" s="420">
        <f>IFERROR(TIMEVALUE(VLOOKUP(C13,standards,3,FALSE)),"-")</f>
        <v>3.3564814814814811E-3</v>
      </c>
      <c r="B22" s="419">
        <v>1</v>
      </c>
      <c r="C22" s="103">
        <f>IFERROR(VLOOKUP(C13,records,5,FALSE),"")</f>
        <v>2.4130787037037037E-3</v>
      </c>
      <c r="D22" s="104">
        <v>8</v>
      </c>
      <c r="E22" s="104" t="str">
        <f ca="1">IFERROR(INDIRECT(CONCATENATE("'Middle D'!E",C15+7)),"")</f>
        <v/>
      </c>
      <c r="F22" s="425" t="str">
        <f ca="1">IFERROR(VLOOKUP($C13&amp;E22,downloads!$A$1:$E$1000,2,FALSE),"")</f>
        <v/>
      </c>
      <c r="G22" s="64" t="str">
        <f t="shared" ca="1" si="2"/>
        <v/>
      </c>
      <c r="H22" s="96" t="str">
        <f ca="1">IFERROR(INDIRECT(CONCATENATE("'Middle D'!h",C15+7)),"")</f>
        <v/>
      </c>
      <c r="I22" s="147" t="str">
        <f ca="1">IFERROR(IF(OR(H22="",H22=0,H22&gt;A22),"",VLOOKUP(H22,A14:B22,2,TRUE)),9)</f>
        <v/>
      </c>
      <c r="J22" s="67"/>
      <c r="K22" s="104">
        <v>8</v>
      </c>
      <c r="L22" s="104" t="str">
        <f ca="1">IFERROR(INDIRECT(CONCATENATE("'Middle D'!E",C15+16)),"")</f>
        <v/>
      </c>
      <c r="M22" s="425" t="str">
        <f ca="1">IFERROR(VLOOKUP($C13&amp;L22,downloads!$A$1:$E$1000,2,FALSE),"")</f>
        <v/>
      </c>
      <c r="N22" s="64" t="str">
        <f t="shared" ca="1" si="3"/>
        <v/>
      </c>
      <c r="O22" s="96" t="str">
        <f ca="1">IFERROR(INDIRECT(CONCATENATE("'Middle D'!h",C15+16)),"")</f>
        <v/>
      </c>
      <c r="P22" s="147" t="str">
        <f ca="1">IFERROR(IF(OR(O22="",O22=0,O22&gt;A22),"",VLOOKUP(O22,A14:B22,2,TRUE)),9)</f>
        <v/>
      </c>
      <c r="R22" s="66">
        <f ca="1">IFERROR(IF(OR(E22=0,E22="",H22=0,H22="",$R14&lt;&gt;0,LEFT(H22,1)="D"),0,VLOOKUP(D22,INDIRECT(MatchDay!$W$2),2,FALSE)),"")</f>
        <v>0</v>
      </c>
      <c r="S22" s="66">
        <f ca="1">IFERROR(IF(OR(L22=0,L22="",O22=0,O22="",$R14&lt;&gt;0,LEFT(O22,1)="D"),0,VLOOKUP(K22,INDIRECT(MatchDay!$W$2),3,FALSE)),"")</f>
        <v>0</v>
      </c>
    </row>
    <row r="23" spans="1:22" x14ac:dyDescent="0.35">
      <c r="F23" s="426"/>
      <c r="M23" s="426"/>
    </row>
    <row r="24" spans="1:22" x14ac:dyDescent="0.35">
      <c r="C24" s="98" t="s">
        <v>258</v>
      </c>
      <c r="D24" s="99" t="str">
        <f>IFERROR(VLOOKUP(C24,timetables,2,FALSE)&amp;" "&amp;VLOOKUP(C24,timetables,3,FALSE)&amp;" A","")</f>
        <v>1500m U15 Girls A</v>
      </c>
      <c r="E24" s="99"/>
      <c r="F24" s="426"/>
      <c r="H24" s="100" t="str">
        <f ca="1">IFERROR(IF(OR(H26=0,H26=""),"",IF(H26&lt;C33,"REC",IF(H26=C33,"=Rec",""))),"")</f>
        <v/>
      </c>
      <c r="K24" s="101" t="str">
        <f>IFERROR(VLOOKUP(C24,timetables,2,FALSE)&amp;" "&amp;VLOOKUP(C24,timetables,3,FALSE)&amp;" B","")</f>
        <v>1500m U15 Girls B</v>
      </c>
      <c r="L24" s="102"/>
      <c r="M24" s="426"/>
      <c r="R24" s="66" t="s">
        <v>53</v>
      </c>
      <c r="S24" s="66" t="s">
        <v>54</v>
      </c>
    </row>
    <row r="25" spans="1:22" x14ac:dyDescent="0.35">
      <c r="A25" s="420">
        <f>IFERROR(VLOOKUP(C24,standards,11,FALSE),"-")</f>
        <v>3.3564814814814811E-3</v>
      </c>
      <c r="B25" s="419">
        <v>9</v>
      </c>
      <c r="C25" s="79"/>
      <c r="D25" s="45" t="s">
        <v>177</v>
      </c>
      <c r="E25" s="45" t="s">
        <v>141</v>
      </c>
      <c r="F25" s="427" t="s">
        <v>174</v>
      </c>
      <c r="G25" s="47" t="s">
        <v>175</v>
      </c>
      <c r="H25" s="134" t="s">
        <v>176</v>
      </c>
      <c r="I25" s="148" t="s">
        <v>1003</v>
      </c>
      <c r="J25" s="47"/>
      <c r="K25" s="45" t="s">
        <v>177</v>
      </c>
      <c r="L25" s="45" t="s">
        <v>141</v>
      </c>
      <c r="M25" s="427" t="s">
        <v>174</v>
      </c>
      <c r="N25" s="47" t="s">
        <v>175</v>
      </c>
      <c r="O25" s="134" t="s">
        <v>176</v>
      </c>
      <c r="P25" s="148" t="s">
        <v>1003</v>
      </c>
      <c r="R25" s="66">
        <f>IFERROR(SEARCH("NS",D24),0)</f>
        <v>0</v>
      </c>
      <c r="V25" s="67"/>
    </row>
    <row r="26" spans="1:22" x14ac:dyDescent="0.35">
      <c r="A26" s="420">
        <f>IFERROR(VLOOKUP(C24,standards,10,FALSE),"-")</f>
        <v>3.414351851851852E-3</v>
      </c>
      <c r="B26" s="419">
        <v>8</v>
      </c>
      <c r="C26" s="103">
        <f>VLOOKUP(C24,'Middle D'!$A:$C,2,FALSE)</f>
        <v>91</v>
      </c>
      <c r="D26" s="104">
        <v>1</v>
      </c>
      <c r="E26" s="104">
        <f ca="1">IFERROR(INDIRECT(CONCATENATE("'Middle D'!E",C26)),"")</f>
        <v>3</v>
      </c>
      <c r="F26" s="425" t="str">
        <f ca="1">IFERROR(VLOOKUP($C24&amp;E26,downloads!$A$1:$E$1000,2,FALSE),"")</f>
        <v>Jessica HODGKINSON</v>
      </c>
      <c r="G26" s="64" t="str">
        <f t="shared" ref="G26:G33" ca="1" si="4">IFERROR(VLOOKUP(E26,teamlookup,5,FALSE),"")</f>
        <v>Leigh</v>
      </c>
      <c r="H26" s="96">
        <f ca="1">IFERROR(INDIRECT(CONCATENATE("'Middle D'!h",C26)),"")</f>
        <v>3.4664351851851852E-3</v>
      </c>
      <c r="I26" s="147">
        <f ca="1">IFERROR(IF(OR(H26="",H26=0,H26&gt;A33),"",VLOOKUP(H26,A25:B33,2,TRUE)),9)</f>
        <v>8</v>
      </c>
      <c r="J26" s="67"/>
      <c r="K26" s="104">
        <v>1</v>
      </c>
      <c r="L26" s="104">
        <f ca="1">IFERROR(INDIRECT(CONCATENATE("'Middle D'!E",C26+9)),"")</f>
        <v>7</v>
      </c>
      <c r="M26" s="425" t="str">
        <f ca="1">IFERROR(VLOOKUP($C24&amp;L26,downloads!$A$1:$E$1000,2,FALSE),"")</f>
        <v>Lucy ORRELL</v>
      </c>
      <c r="N26" s="64" t="str">
        <f t="shared" ref="N26:N33" ca="1" si="5">IFERROR(VLOOKUP(L26,teamlookup,5,FALSE),"")</f>
        <v>Wigan</v>
      </c>
      <c r="O26" s="96">
        <f ca="1">IFERROR(INDIRECT(CONCATENATE("'Middle D'!h",C26+9)),"")</f>
        <v>3.9699074074074072E-3</v>
      </c>
      <c r="P26" s="147">
        <f ca="1">IFERROR(IF(OR(O26="",O26=0,O26&gt;A33),"",VLOOKUP(O26,A25:B33,2,TRUE)),9)</f>
        <v>2</v>
      </c>
      <c r="R26" s="66">
        <f ca="1">IFERROR(IF(OR(E26=0,E26="",H26=0,H26="",$R25&lt;&gt;0,LEFT(H26,1)="D"),0,VLOOKUP(D26,INDIRECT(MatchDay!$W$2),2,FALSE)),"")</f>
        <v>10</v>
      </c>
      <c r="S26" s="66">
        <f ca="1">IFERROR(IF(OR(L26=0,L26="",O26=0,O26="",$R25&lt;&gt;0,LEFT(O26,1)="D"),0,VLOOKUP(K26,INDIRECT(MatchDay!$W$2),3,FALSE)),"")</f>
        <v>8</v>
      </c>
      <c r="T26" s="168">
        <f ca="1">COUNTIF(E26,"&gt;0")</f>
        <v>1</v>
      </c>
      <c r="U26" s="66">
        <f ca="1">IFERROR(IF(E26&gt;88,1,0),0)</f>
        <v>0</v>
      </c>
    </row>
    <row r="27" spans="1:22" x14ac:dyDescent="0.35">
      <c r="A27" s="420">
        <f>IFERROR(VLOOKUP(C24,standards,9,FALSE),"-")</f>
        <v>3.472222222222222E-3</v>
      </c>
      <c r="B27" s="419">
        <v>7</v>
      </c>
      <c r="C27" s="64">
        <v>0</v>
      </c>
      <c r="D27" s="104">
        <v>2</v>
      </c>
      <c r="E27" s="104">
        <f ca="1">IFERROR(INDIRECT(CONCATENATE("'Middle D'!E",C26+1)),"")</f>
        <v>6</v>
      </c>
      <c r="F27" s="425" t="str">
        <f ca="1">IFERROR(VLOOKUP($C24&amp;E27,downloads!$A$1:$E$1000,2,FALSE),"")</f>
        <v>Charlotte UNDERWOOD</v>
      </c>
      <c r="G27" s="64" t="str">
        <f t="shared" ca="1" si="4"/>
        <v>Stock</v>
      </c>
      <c r="H27" s="96">
        <f ca="1">IFERROR(INDIRECT(CONCATENATE("'Middle D'!h",C26+1)),"")</f>
        <v>3.7604166666666662E-3</v>
      </c>
      <c r="I27" s="147">
        <f ca="1">IFERROR(IF(OR(H27="",H27=0,H27&gt;A33),"",VLOOKUP(H27,A25:B33,2,TRUE)),9)</f>
        <v>4</v>
      </c>
      <c r="J27" s="67"/>
      <c r="K27" s="104">
        <v>2</v>
      </c>
      <c r="L27" s="104">
        <f ca="1">IFERROR(INDIRECT(CONCATENATE("'Middle D'!E",C26+10)),"")</f>
        <v>66</v>
      </c>
      <c r="M27" s="425" t="str">
        <f ca="1">IFERROR(VLOOKUP($C24&amp;L27,downloads!$A$1:$E$1000,2,FALSE),"")</f>
        <v>Poppy BRANCH</v>
      </c>
      <c r="N27" s="64" t="str">
        <f t="shared" ca="1" si="5"/>
        <v>Stock</v>
      </c>
      <c r="O27" s="96">
        <f ca="1">IFERROR(INDIRECT(CONCATENATE("'Middle D'!h",C26+10)),"")</f>
        <v>3.9837962962962969E-3</v>
      </c>
      <c r="P27" s="147">
        <f ca="1">IFERROR(IF(OR(O27="",O27=0,O27&gt;A33),"",VLOOKUP(O27,A25:B33,2,TRUE)),9)</f>
        <v>2</v>
      </c>
      <c r="R27" s="66">
        <f ca="1">IFERROR(IF(OR(E27=0,E27="",H27=0,H27="",$R25&lt;&gt;0,LEFT(H27,1)="D"),0,VLOOKUP(D27,INDIRECT(MatchDay!$W$2),2,FALSE)),"")</f>
        <v>8</v>
      </c>
      <c r="S27" s="66">
        <f ca="1">IFERROR(IF(OR(L27=0,L27="",O27=0,O27="",$R25&lt;&gt;0,LEFT(O27,1)="D"),0,VLOOKUP(K27,INDIRECT(MatchDay!$W$2),3,FALSE)),"")</f>
        <v>6</v>
      </c>
    </row>
    <row r="28" spans="1:22" x14ac:dyDescent="0.35">
      <c r="A28" s="420">
        <f>IFERROR(VLOOKUP(C24,standards,8,FALSE),"-")</f>
        <v>3.5416666666666665E-3</v>
      </c>
      <c r="B28" s="419">
        <v>6</v>
      </c>
      <c r="C28" s="105"/>
      <c r="D28" s="104">
        <v>3</v>
      </c>
      <c r="E28" s="104">
        <f ca="1">IFERROR(INDIRECT(CONCATENATE("'Middle D'!E",C26+2)),"")</f>
        <v>77</v>
      </c>
      <c r="F28" s="425" t="str">
        <f ca="1">IFERROR(VLOOKUP($C24&amp;E28,downloads!$A$1:$E$1000,2,FALSE),"")</f>
        <v>Holly NICHOLLS</v>
      </c>
      <c r="G28" s="64" t="str">
        <f t="shared" ca="1" si="4"/>
        <v>Wigan</v>
      </c>
      <c r="H28" s="96">
        <f ca="1">IFERROR(INDIRECT(CONCATENATE("'Middle D'!h",C26+2)),"")</f>
        <v>3.9004629629629628E-3</v>
      </c>
      <c r="I28" s="147">
        <f ca="1">IFERROR(IF(OR(H28="",H28=0,H28&gt;A33),"",VLOOKUP(H28,A25:B33,2,TRUE)),9)</f>
        <v>3</v>
      </c>
      <c r="J28" s="67"/>
      <c r="K28" s="104">
        <v>3</v>
      </c>
      <c r="L28" s="104">
        <f ca="1">IFERROR(INDIRECT(CONCATENATE("'Middle D'!E",C26+11)),"")</f>
        <v>22</v>
      </c>
      <c r="M28" s="425" t="str">
        <f ca="1">IFERROR(VLOOKUP($C24&amp;L28,downloads!$A$1:$E$1000,2,FALSE),"")</f>
        <v>Sophia GUSH</v>
      </c>
      <c r="N28" s="64" t="str">
        <f t="shared" ca="1" si="5"/>
        <v>ECHT</v>
      </c>
      <c r="O28" s="96">
        <f ca="1">IFERROR(INDIRECT(CONCATENATE("'Middle D'!h",C26+11)),"")</f>
        <v>4.2835648148148147E-3</v>
      </c>
      <c r="P28" s="147" t="str">
        <f ca="1">IFERROR(IF(OR(O28="",O28=0,O28&gt;A33),"",VLOOKUP(O28,A25:B33,2,TRUE)),9)</f>
        <v/>
      </c>
      <c r="R28" s="66">
        <f ca="1">IFERROR(IF(OR(E28=0,E28="",H28=0,H28="",$R25&lt;&gt;0,LEFT(H28,1)="D"),0,VLOOKUP(D28,INDIRECT(MatchDay!$W$2),2,FALSE)),"")</f>
        <v>7</v>
      </c>
      <c r="S28" s="66">
        <f ca="1">IFERROR(IF(OR(L28=0,L28="",O28=0,O28="",$R25&lt;&gt;0,LEFT(O28,1)="D"),0,VLOOKUP(K28,INDIRECT(MatchDay!$W$2),3,FALSE)),"")</f>
        <v>5</v>
      </c>
    </row>
    <row r="29" spans="1:22" x14ac:dyDescent="0.35">
      <c r="A29" s="420">
        <f>IFERROR(VLOOKUP(C24,standards,7,FALSE),"-")</f>
        <v>3.6111111111111114E-3</v>
      </c>
      <c r="B29" s="419">
        <v>5</v>
      </c>
      <c r="C29" s="105"/>
      <c r="D29" s="104">
        <v>4</v>
      </c>
      <c r="E29" s="104">
        <f ca="1">IFERROR(INDIRECT(CONCATENATE("'Middle D'!E",C26+3)),"")</f>
        <v>2</v>
      </c>
      <c r="F29" s="425" t="str">
        <f ca="1">IFERROR(VLOOKUP($C24&amp;E29,downloads!$A$1:$E$1000,2,FALSE),"")</f>
        <v>Ava ROYLE</v>
      </c>
      <c r="G29" s="64" t="str">
        <f t="shared" ca="1" si="4"/>
        <v>ECHT</v>
      </c>
      <c r="H29" s="96">
        <f ca="1">IFERROR(INDIRECT(CONCATENATE("'Middle D'!h",C26+3)),"")</f>
        <v>4.0879629629629625E-3</v>
      </c>
      <c r="I29" s="147" t="str">
        <f ca="1">IFERROR(IF(OR(H29="",H29=0,H29&gt;A33),"",VLOOKUP(H29,A25:B33,2,TRUE)),9)</f>
        <v/>
      </c>
      <c r="J29" s="67"/>
      <c r="K29" s="104">
        <v>4</v>
      </c>
      <c r="L29" s="104" t="str">
        <f ca="1">IFERROR(INDIRECT(CONCATENATE("'Middle D'!E",C26+12)),"")</f>
        <v/>
      </c>
      <c r="M29" s="425" t="str">
        <f ca="1">IFERROR(VLOOKUP($C24&amp;L29,downloads!$A$1:$E$1000,2,FALSE),"")</f>
        <v/>
      </c>
      <c r="N29" s="64" t="str">
        <f t="shared" ca="1" si="5"/>
        <v/>
      </c>
      <c r="O29" s="96" t="str">
        <f ca="1">IFERROR(INDIRECT(CONCATENATE("'Middle D'!h",C26+12)),"")</f>
        <v/>
      </c>
      <c r="P29" s="147" t="str">
        <f ca="1">IFERROR(IF(OR(O29="",O29=0,O29&gt;A33),"",VLOOKUP(O29,A25:B33,2,TRUE)),9)</f>
        <v/>
      </c>
      <c r="R29" s="66">
        <f ca="1">IFERROR(IF(OR(E29=0,E29="",H29=0,H29="",$R25&lt;&gt;0,LEFT(H29,1)="D"),0,VLOOKUP(D29,INDIRECT(MatchDay!$W$2),2,FALSE)),"")</f>
        <v>6</v>
      </c>
      <c r="S29" s="66">
        <f ca="1">IFERROR(IF(OR(L29=0,L29="",O29=0,O29="",$R25&lt;&gt;0,LEFT(O29,1)="D"),0,VLOOKUP(K29,INDIRECT(MatchDay!$W$2),3,FALSE)),"")</f>
        <v>0</v>
      </c>
    </row>
    <row r="30" spans="1:22" x14ac:dyDescent="0.35">
      <c r="A30" s="420">
        <f>IFERROR(VLOOKUP(C24,standards,6,FALSE),"-")</f>
        <v>3.7037037037037034E-3</v>
      </c>
      <c r="B30" s="419">
        <v>4</v>
      </c>
      <c r="C30" s="105"/>
      <c r="D30" s="104">
        <v>5</v>
      </c>
      <c r="E30" s="104" t="str">
        <f ca="1">IFERROR(INDIRECT(CONCATENATE("'Middle D'!E",C26+4)),"")</f>
        <v/>
      </c>
      <c r="F30" s="425" t="str">
        <f ca="1">IFERROR(VLOOKUP($C24&amp;E30,downloads!$A$1:$E$1000,2,FALSE),"")</f>
        <v/>
      </c>
      <c r="G30" s="64" t="str">
        <f t="shared" ca="1" si="4"/>
        <v/>
      </c>
      <c r="H30" s="96" t="str">
        <f ca="1">IFERROR(INDIRECT(CONCATENATE("'Middle D'!h",C26+4)),"")</f>
        <v/>
      </c>
      <c r="I30" s="147" t="str">
        <f ca="1">IFERROR(IF(OR(H30="",H30=0,H30&gt;A33),"",VLOOKUP(H30,A25:B33,2,TRUE)),9)</f>
        <v/>
      </c>
      <c r="J30" s="67"/>
      <c r="K30" s="104">
        <v>5</v>
      </c>
      <c r="L30" s="104" t="str">
        <f ca="1">IFERROR(INDIRECT(CONCATENATE("'Middle D'!E",C26+13)),"")</f>
        <v/>
      </c>
      <c r="M30" s="425" t="str">
        <f ca="1">IFERROR(VLOOKUP($C24&amp;L30,downloads!$A$1:$E$1000,2,FALSE),"")</f>
        <v/>
      </c>
      <c r="N30" s="64" t="str">
        <f t="shared" ca="1" si="5"/>
        <v/>
      </c>
      <c r="O30" s="96" t="str">
        <f ca="1">IFERROR(INDIRECT(CONCATENATE("'Middle D'!h",C26+13)),"")</f>
        <v/>
      </c>
      <c r="P30" s="147" t="str">
        <f ca="1">IFERROR(IF(OR(O30="",O30=0,O30&gt;A33),"",VLOOKUP(O30,A25:B33,2,TRUE)),9)</f>
        <v/>
      </c>
      <c r="R30" s="66">
        <f ca="1">IFERROR(IF(OR(E30=0,E30="",H30=0,H30="",$R25&lt;&gt;0,LEFT(H30,1)="D"),0,VLOOKUP(D30,INDIRECT(MatchDay!$W$2),2,FALSE)),"")</f>
        <v>0</v>
      </c>
      <c r="S30" s="66">
        <f ca="1">IFERROR(IF(OR(L30=0,L30="",O30=0,O30="",$R25&lt;&gt;0,LEFT(O30,1)="D"),0,VLOOKUP(K30,INDIRECT(MatchDay!$W$2),3,FALSE)),"")</f>
        <v>0</v>
      </c>
    </row>
    <row r="31" spans="1:22" x14ac:dyDescent="0.35">
      <c r="A31" s="420">
        <f>IFERROR(VLOOKUP(C24,standards,5,FALSE),"-")</f>
        <v>3.8194444444444443E-3</v>
      </c>
      <c r="B31" s="419">
        <v>3</v>
      </c>
      <c r="C31" s="105"/>
      <c r="D31" s="104">
        <v>6</v>
      </c>
      <c r="E31" s="104" t="str">
        <f ca="1">IFERROR(INDIRECT(CONCATENATE("'Middle D'!E",C26+5)),"")</f>
        <v/>
      </c>
      <c r="F31" s="425" t="str">
        <f ca="1">IFERROR(VLOOKUP($C24&amp;E31,downloads!$A$1:$E$1000,2,FALSE),"")</f>
        <v/>
      </c>
      <c r="G31" s="64" t="str">
        <f t="shared" ca="1" si="4"/>
        <v/>
      </c>
      <c r="H31" s="96" t="str">
        <f ca="1">IFERROR(INDIRECT(CONCATENATE("'Middle D'!h",C26+5)),"")</f>
        <v/>
      </c>
      <c r="I31" s="147" t="str">
        <f ca="1">IFERROR(IF(OR(H31="",H31=0,H31&gt;A33),"",VLOOKUP(H31,A25:B33,2,TRUE)),9)</f>
        <v/>
      </c>
      <c r="J31" s="67"/>
      <c r="K31" s="104">
        <v>6</v>
      </c>
      <c r="L31" s="104" t="str">
        <f ca="1">IFERROR(INDIRECT(CONCATENATE("'Middle D'!E",C26+14)),"")</f>
        <v/>
      </c>
      <c r="M31" s="425" t="str">
        <f ca="1">IFERROR(VLOOKUP($C24&amp;L31,downloads!$A$1:$E$1000,2,FALSE),"")</f>
        <v/>
      </c>
      <c r="N31" s="64" t="str">
        <f t="shared" ca="1" si="5"/>
        <v/>
      </c>
      <c r="O31" s="96" t="str">
        <f ca="1">IFERROR(INDIRECT(CONCATENATE("'Middle D'!h",C26+14)),"")</f>
        <v/>
      </c>
      <c r="P31" s="147" t="str">
        <f ca="1">IFERROR(IF(OR(O31="",O31=0,O31&gt;A33),"",VLOOKUP(O31,A25:B33,2,TRUE)),9)</f>
        <v/>
      </c>
      <c r="R31" s="66">
        <f ca="1">IFERROR(IF(OR(E31=0,E31="",H31=0,H31="",$R25&lt;&gt;0,LEFT(H31,1)="D"),0,VLOOKUP(D31,INDIRECT(MatchDay!$W$2),2,FALSE)),"")</f>
        <v>0</v>
      </c>
      <c r="S31" s="66">
        <f ca="1">IFERROR(IF(OR(L31=0,L31="",O31=0,O31="",$R25&lt;&gt;0,LEFT(O31,1)="D"),0,VLOOKUP(K31,INDIRECT(MatchDay!$W$2),3,FALSE)),"")</f>
        <v>0</v>
      </c>
    </row>
    <row r="32" spans="1:22" x14ac:dyDescent="0.35">
      <c r="A32" s="420">
        <f>IFERROR(VLOOKUP(C24,standards,4,FALSE),"-")</f>
        <v>3.9351851851851857E-3</v>
      </c>
      <c r="B32" s="419">
        <v>2</v>
      </c>
      <c r="C32" s="103" t="s">
        <v>151</v>
      </c>
      <c r="D32" s="104">
        <v>7</v>
      </c>
      <c r="E32" s="104" t="str">
        <f ca="1">IFERROR(INDIRECT(CONCATENATE("'Middle D'!E",C26+6)),"")</f>
        <v/>
      </c>
      <c r="F32" s="425" t="str">
        <f ca="1">IFERROR(VLOOKUP($C24&amp;E32,downloads!$A$1:$E$1000,2,FALSE),"")</f>
        <v/>
      </c>
      <c r="G32" s="64" t="str">
        <f t="shared" ca="1" si="4"/>
        <v/>
      </c>
      <c r="H32" s="96" t="str">
        <f ca="1">IFERROR(INDIRECT(CONCATENATE("'Middle D'!h",C26+6)),"")</f>
        <v/>
      </c>
      <c r="I32" s="147" t="str">
        <f ca="1">IFERROR(IF(OR(H32="",H32=0,H32&gt;A33),"",VLOOKUP(H32,A25:B33,2,TRUE)),9)</f>
        <v/>
      </c>
      <c r="J32" s="67"/>
      <c r="K32" s="104">
        <v>7</v>
      </c>
      <c r="L32" s="104" t="str">
        <f ca="1">IFERROR(INDIRECT(CONCATENATE("'Middle D'!E",C26+15)),"")</f>
        <v/>
      </c>
      <c r="M32" s="425" t="str">
        <f ca="1">IFERROR(VLOOKUP($C24&amp;L32,downloads!$A$1:$E$1000,2,FALSE),"")</f>
        <v/>
      </c>
      <c r="N32" s="64" t="str">
        <f t="shared" ca="1" si="5"/>
        <v/>
      </c>
      <c r="O32" s="96" t="str">
        <f ca="1">IFERROR(INDIRECT(CONCATENATE("'Middle D'!h",C26+15)),"")</f>
        <v/>
      </c>
      <c r="P32" s="147" t="str">
        <f ca="1">IFERROR(IF(OR(O32="",O32=0,O32&gt;A33),"",VLOOKUP(O32,A25:B33,2,TRUE)),9)</f>
        <v/>
      </c>
      <c r="R32" s="66">
        <f ca="1">IFERROR(IF(OR(E32=0,E32="",H32=0,H32="",$R25&lt;&gt;0,LEFT(H32,1)="D"),0,VLOOKUP(D32,INDIRECT(MatchDay!$W$2),2,FALSE)),"")</f>
        <v>0</v>
      </c>
      <c r="S32" s="66">
        <f ca="1">IFERROR(IF(OR(L32=0,L32="",O32=0,O32="",$R25&lt;&gt;0,LEFT(O32,1)="D"),0,VLOOKUP(K32,INDIRECT(MatchDay!$W$2),3,FALSE)),"")</f>
        <v>0</v>
      </c>
    </row>
    <row r="33" spans="1:22" x14ac:dyDescent="0.35">
      <c r="A33" s="420">
        <f>IFERROR(VLOOKUP(C24,standards,3,FALSE),"-")</f>
        <v>4.0509259259259257E-3</v>
      </c>
      <c r="B33" s="419">
        <v>1</v>
      </c>
      <c r="C33" s="103">
        <f>IFERROR(VLOOKUP(C24,records,5,FALSE),"")</f>
        <v>3.1932870370370374E-3</v>
      </c>
      <c r="D33" s="104">
        <v>8</v>
      </c>
      <c r="E33" s="104" t="str">
        <f ca="1">IFERROR(INDIRECT(CONCATENATE("'Middle D'!E",C26+7)),"")</f>
        <v/>
      </c>
      <c r="F33" s="425" t="str">
        <f ca="1">IFERROR(VLOOKUP($C24&amp;E33,downloads!$A$1:$E$1000,2,FALSE),"")</f>
        <v/>
      </c>
      <c r="G33" s="64" t="str">
        <f t="shared" ca="1" si="4"/>
        <v/>
      </c>
      <c r="H33" s="96" t="str">
        <f ca="1">IFERROR(INDIRECT(CONCATENATE("'Middle D'!h",C26+7)),"")</f>
        <v/>
      </c>
      <c r="I33" s="147" t="str">
        <f ca="1">IFERROR(IF(OR(H33="",H33=0,H33&gt;A33),"",VLOOKUP(H33,A25:B33,2,TRUE)),9)</f>
        <v/>
      </c>
      <c r="J33" s="67"/>
      <c r="K33" s="104">
        <v>8</v>
      </c>
      <c r="L33" s="104" t="str">
        <f ca="1">IFERROR(INDIRECT(CONCATENATE("'Middle D'!E",C26+16)),"")</f>
        <v/>
      </c>
      <c r="M33" s="425" t="str">
        <f ca="1">IFERROR(VLOOKUP($C24&amp;L33,downloads!$A$1:$E$1000,2,FALSE),"")</f>
        <v/>
      </c>
      <c r="N33" s="64" t="str">
        <f t="shared" ca="1" si="5"/>
        <v/>
      </c>
      <c r="O33" s="96" t="str">
        <f ca="1">IFERROR(INDIRECT(CONCATENATE("'Middle D'!h",C26+16)),"")</f>
        <v/>
      </c>
      <c r="P33" s="147" t="str">
        <f ca="1">IFERROR(IF(OR(O33="",O33=0,O33&gt;A33),"",VLOOKUP(O33,A25:B33,2,TRUE)),9)</f>
        <v/>
      </c>
      <c r="R33" s="66">
        <f ca="1">IFERROR(IF(OR(E33=0,E33="",H33=0,H33="",$R25&lt;&gt;0,LEFT(H33,1)="D"),0,VLOOKUP(D33,INDIRECT(MatchDay!$W$2),2,FALSE)),"")</f>
        <v>0</v>
      </c>
      <c r="S33" s="66">
        <f ca="1">IFERROR(IF(OR(L33=0,L33="",O33=0,O33="",$R25&lt;&gt;0,LEFT(O33,1)="D"),0,VLOOKUP(K33,INDIRECT(MatchDay!$W$2),3,FALSE)),"")</f>
        <v>0</v>
      </c>
    </row>
    <row r="34" spans="1:22" x14ac:dyDescent="0.35">
      <c r="F34" s="426"/>
      <c r="M34" s="426"/>
    </row>
    <row r="35" spans="1:22" x14ac:dyDescent="0.35">
      <c r="C35" s="98" t="s">
        <v>259</v>
      </c>
      <c r="D35" s="99" t="str">
        <f>IFERROR(VLOOKUP(C35,timetables,2,FALSE)&amp;" "&amp;VLOOKUP(C35,timetables,3,FALSE)&amp;" A","")</f>
        <v>1500m U15 Boys A</v>
      </c>
      <c r="E35" s="99"/>
      <c r="F35" s="426"/>
      <c r="H35" s="100" t="str">
        <f ca="1">IFERROR(IF(OR(H37=0,H37=""),"",IF(H37&lt;C44,"REC",IF(H37=C44,"=Rec",""))),"")</f>
        <v/>
      </c>
      <c r="K35" s="101" t="str">
        <f>IFERROR(VLOOKUP(C35,timetables,2,FALSE)&amp;" "&amp;VLOOKUP(C35,timetables,3,FALSE)&amp;" B","")</f>
        <v>1500m U15 Boys B</v>
      </c>
      <c r="L35" s="102"/>
      <c r="M35" s="426"/>
      <c r="R35" s="66" t="s">
        <v>53</v>
      </c>
      <c r="S35" s="66" t="s">
        <v>54</v>
      </c>
    </row>
    <row r="36" spans="1:22" x14ac:dyDescent="0.35">
      <c r="A36" s="420">
        <f>IFERROR(TIMEVALUE(VLOOKUP(C35,standards,11,FALSE)),"-")</f>
        <v>3.0092592592592588E-3</v>
      </c>
      <c r="B36" s="419">
        <v>9</v>
      </c>
      <c r="C36" s="79"/>
      <c r="D36" s="45" t="s">
        <v>177</v>
      </c>
      <c r="E36" s="45" t="s">
        <v>141</v>
      </c>
      <c r="F36" s="427" t="s">
        <v>174</v>
      </c>
      <c r="G36" s="47" t="s">
        <v>175</v>
      </c>
      <c r="H36" s="134" t="s">
        <v>176</v>
      </c>
      <c r="I36" s="148" t="s">
        <v>1003</v>
      </c>
      <c r="J36" s="47"/>
      <c r="K36" s="45" t="s">
        <v>177</v>
      </c>
      <c r="L36" s="45" t="s">
        <v>141</v>
      </c>
      <c r="M36" s="427" t="s">
        <v>174</v>
      </c>
      <c r="N36" s="47" t="s">
        <v>175</v>
      </c>
      <c r="O36" s="134" t="s">
        <v>176</v>
      </c>
      <c r="P36" s="148" t="s">
        <v>1003</v>
      </c>
      <c r="R36" s="66">
        <f>IFERROR(SEARCH("NS",D35),0)</f>
        <v>0</v>
      </c>
      <c r="V36" s="67"/>
    </row>
    <row r="37" spans="1:22" x14ac:dyDescent="0.35">
      <c r="A37" s="420">
        <f>IFERROR(TIMEVALUE(VLOOKUP(C35,standards,10,FALSE)),"-")</f>
        <v>3.0671296296296297E-3</v>
      </c>
      <c r="B37" s="419">
        <v>8</v>
      </c>
      <c r="C37" s="103">
        <f>VLOOKUP(C35,'Middle D'!$A:$C,2,FALSE)</f>
        <v>127</v>
      </c>
      <c r="D37" s="104">
        <v>1</v>
      </c>
      <c r="E37" s="104">
        <f ca="1">IFERROR(INDIRECT(CONCATENATE("'Middle D'!E",C37)),"")</f>
        <v>2</v>
      </c>
      <c r="F37" s="425" t="str">
        <f ca="1">IFERROR(VLOOKUP($C35&amp;E37,downloads!$A$1:$E$1000,2,FALSE),"")</f>
        <v>Marshall FLEET</v>
      </c>
      <c r="G37" s="64" t="str">
        <f t="shared" ref="G37:G44" ca="1" si="6">IFERROR(VLOOKUP(E37,teamlookup,5,FALSE),"")</f>
        <v>ECHT</v>
      </c>
      <c r="H37" s="96">
        <f ca="1">IFERROR(INDIRECT(CONCATENATE("'Middle D'!h",C37)),"")</f>
        <v>3.1874999999999998E-3</v>
      </c>
      <c r="I37" s="147">
        <f ca="1">IFERROR(IF(OR(H37="",H37=0,H37&gt;A44),"",VLOOKUP(H37,A36:B44,2,TRUE)),9)</f>
        <v>7</v>
      </c>
      <c r="J37" s="67"/>
      <c r="K37" s="104">
        <v>1</v>
      </c>
      <c r="L37" s="104">
        <f ca="1">IFERROR(INDIRECT(CONCATENATE("'Middle D'!E",C37+9)),"")</f>
        <v>4</v>
      </c>
      <c r="M37" s="425" t="str">
        <f ca="1">IFERROR(VLOOKUP($C35&amp;L37,downloads!$A$1:$E$1000,2,FALSE),"")</f>
        <v>Bobby TOMLINSON</v>
      </c>
      <c r="N37" s="64" t="str">
        <f t="shared" ref="N37:N44" ca="1" si="7">IFERROR(VLOOKUP(L37,teamlookup,5,FALSE),"")</f>
        <v>Macc</v>
      </c>
      <c r="O37" s="96">
        <f ca="1">IFERROR(INDIRECT(CONCATENATE("'Middle D'!h",C37+9)),"")</f>
        <v>3.40625E-3</v>
      </c>
      <c r="P37" s="147">
        <f ca="1">IFERROR(IF(OR(O37="",O37=0,O37&gt;A44),"",VLOOKUP(O37,A36:B44,2,TRUE)),9)</f>
        <v>5</v>
      </c>
      <c r="R37" s="66">
        <f ca="1">IFERROR(IF(OR(E37=0,E37="",H37=0,H37="",$R36&lt;&gt;0,LEFT(H37,1)="D"),0,VLOOKUP(D37,INDIRECT(MatchDay!$W$2),2,FALSE)),"")</f>
        <v>10</v>
      </c>
      <c r="S37" s="66">
        <f ca="1">IFERROR(IF(OR(L37=0,L37="",O37=0,O37="",$R36&lt;&gt;0,LEFT(O37,1)="D"),0,VLOOKUP(K37,INDIRECT(MatchDay!$W$2),3,FALSE)),"")</f>
        <v>8</v>
      </c>
      <c r="T37" s="168">
        <f ca="1">COUNTIF(E37,"&gt;0")</f>
        <v>1</v>
      </c>
      <c r="U37" s="66">
        <f ca="1">IFERROR(IF(E37&gt;88,1,0),0)</f>
        <v>0</v>
      </c>
    </row>
    <row r="38" spans="1:22" x14ac:dyDescent="0.35">
      <c r="A38" s="420">
        <f>IFERROR(TIMEVALUE(VLOOKUP(C35,standards,9,FALSE)),"-")</f>
        <v>3.1249999999999997E-3</v>
      </c>
      <c r="B38" s="419">
        <v>7</v>
      </c>
      <c r="C38" s="64">
        <v>0</v>
      </c>
      <c r="D38" s="104">
        <v>2</v>
      </c>
      <c r="E38" s="104">
        <f ca="1">IFERROR(INDIRECT(CONCATENATE("'Middle D'!E",C37+1)),"")</f>
        <v>44</v>
      </c>
      <c r="F38" s="425" t="str">
        <f ca="1">IFERROR(VLOOKUP($C35&amp;E38,downloads!$A$1:$E$1000,2,FALSE),"")</f>
        <v>George O'DONNELL</v>
      </c>
      <c r="G38" s="64" t="str">
        <f t="shared" ca="1" si="6"/>
        <v>Macc</v>
      </c>
      <c r="H38" s="96">
        <f ca="1">IFERROR(INDIRECT(CONCATENATE("'Middle D'!h",C37+1)),"")</f>
        <v>3.2488425925925927E-3</v>
      </c>
      <c r="I38" s="147">
        <f ca="1">IFERROR(IF(OR(H38="",H38=0,H38&gt;A44),"",VLOOKUP(H38,A36:B44,2,TRUE)),9)</f>
        <v>6</v>
      </c>
      <c r="J38" s="67"/>
      <c r="K38" s="104">
        <v>2</v>
      </c>
      <c r="L38" s="104">
        <f ca="1">IFERROR(INDIRECT(CONCATENATE("'Middle D'!E",C37+10)),"")</f>
        <v>22</v>
      </c>
      <c r="M38" s="425" t="str">
        <f ca="1">IFERROR(VLOOKUP($C35&amp;L38,downloads!$A$1:$E$1000,2,FALSE),"")</f>
        <v>Oliver WALKER</v>
      </c>
      <c r="N38" s="64" t="str">
        <f t="shared" ca="1" si="7"/>
        <v>ECHT</v>
      </c>
      <c r="O38" s="96">
        <f ca="1">IFERROR(INDIRECT(CONCATENATE("'Middle D'!h",C37+10)),"")</f>
        <v>3.7592592592592595E-3</v>
      </c>
      <c r="P38" s="147">
        <f ca="1">IFERROR(IF(OR(O38="",O38=0,O38&gt;A44),"",VLOOKUP(O38,A36:B44,2,TRUE)),9)</f>
        <v>2</v>
      </c>
      <c r="R38" s="66">
        <f ca="1">IFERROR(IF(OR(E38=0,E38="",H38=0,H38="",$R36&lt;&gt;0,LEFT(H38,1)="D"),0,VLOOKUP(D38,INDIRECT(MatchDay!$W$2),2,FALSE)),"")</f>
        <v>8</v>
      </c>
      <c r="S38" s="66">
        <f ca="1">IFERROR(IF(OR(L38=0,L38="",O38=0,O38="",$R36&lt;&gt;0,LEFT(O38,1)="D"),0,VLOOKUP(K38,INDIRECT(MatchDay!$W$2),3,FALSE)),"")</f>
        <v>6</v>
      </c>
    </row>
    <row r="39" spans="1:22" x14ac:dyDescent="0.35">
      <c r="A39" s="420">
        <f>IFERROR(TIMEVALUE(VLOOKUP(C35,standards,8,FALSE)),"-")</f>
        <v>3.2407407407407406E-3</v>
      </c>
      <c r="B39" s="419">
        <v>6</v>
      </c>
      <c r="C39" s="105"/>
      <c r="D39" s="104">
        <v>3</v>
      </c>
      <c r="E39" s="104">
        <f ca="1">IFERROR(INDIRECT(CONCATENATE("'Middle D'!E",C37+2)),"")</f>
        <v>6</v>
      </c>
      <c r="F39" s="425" t="str">
        <f ca="1">IFERROR(VLOOKUP($C35&amp;E39,downloads!$A$1:$E$1000,2,FALSE),"")</f>
        <v>Will WALTON</v>
      </c>
      <c r="G39" s="64" t="str">
        <f t="shared" ca="1" si="6"/>
        <v>Stock</v>
      </c>
      <c r="H39" s="96">
        <f ca="1">IFERROR(INDIRECT(CONCATENATE("'Middle D'!h",C37+2)),"")</f>
        <v>3.3854166666666672E-3</v>
      </c>
      <c r="I39" s="147">
        <f ca="1">IFERROR(IF(OR(H39="",H39=0,H39&gt;A44),"",VLOOKUP(H39,A36:B44,2,TRUE)),9)</f>
        <v>5</v>
      </c>
      <c r="J39" s="67"/>
      <c r="K39" s="104">
        <v>3</v>
      </c>
      <c r="L39" s="104">
        <f ca="1">IFERROR(INDIRECT(CONCATENATE("'Middle D'!E",C37+11)),"")</f>
        <v>33</v>
      </c>
      <c r="M39" s="425" t="str">
        <f ca="1">IFERROR(VLOOKUP($C35&amp;L39,downloads!$A$1:$E$1000,2,FALSE),"")</f>
        <v>William GUY</v>
      </c>
      <c r="N39" s="64" t="str">
        <f t="shared" ca="1" si="7"/>
        <v>Leigh</v>
      </c>
      <c r="O39" s="96">
        <f ca="1">IFERROR(INDIRECT(CONCATENATE("'Middle D'!h",C37+11)),"")</f>
        <v>3.8090277777777779E-3</v>
      </c>
      <c r="P39" s="147">
        <f ca="1">IFERROR(IF(OR(O39="",O39=0,O39&gt;A44),"",VLOOKUP(O39,A36:B44,2,TRUE)),9)</f>
        <v>2</v>
      </c>
      <c r="R39" s="66">
        <f ca="1">IFERROR(IF(OR(E39=0,E39="",H39=0,H39="",$R36&lt;&gt;0,LEFT(H39,1)="D"),0,VLOOKUP(D39,INDIRECT(MatchDay!$W$2),2,FALSE)),"")</f>
        <v>7</v>
      </c>
      <c r="S39" s="66">
        <f ca="1">IFERROR(IF(OR(L39=0,L39="",O39=0,O39="",$R36&lt;&gt;0,LEFT(O39,1)="D"),0,VLOOKUP(K39,INDIRECT(MatchDay!$W$2),3,FALSE)),"")</f>
        <v>5</v>
      </c>
    </row>
    <row r="40" spans="1:22" x14ac:dyDescent="0.35">
      <c r="A40" s="420">
        <f>IFERROR(TIMEVALUE(VLOOKUP(C35,standards,7,FALSE)),"-")</f>
        <v>3.3564814814814811E-3</v>
      </c>
      <c r="B40" s="419">
        <v>5</v>
      </c>
      <c r="C40" s="105"/>
      <c r="D40" s="104">
        <v>4</v>
      </c>
      <c r="E40" s="104">
        <f ca="1">IFERROR(INDIRECT(CONCATENATE("'Middle D'!E",C37+3)),"")</f>
        <v>3</v>
      </c>
      <c r="F40" s="425" t="str">
        <f ca="1">IFERROR(VLOOKUP($C35&amp;E40,downloads!$A$1:$E$1000,2,FALSE),"")</f>
        <v>Lucas GREGORY</v>
      </c>
      <c r="G40" s="64" t="str">
        <f t="shared" ca="1" si="6"/>
        <v>Leigh</v>
      </c>
      <c r="H40" s="96">
        <f ca="1">IFERROR(INDIRECT(CONCATENATE("'Middle D'!h",C37+3)),"")</f>
        <v>3.5694444444444441E-3</v>
      </c>
      <c r="I40" s="147">
        <f ca="1">IFERROR(IF(OR(H40="",H40=0,H40&gt;A44),"",VLOOKUP(H40,A36:B44,2,TRUE)),9)</f>
        <v>4</v>
      </c>
      <c r="J40" s="67"/>
      <c r="K40" s="104">
        <v>4</v>
      </c>
      <c r="L40" s="104" t="str">
        <f ca="1">IFERROR(INDIRECT(CONCATENATE("'Middle D'!E",C37+12)),"")</f>
        <v/>
      </c>
      <c r="M40" s="425" t="str">
        <f ca="1">IFERROR(VLOOKUP($C35&amp;L40,downloads!$A$1:$E$1000,2,FALSE),"")</f>
        <v/>
      </c>
      <c r="N40" s="64" t="str">
        <f t="shared" ca="1" si="7"/>
        <v/>
      </c>
      <c r="O40" s="96" t="str">
        <f ca="1">IFERROR(INDIRECT(CONCATENATE("'Middle D'!h",C37+12)),"")</f>
        <v/>
      </c>
      <c r="P40" s="147" t="str">
        <f ca="1">IFERROR(IF(OR(O40="",O40=0,O40&gt;A44),"",VLOOKUP(O40,A36:B44,2,TRUE)),9)</f>
        <v/>
      </c>
      <c r="R40" s="66">
        <f ca="1">IFERROR(IF(OR(E40=0,E40="",H40=0,H40="",$R36&lt;&gt;0,LEFT(H40,1)="D"),0,VLOOKUP(D40,INDIRECT(MatchDay!$W$2),2,FALSE)),"")</f>
        <v>6</v>
      </c>
      <c r="S40" s="66">
        <f ca="1">IFERROR(IF(OR(L40=0,L40="",O40=0,O40="",$R36&lt;&gt;0,LEFT(O40,1)="D"),0,VLOOKUP(K40,INDIRECT(MatchDay!$W$2),3,FALSE)),"")</f>
        <v>0</v>
      </c>
    </row>
    <row r="41" spans="1:22" x14ac:dyDescent="0.35">
      <c r="A41" s="420">
        <f>IFERROR(TIMEVALUE(VLOOKUP(C35,standards,6,FALSE)),"-")</f>
        <v>3.472222222222222E-3</v>
      </c>
      <c r="B41" s="419">
        <v>4</v>
      </c>
      <c r="C41" s="105"/>
      <c r="D41" s="104">
        <v>5</v>
      </c>
      <c r="E41" s="104">
        <f ca="1">IFERROR(INDIRECT(CONCATENATE("'Middle D'!E",C37+4)),"")</f>
        <v>5</v>
      </c>
      <c r="F41" s="425" t="str">
        <f ca="1">IFERROR(VLOOKUP($C35&amp;E41,downloads!$A$1:$E$1000,2,FALSE),"")</f>
        <v>Alex BAYNHAM</v>
      </c>
      <c r="G41" s="64" t="str">
        <f t="shared" ca="1" si="6"/>
        <v>Menai</v>
      </c>
      <c r="H41" s="96">
        <f ca="1">IFERROR(INDIRECT(CONCATENATE("'Middle D'!h",C37+4)),"")</f>
        <v>3.6331018518518522E-3</v>
      </c>
      <c r="I41" s="147">
        <f ca="1">IFERROR(IF(OR(H41="",H41=0,H41&gt;A44),"",VLOOKUP(H41,A36:B44,2,TRUE)),9)</f>
        <v>3</v>
      </c>
      <c r="J41" s="67"/>
      <c r="K41" s="104">
        <v>5</v>
      </c>
      <c r="L41" s="104" t="str">
        <f ca="1">IFERROR(INDIRECT(CONCATENATE("'Middle D'!E",C37+13)),"")</f>
        <v/>
      </c>
      <c r="M41" s="425" t="str">
        <f ca="1">IFERROR(VLOOKUP($C35&amp;L41,downloads!$A$1:$E$1000,2,FALSE),"")</f>
        <v/>
      </c>
      <c r="N41" s="64" t="str">
        <f t="shared" ca="1" si="7"/>
        <v/>
      </c>
      <c r="O41" s="96" t="str">
        <f ca="1">IFERROR(INDIRECT(CONCATENATE("'Middle D'!h",C37+13)),"")</f>
        <v/>
      </c>
      <c r="P41" s="147" t="str">
        <f ca="1">IFERROR(IF(OR(O41="",O41=0,O41&gt;A44),"",VLOOKUP(O41,A36:B44,2,TRUE)),9)</f>
        <v/>
      </c>
      <c r="R41" s="66">
        <f ca="1">IFERROR(IF(OR(E41=0,E41="",H41=0,H41="",$R36&lt;&gt;0,LEFT(H41,1)="D"),0,VLOOKUP(D41,INDIRECT(MatchDay!$W$2),2,FALSE)),"")</f>
        <v>5</v>
      </c>
      <c r="S41" s="66">
        <f ca="1">IFERROR(IF(OR(L41=0,L41="",O41=0,O41="",$R36&lt;&gt;0,LEFT(O41,1)="D"),0,VLOOKUP(K41,INDIRECT(MatchDay!$W$2),3,FALSE)),"")</f>
        <v>0</v>
      </c>
    </row>
    <row r="42" spans="1:22" x14ac:dyDescent="0.35">
      <c r="A42" s="420">
        <f>IFERROR(TIMEVALUE(VLOOKUP(C35,standards,5,FALSE)),"-")</f>
        <v>3.5879629629629629E-3</v>
      </c>
      <c r="B42" s="419">
        <v>3</v>
      </c>
      <c r="C42" s="105"/>
      <c r="D42" s="104">
        <v>6</v>
      </c>
      <c r="E42" s="104" t="str">
        <f ca="1">IFERROR(INDIRECT(CONCATENATE("'Middle D'!E",C37+5)),"")</f>
        <v/>
      </c>
      <c r="F42" s="425" t="str">
        <f ca="1">IFERROR(VLOOKUP($C35&amp;E42,downloads!$A$1:$E$1000,2,FALSE),"")</f>
        <v/>
      </c>
      <c r="G42" s="64" t="str">
        <f t="shared" ca="1" si="6"/>
        <v/>
      </c>
      <c r="H42" s="96" t="str">
        <f ca="1">IFERROR(INDIRECT(CONCATENATE("'Middle D'!h",C37+5)),"")</f>
        <v/>
      </c>
      <c r="I42" s="147" t="str">
        <f ca="1">IFERROR(IF(OR(H42="",H42=0,H42&gt;A44),"",VLOOKUP(H42,A36:B44,2,TRUE)),9)</f>
        <v/>
      </c>
      <c r="J42" s="67"/>
      <c r="K42" s="104">
        <v>6</v>
      </c>
      <c r="L42" s="104" t="str">
        <f ca="1">IFERROR(INDIRECT(CONCATENATE("'Middle D'!E",C37+14)),"")</f>
        <v/>
      </c>
      <c r="M42" s="425" t="str">
        <f ca="1">IFERROR(VLOOKUP($C35&amp;L42,downloads!$A$1:$E$1000,2,FALSE),"")</f>
        <v/>
      </c>
      <c r="N42" s="64" t="str">
        <f t="shared" ca="1" si="7"/>
        <v/>
      </c>
      <c r="O42" s="96" t="str">
        <f ca="1">IFERROR(INDIRECT(CONCATENATE("'Middle D'!h",C37+14)),"")</f>
        <v/>
      </c>
      <c r="P42" s="147" t="str">
        <f ca="1">IFERROR(IF(OR(O42="",O42=0,O42&gt;A44),"",VLOOKUP(O42,A36:B44,2,TRUE)),9)</f>
        <v/>
      </c>
      <c r="R42" s="66">
        <f ca="1">IFERROR(IF(OR(E42=0,E42="",H42=0,H42="",$R36&lt;&gt;0,LEFT(H42,1)="D"),0,VLOOKUP(D42,INDIRECT(MatchDay!$W$2),2,FALSE)),"")</f>
        <v>0</v>
      </c>
      <c r="S42" s="66">
        <f ca="1">IFERROR(IF(OR(L42=0,L42="",O42=0,O42="",$R36&lt;&gt;0,LEFT(O42,1)="D"),0,VLOOKUP(K42,INDIRECT(MatchDay!$W$2),3,FALSE)),"")</f>
        <v>0</v>
      </c>
    </row>
    <row r="43" spans="1:22" x14ac:dyDescent="0.35">
      <c r="A43" s="420">
        <f>IFERROR(TIMEVALUE(VLOOKUP(C35,standards,4,FALSE)),"-")</f>
        <v>3.7037037037037034E-3</v>
      </c>
      <c r="B43" s="419">
        <v>2</v>
      </c>
      <c r="C43" s="103" t="s">
        <v>151</v>
      </c>
      <c r="D43" s="104">
        <v>7</v>
      </c>
      <c r="E43" s="104" t="str">
        <f ca="1">IFERROR(INDIRECT(CONCATENATE("'Middle D'!E",C37+6)),"")</f>
        <v/>
      </c>
      <c r="F43" s="425" t="str">
        <f ca="1">IFERROR(VLOOKUP($C35&amp;E43,downloads!$A$1:$E$1000,2,FALSE),"")</f>
        <v/>
      </c>
      <c r="G43" s="64" t="str">
        <f t="shared" ca="1" si="6"/>
        <v/>
      </c>
      <c r="H43" s="96" t="str">
        <f ca="1">IFERROR(INDIRECT(CONCATENATE("'Middle D'!h",C37+6)),"")</f>
        <v/>
      </c>
      <c r="I43" s="147" t="str">
        <f ca="1">IFERROR(IF(OR(H43="",H43=0,H43&gt;A44),"",VLOOKUP(H43,A36:B44,2,TRUE)),9)</f>
        <v/>
      </c>
      <c r="J43" s="67"/>
      <c r="K43" s="104">
        <v>7</v>
      </c>
      <c r="L43" s="104" t="str">
        <f ca="1">IFERROR(INDIRECT(CONCATENATE("'Middle D'!E",C37+15)),"")</f>
        <v/>
      </c>
      <c r="M43" s="425" t="str">
        <f ca="1">IFERROR(VLOOKUP($C35&amp;L43,downloads!$A$1:$E$1000,2,FALSE),"")</f>
        <v/>
      </c>
      <c r="N43" s="64" t="str">
        <f t="shared" ca="1" si="7"/>
        <v/>
      </c>
      <c r="O43" s="96" t="str">
        <f ca="1">IFERROR(INDIRECT(CONCATENATE("'Middle D'!h",C37+15)),"")</f>
        <v/>
      </c>
      <c r="P43" s="147" t="str">
        <f ca="1">IFERROR(IF(OR(O43="",O43=0,O43&gt;A44),"",VLOOKUP(O43,A36:B44,2,TRUE)),9)</f>
        <v/>
      </c>
      <c r="R43" s="66">
        <f ca="1">IFERROR(IF(OR(E43=0,E43="",H43=0,H43="",$R36&lt;&gt;0,LEFT(H43,1)="D"),0,VLOOKUP(D43,INDIRECT(MatchDay!$W$2),2,FALSE)),"")</f>
        <v>0</v>
      </c>
      <c r="S43" s="66">
        <f ca="1">IFERROR(IF(OR(L43=0,L43="",O43=0,O43="",$R36&lt;&gt;0,LEFT(O43,1)="D"),0,VLOOKUP(K43,INDIRECT(MatchDay!$W$2),3,FALSE)),"")</f>
        <v>0</v>
      </c>
    </row>
    <row r="44" spans="1:22" x14ac:dyDescent="0.35">
      <c r="A44" s="420">
        <f>IFERROR(TIMEVALUE(VLOOKUP(C35,standards,3,FALSE)),"-")</f>
        <v>3.8194444444444443E-3</v>
      </c>
      <c r="B44" s="419">
        <v>1</v>
      </c>
      <c r="C44" s="103">
        <f>IFERROR(VLOOKUP(C35,records,5,FALSE),"")</f>
        <v>2.858912037037037E-3</v>
      </c>
      <c r="D44" s="104">
        <v>8</v>
      </c>
      <c r="E44" s="104" t="str">
        <f ca="1">IFERROR(INDIRECT(CONCATENATE("'Middle D'!E",C37+7)),"")</f>
        <v/>
      </c>
      <c r="F44" s="425" t="str">
        <f ca="1">IFERROR(VLOOKUP($C35&amp;E44,downloads!$A$1:$E$1000,2,FALSE),"")</f>
        <v/>
      </c>
      <c r="G44" s="64" t="str">
        <f t="shared" ca="1" si="6"/>
        <v/>
      </c>
      <c r="H44" s="96" t="str">
        <f ca="1">IFERROR(INDIRECT(CONCATENATE("'Middle D'!h",C37+7)),"")</f>
        <v/>
      </c>
      <c r="I44" s="147" t="str">
        <f ca="1">IFERROR(IF(OR(H44="",H44=0,H44&gt;A44),"",VLOOKUP(H44,A36:B44,2,TRUE)),9)</f>
        <v/>
      </c>
      <c r="J44" s="67"/>
      <c r="K44" s="104">
        <v>8</v>
      </c>
      <c r="L44" s="104" t="str">
        <f ca="1">IFERROR(INDIRECT(CONCATENATE("'Middle D'!E",C37+16)),"")</f>
        <v/>
      </c>
      <c r="M44" s="425" t="str">
        <f ca="1">IFERROR(VLOOKUP($C35&amp;L44,downloads!$A$1:$E$1000,2,FALSE),"")</f>
        <v/>
      </c>
      <c r="N44" s="64" t="str">
        <f t="shared" ca="1" si="7"/>
        <v/>
      </c>
      <c r="O44" s="96" t="str">
        <f ca="1">IFERROR(INDIRECT(CONCATENATE("'Middle D'!h",C37+16)),"")</f>
        <v/>
      </c>
      <c r="P44" s="147" t="str">
        <f ca="1">IFERROR(IF(OR(O44="",O44=0,O44&gt;A44),"",VLOOKUP(O44,A36:B44,2,TRUE)),9)</f>
        <v/>
      </c>
      <c r="R44" s="66">
        <f ca="1">IFERROR(IF(OR(E44=0,E44="",H44=0,H44="",$R36&lt;&gt;0,LEFT(H44,1)="D"),0,VLOOKUP(D44,INDIRECT(MatchDay!$W$2),2,FALSE)),"")</f>
        <v>0</v>
      </c>
      <c r="S44" s="66">
        <f ca="1">IFERROR(IF(OR(L44=0,L44="",O44=0,O44="",$R36&lt;&gt;0,LEFT(O44,1)="D"),0,VLOOKUP(K44,INDIRECT(MatchDay!$W$2),3,FALSE)),"")</f>
        <v>0</v>
      </c>
    </row>
  </sheetData>
  <sheetProtection algorithmName="SHA-512" hashValue="cStKQsYFXK3zsKR9qaspah9q0uYrNBNAPtPJGhB9rSsf6uAqp5SJBq/URQqQKexxZopH7Bp4ueXwAKqYzMtSZw==" saltValue="IGksOIOno3c10TGynjihjg==" spinCount="100000" sheet="1" objects="1" scenarios="1" formatCells="0" formatColumns="0" formatRows="0" sort="0" autoFilter="0"/>
  <mergeCells count="1">
    <mergeCell ref="N1:O1"/>
  </mergeCells>
  <printOptions horizontalCentered="1"/>
  <pageMargins left="0.31496062992125984" right="0.31496062992125984" top="0.98425196850393704" bottom="0.74803149606299213" header="0.31496062992125984" footer="0.31496062992125984"/>
  <pageSetup paperSize="9" orientation="portrait" blackAndWhite="1" r:id="rId1"/>
  <headerFooter scaleWithDoc="0">
    <oddHeader>&amp;L&amp;G&amp;CUK ATHLETICS :: YOUTH DEVELOPMENT LEAGUE 202&amp;"+,Regular"3</oddHeader>
    <oddFooter>&amp;L&amp;9&amp;D &amp;T&amp;C&amp;G&amp;R&amp;9&amp;A
Page &amp;P of &amp;N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5">
    <tabColor theme="8" tint="-0.249977111117893"/>
    <pageSetUpPr autoPageBreaks="0"/>
  </sheetPr>
  <dimension ref="A1:X242"/>
  <sheetViews>
    <sheetView showZeros="0" topLeftCell="D1" zoomScaleNormal="100" zoomScaleSheetLayoutView="100" workbookViewId="0">
      <pane ySplit="1" topLeftCell="A218" activePane="bottomLeft" state="frozen"/>
      <selection activeCell="F7" sqref="F7"/>
      <selection pane="bottomLeft" activeCell="F249" sqref="F249"/>
    </sheetView>
  </sheetViews>
  <sheetFormatPr defaultColWidth="8.7109375" defaultRowHeight="15" x14ac:dyDescent="0.35"/>
  <cols>
    <col min="1" max="2" width="0" style="64" hidden="1" customWidth="1"/>
    <col min="3" max="3" width="8.7109375" style="64" hidden="1" customWidth="1"/>
    <col min="4" max="4" width="3.7109375" style="64" customWidth="1"/>
    <col min="5" max="5" width="3.7109375" style="66" customWidth="1"/>
    <col min="6" max="6" width="20.7109375" style="64" customWidth="1"/>
    <col min="7" max="7" width="7.7109375" style="64" customWidth="1"/>
    <col min="8" max="8" width="7.28515625" style="64" customWidth="1"/>
    <col min="9" max="9" width="3.7109375" style="147" customWidth="1"/>
    <col min="10" max="10" width="1.7109375" style="64" customWidth="1"/>
    <col min="11" max="12" width="3.7109375" style="64" customWidth="1"/>
    <col min="13" max="13" width="20.7109375" style="64" customWidth="1"/>
    <col min="14" max="14" width="7.7109375" style="64" customWidth="1"/>
    <col min="15" max="15" width="7.28515625" style="66" customWidth="1"/>
    <col min="16" max="16" width="3.7109375" style="108" customWidth="1"/>
    <col min="17" max="17" width="8.7109375" style="64"/>
    <col min="18" max="19" width="8.7109375" style="64" customWidth="1"/>
    <col min="20" max="20" width="8.7109375" style="66" customWidth="1"/>
    <col min="21" max="21" width="8.7109375" style="64" customWidth="1"/>
    <col min="22" max="22" width="0" style="64" hidden="1" customWidth="1"/>
    <col min="23" max="16384" width="8.7109375" style="64"/>
  </cols>
  <sheetData>
    <row r="1" spans="1:21" ht="45" customHeight="1" x14ac:dyDescent="0.35">
      <c r="C1" s="150">
        <v>204</v>
      </c>
      <c r="D1" s="170" t="str">
        <f>Dashboard!E1</f>
        <v>LOWER NORTH West 2 Macclesfield Leisure Centre</v>
      </c>
      <c r="F1" s="193"/>
      <c r="H1" s="67"/>
      <c r="M1" s="151"/>
      <c r="N1" s="453">
        <f>Dashboard!E2</f>
        <v>45053</v>
      </c>
      <c r="O1" s="453"/>
      <c r="R1" s="79" t="s">
        <v>200</v>
      </c>
      <c r="S1" s="70"/>
      <c r="T1" s="79">
        <f ca="1">SUM(T2:T241)</f>
        <v>22</v>
      </c>
      <c r="U1" s="79">
        <f ca="1">SUM(U2:U241)</f>
        <v>0</v>
      </c>
    </row>
    <row r="2" spans="1:21" x14ac:dyDescent="0.35">
      <c r="C2" s="98" t="s">
        <v>178</v>
      </c>
      <c r="D2" s="99" t="str">
        <f>IFERROR(VLOOKUP(C2,timetables,2,FALSE)&amp;" "&amp;VLOOKUP(C2,timetables,3,FALSE)&amp;" A","")</f>
        <v>Hammer U15 Boys A</v>
      </c>
      <c r="E2" s="99"/>
      <c r="H2" s="108"/>
      <c r="I2" s="147" t="str">
        <f ca="1">IFERROR(IF(OR(H4=0,H4="",H4="X"),"",IF(H4&gt;C11,"REC",IF(H4=C11,"=Rec",""))),"")</f>
        <v/>
      </c>
      <c r="K2" s="101" t="str">
        <f>IFERROR(VLOOKUP(C2,timetables,2,FALSE)&amp;" "&amp;VLOOKUP(C2,timetables,3,FALSE)&amp;" B","")</f>
        <v>Hammer U15 Boys B</v>
      </c>
      <c r="L2" s="102"/>
      <c r="R2" s="66" t="s">
        <v>53</v>
      </c>
      <c r="S2" s="66" t="s">
        <v>54</v>
      </c>
    </row>
    <row r="3" spans="1:21" x14ac:dyDescent="0.35">
      <c r="A3" s="105">
        <f>IFERROR(VLOOKUP(C2,standards,3,FALSE),"-")</f>
        <v>18</v>
      </c>
      <c r="B3" s="419">
        <v>1</v>
      </c>
      <c r="C3" s="79"/>
      <c r="D3" s="45" t="s">
        <v>177</v>
      </c>
      <c r="E3" s="45" t="s">
        <v>118</v>
      </c>
      <c r="F3" s="47" t="s">
        <v>174</v>
      </c>
      <c r="G3" s="47" t="s">
        <v>175</v>
      </c>
      <c r="H3" s="45" t="s">
        <v>176</v>
      </c>
      <c r="I3" s="148" t="s">
        <v>1003</v>
      </c>
      <c r="J3" s="47"/>
      <c r="K3" s="45" t="s">
        <v>177</v>
      </c>
      <c r="L3" s="45" t="s">
        <v>118</v>
      </c>
      <c r="M3" s="47" t="s">
        <v>174</v>
      </c>
      <c r="N3" s="47" t="s">
        <v>175</v>
      </c>
      <c r="O3" s="45" t="s">
        <v>176</v>
      </c>
      <c r="P3" s="148" t="s">
        <v>1003</v>
      </c>
    </row>
    <row r="4" spans="1:21" x14ac:dyDescent="0.35">
      <c r="A4" s="105">
        <f>IFERROR(VLOOKUP(C2,standards,4,FALSE),"-")</f>
        <v>21</v>
      </c>
      <c r="B4" s="419">
        <v>2</v>
      </c>
      <c r="C4" s="66">
        <f>IFERROR(VLOOKUP(C2,Distance!A:B,2,FALSE),"")</f>
        <v>27</v>
      </c>
      <c r="D4" s="104">
        <f ca="1">IFERROR(INDIRECT(CONCATENATE("Distance!$d",C4)),"")</f>
        <v>1</v>
      </c>
      <c r="E4" s="104">
        <f ca="1">IFERROR(INDIRECT(CONCATENATE("Distance!$E",$C4)),"")</f>
        <v>6</v>
      </c>
      <c r="F4" s="286" t="str">
        <f ca="1">IFERROR(VLOOKUP($C2&amp;E4,downloads!$A$1:$E$1000,2,FALSE),"")</f>
        <v>Jacob HARWOOD-BRETNALL</v>
      </c>
      <c r="G4" s="64" t="str">
        <f t="shared" ref="G4:G11" ca="1" si="0">IFERROR(VLOOKUP(E4,teamlookup,5,FALSE),"")</f>
        <v>Stock</v>
      </c>
      <c r="H4" s="109">
        <f ca="1">IFERROR(INDIRECT(CONCATENATE("Distance!$H",C4)),"")</f>
        <v>20.73</v>
      </c>
      <c r="I4" s="147">
        <f ca="1">IFERROR(IF(OR(H4="",H4=0,H4&lt;A3),"",VLOOKUP(H4,A3:B11,2,TRUE)),9)</f>
        <v>1</v>
      </c>
      <c r="J4" s="67"/>
      <c r="K4" s="104">
        <f ca="1">IFERROR(INDIRECT(CONCATENATE("Distance!$j",C4)),"")</f>
        <v>1</v>
      </c>
      <c r="L4" s="104" t="str">
        <f ca="1">IFERROR(INDIRECT(CONCATENATE("Distance!$k",C4)),"")</f>
        <v/>
      </c>
      <c r="M4" s="286" t="str">
        <f ca="1">IFERROR(VLOOKUP($C2&amp;L4,downloads!$A$1:$E$1000,2,FALSE),"")</f>
        <v/>
      </c>
      <c r="N4" s="64" t="str">
        <f t="shared" ref="N4:N11" ca="1" si="1">IFERROR(VLOOKUP(L4,teamlookup,5,FALSE),"")</f>
        <v/>
      </c>
      <c r="O4" s="109" t="str">
        <f ca="1">IFERROR(INDIRECT(CONCATENATE("Distance!$T",C4)),"")</f>
        <v/>
      </c>
      <c r="P4" s="147" t="str">
        <f ca="1">IFERROR(IF(OR(O4="",O4=0,O4&lt;A3),"",VLOOKUP(O4,A3:B11,2,TRUE)),9)</f>
        <v/>
      </c>
      <c r="R4" s="66">
        <f ca="1">IFERROR(IF(OR(E4=0,E4="",H4=0,H4="",H4="X"),0,VLOOKUP(D4,INDIRECT(MatchDay!$W$2),2,FALSE)),"")</f>
        <v>10</v>
      </c>
      <c r="S4" s="66">
        <f ca="1">IFERROR(IF(OR(L4=0,L4="",O4=0,O4="",O4="X"),0,VLOOKUP(K4,INDIRECT(MatchDay!$W$2),3,FALSE)),"")</f>
        <v>0</v>
      </c>
      <c r="T4" s="168">
        <f ca="1">COUNTIF(E4,"&gt;0")</f>
        <v>1</v>
      </c>
      <c r="U4" s="66">
        <f ca="1">IFERROR(IF(E4&gt;88,1,0),0)</f>
        <v>0</v>
      </c>
    </row>
    <row r="5" spans="1:21" x14ac:dyDescent="0.35">
      <c r="A5" s="105">
        <f>IFERROR(VLOOKUP(C2,standards,5,FALSE),"-")</f>
        <v>24</v>
      </c>
      <c r="B5" s="419">
        <v>3</v>
      </c>
      <c r="C5" s="103"/>
      <c r="D5" s="104">
        <f ca="1">IFERROR(INDIRECT(CONCATENATE("Distance!$d",C4+1)),"")</f>
        <v>2</v>
      </c>
      <c r="E5" s="104" t="str">
        <f ca="1">IFERROR(INDIRECT(CONCATENATE("Distance!$E",$C4+1)),"")</f>
        <v/>
      </c>
      <c r="F5" s="286" t="str">
        <f ca="1">IFERROR(VLOOKUP($C2&amp;E5,downloads!$A$1:$E$1000,2,FALSE),"")</f>
        <v/>
      </c>
      <c r="G5" s="64" t="str">
        <f t="shared" ca="1" si="0"/>
        <v/>
      </c>
      <c r="H5" s="109" t="str">
        <f ca="1">IFERROR(INDIRECT(CONCATENATE("Distance!$H",C4+1)),"")</f>
        <v/>
      </c>
      <c r="I5" s="147" t="str">
        <f ca="1">IFERROR(IF(OR(H5="",H5=0,H5&lt;A3),"",VLOOKUP(H5,A3:B11,2,TRUE)),9)</f>
        <v/>
      </c>
      <c r="J5" s="67"/>
      <c r="K5" s="104">
        <f ca="1">IFERROR(INDIRECT(CONCATENATE("Distance!$j",C4+1)),"")</f>
        <v>2</v>
      </c>
      <c r="L5" s="104" t="str">
        <f ca="1">IFERROR(INDIRECT(CONCATENATE("Distance!$k",C4+1)),"")</f>
        <v/>
      </c>
      <c r="M5" s="286" t="str">
        <f ca="1">IFERROR(VLOOKUP($C2&amp;L5,downloads!$A$1:$E$1000,2,FALSE),"")</f>
        <v/>
      </c>
      <c r="N5" s="64" t="str">
        <f t="shared" ca="1" si="1"/>
        <v/>
      </c>
      <c r="O5" s="109" t="str">
        <f ca="1">IFERROR(INDIRECT(CONCATENATE("Distance!$T",C4+1)),"")</f>
        <v/>
      </c>
      <c r="P5" s="147" t="str">
        <f ca="1">IFERROR(IF(OR(O5="",O5=0,O5&lt;A3),"",VLOOKUP(O5,A3:B11,2,TRUE)),9)</f>
        <v/>
      </c>
      <c r="R5" s="66">
        <f ca="1">IFERROR(IF(OR(E5=0,E5="",H5=0,H5="",H5="X"),0,VLOOKUP(D5,INDIRECT(MatchDay!$W$2),2,FALSE)),"")</f>
        <v>0</v>
      </c>
      <c r="S5" s="66">
        <f ca="1">IFERROR(IF(OR(L5=0,L5="",O5=0,O5="",O5="X"),0,VLOOKUP(K5,INDIRECT(MatchDay!$W$2),3,FALSE)),"")</f>
        <v>0</v>
      </c>
    </row>
    <row r="6" spans="1:21" x14ac:dyDescent="0.35">
      <c r="A6" s="105">
        <f>IFERROR(VLOOKUP(C2,standards,6,FALSE),"-")</f>
        <v>27</v>
      </c>
      <c r="B6" s="419">
        <v>4</v>
      </c>
      <c r="C6" s="105"/>
      <c r="D6" s="104">
        <f ca="1">IFERROR(INDIRECT(CONCATENATE("Distance!$d",C4+2)),"")</f>
        <v>3</v>
      </c>
      <c r="E6" s="104" t="str">
        <f ca="1">IFERROR(INDIRECT(CONCATENATE("Distance!$E",$C4+2)),"")</f>
        <v/>
      </c>
      <c r="F6" s="286" t="str">
        <f ca="1">IFERROR(VLOOKUP($C2&amp;E6,downloads!$A$1:$E$1000,2,FALSE),"")</f>
        <v/>
      </c>
      <c r="G6" s="64" t="str">
        <f t="shared" ca="1" si="0"/>
        <v/>
      </c>
      <c r="H6" s="109" t="str">
        <f ca="1">IFERROR(INDIRECT(CONCATENATE("Distance!$H",C4+2)),"")</f>
        <v/>
      </c>
      <c r="I6" s="147" t="str">
        <f ca="1">IFERROR(IF(OR(H6="",H6=0,H6&lt;A3),"",VLOOKUP(H6,A3:B11,2,TRUE)),9)</f>
        <v/>
      </c>
      <c r="J6" s="67"/>
      <c r="K6" s="104">
        <f ca="1">IFERROR(INDIRECT(CONCATENATE("Distance!$j",C4+2)),"")</f>
        <v>3</v>
      </c>
      <c r="L6" s="104" t="str">
        <f ca="1">IFERROR(INDIRECT(CONCATENATE("Distance!$k",C4+2)),"")</f>
        <v/>
      </c>
      <c r="M6" s="286" t="str">
        <f ca="1">IFERROR(VLOOKUP($C2&amp;L6,downloads!$A$1:$E$1000,2,FALSE),"")</f>
        <v/>
      </c>
      <c r="N6" s="64" t="str">
        <f t="shared" ca="1" si="1"/>
        <v/>
      </c>
      <c r="O6" s="109" t="str">
        <f ca="1">IFERROR(INDIRECT(CONCATENATE("Distance!$T",C4+2)),"")</f>
        <v/>
      </c>
      <c r="P6" s="147" t="str">
        <f ca="1">IFERROR(IF(OR(O6="",O6=0,O6&lt;A3),"",VLOOKUP(O6,A3:B11,2,TRUE)),9)</f>
        <v/>
      </c>
      <c r="R6" s="66">
        <f ca="1">IFERROR(IF(OR(E6=0,E6="",H6=0,H6="",H6="X"),0,VLOOKUP(D6,INDIRECT(MatchDay!$W$2),2,FALSE)),"")</f>
        <v>0</v>
      </c>
      <c r="S6" s="66">
        <f ca="1">IFERROR(IF(OR(L6=0,L6="",O6=0,O6="",O6="X"),0,VLOOKUP(K6,INDIRECT(MatchDay!$W$2),3,FALSE)),"")</f>
        <v>0</v>
      </c>
    </row>
    <row r="7" spans="1:21" x14ac:dyDescent="0.35">
      <c r="A7" s="105">
        <f>IFERROR(VLOOKUP(C2,standards,7,FALSE),"-")</f>
        <v>30</v>
      </c>
      <c r="B7" s="419">
        <v>5</v>
      </c>
      <c r="C7" s="105"/>
      <c r="D7" s="104">
        <f ca="1">IFERROR(INDIRECT(CONCATENATE("Distance!$d",C4+3)),"")</f>
        <v>4</v>
      </c>
      <c r="E7" s="104" t="str">
        <f ca="1">IFERROR(INDIRECT(CONCATENATE("Distance!$E",$C4+3)),"")</f>
        <v/>
      </c>
      <c r="F7" s="286" t="str">
        <f ca="1">IFERROR(VLOOKUP($C2&amp;E7,downloads!$A$1:$E$1000,2,FALSE),"")</f>
        <v/>
      </c>
      <c r="G7" s="64" t="str">
        <f t="shared" ca="1" si="0"/>
        <v/>
      </c>
      <c r="H7" s="109" t="str">
        <f ca="1">IFERROR(INDIRECT(CONCATENATE("Distance!$H",C4+3)),"")</f>
        <v/>
      </c>
      <c r="I7" s="147" t="str">
        <f ca="1">IFERROR(IF(OR(H7="",H7=0,H7&lt;A3),"",VLOOKUP(H7,A3:B11,2,TRUE)),9)</f>
        <v/>
      </c>
      <c r="J7" s="67"/>
      <c r="K7" s="104">
        <f ca="1">IFERROR(INDIRECT(CONCATENATE("Distance!$j",C4+3)),"")</f>
        <v>4</v>
      </c>
      <c r="L7" s="104" t="str">
        <f ca="1">IFERROR(INDIRECT(CONCATENATE("Distance!$k",C4+3)),"")</f>
        <v/>
      </c>
      <c r="M7" s="286" t="str">
        <f ca="1">IFERROR(VLOOKUP($C2&amp;L7,downloads!$A$1:$E$1000,2,FALSE),"")</f>
        <v/>
      </c>
      <c r="N7" s="64" t="str">
        <f t="shared" ca="1" si="1"/>
        <v/>
      </c>
      <c r="O7" s="109" t="str">
        <f ca="1">IFERROR(INDIRECT(CONCATENATE("Distance!$T",C4+3)),"")</f>
        <v/>
      </c>
      <c r="P7" s="147" t="str">
        <f ca="1">IFERROR(IF(OR(O7="",O7=0,O7&lt;A3),"",VLOOKUP(O7,A3:B11,2,TRUE)),9)</f>
        <v/>
      </c>
      <c r="R7" s="66">
        <f ca="1">IFERROR(IF(OR(E7=0,E7="",H7=0,H7="",H7="X"),0,VLOOKUP(D7,INDIRECT(MatchDay!$W$2),2,FALSE)),"")</f>
        <v>0</v>
      </c>
      <c r="S7" s="66">
        <f ca="1">IFERROR(IF(OR(L7=0,L7="",O7=0,O7="",O7="X"),0,VLOOKUP(K7,INDIRECT(MatchDay!$W$2),3,FALSE)),"")</f>
        <v>0</v>
      </c>
    </row>
    <row r="8" spans="1:21" x14ac:dyDescent="0.35">
      <c r="A8" s="105">
        <f>IFERROR(VLOOKUP(C2,standards,8,FALSE),"-")</f>
        <v>33</v>
      </c>
      <c r="B8" s="419">
        <v>6</v>
      </c>
      <c r="C8" s="105"/>
      <c r="D8" s="104">
        <f ca="1">IFERROR(INDIRECT(CONCATENATE("Distance!$d",C4+4)),"")</f>
        <v>5</v>
      </c>
      <c r="E8" s="104" t="str">
        <f ca="1">IFERROR(INDIRECT(CONCATENATE("Distance!$E",$C4+4)),"")</f>
        <v/>
      </c>
      <c r="F8" s="286" t="str">
        <f ca="1">IFERROR(VLOOKUP($C2&amp;E8,downloads!$A$1:$E$1000,2,FALSE),"")</f>
        <v/>
      </c>
      <c r="G8" s="64" t="str">
        <f t="shared" ca="1" si="0"/>
        <v/>
      </c>
      <c r="H8" s="109" t="str">
        <f ca="1">IFERROR(INDIRECT(CONCATENATE("Distance!$H",C4+4)),"")</f>
        <v/>
      </c>
      <c r="I8" s="147" t="str">
        <f ca="1">IFERROR(IF(OR(H8="",H8=0,H8&lt;A3),"",VLOOKUP(H8,A3:B11,2,TRUE)),9)</f>
        <v/>
      </c>
      <c r="J8" s="67"/>
      <c r="K8" s="104">
        <f ca="1">IFERROR(INDIRECT(CONCATENATE("Distance!$j",C4+4)),"")</f>
        <v>5</v>
      </c>
      <c r="L8" s="104" t="str">
        <f ca="1">IFERROR(INDIRECT(CONCATENATE("Distance!$k",C4+4)),"")</f>
        <v/>
      </c>
      <c r="M8" s="286" t="str">
        <f ca="1">IFERROR(VLOOKUP($C2&amp;L8,downloads!$A$1:$E$1000,2,FALSE),"")</f>
        <v/>
      </c>
      <c r="N8" s="64" t="str">
        <f t="shared" ca="1" si="1"/>
        <v/>
      </c>
      <c r="O8" s="109" t="str">
        <f ca="1">IFERROR(INDIRECT(CONCATENATE("Distance!$T",C4+4)),"")</f>
        <v/>
      </c>
      <c r="P8" s="147" t="str">
        <f ca="1">IFERROR(IF(OR(O8="",O8=0,O8&lt;A3),"",VLOOKUP(O8,A3:B11,2,TRUE)),9)</f>
        <v/>
      </c>
      <c r="R8" s="66">
        <f ca="1">IFERROR(IF(OR(E8=0,E8="",H8=0,H8="",H8="X"),0,VLOOKUP(D8,INDIRECT(MatchDay!$W$2),2,FALSE)),"")</f>
        <v>0</v>
      </c>
      <c r="S8" s="66">
        <f ca="1">IFERROR(IF(OR(L8=0,L8="",O8=0,O8="",O8="X"),0,VLOOKUP(K8,INDIRECT(MatchDay!$W$2),3,FALSE)),"")</f>
        <v>0</v>
      </c>
    </row>
    <row r="9" spans="1:21" x14ac:dyDescent="0.35">
      <c r="A9" s="105">
        <f>IFERROR(VLOOKUP(C2,standards,9,FALSE),"-")</f>
        <v>36</v>
      </c>
      <c r="B9" s="419">
        <v>7</v>
      </c>
      <c r="C9" s="105"/>
      <c r="D9" s="104">
        <f ca="1">IFERROR(INDIRECT(CONCATENATE("Distance!$d",C4+5)),"")</f>
        <v>6</v>
      </c>
      <c r="E9" s="104" t="str">
        <f ca="1">IFERROR(INDIRECT(CONCATENATE("Distance!$E",$C4+5)),"")</f>
        <v/>
      </c>
      <c r="F9" s="286" t="str">
        <f ca="1">IFERROR(VLOOKUP($C2&amp;E9,downloads!$A$1:$E$1000,2,FALSE),"")</f>
        <v/>
      </c>
      <c r="G9" s="64" t="str">
        <f t="shared" ca="1" si="0"/>
        <v/>
      </c>
      <c r="H9" s="109" t="str">
        <f ca="1">IFERROR(INDIRECT(CONCATENATE("Distance!$H",C4+5)),"")</f>
        <v/>
      </c>
      <c r="I9" s="147" t="str">
        <f ca="1">IFERROR(IF(OR(H9="",H9=0,H9&lt;A3),"",VLOOKUP(H9,A3:B11,2,TRUE)),9)</f>
        <v/>
      </c>
      <c r="J9" s="67"/>
      <c r="K9" s="104">
        <f ca="1">IFERROR(INDIRECT(CONCATENATE("Distance!$j",C4+5)),"")</f>
        <v>6</v>
      </c>
      <c r="L9" s="104" t="str">
        <f ca="1">IFERROR(INDIRECT(CONCATENATE("Distance!$k",C4+5)),"")</f>
        <v/>
      </c>
      <c r="M9" s="286" t="str">
        <f ca="1">IFERROR(VLOOKUP($C2&amp;L9,downloads!$A$1:$E$1000,2,FALSE),"")</f>
        <v/>
      </c>
      <c r="N9" s="64" t="str">
        <f t="shared" ca="1" si="1"/>
        <v/>
      </c>
      <c r="O9" s="109" t="str">
        <f ca="1">IFERROR(INDIRECT(CONCATENATE("Distance!$T",C4+5)),"")</f>
        <v/>
      </c>
      <c r="P9" s="147" t="str">
        <f ca="1">IFERROR(IF(OR(O9="",O9=0,O9&lt;A3),"",VLOOKUP(O9,A3:B11,2,TRUE)),9)</f>
        <v/>
      </c>
      <c r="R9" s="66">
        <f ca="1">IFERROR(IF(OR(E9=0,E9="",H9=0,H9="",H9="X"),0,VLOOKUP(D9,INDIRECT(MatchDay!$W$2),2,FALSE)),"")</f>
        <v>0</v>
      </c>
      <c r="S9" s="66">
        <f ca="1">IFERROR(IF(OR(L9=0,L9="",O9=0,O9="",O9="X"),0,VLOOKUP(K9,INDIRECT(MatchDay!$W$2),3,FALSE)),"")</f>
        <v>0</v>
      </c>
    </row>
    <row r="10" spans="1:21" x14ac:dyDescent="0.35">
      <c r="A10" s="105">
        <f>IFERROR(VLOOKUP(C2,standards,10,FALSE),"-")</f>
        <v>39</v>
      </c>
      <c r="B10" s="419">
        <v>8</v>
      </c>
      <c r="C10" s="103" t="s">
        <v>151</v>
      </c>
      <c r="D10" s="104">
        <f ca="1">IFERROR(INDIRECT(CONCATENATE("Distance!$d",C4+6)),"")</f>
        <v>7</v>
      </c>
      <c r="E10" s="104" t="str">
        <f ca="1">IFERROR(INDIRECT(CONCATENATE("Distance!$E",$C4+6)),"")</f>
        <v/>
      </c>
      <c r="F10" s="286" t="str">
        <f ca="1">IFERROR(VLOOKUP($C2&amp;E10,downloads!$A$1:$E$1000,2,FALSE),"")</f>
        <v/>
      </c>
      <c r="G10" s="64" t="str">
        <f t="shared" ca="1" si="0"/>
        <v/>
      </c>
      <c r="H10" s="109" t="str">
        <f ca="1">IFERROR(INDIRECT(CONCATENATE("Distance!$H",C4+6)),"")</f>
        <v/>
      </c>
      <c r="I10" s="147" t="str">
        <f ca="1">IFERROR(IF(OR(H10="",H10=0,H10&lt;A3),"",VLOOKUP(H10,A3:B11,2,TRUE)),9)</f>
        <v/>
      </c>
      <c r="J10" s="67"/>
      <c r="K10" s="104">
        <f ca="1">IFERROR(INDIRECT(CONCATENATE("Distance!$j",C4+6)),"")</f>
        <v>7</v>
      </c>
      <c r="L10" s="104" t="str">
        <f ca="1">IFERROR(INDIRECT(CONCATENATE("Distance!$k",C4+6)),"")</f>
        <v/>
      </c>
      <c r="M10" s="286" t="str">
        <f ca="1">IFERROR(VLOOKUP($C2&amp;L10,downloads!$A$1:$E$1000,2,FALSE),"")</f>
        <v/>
      </c>
      <c r="N10" s="64" t="str">
        <f t="shared" ca="1" si="1"/>
        <v/>
      </c>
      <c r="O10" s="109" t="str">
        <f ca="1">IFERROR(INDIRECT(CONCATENATE("Distance!$T",C4+6)),"")</f>
        <v/>
      </c>
      <c r="P10" s="147" t="str">
        <f ca="1">IFERROR(IF(OR(O10="",O10=0,O10&lt;A3),"",VLOOKUP(O10,A3:B11,2,TRUE)),9)</f>
        <v/>
      </c>
      <c r="R10" s="66">
        <f ca="1">IFERROR(IF(OR(E10=0,E10="",H10=0,H10="",H10="X"),0,VLOOKUP(D10,INDIRECT(MatchDay!$W$2),2,FALSE)),"")</f>
        <v>0</v>
      </c>
      <c r="S10" s="66">
        <f ca="1">IFERROR(IF(OR(L10=0,L10="",O10=0,O10="",O10="X"),0,VLOOKUP(K10,INDIRECT(MatchDay!$W$2),3,FALSE)),"")</f>
        <v>0</v>
      </c>
    </row>
    <row r="11" spans="1:21" x14ac:dyDescent="0.35">
      <c r="A11" s="105">
        <f>IFERROR(VLOOKUP(C2,standards,11,FALSE),"-")</f>
        <v>42</v>
      </c>
      <c r="B11" s="419">
        <v>9</v>
      </c>
      <c r="C11" s="103">
        <f>IFERROR(VLOOKUP(C2,records,5,FALSE),"")</f>
        <v>59.79</v>
      </c>
      <c r="D11" s="104">
        <f ca="1">IFERROR(INDIRECT(CONCATENATE("Distance!$d",C4+7)),"")</f>
        <v>8</v>
      </c>
      <c r="E11" s="104" t="str">
        <f ca="1">IFERROR(INDIRECT(CONCATENATE("Distance!$E",$C4+7)),"")</f>
        <v/>
      </c>
      <c r="F11" s="286" t="str">
        <f ca="1">IFERROR(VLOOKUP($C2&amp;E11,downloads!$A$1:$E$1000,2,FALSE),"")</f>
        <v/>
      </c>
      <c r="G11" s="64" t="str">
        <f t="shared" ca="1" si="0"/>
        <v/>
      </c>
      <c r="H11" s="109" t="str">
        <f ca="1">IFERROR(INDIRECT(CONCATENATE("Distance!$H",C4+7)),"")</f>
        <v/>
      </c>
      <c r="I11" s="147" t="str">
        <f ca="1">IFERROR(IF(OR(H11="",H11=0,H11&lt;A3),"",VLOOKUP(H11,A3:B11,2,TRUE)),9)</f>
        <v/>
      </c>
      <c r="J11" s="67"/>
      <c r="K11" s="104">
        <f ca="1">IFERROR(INDIRECT(CONCATENATE("Distance!$j",C4+7)),"")</f>
        <v>8</v>
      </c>
      <c r="L11" s="104" t="str">
        <f ca="1">IFERROR(INDIRECT(CONCATENATE("Distance!$k",C4+7)),"")</f>
        <v/>
      </c>
      <c r="M11" s="286" t="str">
        <f ca="1">IFERROR(VLOOKUP($C2&amp;L11,downloads!$A$1:$E$1000,2,FALSE),"")</f>
        <v/>
      </c>
      <c r="N11" s="64" t="str">
        <f t="shared" ca="1" si="1"/>
        <v/>
      </c>
      <c r="O11" s="109" t="str">
        <f ca="1">IFERROR(INDIRECT(CONCATENATE("Distance!$T",C4+7)),"")</f>
        <v/>
      </c>
      <c r="P11" s="147" t="str">
        <f ca="1">IFERROR(IF(OR(O11="",O11=0,O11&lt;A3),"",VLOOKUP(O11,A3:B11,2,TRUE)),9)</f>
        <v/>
      </c>
      <c r="R11" s="66">
        <f ca="1">IFERROR(IF(OR(E11=0,E11="",H11=0,H11="",H11="X"),0,VLOOKUP(D11,INDIRECT(MatchDay!$W$2),2,FALSE)),"")</f>
        <v>0</v>
      </c>
      <c r="S11" s="66">
        <f ca="1">IFERROR(IF(OR(L11=0,L11="",O11=0,O11="",O11="X"),0,VLOOKUP(K11,INDIRECT(MatchDay!$W$2),3,FALSE)),"")</f>
        <v>0</v>
      </c>
    </row>
    <row r="13" spans="1:21" x14ac:dyDescent="0.35">
      <c r="C13" s="98" t="s">
        <v>179</v>
      </c>
      <c r="D13" s="99" t="str">
        <f>IFERROR(VLOOKUP(C13,timetables,2,FALSE)&amp;" "&amp;VLOOKUP(C13,timetables,3,FALSE)&amp;" A","")</f>
        <v>Hammer U15 Girls A</v>
      </c>
      <c r="E13" s="99"/>
      <c r="H13" s="108" t="str">
        <f ca="1">IFERROR(IF(OR(H15=0,H15="",H15="X"),"",IF(H15&gt;C22,"REC",IF(H15=C22,"=Rec",""))),"")</f>
        <v/>
      </c>
      <c r="I13" s="147" t="str">
        <f ca="1">IFERROR(IF(OR(H15=0,H15="",H15="X"),"",IF(H15&gt;C22,"REC",IF(H15=C22,"=Rec",""))),"")</f>
        <v/>
      </c>
      <c r="K13" s="101" t="str">
        <f>IFERROR(VLOOKUP(C13,timetables,2,FALSE)&amp;" "&amp;VLOOKUP(C13,timetables,3,FALSE)&amp;" B","")</f>
        <v>Hammer U15 Girls B</v>
      </c>
      <c r="L13" s="102"/>
      <c r="R13" s="66" t="s">
        <v>53</v>
      </c>
      <c r="S13" s="66" t="s">
        <v>54</v>
      </c>
    </row>
    <row r="14" spans="1:21" x14ac:dyDescent="0.35">
      <c r="A14" s="105">
        <f>IFERROR(VLOOKUP(C13,standards,3,FALSE),"-")</f>
        <v>15</v>
      </c>
      <c r="B14" s="419">
        <v>1</v>
      </c>
      <c r="C14" s="79"/>
      <c r="D14" s="45" t="s">
        <v>177</v>
      </c>
      <c r="E14" s="45" t="s">
        <v>118</v>
      </c>
      <c r="F14" s="47" t="s">
        <v>174</v>
      </c>
      <c r="G14" s="47" t="s">
        <v>175</v>
      </c>
      <c r="H14" s="45" t="s">
        <v>176</v>
      </c>
      <c r="I14" s="148" t="s">
        <v>1003</v>
      </c>
      <c r="J14" s="47"/>
      <c r="K14" s="45" t="s">
        <v>177</v>
      </c>
      <c r="L14" s="45" t="s">
        <v>118</v>
      </c>
      <c r="M14" s="47" t="s">
        <v>174</v>
      </c>
      <c r="N14" s="47" t="s">
        <v>175</v>
      </c>
      <c r="O14" s="45" t="s">
        <v>176</v>
      </c>
      <c r="P14" s="148" t="s">
        <v>1003</v>
      </c>
    </row>
    <row r="15" spans="1:21" x14ac:dyDescent="0.35">
      <c r="A15" s="105">
        <f>IFERROR(VLOOKUP(C13,standards,4,FALSE),"-")</f>
        <v>18</v>
      </c>
      <c r="B15" s="419">
        <v>2</v>
      </c>
      <c r="C15" s="66">
        <f>IFERROR(VLOOKUP(C13,Distance!A:B,2,FALSE),"")</f>
        <v>59</v>
      </c>
      <c r="D15" s="104">
        <f ca="1">IFERROR(INDIRECT(CONCATENATE("Distance!$d",C15)),"")</f>
        <v>1</v>
      </c>
      <c r="E15" s="104">
        <f ca="1">IFERROR(INDIRECT(CONCATENATE("Distance!$E",C15)),"")</f>
        <v>6</v>
      </c>
      <c r="F15" s="286" t="str">
        <f ca="1">IFERROR(VLOOKUP($C13&amp;E15,downloads!$A$1:$E$1000,2,FALSE),"")</f>
        <v>Lucy JONES</v>
      </c>
      <c r="G15" s="64" t="str">
        <f t="shared" ref="G15:G22" ca="1" si="2">IFERROR(VLOOKUP(E15,teamlookup,5,FALSE),"")</f>
        <v>Stock</v>
      </c>
      <c r="H15" s="109">
        <f ca="1">IFERROR(INDIRECT(CONCATENATE("Distance!$H",C15)),"")</f>
        <v>15.23</v>
      </c>
      <c r="I15" s="147">
        <f ca="1">IFERROR(IF(OR(H15="",H15=0,H15&lt;A14),"",VLOOKUP(H15,A14:B22,2,TRUE)),9)</f>
        <v>1</v>
      </c>
      <c r="J15" s="67"/>
      <c r="K15" s="104">
        <f ca="1">IFERROR(INDIRECT(CONCATENATE("Distance!$j",C15)),"")</f>
        <v>1</v>
      </c>
      <c r="L15" s="104" t="str">
        <f ca="1">IFERROR(INDIRECT(CONCATENATE("Distance!$k",C15)),"")</f>
        <v/>
      </c>
      <c r="M15" s="286" t="str">
        <f ca="1">IFERROR(VLOOKUP($C13&amp;L15,downloads!$A$1:$E$1000,2,FALSE),"")</f>
        <v/>
      </c>
      <c r="N15" s="64" t="str">
        <f t="shared" ref="N15:N22" ca="1" si="3">IFERROR(VLOOKUP(L15,teamlookup,5,FALSE),"")</f>
        <v/>
      </c>
      <c r="O15" s="109" t="str">
        <f ca="1">IFERROR(INDIRECT(CONCATENATE("Distance!$T",C15)),"")</f>
        <v/>
      </c>
      <c r="P15" s="147" t="str">
        <f ca="1">IFERROR(IF(OR(O15="",O15=0,O15&lt;A14),"",VLOOKUP(O15,A14:B22,2,TRUE)),9)</f>
        <v/>
      </c>
      <c r="R15" s="66">
        <f ca="1">IFERROR(IF(OR(E15=0,E15="",H15=0,H15="",H15="X"),0,VLOOKUP(D15,INDIRECT(MatchDay!$W$2),2,FALSE)),"")</f>
        <v>10</v>
      </c>
      <c r="S15" s="66">
        <f ca="1">IFERROR(IF(OR(L15=0,L15="",O15=0,O15="",O15="X"),0,VLOOKUP(K15,INDIRECT(MatchDay!$W$2),3,FALSE)),"")</f>
        <v>0</v>
      </c>
      <c r="T15" s="168">
        <f ca="1">COUNTIF(E15,"&gt;0")</f>
        <v>1</v>
      </c>
      <c r="U15" s="66">
        <f ca="1">IFERROR(IF(E15&gt;88,1,0),0)</f>
        <v>0</v>
      </c>
    </row>
    <row r="16" spans="1:21" x14ac:dyDescent="0.35">
      <c r="A16" s="105">
        <f>IFERROR(VLOOKUP(C13,standards,5,FALSE),"-")</f>
        <v>21</v>
      </c>
      <c r="B16" s="419">
        <v>3</v>
      </c>
      <c r="C16" s="103"/>
      <c r="D16" s="104">
        <f ca="1">IFERROR(INDIRECT(CONCATENATE("Distance!$d",C15+1)),"")</f>
        <v>2</v>
      </c>
      <c r="E16" s="104" t="str">
        <f ca="1">IFERROR(INDIRECT(CONCATENATE("Distance!$E",C15+1)),"")</f>
        <v/>
      </c>
      <c r="F16" s="286" t="str">
        <f ca="1">IFERROR(VLOOKUP($C13&amp;E16,downloads!$A$1:$E$1000,2,FALSE),"")</f>
        <v/>
      </c>
      <c r="G16" s="64" t="str">
        <f t="shared" ca="1" si="2"/>
        <v/>
      </c>
      <c r="H16" s="109" t="str">
        <f ca="1">IFERROR(INDIRECT(CONCATENATE("Distance!$H",C15+1)),"")</f>
        <v/>
      </c>
      <c r="I16" s="147" t="str">
        <f ca="1">IFERROR(IF(OR(H16="",H16=0,H16&lt;A14),"",VLOOKUP(H16,A14:B22,2,TRUE)),9)</f>
        <v/>
      </c>
      <c r="J16" s="67"/>
      <c r="K16" s="104">
        <f ca="1">IFERROR(INDIRECT(CONCATENATE("Distance!$j",C15+1)),"")</f>
        <v>2</v>
      </c>
      <c r="L16" s="104" t="str">
        <f ca="1">IFERROR(INDIRECT(CONCATENATE("Distance!$k",C15+1)),"")</f>
        <v/>
      </c>
      <c r="M16" s="286" t="str">
        <f ca="1">IFERROR(VLOOKUP($C13&amp;L16,downloads!$A$1:$E$1000,2,FALSE),"")</f>
        <v/>
      </c>
      <c r="N16" s="64" t="str">
        <f t="shared" ca="1" si="3"/>
        <v/>
      </c>
      <c r="O16" s="109" t="str">
        <f ca="1">IFERROR(INDIRECT(CONCATENATE("Distance!$T",C15+1)),"")</f>
        <v/>
      </c>
      <c r="P16" s="147" t="str">
        <f ca="1">IFERROR(IF(OR(O16="",O16=0,O16&lt;A14),"",VLOOKUP(O16,A14:B22,2,TRUE)),9)</f>
        <v/>
      </c>
      <c r="R16" s="66">
        <f ca="1">IFERROR(IF(OR(E16=0,E16="",H16=0,H16="",H16="X"),0,VLOOKUP(D16,INDIRECT(MatchDay!$W$2),2,FALSE)),"")</f>
        <v>0</v>
      </c>
      <c r="S16" s="66">
        <f ca="1">IFERROR(IF(OR(L16=0,L16="",O16=0,O16="",O16="X"),0,VLOOKUP(K16,INDIRECT(MatchDay!$W$2),3,FALSE)),"")</f>
        <v>0</v>
      </c>
    </row>
    <row r="17" spans="1:21" x14ac:dyDescent="0.35">
      <c r="A17" s="105">
        <f>IFERROR(VLOOKUP(C13,standards,6,FALSE),"-")</f>
        <v>24</v>
      </c>
      <c r="B17" s="419">
        <v>4</v>
      </c>
      <c r="C17" s="105"/>
      <c r="D17" s="104">
        <f ca="1">IFERROR(INDIRECT(CONCATENATE("Distance!$d",C15+2)),"")</f>
        <v>3</v>
      </c>
      <c r="E17" s="104" t="str">
        <f ca="1">IFERROR(INDIRECT(CONCATENATE("Distance!$E",C15+2)),"")</f>
        <v/>
      </c>
      <c r="F17" s="286" t="str">
        <f ca="1">IFERROR(VLOOKUP($C13&amp;E17,downloads!$A$1:$E$1000,2,FALSE),"")</f>
        <v/>
      </c>
      <c r="G17" s="64" t="str">
        <f t="shared" ca="1" si="2"/>
        <v/>
      </c>
      <c r="H17" s="109" t="str">
        <f ca="1">IFERROR(INDIRECT(CONCATENATE("Distance!$H",C15+2)),"")</f>
        <v/>
      </c>
      <c r="I17" s="147" t="str">
        <f ca="1">IFERROR(IF(OR(H17="",H17=0,H17&lt;A14),"",VLOOKUP(H17,A14:B22,2,TRUE)),9)</f>
        <v/>
      </c>
      <c r="J17" s="67"/>
      <c r="K17" s="104">
        <f ca="1">IFERROR(INDIRECT(CONCATENATE("Distance!$j",C15+2)),"")</f>
        <v>3</v>
      </c>
      <c r="L17" s="104" t="str">
        <f ca="1">IFERROR(INDIRECT(CONCATENATE("Distance!$k",C15+2)),"")</f>
        <v/>
      </c>
      <c r="M17" s="286" t="str">
        <f ca="1">IFERROR(VLOOKUP($C13&amp;L17,downloads!$A$1:$E$1000,2,FALSE),"")</f>
        <v/>
      </c>
      <c r="N17" s="64" t="str">
        <f t="shared" ca="1" si="3"/>
        <v/>
      </c>
      <c r="O17" s="109" t="str">
        <f ca="1">IFERROR(INDIRECT(CONCATENATE("Distance!$T",C15+2)),"")</f>
        <v/>
      </c>
      <c r="P17" s="147" t="str">
        <f ca="1">IFERROR(IF(OR(O17="",O17=0,O17&lt;A14),"",VLOOKUP(O17,A14:B22,2,TRUE)),9)</f>
        <v/>
      </c>
      <c r="R17" s="66">
        <f ca="1">IFERROR(IF(OR(E17=0,E17="",H17=0,H17="",H17="X"),0,VLOOKUP(D17,INDIRECT(MatchDay!$W$2),2,FALSE)),"")</f>
        <v>0</v>
      </c>
      <c r="S17" s="66">
        <f ca="1">IFERROR(IF(OR(L17=0,L17="",O17=0,O17="",O17="X"),0,VLOOKUP(K17,INDIRECT(MatchDay!$W$2),3,FALSE)),"")</f>
        <v>0</v>
      </c>
    </row>
    <row r="18" spans="1:21" x14ac:dyDescent="0.35">
      <c r="A18" s="105">
        <f>IFERROR(VLOOKUP(C13,standards,7,FALSE),"-")</f>
        <v>27</v>
      </c>
      <c r="B18" s="419">
        <v>5</v>
      </c>
      <c r="C18" s="105"/>
      <c r="D18" s="104">
        <f ca="1">IFERROR(INDIRECT(CONCATENATE("Distance!$d",C15+3)),"")</f>
        <v>4</v>
      </c>
      <c r="E18" s="104" t="str">
        <f ca="1">IFERROR(INDIRECT(CONCATENATE("Distance!$E",C15+3)),"")</f>
        <v/>
      </c>
      <c r="F18" s="286" t="str">
        <f ca="1">IFERROR(VLOOKUP($C13&amp;E18,downloads!$A$1:$E$1000,2,FALSE),"")</f>
        <v/>
      </c>
      <c r="G18" s="64" t="str">
        <f t="shared" ca="1" si="2"/>
        <v/>
      </c>
      <c r="H18" s="109" t="str">
        <f ca="1">IFERROR(INDIRECT(CONCATENATE("Distance!$H",C15+3)),"")</f>
        <v/>
      </c>
      <c r="I18" s="147" t="str">
        <f ca="1">IFERROR(IF(OR(H18="",H18=0,H18&lt;A14),"",VLOOKUP(H18,A14:B22,2,TRUE)),9)</f>
        <v/>
      </c>
      <c r="J18" s="67"/>
      <c r="K18" s="104">
        <f ca="1">IFERROR(INDIRECT(CONCATENATE("Distance!$j",C15+3)),"")</f>
        <v>4</v>
      </c>
      <c r="L18" s="104" t="str">
        <f ca="1">IFERROR(INDIRECT(CONCATENATE("Distance!$k",C15+3)),"")</f>
        <v/>
      </c>
      <c r="M18" s="286" t="str">
        <f ca="1">IFERROR(VLOOKUP($C13&amp;L18,downloads!$A$1:$E$1000,2,FALSE),"")</f>
        <v/>
      </c>
      <c r="N18" s="64" t="str">
        <f t="shared" ca="1" si="3"/>
        <v/>
      </c>
      <c r="O18" s="109" t="str">
        <f ca="1">IFERROR(INDIRECT(CONCATENATE("Distance!$T",C15+3)),"")</f>
        <v/>
      </c>
      <c r="P18" s="147" t="str">
        <f ca="1">IFERROR(IF(OR(O18="",O18=0,O18&lt;A14),"",VLOOKUP(O18,A14:B22,2,TRUE)),9)</f>
        <v/>
      </c>
      <c r="R18" s="66">
        <f ca="1">IFERROR(IF(OR(E18=0,E18="",H18=0,H18="",H18="X"),0,VLOOKUP(D18,INDIRECT(MatchDay!$W$2),2,FALSE)),"")</f>
        <v>0</v>
      </c>
      <c r="S18" s="66">
        <f ca="1">IFERROR(IF(OR(L18=0,L18="",O18=0,O18="",O18="X"),0,VLOOKUP(K18,INDIRECT(MatchDay!$W$2),3,FALSE)),"")</f>
        <v>0</v>
      </c>
    </row>
    <row r="19" spans="1:21" x14ac:dyDescent="0.35">
      <c r="A19" s="105">
        <f>IFERROR(VLOOKUP(C13,standards,8,FALSE),"-")</f>
        <v>30</v>
      </c>
      <c r="B19" s="419">
        <v>6</v>
      </c>
      <c r="C19" s="105"/>
      <c r="D19" s="104">
        <f ca="1">IFERROR(INDIRECT(CONCATENATE("Distance!$d",C15+4)),"")</f>
        <v>5</v>
      </c>
      <c r="E19" s="104" t="str">
        <f ca="1">IFERROR(INDIRECT(CONCATENATE("Distance!$E",C15+4)),"")</f>
        <v/>
      </c>
      <c r="F19" s="286" t="str">
        <f ca="1">IFERROR(VLOOKUP($C13&amp;E19,downloads!$A$1:$E$1000,2,FALSE),"")</f>
        <v/>
      </c>
      <c r="G19" s="64" t="str">
        <f t="shared" ca="1" si="2"/>
        <v/>
      </c>
      <c r="H19" s="109" t="str">
        <f ca="1">IFERROR(INDIRECT(CONCATENATE("Distance!$H",C15+4)),"")</f>
        <v/>
      </c>
      <c r="I19" s="147" t="str">
        <f ca="1">IFERROR(IF(OR(H19="",H19=0,H19&lt;A14),"",VLOOKUP(H19,A14:B22,2,TRUE)),9)</f>
        <v/>
      </c>
      <c r="J19" s="67"/>
      <c r="K19" s="104">
        <f ca="1">IFERROR(INDIRECT(CONCATENATE("Distance!$j",C15+4)),"")</f>
        <v>5</v>
      </c>
      <c r="L19" s="104" t="str">
        <f ca="1">IFERROR(INDIRECT(CONCATENATE("Distance!$k",C15+4)),"")</f>
        <v/>
      </c>
      <c r="M19" s="286" t="str">
        <f ca="1">IFERROR(VLOOKUP($C13&amp;L19,downloads!$A$1:$E$1000,2,FALSE),"")</f>
        <v/>
      </c>
      <c r="N19" s="64" t="str">
        <f t="shared" ca="1" si="3"/>
        <v/>
      </c>
      <c r="O19" s="109" t="str">
        <f ca="1">IFERROR(INDIRECT(CONCATENATE("Distance!$T",C15+4)),"")</f>
        <v/>
      </c>
      <c r="P19" s="147" t="str">
        <f ca="1">IFERROR(IF(OR(O19="",O19=0,O19&lt;A14),"",VLOOKUP(O19,A14:B22,2,TRUE)),9)</f>
        <v/>
      </c>
      <c r="R19" s="66">
        <f ca="1">IFERROR(IF(OR(E19=0,E19="",H19=0,H19="",H19="X"),0,VLOOKUP(D19,INDIRECT(MatchDay!$W$2),2,FALSE)),"")</f>
        <v>0</v>
      </c>
      <c r="S19" s="66">
        <f ca="1">IFERROR(IF(OR(L19=0,L19="",O19=0,O19="",O19="X"),0,VLOOKUP(K19,INDIRECT(MatchDay!$W$2),3,FALSE)),"")</f>
        <v>0</v>
      </c>
    </row>
    <row r="20" spans="1:21" x14ac:dyDescent="0.35">
      <c r="A20" s="105">
        <f>IFERROR(VLOOKUP(C13,standards,9,FALSE),"-")</f>
        <v>33</v>
      </c>
      <c r="B20" s="419">
        <v>7</v>
      </c>
      <c r="C20" s="105"/>
      <c r="D20" s="104">
        <f ca="1">IFERROR(INDIRECT(CONCATENATE("Distance!$d",C15+5)),"")</f>
        <v>6</v>
      </c>
      <c r="E20" s="104" t="str">
        <f ca="1">IFERROR(INDIRECT(CONCATENATE("Distance!$E",C15+5)),"")</f>
        <v/>
      </c>
      <c r="F20" s="286" t="str">
        <f ca="1">IFERROR(VLOOKUP($C13&amp;E20,downloads!$A$1:$E$1000,2,FALSE),"")</f>
        <v/>
      </c>
      <c r="G20" s="64" t="str">
        <f t="shared" ca="1" si="2"/>
        <v/>
      </c>
      <c r="H20" s="109" t="str">
        <f ca="1">IFERROR(INDIRECT(CONCATENATE("Distance!$H",C15+5)),"")</f>
        <v/>
      </c>
      <c r="I20" s="147" t="str">
        <f ca="1">IFERROR(IF(OR(H20="",H20=0,H20&lt;A14),"",VLOOKUP(H20,A14:B22,2,TRUE)),9)</f>
        <v/>
      </c>
      <c r="J20" s="67"/>
      <c r="K20" s="104">
        <f ca="1">IFERROR(INDIRECT(CONCATENATE("Distance!$j",C15+5)),"")</f>
        <v>6</v>
      </c>
      <c r="L20" s="104" t="str">
        <f ca="1">IFERROR(INDIRECT(CONCATENATE("Distance!$k",C15+5)),"")</f>
        <v/>
      </c>
      <c r="M20" s="286" t="str">
        <f ca="1">IFERROR(VLOOKUP($C13&amp;L20,downloads!$A$1:$E$1000,2,FALSE),"")</f>
        <v/>
      </c>
      <c r="N20" s="64" t="str">
        <f t="shared" ca="1" si="3"/>
        <v/>
      </c>
      <c r="O20" s="109" t="str">
        <f ca="1">IFERROR(INDIRECT(CONCATENATE("Distance!$T",C15+5)),"")</f>
        <v/>
      </c>
      <c r="P20" s="147" t="str">
        <f ca="1">IFERROR(IF(OR(O20="",O20=0,O20&lt;A14),"",VLOOKUP(O20,A14:B22,2,TRUE)),9)</f>
        <v/>
      </c>
      <c r="R20" s="66">
        <f ca="1">IFERROR(IF(OR(E20=0,E20="",H20=0,H20="",H20="X"),0,VLOOKUP(D20,INDIRECT(MatchDay!$W$2),2,FALSE)),"")</f>
        <v>0</v>
      </c>
      <c r="S20" s="66">
        <f ca="1">IFERROR(IF(OR(L20=0,L20="",O20=0,O20="",O20="X"),0,VLOOKUP(K20,INDIRECT(MatchDay!$W$2),3,FALSE)),"")</f>
        <v>0</v>
      </c>
    </row>
    <row r="21" spans="1:21" x14ac:dyDescent="0.35">
      <c r="A21" s="105">
        <f>IFERROR(VLOOKUP(C13,standards,10,FALSE),"-")</f>
        <v>36</v>
      </c>
      <c r="B21" s="419">
        <v>8</v>
      </c>
      <c r="C21" s="103" t="s">
        <v>151</v>
      </c>
      <c r="D21" s="104">
        <f ca="1">IFERROR(INDIRECT(CONCATENATE("Distance!$d",C15+6)),"")</f>
        <v>7</v>
      </c>
      <c r="E21" s="104" t="str">
        <f ca="1">IFERROR(INDIRECT(CONCATENATE("Distance!$E",C15+6)),"")</f>
        <v/>
      </c>
      <c r="F21" s="286" t="str">
        <f ca="1">IFERROR(VLOOKUP($C13&amp;E21,downloads!$A$1:$E$1000,2,FALSE),"")</f>
        <v/>
      </c>
      <c r="G21" s="64" t="str">
        <f t="shared" ca="1" si="2"/>
        <v/>
      </c>
      <c r="H21" s="109" t="str">
        <f ca="1">IFERROR(INDIRECT(CONCATENATE("Distance!$H",C15+6)),"")</f>
        <v/>
      </c>
      <c r="I21" s="147" t="str">
        <f ca="1">IFERROR(IF(OR(H21="",H21=0,H21&lt;A14),"",VLOOKUP(H21,A14:B22,2,TRUE)),9)</f>
        <v/>
      </c>
      <c r="J21" s="67"/>
      <c r="K21" s="104">
        <f ca="1">IFERROR(INDIRECT(CONCATENATE("Distance!$j",C15+6)),"")</f>
        <v>7</v>
      </c>
      <c r="L21" s="104" t="str">
        <f ca="1">IFERROR(INDIRECT(CONCATENATE("Distance!$k",C15+6)),"")</f>
        <v/>
      </c>
      <c r="M21" s="286" t="str">
        <f ca="1">IFERROR(VLOOKUP($C13&amp;L21,downloads!$A$1:$E$1000,2,FALSE),"")</f>
        <v/>
      </c>
      <c r="N21" s="64" t="str">
        <f t="shared" ca="1" si="3"/>
        <v/>
      </c>
      <c r="O21" s="109" t="str">
        <f ca="1">IFERROR(INDIRECT(CONCATENATE("Distance!$T",C15+6)),"")</f>
        <v/>
      </c>
      <c r="P21" s="147" t="str">
        <f ca="1">IFERROR(IF(OR(O21="",O21=0,O21&lt;A14),"",VLOOKUP(O21,A14:B22,2,TRUE)),9)</f>
        <v/>
      </c>
      <c r="R21" s="66">
        <f ca="1">IFERROR(IF(OR(E21=0,E21="",H21=0,H21="",H21="X"),0,VLOOKUP(D21,INDIRECT(MatchDay!$W$2),2,FALSE)),"")</f>
        <v>0</v>
      </c>
      <c r="S21" s="66">
        <f ca="1">IFERROR(IF(OR(L21=0,L21="",O21=0,O21="",O21="X"),0,VLOOKUP(K21,INDIRECT(MatchDay!$W$2),3,FALSE)),"")</f>
        <v>0</v>
      </c>
    </row>
    <row r="22" spans="1:21" x14ac:dyDescent="0.35">
      <c r="A22" s="105">
        <f>IFERROR(VLOOKUP(C13,standards,11,FALSE),"-")</f>
        <v>39</v>
      </c>
      <c r="B22" s="419">
        <v>9</v>
      </c>
      <c r="C22" s="103">
        <f>IFERROR(VLOOKUP(C13,records,5,FALSE),"")</f>
        <v>55.15</v>
      </c>
      <c r="D22" s="104">
        <f ca="1">IFERROR(INDIRECT(CONCATENATE("Distance!$d",C15+7)),"")</f>
        <v>8</v>
      </c>
      <c r="E22" s="104" t="str">
        <f ca="1">IFERROR(INDIRECT(CONCATENATE("Distance!$E",C15+7)),"")</f>
        <v/>
      </c>
      <c r="F22" s="286" t="str">
        <f ca="1">IFERROR(VLOOKUP($C13&amp;E22,downloads!$A$1:$E$1000,2,FALSE),"")</f>
        <v/>
      </c>
      <c r="G22" s="64" t="str">
        <f t="shared" ca="1" si="2"/>
        <v/>
      </c>
      <c r="H22" s="109" t="str">
        <f ca="1">IFERROR(INDIRECT(CONCATENATE("Distance!$H",C15+7)),"")</f>
        <v/>
      </c>
      <c r="I22" s="147" t="str">
        <f ca="1">IFERROR(IF(OR(H22="",H22=0,H22&lt;A14),"",VLOOKUP(H22,A14:B22,2,TRUE)),9)</f>
        <v/>
      </c>
      <c r="J22" s="67"/>
      <c r="K22" s="104">
        <f ca="1">IFERROR(INDIRECT(CONCATENATE("Distance!$j",C15+7)),"")</f>
        <v>8</v>
      </c>
      <c r="L22" s="104" t="str">
        <f ca="1">IFERROR(INDIRECT(CONCATENATE("Distance!$k",C15+7)),"")</f>
        <v/>
      </c>
      <c r="M22" s="286" t="str">
        <f ca="1">IFERROR(VLOOKUP($C13&amp;L22,downloads!$A$1:$E$1000,2,FALSE),"")</f>
        <v/>
      </c>
      <c r="N22" s="64" t="str">
        <f t="shared" ca="1" si="3"/>
        <v/>
      </c>
      <c r="O22" s="109" t="str">
        <f ca="1">IFERROR(INDIRECT(CONCATENATE("Distance!$T",C15+7)),"")</f>
        <v/>
      </c>
      <c r="P22" s="147" t="str">
        <f ca="1">IFERROR(IF(OR(O22="",O22=0,O22&lt;A14),"",VLOOKUP(O22,A14:B22,2,TRUE)),9)</f>
        <v/>
      </c>
      <c r="R22" s="66">
        <f ca="1">IFERROR(IF(OR(E22=0,E22="",H22=0,H22="",H22="X"),0,VLOOKUP(D22,INDIRECT(MatchDay!$W$2),2,FALSE)),"")</f>
        <v>0</v>
      </c>
      <c r="S22" s="66">
        <f ca="1">IFERROR(IF(OR(L22=0,L22="",O22=0,O22="",O22="X"),0,VLOOKUP(K22,INDIRECT(MatchDay!$W$2),3,FALSE)),"")</f>
        <v>0</v>
      </c>
    </row>
    <row r="24" spans="1:21" x14ac:dyDescent="0.35">
      <c r="C24" s="98" t="s">
        <v>183</v>
      </c>
      <c r="D24" s="99" t="str">
        <f>IFERROR(VLOOKUP(C24,timetables,2,FALSE)&amp;" "&amp;VLOOKUP(C24,timetables,3,FALSE)&amp;" A","")</f>
        <v>Shot U13 Girls A</v>
      </c>
      <c r="E24" s="99"/>
      <c r="H24" s="108" t="str">
        <f ca="1">IFERROR(IF(OR(H26=0,H26="",H26="X"),"",IF(H26&gt;C33,"REC",IF(H26=C33,"=Rec",""))),"")</f>
        <v/>
      </c>
      <c r="I24" s="147" t="str">
        <f ca="1">IFERROR(IF(OR(H26=0,H26="",H26="X"),"",IF(H26&gt;C33,"REC",IF(H26=C33,"=Rec",""))),"")</f>
        <v/>
      </c>
      <c r="K24" s="101" t="str">
        <f>IFERROR(VLOOKUP(C24,timetables,2,FALSE)&amp;" "&amp;VLOOKUP(C24,timetables,3,FALSE)&amp;" B","")</f>
        <v>Shot U13 Girls B</v>
      </c>
      <c r="L24" s="102"/>
      <c r="R24" s="66" t="s">
        <v>53</v>
      </c>
      <c r="S24" s="66" t="s">
        <v>54</v>
      </c>
    </row>
    <row r="25" spans="1:21" x14ac:dyDescent="0.35">
      <c r="A25" s="105">
        <f>IFERROR(VLOOKUP(C24,standards,3,FALSE),"-")</f>
        <v>5</v>
      </c>
      <c r="B25" s="419">
        <v>1</v>
      </c>
      <c r="C25" s="79"/>
      <c r="D25" s="45" t="s">
        <v>177</v>
      </c>
      <c r="E25" s="45" t="s">
        <v>118</v>
      </c>
      <c r="F25" s="47" t="s">
        <v>174</v>
      </c>
      <c r="G25" s="47" t="s">
        <v>175</v>
      </c>
      <c r="H25" s="45" t="s">
        <v>176</v>
      </c>
      <c r="I25" s="148" t="s">
        <v>1003</v>
      </c>
      <c r="J25" s="47"/>
      <c r="K25" s="45" t="s">
        <v>177</v>
      </c>
      <c r="L25" s="45" t="s">
        <v>118</v>
      </c>
      <c r="M25" s="47" t="s">
        <v>174</v>
      </c>
      <c r="N25" s="47" t="s">
        <v>175</v>
      </c>
      <c r="O25" s="45" t="s">
        <v>176</v>
      </c>
      <c r="P25" s="148" t="s">
        <v>1003</v>
      </c>
    </row>
    <row r="26" spans="1:21" x14ac:dyDescent="0.35">
      <c r="A26" s="105">
        <f>IFERROR(VLOOKUP(C24,standards,4,FALSE),"-")</f>
        <v>5.5</v>
      </c>
      <c r="B26" s="419">
        <v>2</v>
      </c>
      <c r="C26" s="66">
        <f>IFERROR(VLOOKUP(C24,Distance!A:B,2,FALSE),"")</f>
        <v>91</v>
      </c>
      <c r="D26" s="104">
        <f ca="1">IFERROR(INDIRECT(CONCATENATE("Distance!$d",C26)),"")</f>
        <v>1</v>
      </c>
      <c r="E26" s="104">
        <f ca="1">IFERROR(INDIRECT(CONCATENATE("Distance!$E",C26)),"")</f>
        <v>6</v>
      </c>
      <c r="F26" s="286" t="str">
        <f ca="1">IFERROR(VLOOKUP($C24&amp;E26,downloads!$A$1:$E$1000,2,FALSE),"")</f>
        <v>Sophie LOW</v>
      </c>
      <c r="G26" s="64" t="str">
        <f t="shared" ref="G26:G33" ca="1" si="4">IFERROR(VLOOKUP(E26,teamlookup,5,FALSE),"")</f>
        <v>Stock</v>
      </c>
      <c r="H26" s="109">
        <f ca="1">IFERROR(INDIRECT(CONCATENATE("Distance!$H",C26)),"")</f>
        <v>5.93</v>
      </c>
      <c r="I26" s="147">
        <f ca="1">IFERROR(IF(OR(H26="",H26=0,H26&lt;A25),"",VLOOKUP(H26,A25:B33,2,TRUE)),9)</f>
        <v>2</v>
      </c>
      <c r="J26" s="67"/>
      <c r="K26" s="104">
        <f ca="1">IFERROR(INDIRECT(CONCATENATE("Distance!$j",C26)),"")</f>
        <v>1</v>
      </c>
      <c r="L26" s="104">
        <f ca="1">IFERROR(INDIRECT(CONCATENATE("Distance!$k",C26)),"")</f>
        <v>22</v>
      </c>
      <c r="M26" s="286" t="str">
        <f ca="1">IFERROR(VLOOKUP($C24&amp;L26,downloads!$A$1:$E$1000,2,FALSE),"")</f>
        <v>Erin ROYLE</v>
      </c>
      <c r="N26" s="64" t="str">
        <f t="shared" ref="N26:N33" ca="1" si="5">IFERROR(VLOOKUP(L26,teamlookup,5,FALSE),"")</f>
        <v>ECHT</v>
      </c>
      <c r="O26" s="109">
        <f ca="1">IFERROR(INDIRECT(CONCATENATE("Distance!$T",C26)),"")</f>
        <v>5.42</v>
      </c>
      <c r="P26" s="147">
        <f ca="1">IFERROR(IF(OR(O26="",O26=0,O26&lt;A25),"",VLOOKUP(O26,A25:B33,2,TRUE)),9)</f>
        <v>1</v>
      </c>
      <c r="R26" s="66">
        <f ca="1">IFERROR(IF(OR(E26=0,E26="",H26=0,H26="",H26="X"),0,VLOOKUP(D26,INDIRECT(MatchDay!$W$2),2,FALSE)),"")</f>
        <v>10</v>
      </c>
      <c r="S26" s="66">
        <f ca="1">IFERROR(IF(OR(L26=0,L26="",O26=0,O26="",O26="X"),0,VLOOKUP(K26,INDIRECT(MatchDay!$W$2),3,FALSE)),"")</f>
        <v>8</v>
      </c>
      <c r="T26" s="168">
        <f ca="1">COUNTIF(E26,"&gt;0")</f>
        <v>1</v>
      </c>
      <c r="U26" s="66">
        <f ca="1">IFERROR(IF(E26&gt;88,1,0),0)</f>
        <v>0</v>
      </c>
    </row>
    <row r="27" spans="1:21" x14ac:dyDescent="0.35">
      <c r="A27" s="105">
        <f>IFERROR(VLOOKUP(C24,standards,5,FALSE),"-")</f>
        <v>6</v>
      </c>
      <c r="B27" s="419">
        <v>3</v>
      </c>
      <c r="C27" s="103"/>
      <c r="D27" s="104">
        <f ca="1">IFERROR(INDIRECT(CONCATENATE("Distance!$d",C26+1)),"")</f>
        <v>2</v>
      </c>
      <c r="E27" s="104">
        <f ca="1">IFERROR(INDIRECT(CONCATENATE("Distance!$E",C26+1)),"")</f>
        <v>5</v>
      </c>
      <c r="F27" s="286" t="str">
        <f ca="1">IFERROR(VLOOKUP($C24&amp;E27,downloads!$A$1:$E$1000,2,FALSE),"")</f>
        <v>Martha BOWN</v>
      </c>
      <c r="G27" s="64" t="str">
        <f t="shared" ca="1" si="4"/>
        <v>Menai</v>
      </c>
      <c r="H27" s="109">
        <f ca="1">IFERROR(INDIRECT(CONCATENATE("Distance!$H",C26+1)),"")</f>
        <v>5.73</v>
      </c>
      <c r="I27" s="147">
        <f ca="1">IFERROR(IF(OR(H27="",H27=0,H27&lt;A25),"",VLOOKUP(H27,A25:B33,2,TRUE)),9)</f>
        <v>2</v>
      </c>
      <c r="J27" s="67"/>
      <c r="K27" s="104">
        <f ca="1">IFERROR(INDIRECT(CONCATENATE("Distance!$j",C26+1)),"")</f>
        <v>2</v>
      </c>
      <c r="L27" s="104">
        <f ca="1">IFERROR(INDIRECT(CONCATENATE("Distance!$k",C26+1)),"")</f>
        <v>66</v>
      </c>
      <c r="M27" s="286" t="str">
        <f ca="1">IFERROR(VLOOKUP($C24&amp;L27,downloads!$A$1:$E$1000,2,FALSE),"")</f>
        <v>Emily WALTON</v>
      </c>
      <c r="N27" s="64" t="str">
        <f t="shared" ca="1" si="5"/>
        <v>Stock</v>
      </c>
      <c r="O27" s="109">
        <f ca="1">IFERROR(INDIRECT(CONCATENATE("Distance!$T",C26+1)),"")</f>
        <v>5.01</v>
      </c>
      <c r="P27" s="147">
        <f ca="1">IFERROR(IF(OR(O27="",O27=0,O27&lt;A25),"",VLOOKUP(O27,A25:B33,2,TRUE)),9)</f>
        <v>1</v>
      </c>
      <c r="R27" s="66">
        <f ca="1">IFERROR(IF(OR(E27=0,E27="",H27=0,H27="",H27="X"),0,VLOOKUP(D27,INDIRECT(MatchDay!$W$2),2,FALSE)),"")</f>
        <v>8</v>
      </c>
      <c r="S27" s="66">
        <f ca="1">IFERROR(IF(OR(L27=0,L27="",O27=0,O27="",O27="X"),0,VLOOKUP(K27,INDIRECT(MatchDay!$W$2),3,FALSE)),"")</f>
        <v>6</v>
      </c>
    </row>
    <row r="28" spans="1:21" x14ac:dyDescent="0.35">
      <c r="A28" s="105">
        <f>IFERROR(VLOOKUP(C24,standards,6,FALSE),"-")</f>
        <v>6.5</v>
      </c>
      <c r="B28" s="419">
        <v>4</v>
      </c>
      <c r="C28" s="105"/>
      <c r="D28" s="104">
        <f ca="1">IFERROR(INDIRECT(CONCATENATE("Distance!$d",C26+2)),"")</f>
        <v>3</v>
      </c>
      <c r="E28" s="104">
        <f ca="1">IFERROR(INDIRECT(CONCATENATE("Distance!$E",C26+2)),"")</f>
        <v>2</v>
      </c>
      <c r="F28" s="286" t="str">
        <f ca="1">IFERROR(VLOOKUP($C24&amp;E28,downloads!$A$1:$E$1000,2,FALSE),"")</f>
        <v>Imogen MCBURNIE</v>
      </c>
      <c r="G28" s="64" t="str">
        <f t="shared" ca="1" si="4"/>
        <v>ECHT</v>
      </c>
      <c r="H28" s="109">
        <f ca="1">IFERROR(INDIRECT(CONCATENATE("Distance!$H",C26+2)),"")</f>
        <v>5.52</v>
      </c>
      <c r="I28" s="147">
        <f ca="1">IFERROR(IF(OR(H28="",H28=0,H28&lt;A25),"",VLOOKUP(H28,A25:B33,2,TRUE)),9)</f>
        <v>2</v>
      </c>
      <c r="J28" s="67"/>
      <c r="K28" s="104">
        <f ca="1">IFERROR(INDIRECT(CONCATENATE("Distance!$j",C26+2)),"")</f>
        <v>3</v>
      </c>
      <c r="L28" s="104">
        <f ca="1">IFERROR(INDIRECT(CONCATENATE("Distance!$k",C26+2)),"")</f>
        <v>4</v>
      </c>
      <c r="M28" s="286" t="str">
        <f ca="1">IFERROR(VLOOKUP($C24&amp;L28,downloads!$A$1:$E$1000,2,FALSE),"")</f>
        <v>Holly WALKER</v>
      </c>
      <c r="N28" s="64" t="str">
        <f t="shared" ca="1" si="5"/>
        <v>Macc</v>
      </c>
      <c r="O28" s="109">
        <f ca="1">IFERROR(INDIRECT(CONCATENATE("Distance!$T",C26+2)),"")</f>
        <v>4.4400000000000004</v>
      </c>
      <c r="P28" s="147" t="str">
        <f ca="1">IFERROR(IF(OR(O28="",O28=0,O28&lt;A25),"",VLOOKUP(O28,A25:B33,2,TRUE)),9)</f>
        <v/>
      </c>
      <c r="R28" s="66">
        <f ca="1">IFERROR(IF(OR(E28=0,E28="",H28=0,H28="",H28="X"),0,VLOOKUP(D28,INDIRECT(MatchDay!$W$2),2,FALSE)),"")</f>
        <v>7</v>
      </c>
      <c r="S28" s="66">
        <f ca="1">IFERROR(IF(OR(L28=0,L28="",O28=0,O28="",O28="X"),0,VLOOKUP(K28,INDIRECT(MatchDay!$W$2),3,FALSE)),"")</f>
        <v>5</v>
      </c>
    </row>
    <row r="29" spans="1:21" x14ac:dyDescent="0.35">
      <c r="A29" s="105">
        <f>IFERROR(VLOOKUP(C24,standards,7,FALSE),"-")</f>
        <v>7</v>
      </c>
      <c r="B29" s="419">
        <v>5</v>
      </c>
      <c r="C29" s="105"/>
      <c r="D29" s="104">
        <f ca="1">IFERROR(INDIRECT(CONCATENATE("Distance!$d",C26+3)),"")</f>
        <v>4</v>
      </c>
      <c r="E29" s="104">
        <f ca="1">IFERROR(INDIRECT(CONCATENATE("Distance!$E",C26+3)),"")</f>
        <v>3</v>
      </c>
      <c r="F29" s="286" t="str">
        <f ca="1">IFERROR(VLOOKUP($C24&amp;E29,downloads!$A$1:$E$1000,2,FALSE),"")</f>
        <v>Emily ASHTON</v>
      </c>
      <c r="G29" s="64" t="str">
        <f t="shared" ca="1" si="4"/>
        <v>Leigh</v>
      </c>
      <c r="H29" s="109">
        <f ca="1">IFERROR(INDIRECT(CONCATENATE("Distance!$H",C26+3)),"")</f>
        <v>5.31</v>
      </c>
      <c r="I29" s="147">
        <f ca="1">IFERROR(IF(OR(H29="",H29=0,H29&lt;A25),"",VLOOKUP(H29,A25:B33,2,TRUE)),9)</f>
        <v>1</v>
      </c>
      <c r="J29" s="67"/>
      <c r="K29" s="104">
        <f ca="1">IFERROR(INDIRECT(CONCATENATE("Distance!$j",C26+3)),"")</f>
        <v>4</v>
      </c>
      <c r="L29" s="104">
        <f ca="1">IFERROR(INDIRECT(CONCATENATE("Distance!$k",C26+3)),"")</f>
        <v>33</v>
      </c>
      <c r="M29" s="286" t="str">
        <f ca="1">IFERROR(VLOOKUP($C24&amp;L29,downloads!$A$1:$E$1000,2,FALSE),"")</f>
        <v>Aniko BEHARRIE</v>
      </c>
      <c r="N29" s="64" t="str">
        <f t="shared" ca="1" si="5"/>
        <v>Leigh</v>
      </c>
      <c r="O29" s="109">
        <f ca="1">IFERROR(INDIRECT(CONCATENATE("Distance!$T",C26+3)),"")</f>
        <v>4.3899999999999997</v>
      </c>
      <c r="P29" s="147" t="str">
        <f ca="1">IFERROR(IF(OR(O29="",O29=0,O29&lt;A25),"",VLOOKUP(O29,A25:B33,2,TRUE)),9)</f>
        <v/>
      </c>
      <c r="R29" s="66">
        <f ca="1">IFERROR(IF(OR(E29=0,E29="",H29=0,H29="",H29="X"),0,VLOOKUP(D29,INDIRECT(MatchDay!$W$2),2,FALSE)),"")</f>
        <v>6</v>
      </c>
      <c r="S29" s="66">
        <f ca="1">IFERROR(IF(OR(L29=0,L29="",O29=0,O29="",O29="X"),0,VLOOKUP(K29,INDIRECT(MatchDay!$W$2),3,FALSE)),"")</f>
        <v>4</v>
      </c>
    </row>
    <row r="30" spans="1:21" x14ac:dyDescent="0.35">
      <c r="A30" s="105">
        <f>IFERROR(VLOOKUP(C24,standards,8,FALSE),"-")</f>
        <v>7.6</v>
      </c>
      <c r="B30" s="419">
        <v>6</v>
      </c>
      <c r="C30" s="105"/>
      <c r="D30" s="104">
        <f ca="1">IFERROR(INDIRECT(CONCATENATE("Distance!$d",C26+4)),"")</f>
        <v>5</v>
      </c>
      <c r="E30" s="104">
        <f ca="1">IFERROR(INDIRECT(CONCATENATE("Distance!$E",C26+4)),"")</f>
        <v>44</v>
      </c>
      <c r="F30" s="286" t="str">
        <f ca="1">IFERROR(VLOOKUP($C24&amp;E30,downloads!$A$1:$E$1000,2,FALSE),"")</f>
        <v>Eve O'DONNELL</v>
      </c>
      <c r="G30" s="64" t="str">
        <f t="shared" ca="1" si="4"/>
        <v>Macc</v>
      </c>
      <c r="H30" s="109">
        <f ca="1">IFERROR(INDIRECT(CONCATENATE("Distance!$H",C26+4)),"")</f>
        <v>5.09</v>
      </c>
      <c r="I30" s="147">
        <f ca="1">IFERROR(IF(OR(H30="",H30=0,H30&lt;A25),"",VLOOKUP(H30,A25:B33,2,TRUE)),9)</f>
        <v>1</v>
      </c>
      <c r="J30" s="67"/>
      <c r="K30" s="104">
        <f ca="1">IFERROR(INDIRECT(CONCATENATE("Distance!$j",C26+4)),"")</f>
        <v>5</v>
      </c>
      <c r="L30" s="104">
        <f ca="1">IFERROR(INDIRECT(CONCATENATE("Distance!$k",C26+4)),"")</f>
        <v>1</v>
      </c>
      <c r="M30" s="286" t="str">
        <f ca="1">IFERROR(VLOOKUP($C24&amp;L30,downloads!$A$1:$E$1000,2,FALSE),"")</f>
        <v>Freya HOWELLS</v>
      </c>
      <c r="N30" s="64" t="str">
        <f t="shared" ca="1" si="5"/>
        <v>C&amp;N</v>
      </c>
      <c r="O30" s="109">
        <f ca="1">IFERROR(INDIRECT(CONCATENATE("Distance!$T",C26+4)),"")</f>
        <v>3.53</v>
      </c>
      <c r="P30" s="147" t="str">
        <f ca="1">IFERROR(IF(OR(O30="",O30=0,O30&lt;A25),"",VLOOKUP(O30,A25:B33,2,TRUE)),9)</f>
        <v/>
      </c>
      <c r="R30" s="66">
        <f ca="1">IFERROR(IF(OR(E30=0,E30="",H30=0,H30="",H30="X"),0,VLOOKUP(D30,INDIRECT(MatchDay!$W$2),2,FALSE)),"")</f>
        <v>5</v>
      </c>
      <c r="S30" s="66">
        <f ca="1">IFERROR(IF(OR(L30=0,L30="",O30=0,O30="",O30="X"),0,VLOOKUP(K30,INDIRECT(MatchDay!$W$2),3,FALSE)),"")</f>
        <v>3</v>
      </c>
    </row>
    <row r="31" spans="1:21" x14ac:dyDescent="0.35">
      <c r="A31" s="105">
        <f>IFERROR(VLOOKUP(C24,standards,9,FALSE),"-")</f>
        <v>8.1999999999999993</v>
      </c>
      <c r="B31" s="419">
        <v>7</v>
      </c>
      <c r="C31" s="105"/>
      <c r="D31" s="104">
        <f ca="1">IFERROR(INDIRECT(CONCATENATE("Distance!$d",C26+5)),"")</f>
        <v>6</v>
      </c>
      <c r="E31" s="104">
        <f ca="1">IFERROR(INDIRECT(CONCATENATE("Distance!$E",C26+5)),"")</f>
        <v>11</v>
      </c>
      <c r="F31" s="286" t="str">
        <f ca="1">IFERROR(VLOOKUP($C24&amp;E31,downloads!$A$1:$E$1000,2,FALSE),"")</f>
        <v>Malkia HENRY</v>
      </c>
      <c r="G31" s="64" t="str">
        <f t="shared" ca="1" si="4"/>
        <v>C&amp;N</v>
      </c>
      <c r="H31" s="109">
        <f ca="1">IFERROR(INDIRECT(CONCATENATE("Distance!$H",C26+5)),"")</f>
        <v>4.8499999999999996</v>
      </c>
      <c r="I31" s="147" t="str">
        <f ca="1">IFERROR(IF(OR(H31="",H31=0,H31&lt;A25),"",VLOOKUP(H31,A25:B33,2,TRUE)),9)</f>
        <v/>
      </c>
      <c r="J31" s="67"/>
      <c r="K31" s="104">
        <f ca="1">IFERROR(INDIRECT(CONCATENATE("Distance!$j",C26+5)),"")</f>
        <v>6</v>
      </c>
      <c r="L31" s="104" t="str">
        <f ca="1">IFERROR(INDIRECT(CONCATENATE("Distance!$k",C26+5)),"")</f>
        <v/>
      </c>
      <c r="M31" s="286" t="str">
        <f ca="1">IFERROR(VLOOKUP($C24&amp;L31,downloads!$A$1:$E$1000,2,FALSE),"")</f>
        <v/>
      </c>
      <c r="N31" s="64" t="str">
        <f t="shared" ca="1" si="5"/>
        <v/>
      </c>
      <c r="O31" s="109" t="str">
        <f ca="1">IFERROR(INDIRECT(CONCATENATE("Distance!$T",C26+5)),"")</f>
        <v/>
      </c>
      <c r="P31" s="147" t="str">
        <f ca="1">IFERROR(IF(OR(O31="",O31=0,O31&lt;A25),"",VLOOKUP(O31,A25:B33,2,TRUE)),9)</f>
        <v/>
      </c>
      <c r="R31" s="66">
        <f ca="1">IFERROR(IF(OR(E31=0,E31="",H31=0,H31="",H31="X"),0,VLOOKUP(D31,INDIRECT(MatchDay!$W$2),2,FALSE)),"")</f>
        <v>4</v>
      </c>
      <c r="S31" s="66">
        <f ca="1">IFERROR(IF(OR(L31=0,L31="",O31=0,O31="",O31="X"),0,VLOOKUP(K31,INDIRECT(MatchDay!$W$2),3,FALSE)),"")</f>
        <v>0</v>
      </c>
    </row>
    <row r="32" spans="1:21" x14ac:dyDescent="0.35">
      <c r="A32" s="105">
        <f>IFERROR(VLOOKUP(C24,standards,10,FALSE),"-")</f>
        <v>8.8000000000000007</v>
      </c>
      <c r="B32" s="419">
        <v>8</v>
      </c>
      <c r="C32" s="103" t="s">
        <v>151</v>
      </c>
      <c r="D32" s="104">
        <f ca="1">IFERROR(INDIRECT(CONCATENATE("Distance!$d",C26+6)),"")</f>
        <v>7</v>
      </c>
      <c r="E32" s="104">
        <f ca="1">IFERROR(INDIRECT(CONCATENATE("Distance!$E",C26+6)),"")</f>
        <v>7</v>
      </c>
      <c r="F32" s="286" t="str">
        <f ca="1">IFERROR(VLOOKUP($C24&amp;E32,downloads!$A$1:$E$1000,2,FALSE),"")</f>
        <v>Layla HALL</v>
      </c>
      <c r="G32" s="64" t="str">
        <f t="shared" ca="1" si="4"/>
        <v>Wigan</v>
      </c>
      <c r="H32" s="109">
        <f ca="1">IFERROR(INDIRECT(CONCATENATE("Distance!$H",C26+6)),"")</f>
        <v>3.77</v>
      </c>
      <c r="I32" s="147" t="str">
        <f ca="1">IFERROR(IF(OR(H32="",H32=0,H32&lt;A25),"",VLOOKUP(H32,A25:B33,2,TRUE)),9)</f>
        <v/>
      </c>
      <c r="J32" s="67"/>
      <c r="K32" s="104">
        <f ca="1">IFERROR(INDIRECT(CONCATENATE("Distance!$j",C26+6)),"")</f>
        <v>7</v>
      </c>
      <c r="L32" s="104" t="str">
        <f ca="1">IFERROR(INDIRECT(CONCATENATE("Distance!$k",C26+6)),"")</f>
        <v/>
      </c>
      <c r="M32" s="286" t="str">
        <f ca="1">IFERROR(VLOOKUP($C24&amp;L32,downloads!$A$1:$E$1000,2,FALSE),"")</f>
        <v/>
      </c>
      <c r="N32" s="64" t="str">
        <f t="shared" ca="1" si="5"/>
        <v/>
      </c>
      <c r="O32" s="109" t="str">
        <f ca="1">IFERROR(INDIRECT(CONCATENATE("Distance!$T",C26+6)),"")</f>
        <v/>
      </c>
      <c r="P32" s="147" t="str">
        <f ca="1">IFERROR(IF(OR(O32="",O32=0,O32&lt;A25),"",VLOOKUP(O32,A25:B33,2,TRUE)),9)</f>
        <v/>
      </c>
      <c r="R32" s="66">
        <f ca="1">IFERROR(IF(OR(E32=0,E32="",H32=0,H32="",H32="X"),0,VLOOKUP(D32,INDIRECT(MatchDay!$W$2),2,FALSE)),"")</f>
        <v>3</v>
      </c>
      <c r="S32" s="66">
        <f ca="1">IFERROR(IF(OR(L32=0,L32="",O32=0,O32="",O32="X"),0,VLOOKUP(K32,INDIRECT(MatchDay!$W$2),3,FALSE)),"")</f>
        <v>0</v>
      </c>
    </row>
    <row r="33" spans="1:21" x14ac:dyDescent="0.35">
      <c r="A33" s="105">
        <f>IFERROR(VLOOKUP(C24,standards,11,FALSE),"-")</f>
        <v>9.4</v>
      </c>
      <c r="B33" s="419">
        <v>9</v>
      </c>
      <c r="C33" s="103">
        <f>IFERROR(VLOOKUP(C24,records,5,FALSE),"")</f>
        <v>12.19</v>
      </c>
      <c r="D33" s="104">
        <f ca="1">IFERROR(INDIRECT(CONCATENATE("Distance!$d",C26+7)),"")</f>
        <v>8</v>
      </c>
      <c r="E33" s="104" t="str">
        <f ca="1">IFERROR(INDIRECT(CONCATENATE("Distance!$E",C26+7)),"")</f>
        <v/>
      </c>
      <c r="F33" s="286" t="str">
        <f ca="1">IFERROR(VLOOKUP($C24&amp;E33,downloads!$A$1:$E$1000,2,FALSE),"")</f>
        <v/>
      </c>
      <c r="G33" s="64" t="str">
        <f t="shared" ca="1" si="4"/>
        <v/>
      </c>
      <c r="H33" s="109" t="str">
        <f ca="1">IFERROR(INDIRECT(CONCATENATE("Distance!$H",C26+7)),"")</f>
        <v/>
      </c>
      <c r="I33" s="147" t="str">
        <f ca="1">IFERROR(IF(OR(H33="",H33=0,H33&lt;A25),"",VLOOKUP(H33,A25:B33,2,TRUE)),9)</f>
        <v/>
      </c>
      <c r="J33" s="67"/>
      <c r="K33" s="104">
        <f ca="1">IFERROR(INDIRECT(CONCATENATE("Distance!$j",C26+7)),"")</f>
        <v>8</v>
      </c>
      <c r="L33" s="104" t="str">
        <f ca="1">IFERROR(INDIRECT(CONCATENATE("Distance!$k",C26+7)),"")</f>
        <v/>
      </c>
      <c r="M33" s="286" t="str">
        <f ca="1">IFERROR(VLOOKUP($C24&amp;L33,downloads!$A$1:$E$1000,2,FALSE),"")</f>
        <v/>
      </c>
      <c r="N33" s="64" t="str">
        <f t="shared" ca="1" si="5"/>
        <v/>
      </c>
      <c r="O33" s="109" t="str">
        <f ca="1">IFERROR(INDIRECT(CONCATENATE("Distance!$T",C26+7)),"")</f>
        <v/>
      </c>
      <c r="P33" s="147" t="str">
        <f ca="1">IFERROR(IF(OR(O33="",O33=0,O33&lt;A25),"",VLOOKUP(O33,A25:B33,2,TRUE)),9)</f>
        <v/>
      </c>
      <c r="R33" s="66">
        <f ca="1">IFERROR(IF(OR(E33=0,E33="",H33=0,H33="",H33="X"),0,VLOOKUP(D33,INDIRECT(MatchDay!$W$2),2,FALSE)),"")</f>
        <v>0</v>
      </c>
      <c r="S33" s="66">
        <f ca="1">IFERROR(IF(OR(L33=0,L33="",O33=0,O33="",O33="X"),0,VLOOKUP(K33,INDIRECT(MatchDay!$W$2),3,FALSE)),"")</f>
        <v>0</v>
      </c>
    </row>
    <row r="35" spans="1:21" x14ac:dyDescent="0.35">
      <c r="C35" s="98" t="s">
        <v>184</v>
      </c>
      <c r="D35" s="99" t="str">
        <f>IFERROR(VLOOKUP(C35,timetables,2,FALSE)&amp;" "&amp;VLOOKUP(C35,timetables,3,FALSE)&amp;" A","")</f>
        <v>Discus U15 Boys A</v>
      </c>
      <c r="E35" s="99"/>
      <c r="H35" s="108" t="str">
        <f ca="1">IFERROR(IF(OR(H37=0,H37="",H37="X"),"",IF(H37&gt;C44,"REC",IF(H37=C44,"=Rec",""))),"")</f>
        <v/>
      </c>
      <c r="I35" s="147" t="str">
        <f ca="1">IFERROR(IF(OR(H37=0,H37="",H37="X"),"",IF(H37&gt;C44,"REC",IF(H37=C44,"=Rec",""))),"")</f>
        <v/>
      </c>
      <c r="K35" s="101" t="str">
        <f>IFERROR(VLOOKUP(C35,timetables,2,FALSE)&amp;" "&amp;VLOOKUP(C35,timetables,3,FALSE)&amp;" B","")</f>
        <v>Discus U15 Boys B</v>
      </c>
      <c r="L35" s="102"/>
      <c r="R35" s="66" t="s">
        <v>53</v>
      </c>
      <c r="S35" s="66" t="s">
        <v>54</v>
      </c>
    </row>
    <row r="36" spans="1:21" x14ac:dyDescent="0.35">
      <c r="A36" s="105">
        <f>IFERROR(VLOOKUP(C35,standards,3,FALSE),"-")</f>
        <v>16</v>
      </c>
      <c r="B36" s="419">
        <v>1</v>
      </c>
      <c r="C36" s="79"/>
      <c r="D36" s="45" t="s">
        <v>177</v>
      </c>
      <c r="E36" s="45" t="s">
        <v>118</v>
      </c>
      <c r="F36" s="47" t="s">
        <v>174</v>
      </c>
      <c r="G36" s="47" t="s">
        <v>175</v>
      </c>
      <c r="H36" s="45" t="s">
        <v>176</v>
      </c>
      <c r="I36" s="148" t="s">
        <v>1003</v>
      </c>
      <c r="J36" s="47"/>
      <c r="K36" s="45" t="s">
        <v>177</v>
      </c>
      <c r="L36" s="45" t="s">
        <v>118</v>
      </c>
      <c r="M36" s="47" t="s">
        <v>174</v>
      </c>
      <c r="N36" s="47" t="s">
        <v>175</v>
      </c>
      <c r="O36" s="45" t="s">
        <v>176</v>
      </c>
      <c r="P36" s="148" t="s">
        <v>1003</v>
      </c>
    </row>
    <row r="37" spans="1:21" x14ac:dyDescent="0.35">
      <c r="A37" s="105">
        <f>IFERROR(VLOOKUP(C35,standards,4,FALSE),"-")</f>
        <v>18</v>
      </c>
      <c r="B37" s="419">
        <v>2</v>
      </c>
      <c r="C37" s="66">
        <f>IFERROR(VLOOKUP(C35,Distance!A:B,2,FALSE),"")</f>
        <v>123</v>
      </c>
      <c r="D37" s="104">
        <f ca="1">IFERROR(INDIRECT(CONCATENATE("Distance!$d",C37)),"")</f>
        <v>1</v>
      </c>
      <c r="E37" s="104">
        <f ca="1">IFERROR(INDIRECT(CONCATENATE("Distance!$E",C37)),"")</f>
        <v>1</v>
      </c>
      <c r="F37" s="286" t="str">
        <f ca="1">IFERROR(VLOOKUP($C35&amp;E37,downloads!$A$1:$E$1000,2,FALSE),"")</f>
        <v>Jack TILLEY</v>
      </c>
      <c r="G37" s="64" t="str">
        <f t="shared" ref="G37:G44" ca="1" si="6">IFERROR(VLOOKUP(E37,teamlookup,5,FALSE),"")</f>
        <v>C&amp;N</v>
      </c>
      <c r="H37" s="109">
        <f ca="1">IFERROR(INDIRECT(CONCATENATE("Distance!$H",C37)),"")</f>
        <v>14.65</v>
      </c>
      <c r="I37" s="147" t="str">
        <f ca="1">IFERROR(IF(OR(H37="",H37=0,H37&lt;A36),"",VLOOKUP(H37,A36:B44,2,TRUE)),9)</f>
        <v/>
      </c>
      <c r="J37" s="67"/>
      <c r="K37" s="104">
        <f ca="1">IFERROR(INDIRECT(CONCATENATE("Distance!$j",C37)),"")</f>
        <v>1</v>
      </c>
      <c r="L37" s="104">
        <f ca="1">IFERROR(INDIRECT(CONCATENATE("Distance!$k",C37)),"")</f>
        <v>11</v>
      </c>
      <c r="M37" s="286" t="str">
        <f ca="1">IFERROR(VLOOKUP($C35&amp;L37,downloads!$A$1:$E$1000,2,FALSE),"")</f>
        <v>Oliver BORG-HEFFERNAN</v>
      </c>
      <c r="N37" s="64" t="str">
        <f t="shared" ref="N37:N44" ca="1" si="7">IFERROR(VLOOKUP(L37,teamlookup,5,FALSE),"")</f>
        <v>C&amp;N</v>
      </c>
      <c r="O37" s="109">
        <f ca="1">IFERROR(INDIRECT(CONCATENATE("Distance!$T",C37)),"")</f>
        <v>12.9</v>
      </c>
      <c r="P37" s="147" t="str">
        <f ca="1">IFERROR(IF(OR(O37="",O37=0,O37&lt;A36),"",VLOOKUP(O37,A36:B44,2,TRUE)),9)</f>
        <v/>
      </c>
      <c r="R37" s="66">
        <f ca="1">IFERROR(IF(OR(E37=0,E37="",H37=0,H37="",H37="X"),0,VLOOKUP(D37,INDIRECT(MatchDay!$W$2),2,FALSE)),"")</f>
        <v>10</v>
      </c>
      <c r="S37" s="66">
        <f ca="1">IFERROR(IF(OR(L37=0,L37="",O37=0,O37="",O37="X"),0,VLOOKUP(K37,INDIRECT(MatchDay!$W$2),3,FALSE)),"")</f>
        <v>8</v>
      </c>
      <c r="T37" s="168">
        <f ca="1">COUNTIF(E37,"&gt;0")</f>
        <v>1</v>
      </c>
      <c r="U37" s="66">
        <f ca="1">IFERROR(IF(E37&gt;88,1,0),0)</f>
        <v>0</v>
      </c>
    </row>
    <row r="38" spans="1:21" x14ac:dyDescent="0.35">
      <c r="A38" s="105">
        <f>IFERROR(VLOOKUP(C35,standards,5,FALSE),"-")</f>
        <v>20</v>
      </c>
      <c r="B38" s="419">
        <v>3</v>
      </c>
      <c r="C38" s="103"/>
      <c r="D38" s="104">
        <f ca="1">IFERROR(INDIRECT(CONCATENATE("Distance!$d",C37+1)),"")</f>
        <v>2</v>
      </c>
      <c r="E38" s="104" t="str">
        <f ca="1">IFERROR(INDIRECT(CONCATENATE("Distance!$E",C37+1)),"")</f>
        <v/>
      </c>
      <c r="F38" s="286" t="str">
        <f ca="1">IFERROR(VLOOKUP($C35&amp;E38,downloads!$A$1:$E$1000,2,FALSE),"")</f>
        <v/>
      </c>
      <c r="G38" s="64" t="str">
        <f t="shared" ca="1" si="6"/>
        <v/>
      </c>
      <c r="H38" s="109" t="str">
        <f ca="1">IFERROR(INDIRECT(CONCATENATE("Distance!$H",C37+1)),"")</f>
        <v/>
      </c>
      <c r="I38" s="147" t="str">
        <f ca="1">IFERROR(IF(OR(H38="",H38=0,H38&lt;A36),"",VLOOKUP(H38,A36:B44,2,TRUE)),9)</f>
        <v/>
      </c>
      <c r="J38" s="67"/>
      <c r="K38" s="104">
        <f ca="1">IFERROR(INDIRECT(CONCATENATE("Distance!$j",C37+1)),"")</f>
        <v>2</v>
      </c>
      <c r="L38" s="104" t="str">
        <f ca="1">IFERROR(INDIRECT(CONCATENATE("Distance!$k",C37+1)),"")</f>
        <v/>
      </c>
      <c r="M38" s="286" t="str">
        <f ca="1">IFERROR(VLOOKUP($C35&amp;L38,downloads!$A$1:$E$1000,2,FALSE),"")</f>
        <v/>
      </c>
      <c r="N38" s="64" t="str">
        <f t="shared" ca="1" si="7"/>
        <v/>
      </c>
      <c r="O38" s="109" t="str">
        <f ca="1">IFERROR(INDIRECT(CONCATENATE("Distance!$T",C37+1)),"")</f>
        <v/>
      </c>
      <c r="P38" s="147" t="str">
        <f ca="1">IFERROR(IF(OR(O38="",O38=0,O38&lt;A36),"",VLOOKUP(O38,A36:B44,2,TRUE)),9)</f>
        <v/>
      </c>
      <c r="R38" s="66">
        <f ca="1">IFERROR(IF(OR(E38=0,E38="",H38=0,H38="",H38="X"),0,VLOOKUP(D38,INDIRECT(MatchDay!$W$2),2,FALSE)),"")</f>
        <v>0</v>
      </c>
      <c r="S38" s="66">
        <f ca="1">IFERROR(IF(OR(L38=0,L38="",O38=0,O38="",O38="X"),0,VLOOKUP(K38,INDIRECT(MatchDay!$W$2),3,FALSE)),"")</f>
        <v>0</v>
      </c>
    </row>
    <row r="39" spans="1:21" x14ac:dyDescent="0.35">
      <c r="A39" s="105">
        <f>IFERROR(VLOOKUP(C35,standards,6,FALSE),"-")</f>
        <v>22</v>
      </c>
      <c r="B39" s="419">
        <v>4</v>
      </c>
      <c r="C39" s="105"/>
      <c r="D39" s="104">
        <f ca="1">IFERROR(INDIRECT(CONCATENATE("Distance!$d",C37+2)),"")</f>
        <v>3</v>
      </c>
      <c r="E39" s="104" t="str">
        <f ca="1">IFERROR(INDIRECT(CONCATENATE("Distance!$E",C37+2)),"")</f>
        <v/>
      </c>
      <c r="F39" s="286" t="str">
        <f ca="1">IFERROR(VLOOKUP($C35&amp;E39,downloads!$A$1:$E$1000,2,FALSE),"")</f>
        <v/>
      </c>
      <c r="G39" s="64" t="str">
        <f t="shared" ca="1" si="6"/>
        <v/>
      </c>
      <c r="H39" s="109" t="str">
        <f ca="1">IFERROR(INDIRECT(CONCATENATE("Distance!$H",C37+2)),"")</f>
        <v/>
      </c>
      <c r="I39" s="147" t="str">
        <f ca="1">IFERROR(IF(OR(H39="",H39=0,H39&lt;A36),"",VLOOKUP(H39,A36:B44,2,TRUE)),9)</f>
        <v/>
      </c>
      <c r="J39" s="67"/>
      <c r="K39" s="104">
        <f ca="1">IFERROR(INDIRECT(CONCATENATE("Distance!$j",C37+2)),"")</f>
        <v>3</v>
      </c>
      <c r="L39" s="104" t="str">
        <f ca="1">IFERROR(INDIRECT(CONCATENATE("Distance!$k",C37+2)),"")</f>
        <v/>
      </c>
      <c r="M39" s="286" t="str">
        <f ca="1">IFERROR(VLOOKUP($C35&amp;L39,downloads!$A$1:$E$1000,2,FALSE),"")</f>
        <v/>
      </c>
      <c r="N39" s="64" t="str">
        <f t="shared" ca="1" si="7"/>
        <v/>
      </c>
      <c r="O39" s="109" t="str">
        <f ca="1">IFERROR(INDIRECT(CONCATENATE("Distance!$T",C37+2)),"")</f>
        <v/>
      </c>
      <c r="P39" s="147" t="str">
        <f ca="1">IFERROR(IF(OR(O39="",O39=0,O39&lt;A36),"",VLOOKUP(O39,A36:B44,2,TRUE)),9)</f>
        <v/>
      </c>
      <c r="R39" s="66">
        <f ca="1">IFERROR(IF(OR(E39=0,E39="",H39=0,H39="",H39="X"),0,VLOOKUP(D39,INDIRECT(MatchDay!$W$2),2,FALSE)),"")</f>
        <v>0</v>
      </c>
      <c r="S39" s="66">
        <f ca="1">IFERROR(IF(OR(L39=0,L39="",O39=0,O39="",O39="X"),0,VLOOKUP(K39,INDIRECT(MatchDay!$W$2),3,FALSE)),"")</f>
        <v>0</v>
      </c>
    </row>
    <row r="40" spans="1:21" x14ac:dyDescent="0.35">
      <c r="A40" s="105">
        <f>IFERROR(VLOOKUP(C35,standards,7,FALSE),"-")</f>
        <v>24</v>
      </c>
      <c r="B40" s="419">
        <v>5</v>
      </c>
      <c r="C40" s="105"/>
      <c r="D40" s="104">
        <f ca="1">IFERROR(INDIRECT(CONCATENATE("Distance!$d",C37+3)),"")</f>
        <v>4</v>
      </c>
      <c r="E40" s="104" t="str">
        <f ca="1">IFERROR(INDIRECT(CONCATENATE("Distance!$E",C37+3)),"")</f>
        <v/>
      </c>
      <c r="F40" s="286" t="str">
        <f ca="1">IFERROR(VLOOKUP($C35&amp;E40,downloads!$A$1:$E$1000,2,FALSE),"")</f>
        <v/>
      </c>
      <c r="G40" s="64" t="str">
        <f t="shared" ca="1" si="6"/>
        <v/>
      </c>
      <c r="H40" s="109" t="str">
        <f ca="1">IFERROR(INDIRECT(CONCATENATE("Distance!$H",C37+3)),"")</f>
        <v/>
      </c>
      <c r="I40" s="147" t="str">
        <f ca="1">IFERROR(IF(OR(H40="",H40=0,H40&lt;A36),"",VLOOKUP(H40,A36:B44,2,TRUE)),9)</f>
        <v/>
      </c>
      <c r="J40" s="67"/>
      <c r="K40" s="104">
        <f ca="1">IFERROR(INDIRECT(CONCATENATE("Distance!$j",C37+3)),"")</f>
        <v>4</v>
      </c>
      <c r="L40" s="104" t="str">
        <f ca="1">IFERROR(INDIRECT(CONCATENATE("Distance!$k",C37+3)),"")</f>
        <v/>
      </c>
      <c r="M40" s="286" t="str">
        <f ca="1">IFERROR(VLOOKUP($C35&amp;L40,downloads!$A$1:$E$1000,2,FALSE),"")</f>
        <v/>
      </c>
      <c r="N40" s="64" t="str">
        <f t="shared" ca="1" si="7"/>
        <v/>
      </c>
      <c r="O40" s="109" t="str">
        <f ca="1">IFERROR(INDIRECT(CONCATENATE("Distance!$T",C37+3)),"")</f>
        <v/>
      </c>
      <c r="P40" s="147" t="str">
        <f ca="1">IFERROR(IF(OR(O40="",O40=0,O40&lt;A36),"",VLOOKUP(O40,A36:B44,2,TRUE)),9)</f>
        <v/>
      </c>
      <c r="R40" s="66">
        <f ca="1">IFERROR(IF(OR(E40=0,E40="",H40=0,H40="",H40="X"),0,VLOOKUP(D40,INDIRECT(MatchDay!$W$2),2,FALSE)),"")</f>
        <v>0</v>
      </c>
      <c r="S40" s="66">
        <f ca="1">IFERROR(IF(OR(L40=0,L40="",O40=0,O40="",O40="X"),0,VLOOKUP(K40,INDIRECT(MatchDay!$W$2),3,FALSE)),"")</f>
        <v>0</v>
      </c>
    </row>
    <row r="41" spans="1:21" x14ac:dyDescent="0.35">
      <c r="A41" s="105">
        <f>IFERROR(VLOOKUP(C35,standards,8,FALSE),"-")</f>
        <v>26</v>
      </c>
      <c r="B41" s="419">
        <v>6</v>
      </c>
      <c r="C41" s="105"/>
      <c r="D41" s="104">
        <f ca="1">IFERROR(INDIRECT(CONCATENATE("Distance!$d",C37+4)),"")</f>
        <v>5</v>
      </c>
      <c r="E41" s="104" t="str">
        <f ca="1">IFERROR(INDIRECT(CONCATENATE("Distance!$E",C37+4)),"")</f>
        <v/>
      </c>
      <c r="F41" s="286" t="str">
        <f ca="1">IFERROR(VLOOKUP($C35&amp;E41,downloads!$A$1:$E$1000,2,FALSE),"")</f>
        <v/>
      </c>
      <c r="G41" s="64" t="str">
        <f t="shared" ca="1" si="6"/>
        <v/>
      </c>
      <c r="H41" s="109" t="str">
        <f ca="1">IFERROR(INDIRECT(CONCATENATE("Distance!$H",C37+4)),"")</f>
        <v/>
      </c>
      <c r="I41" s="147" t="str">
        <f ca="1">IFERROR(IF(OR(H41="",H41=0,H41&lt;A36),"",VLOOKUP(H41,A36:B44,2,TRUE)),9)</f>
        <v/>
      </c>
      <c r="J41" s="67"/>
      <c r="K41" s="104">
        <f ca="1">IFERROR(INDIRECT(CONCATENATE("Distance!$j",C37+4)),"")</f>
        <v>5</v>
      </c>
      <c r="L41" s="104" t="str">
        <f ca="1">IFERROR(INDIRECT(CONCATENATE("Distance!$k",C37+4)),"")</f>
        <v/>
      </c>
      <c r="M41" s="286" t="str">
        <f ca="1">IFERROR(VLOOKUP($C35&amp;L41,downloads!$A$1:$E$1000,2,FALSE),"")</f>
        <v/>
      </c>
      <c r="N41" s="64" t="str">
        <f t="shared" ca="1" si="7"/>
        <v/>
      </c>
      <c r="O41" s="109" t="str">
        <f ca="1">IFERROR(INDIRECT(CONCATENATE("Distance!$T",C37+4)),"")</f>
        <v/>
      </c>
      <c r="P41" s="147" t="str">
        <f ca="1">IFERROR(IF(OR(O41="",O41=0,O41&lt;A36),"",VLOOKUP(O41,A36:B44,2,TRUE)),9)</f>
        <v/>
      </c>
      <c r="R41" s="66">
        <f ca="1">IFERROR(IF(OR(E41=0,E41="",H41=0,H41="",H41="X"),0,VLOOKUP(D41,INDIRECT(MatchDay!$W$2),2,FALSE)),"")</f>
        <v>0</v>
      </c>
      <c r="S41" s="66">
        <f ca="1">IFERROR(IF(OR(L41=0,L41="",O41=0,O41="",O41="X"),0,VLOOKUP(K41,INDIRECT(MatchDay!$W$2),3,FALSE)),"")</f>
        <v>0</v>
      </c>
    </row>
    <row r="42" spans="1:21" x14ac:dyDescent="0.35">
      <c r="A42" s="105">
        <f>IFERROR(VLOOKUP(C35,standards,9,FALSE),"-")</f>
        <v>29</v>
      </c>
      <c r="B42" s="419">
        <v>7</v>
      </c>
      <c r="C42" s="105"/>
      <c r="D42" s="104">
        <f ca="1">IFERROR(INDIRECT(CONCATENATE("Distance!$d",C37+5)),"")</f>
        <v>6</v>
      </c>
      <c r="E42" s="104" t="str">
        <f ca="1">IFERROR(INDIRECT(CONCATENATE("Distance!$E",C37+5)),"")</f>
        <v/>
      </c>
      <c r="F42" s="286" t="str">
        <f ca="1">IFERROR(VLOOKUP($C35&amp;E42,downloads!$A$1:$E$1000,2,FALSE),"")</f>
        <v/>
      </c>
      <c r="G42" s="64" t="str">
        <f t="shared" ca="1" si="6"/>
        <v/>
      </c>
      <c r="H42" s="109" t="str">
        <f ca="1">IFERROR(INDIRECT(CONCATENATE("Distance!$H",C37+5)),"")</f>
        <v/>
      </c>
      <c r="I42" s="147" t="str">
        <f ca="1">IFERROR(IF(OR(H42="",H42=0,H42&lt;A36),"",VLOOKUP(H42,A36:B44,2,TRUE)),9)</f>
        <v/>
      </c>
      <c r="J42" s="67"/>
      <c r="K42" s="104">
        <f ca="1">IFERROR(INDIRECT(CONCATENATE("Distance!$j",C37+5)),"")</f>
        <v>6</v>
      </c>
      <c r="L42" s="104" t="str">
        <f ca="1">IFERROR(INDIRECT(CONCATENATE("Distance!$k",C37+5)),"")</f>
        <v/>
      </c>
      <c r="M42" s="286" t="str">
        <f ca="1">IFERROR(VLOOKUP($C35&amp;L42,downloads!$A$1:$E$1000,2,FALSE),"")</f>
        <v/>
      </c>
      <c r="N42" s="64" t="str">
        <f t="shared" ca="1" si="7"/>
        <v/>
      </c>
      <c r="O42" s="109" t="str">
        <f ca="1">IFERROR(INDIRECT(CONCATENATE("Distance!$T",C37+5)),"")</f>
        <v/>
      </c>
      <c r="P42" s="147" t="str">
        <f ca="1">IFERROR(IF(OR(O42="",O42=0,O42&lt;A36),"",VLOOKUP(O42,A36:B44,2,TRUE)),9)</f>
        <v/>
      </c>
      <c r="R42" s="66">
        <f ca="1">IFERROR(IF(OR(E42=0,E42="",H42=0,H42="",H42="X"),0,VLOOKUP(D42,INDIRECT(MatchDay!$W$2),2,FALSE)),"")</f>
        <v>0</v>
      </c>
      <c r="S42" s="66">
        <f ca="1">IFERROR(IF(OR(L42=0,L42="",O42=0,O42="",O42="X"),0,VLOOKUP(K42,INDIRECT(MatchDay!$W$2),3,FALSE)),"")</f>
        <v>0</v>
      </c>
    </row>
    <row r="43" spans="1:21" x14ac:dyDescent="0.35">
      <c r="A43" s="105">
        <f>IFERROR(VLOOKUP(C35,standards,10,FALSE),"-")</f>
        <v>32</v>
      </c>
      <c r="B43" s="419">
        <v>8</v>
      </c>
      <c r="C43" s="103" t="s">
        <v>151</v>
      </c>
      <c r="D43" s="104">
        <f ca="1">IFERROR(INDIRECT(CONCATENATE("Distance!$d",C37+6)),"")</f>
        <v>7</v>
      </c>
      <c r="E43" s="104" t="str">
        <f ca="1">IFERROR(INDIRECT(CONCATENATE("Distance!$E",C37+6)),"")</f>
        <v/>
      </c>
      <c r="F43" s="286" t="str">
        <f ca="1">IFERROR(VLOOKUP($C35&amp;E43,downloads!$A$1:$E$1000,2,FALSE),"")</f>
        <v/>
      </c>
      <c r="G43" s="64" t="str">
        <f t="shared" ca="1" si="6"/>
        <v/>
      </c>
      <c r="H43" s="109" t="str">
        <f ca="1">IFERROR(INDIRECT(CONCATENATE("Distance!$H",C37+6)),"")</f>
        <v/>
      </c>
      <c r="I43" s="147" t="str">
        <f ca="1">IFERROR(IF(OR(H43="",H43=0,H43&lt;A36),"",VLOOKUP(H43,A36:B44,2,TRUE)),9)</f>
        <v/>
      </c>
      <c r="J43" s="67"/>
      <c r="K43" s="104">
        <f ca="1">IFERROR(INDIRECT(CONCATENATE("Distance!$j",C37+6)),"")</f>
        <v>7</v>
      </c>
      <c r="L43" s="104" t="str">
        <f ca="1">IFERROR(INDIRECT(CONCATENATE("Distance!$k",C37+6)),"")</f>
        <v/>
      </c>
      <c r="M43" s="286" t="str">
        <f ca="1">IFERROR(VLOOKUP($C35&amp;L43,downloads!$A$1:$E$1000,2,FALSE),"")</f>
        <v/>
      </c>
      <c r="N43" s="64" t="str">
        <f t="shared" ca="1" si="7"/>
        <v/>
      </c>
      <c r="O43" s="109" t="str">
        <f ca="1">IFERROR(INDIRECT(CONCATENATE("Distance!$T",C37+6)),"")</f>
        <v/>
      </c>
      <c r="P43" s="147" t="str">
        <f ca="1">IFERROR(IF(OR(O43="",O43=0,O43&lt;A36),"",VLOOKUP(O43,A36:B44,2,TRUE)),9)</f>
        <v/>
      </c>
      <c r="R43" s="66">
        <f ca="1">IFERROR(IF(OR(E43=0,E43="",H43=0,H43="",H43="X"),0,VLOOKUP(D43,INDIRECT(MatchDay!$W$2),2,FALSE)),"")</f>
        <v>0</v>
      </c>
      <c r="S43" s="66">
        <f ca="1">IFERROR(IF(OR(L43=0,L43="",O43=0,O43="",O43="X"),0,VLOOKUP(K43,INDIRECT(MatchDay!$W$2),3,FALSE)),"")</f>
        <v>0</v>
      </c>
    </row>
    <row r="44" spans="1:21" x14ac:dyDescent="0.35">
      <c r="A44" s="105">
        <f>IFERROR(VLOOKUP(C35,standards,11,FALSE),"-")</f>
        <v>35</v>
      </c>
      <c r="B44" s="419">
        <v>9</v>
      </c>
      <c r="C44" s="103">
        <f>IFERROR(VLOOKUP(C35,records,5,FALSE),"")</f>
        <v>49.53</v>
      </c>
      <c r="D44" s="104">
        <f ca="1">IFERROR(INDIRECT(CONCATENATE("Distance!$d",C37+7)),"")</f>
        <v>8</v>
      </c>
      <c r="E44" s="104" t="str">
        <f ca="1">IFERROR(INDIRECT(CONCATENATE("Distance!$E",C37+7)),"")</f>
        <v/>
      </c>
      <c r="F44" s="286" t="str">
        <f ca="1">IFERROR(VLOOKUP($C35&amp;E44,downloads!$A$1:$E$1000,2,FALSE),"")</f>
        <v/>
      </c>
      <c r="G44" s="64" t="str">
        <f t="shared" ca="1" si="6"/>
        <v/>
      </c>
      <c r="H44" s="109" t="str">
        <f ca="1">IFERROR(INDIRECT(CONCATENATE("Distance!$H",C37+7)),"")</f>
        <v/>
      </c>
      <c r="I44" s="147" t="str">
        <f ca="1">IFERROR(IF(OR(H44="",H44=0,H44&lt;A36),"",VLOOKUP(H44,A36:B44,2,TRUE)),9)</f>
        <v/>
      </c>
      <c r="J44" s="67"/>
      <c r="K44" s="104">
        <f ca="1">IFERROR(INDIRECT(CONCATENATE("Distance!$j",C37+7)),"")</f>
        <v>8</v>
      </c>
      <c r="L44" s="104" t="str">
        <f ca="1">IFERROR(INDIRECT(CONCATENATE("Distance!$k",C37+7)),"")</f>
        <v/>
      </c>
      <c r="M44" s="286" t="str">
        <f ca="1">IFERROR(VLOOKUP($C35&amp;L44,downloads!$A$1:$E$1000,2,FALSE),"")</f>
        <v/>
      </c>
      <c r="N44" s="64" t="str">
        <f t="shared" ca="1" si="7"/>
        <v/>
      </c>
      <c r="O44" s="109" t="str">
        <f ca="1">IFERROR(INDIRECT(CONCATENATE("Distance!$T",C37+7)),"")</f>
        <v/>
      </c>
      <c r="P44" s="147" t="str">
        <f ca="1">IFERROR(IF(OR(O44="",O44=0,O44&lt;A36),"",VLOOKUP(O44,A36:B44,2,TRUE)),9)</f>
        <v/>
      </c>
      <c r="R44" s="66">
        <f ca="1">IFERROR(IF(OR(E44=0,E44="",H44=0,H44="",H44="X"),0,VLOOKUP(D44,INDIRECT(MatchDay!$W$2),2,FALSE)),"")</f>
        <v>0</v>
      </c>
      <c r="S44" s="66">
        <f ca="1">IFERROR(IF(OR(L44=0,L44="",O44=0,O44="",O44="X"),0,VLOOKUP(K44,INDIRECT(MatchDay!$W$2),3,FALSE)),"")</f>
        <v>0</v>
      </c>
    </row>
    <row r="46" spans="1:21" x14ac:dyDescent="0.35">
      <c r="C46" s="98" t="s">
        <v>182</v>
      </c>
      <c r="D46" s="99" t="str">
        <f>IFERROR(VLOOKUP(C46,timetables,2,FALSE)&amp;" "&amp;VLOOKUP(C46,timetables,3,FALSE)&amp;" A","")</f>
        <v>Discus U15 Girls A</v>
      </c>
      <c r="E46" s="99"/>
      <c r="H46" s="108" t="str">
        <f ca="1">IFERROR(IF(OR(H48=0,H48="",H48="X"),"",IF(H48&gt;C55,"REC",IF(H48=C55,"=Rec",""))),"")</f>
        <v/>
      </c>
      <c r="I46" s="147" t="str">
        <f ca="1">IFERROR(IF(OR(H48=0,H48="",H48="X"),"",IF(H48&gt;C55,"REC",IF(H48=C55,"=Rec",""))),"")</f>
        <v/>
      </c>
      <c r="K46" s="101" t="str">
        <f>IFERROR(VLOOKUP(C46,timetables,2,FALSE)&amp;" "&amp;VLOOKUP(C46,timetables,3,FALSE)&amp;" B","")</f>
        <v>Discus U15 Girls B</v>
      </c>
      <c r="L46" s="102"/>
      <c r="R46" s="66" t="s">
        <v>53</v>
      </c>
      <c r="S46" s="66" t="s">
        <v>54</v>
      </c>
    </row>
    <row r="47" spans="1:21" x14ac:dyDescent="0.35">
      <c r="A47" s="105">
        <f>IFERROR(VLOOKUP(C46,standards,3,FALSE),"-")</f>
        <v>14</v>
      </c>
      <c r="B47" s="419">
        <v>1</v>
      </c>
      <c r="C47" s="79"/>
      <c r="D47" s="45" t="s">
        <v>177</v>
      </c>
      <c r="E47" s="45" t="s">
        <v>118</v>
      </c>
      <c r="F47" s="47" t="s">
        <v>174</v>
      </c>
      <c r="G47" s="47" t="s">
        <v>175</v>
      </c>
      <c r="H47" s="45" t="s">
        <v>176</v>
      </c>
      <c r="I47" s="148" t="s">
        <v>1003</v>
      </c>
      <c r="J47" s="47"/>
      <c r="K47" s="45" t="s">
        <v>177</v>
      </c>
      <c r="L47" s="45" t="s">
        <v>118</v>
      </c>
      <c r="M47" s="47" t="s">
        <v>174</v>
      </c>
      <c r="N47" s="47" t="s">
        <v>175</v>
      </c>
      <c r="O47" s="45" t="s">
        <v>176</v>
      </c>
      <c r="P47" s="148" t="s">
        <v>1003</v>
      </c>
    </row>
    <row r="48" spans="1:21" x14ac:dyDescent="0.35">
      <c r="A48" s="105">
        <f>IFERROR(VLOOKUP(C46,standards,4,FALSE),"-")</f>
        <v>16</v>
      </c>
      <c r="B48" s="419">
        <v>2</v>
      </c>
      <c r="C48" s="66">
        <f>IFERROR(VLOOKUP(C46,Distance!A:B,2,FALSE),"")</f>
        <v>155</v>
      </c>
      <c r="D48" s="104">
        <f ca="1">IFERROR(INDIRECT(CONCATENATE("Distance!$d",C48)),"")</f>
        <v>1</v>
      </c>
      <c r="E48" s="104">
        <f ca="1">IFERROR(INDIRECT(CONCATENATE("Distance!$E",C48)),"")</f>
        <v>5</v>
      </c>
      <c r="F48" s="286" t="str">
        <f ca="1">IFERROR(VLOOKUP($C46&amp;E48,downloads!$A$1:$E$1000,2,FALSE),"")</f>
        <v>Erin JACOBS</v>
      </c>
      <c r="G48" s="64" t="str">
        <f t="shared" ref="G48:G55" ca="1" si="8">IFERROR(VLOOKUP(E48,teamlookup,5,FALSE),"")</f>
        <v>Menai</v>
      </c>
      <c r="H48" s="109">
        <f ca="1">IFERROR(INDIRECT(CONCATENATE("Distance!$H",C48)),"")</f>
        <v>23.77</v>
      </c>
      <c r="I48" s="147">
        <f ca="1">IFERROR(IF(OR(H48="",H48=0,H48&lt;A47),"",VLOOKUP(H48,A47:B55,2,TRUE)),9)</f>
        <v>5</v>
      </c>
      <c r="J48" s="67"/>
      <c r="K48" s="104">
        <f ca="1">IFERROR(INDIRECT(CONCATENATE("Distance!$j",C48)),"")</f>
        <v>1</v>
      </c>
      <c r="L48" s="104">
        <f ca="1">IFERROR(INDIRECT(CONCATENATE("Distance!$k",C48)),"")</f>
        <v>55</v>
      </c>
      <c r="M48" s="286" t="str">
        <f ca="1">IFERROR(VLOOKUP($C46&amp;L48,downloads!$A$1:$E$1000,2,FALSE),"")</f>
        <v>Elliw MOSS</v>
      </c>
      <c r="N48" s="64" t="str">
        <f t="shared" ref="N48:N55" ca="1" si="9">IFERROR(VLOOKUP(L48,teamlookup,5,FALSE),"")</f>
        <v>Menai</v>
      </c>
      <c r="O48" s="109">
        <f ca="1">IFERROR(INDIRECT(CONCATENATE("Distance!$T",C48)),"")</f>
        <v>15.99</v>
      </c>
      <c r="P48" s="147">
        <f ca="1">IFERROR(IF(OR(O48="",O48=0,O48&lt;A47),"",VLOOKUP(O48,A47:B55,2,TRUE)),9)</f>
        <v>1</v>
      </c>
      <c r="R48" s="66">
        <f ca="1">IFERROR(IF(OR(E48=0,E48="",H48=0,H48="",H48="X"),0,VLOOKUP(D48,INDIRECT(MatchDay!$W$2),2,FALSE)),"")</f>
        <v>10</v>
      </c>
      <c r="S48" s="66">
        <f ca="1">IFERROR(IF(OR(L48=0,L48="",O48=0,O48="",O48="X"),0,VLOOKUP(K48,INDIRECT(MatchDay!$W$2),3,FALSE)),"")</f>
        <v>8</v>
      </c>
      <c r="T48" s="168">
        <f ca="1">COUNTIF(E48,"&gt;0")</f>
        <v>1</v>
      </c>
      <c r="U48" s="66">
        <f ca="1">IFERROR(IF(E48&gt;88,1,0),0)</f>
        <v>0</v>
      </c>
    </row>
    <row r="49" spans="1:21" x14ac:dyDescent="0.35">
      <c r="A49" s="105">
        <f>IFERROR(VLOOKUP(C46,standards,5,FALSE),"-")</f>
        <v>18</v>
      </c>
      <c r="B49" s="419">
        <v>3</v>
      </c>
      <c r="C49" s="103"/>
      <c r="D49" s="104">
        <f ca="1">IFERROR(INDIRECT(CONCATENATE("Distance!$d",C48+1)),"")</f>
        <v>2</v>
      </c>
      <c r="E49" s="104">
        <f ca="1">IFERROR(INDIRECT(CONCATENATE("Distance!$E",C48+1)),"")</f>
        <v>1</v>
      </c>
      <c r="F49" s="286" t="str">
        <f ca="1">IFERROR(VLOOKUP($C46&amp;E49,downloads!$A$1:$E$1000,2,FALSE),"")</f>
        <v>Elisha CARTER</v>
      </c>
      <c r="G49" s="64" t="str">
        <f t="shared" ca="1" si="8"/>
        <v>C&amp;N</v>
      </c>
      <c r="H49" s="109">
        <f ca="1">IFERROR(INDIRECT(CONCATENATE("Distance!$H",C48+1)),"")</f>
        <v>12.14</v>
      </c>
      <c r="I49" s="147" t="str">
        <f ca="1">IFERROR(IF(OR(H49="",H49=0,H49&lt;A47),"",VLOOKUP(H49,A47:B55,2,TRUE)),9)</f>
        <v/>
      </c>
      <c r="J49" s="67"/>
      <c r="K49" s="104">
        <f ca="1">IFERROR(INDIRECT(CONCATENATE("Distance!$j",C48+1)),"")</f>
        <v>2</v>
      </c>
      <c r="L49" s="104">
        <f ca="1">IFERROR(INDIRECT(CONCATENATE("Distance!$k",C48+1)),"")</f>
        <v>11</v>
      </c>
      <c r="M49" s="286" t="str">
        <f ca="1">IFERROR(VLOOKUP($C46&amp;L49,downloads!$A$1:$E$1000,2,FALSE),"")</f>
        <v>Freya MASON</v>
      </c>
      <c r="N49" s="64" t="str">
        <f t="shared" ca="1" si="9"/>
        <v>C&amp;N</v>
      </c>
      <c r="O49" s="109">
        <f ca="1">IFERROR(INDIRECT(CONCATENATE("Distance!$T",C48+1)),"")</f>
        <v>10.82</v>
      </c>
      <c r="P49" s="147" t="str">
        <f ca="1">IFERROR(IF(OR(O49="",O49=0,O49&lt;A47),"",VLOOKUP(O49,A47:B55,2,TRUE)),9)</f>
        <v/>
      </c>
      <c r="R49" s="66">
        <f ca="1">IFERROR(IF(OR(E49=0,E49="",H49=0,H49="",H49="X"),0,VLOOKUP(D49,INDIRECT(MatchDay!$W$2),2,FALSE)),"")</f>
        <v>8</v>
      </c>
      <c r="S49" s="66">
        <f ca="1">IFERROR(IF(OR(L49=0,L49="",O49=0,O49="",O49="X"),0,VLOOKUP(K49,INDIRECT(MatchDay!$W$2),3,FALSE)),"")</f>
        <v>6</v>
      </c>
    </row>
    <row r="50" spans="1:21" x14ac:dyDescent="0.35">
      <c r="A50" s="105">
        <f>IFERROR(VLOOKUP(C46,standards,6,FALSE),"-")</f>
        <v>20</v>
      </c>
      <c r="B50" s="419">
        <v>4</v>
      </c>
      <c r="C50" s="105"/>
      <c r="D50" s="104">
        <f ca="1">IFERROR(INDIRECT(CONCATENATE("Distance!$d",C48+2)),"")</f>
        <v>3</v>
      </c>
      <c r="E50" s="104">
        <f ca="1">IFERROR(INDIRECT(CONCATENATE("Distance!$E",C48+2)),"")</f>
        <v>3</v>
      </c>
      <c r="F50" s="286" t="str">
        <f ca="1">IFERROR(VLOOKUP($C46&amp;E50,downloads!$A$1:$E$1000,2,FALSE),"")</f>
        <v>Eva MELLING</v>
      </c>
      <c r="G50" s="64" t="str">
        <f t="shared" ca="1" si="8"/>
        <v>Leigh</v>
      </c>
      <c r="H50" s="109">
        <f ca="1">IFERROR(INDIRECT(CONCATENATE("Distance!$H",C48+2)),"")</f>
        <v>10.74</v>
      </c>
      <c r="I50" s="147" t="str">
        <f ca="1">IFERROR(IF(OR(H50="",H50=0,H50&lt;A47),"",VLOOKUP(H50,A47:B55,2,TRUE)),9)</f>
        <v/>
      </c>
      <c r="J50" s="67"/>
      <c r="K50" s="104">
        <f ca="1">IFERROR(INDIRECT(CONCATENATE("Distance!$j",C48+2)),"")</f>
        <v>3</v>
      </c>
      <c r="L50" s="104" t="str">
        <f ca="1">IFERROR(INDIRECT(CONCATENATE("Distance!$k",C48+2)),"")</f>
        <v/>
      </c>
      <c r="M50" s="286" t="str">
        <f ca="1">IFERROR(VLOOKUP($C46&amp;L50,downloads!$A$1:$E$1000,2,FALSE),"")</f>
        <v/>
      </c>
      <c r="N50" s="64" t="str">
        <f t="shared" ca="1" si="9"/>
        <v/>
      </c>
      <c r="O50" s="109" t="str">
        <f ca="1">IFERROR(INDIRECT(CONCATENATE("Distance!$T",C48+2)),"")</f>
        <v/>
      </c>
      <c r="P50" s="147" t="str">
        <f ca="1">IFERROR(IF(OR(O50="",O50=0,O50&lt;A47),"",VLOOKUP(O50,A47:B55,2,TRUE)),9)</f>
        <v/>
      </c>
      <c r="R50" s="66">
        <f ca="1">IFERROR(IF(OR(E50=0,E50="",H50=0,H50="",H50="X"),0,VLOOKUP(D50,INDIRECT(MatchDay!$W$2),2,FALSE)),"")</f>
        <v>7</v>
      </c>
      <c r="S50" s="66">
        <f ca="1">IFERROR(IF(OR(L50=0,L50="",O50=0,O50="",O50="X"),0,VLOOKUP(K50,INDIRECT(MatchDay!$W$2),3,FALSE)),"")</f>
        <v>0</v>
      </c>
    </row>
    <row r="51" spans="1:21" x14ac:dyDescent="0.35">
      <c r="A51" s="105">
        <f>IFERROR(VLOOKUP(C46,standards,7,FALSE),"-")</f>
        <v>22</v>
      </c>
      <c r="B51" s="419">
        <v>5</v>
      </c>
      <c r="C51" s="105"/>
      <c r="D51" s="104">
        <f ca="1">IFERROR(INDIRECT(CONCATENATE("Distance!$d",C48+3)),"")</f>
        <v>4</v>
      </c>
      <c r="E51" s="104" t="str">
        <f ca="1">IFERROR(INDIRECT(CONCATENATE("Distance!$E",C48+3)),"")</f>
        <v/>
      </c>
      <c r="F51" s="286" t="str">
        <f ca="1">IFERROR(VLOOKUP($C46&amp;E51,downloads!$A$1:$E$1000,2,FALSE),"")</f>
        <v/>
      </c>
      <c r="G51" s="64" t="str">
        <f t="shared" ca="1" si="8"/>
        <v/>
      </c>
      <c r="H51" s="109" t="str">
        <f ca="1">IFERROR(INDIRECT(CONCATENATE("Distance!$H",C48+3)),"")</f>
        <v/>
      </c>
      <c r="I51" s="147" t="str">
        <f ca="1">IFERROR(IF(OR(H51="",H51=0,H51&lt;A47),"",VLOOKUP(H51,A47:B55,2,TRUE)),9)</f>
        <v/>
      </c>
      <c r="J51" s="67"/>
      <c r="K51" s="104">
        <f ca="1">IFERROR(INDIRECT(CONCATENATE("Distance!$j",C48+3)),"")</f>
        <v>4</v>
      </c>
      <c r="L51" s="104" t="str">
        <f ca="1">IFERROR(INDIRECT(CONCATENATE("Distance!$k",C48+3)),"")</f>
        <v/>
      </c>
      <c r="M51" s="286" t="str">
        <f ca="1">IFERROR(VLOOKUP($C46&amp;L51,downloads!$A$1:$E$1000,2,FALSE),"")</f>
        <v/>
      </c>
      <c r="N51" s="64" t="str">
        <f t="shared" ca="1" si="9"/>
        <v/>
      </c>
      <c r="O51" s="109" t="str">
        <f ca="1">IFERROR(INDIRECT(CONCATENATE("Distance!$T",C48+3)),"")</f>
        <v/>
      </c>
      <c r="P51" s="147" t="str">
        <f ca="1">IFERROR(IF(OR(O51="",O51=0,O51&lt;A47),"",VLOOKUP(O51,A47:B55,2,TRUE)),9)</f>
        <v/>
      </c>
      <c r="R51" s="66">
        <f ca="1">IFERROR(IF(OR(E51=0,E51="",H51=0,H51="",H51="X"),0,VLOOKUP(D51,INDIRECT(MatchDay!$W$2),2,FALSE)),"")</f>
        <v>0</v>
      </c>
      <c r="S51" s="66">
        <f ca="1">IFERROR(IF(OR(L51=0,L51="",O51=0,O51="",O51="X"),0,VLOOKUP(K51,INDIRECT(MatchDay!$W$2),3,FALSE)),"")</f>
        <v>0</v>
      </c>
    </row>
    <row r="52" spans="1:21" x14ac:dyDescent="0.35">
      <c r="A52" s="105">
        <f>IFERROR(VLOOKUP(C46,standards,8,FALSE),"-")</f>
        <v>24</v>
      </c>
      <c r="B52" s="419">
        <v>6</v>
      </c>
      <c r="C52" s="105"/>
      <c r="D52" s="104">
        <f ca="1">IFERROR(INDIRECT(CONCATENATE("Distance!$d",C48+4)),"")</f>
        <v>5</v>
      </c>
      <c r="E52" s="104" t="str">
        <f ca="1">IFERROR(INDIRECT(CONCATENATE("Distance!$E",C48+4)),"")</f>
        <v/>
      </c>
      <c r="F52" s="286" t="str">
        <f ca="1">IFERROR(VLOOKUP($C46&amp;E52,downloads!$A$1:$E$1000,2,FALSE),"")</f>
        <v/>
      </c>
      <c r="G52" s="64" t="str">
        <f t="shared" ca="1" si="8"/>
        <v/>
      </c>
      <c r="H52" s="109" t="str">
        <f ca="1">IFERROR(INDIRECT(CONCATENATE("Distance!$H",C48+4)),"")</f>
        <v/>
      </c>
      <c r="I52" s="147" t="str">
        <f ca="1">IFERROR(IF(OR(H52="",H52=0,H52&lt;A47),"",VLOOKUP(H52,A47:B55,2,TRUE)),9)</f>
        <v/>
      </c>
      <c r="J52" s="67"/>
      <c r="K52" s="104">
        <f ca="1">IFERROR(INDIRECT(CONCATENATE("Distance!$j",C48+4)),"")</f>
        <v>5</v>
      </c>
      <c r="L52" s="104" t="str">
        <f ca="1">IFERROR(INDIRECT(CONCATENATE("Distance!$k",C48+4)),"")</f>
        <v/>
      </c>
      <c r="M52" s="286" t="str">
        <f ca="1">IFERROR(VLOOKUP($C46&amp;L52,downloads!$A$1:$E$1000,2,FALSE),"")</f>
        <v/>
      </c>
      <c r="N52" s="64" t="str">
        <f t="shared" ca="1" si="9"/>
        <v/>
      </c>
      <c r="O52" s="109" t="str">
        <f ca="1">IFERROR(INDIRECT(CONCATENATE("Distance!$T",C48+4)),"")</f>
        <v/>
      </c>
      <c r="P52" s="147" t="str">
        <f ca="1">IFERROR(IF(OR(O52="",O52=0,O52&lt;A47),"",VLOOKUP(O52,A47:B55,2,TRUE)),9)</f>
        <v/>
      </c>
      <c r="R52" s="66">
        <f ca="1">IFERROR(IF(OR(E52=0,E52="",H52=0,H52="",H52="X"),0,VLOOKUP(D52,INDIRECT(MatchDay!$W$2),2,FALSE)),"")</f>
        <v>0</v>
      </c>
      <c r="S52" s="66">
        <f ca="1">IFERROR(IF(OR(L52=0,L52="",O52=0,O52="",O52="X"),0,VLOOKUP(K52,INDIRECT(MatchDay!$W$2),3,FALSE)),"")</f>
        <v>0</v>
      </c>
    </row>
    <row r="53" spans="1:21" x14ac:dyDescent="0.35">
      <c r="A53" s="105">
        <f>IFERROR(VLOOKUP(C46,standards,9,FALSE),"-")</f>
        <v>26</v>
      </c>
      <c r="B53" s="419">
        <v>7</v>
      </c>
      <c r="C53" s="105"/>
      <c r="D53" s="104">
        <f ca="1">IFERROR(INDIRECT(CONCATENATE("Distance!$d",C48+5)),"")</f>
        <v>6</v>
      </c>
      <c r="E53" s="104" t="str">
        <f ca="1">IFERROR(INDIRECT(CONCATENATE("Distance!$E",C48+5)),"")</f>
        <v/>
      </c>
      <c r="F53" s="286" t="str">
        <f ca="1">IFERROR(VLOOKUP($C46&amp;E53,downloads!$A$1:$E$1000,2,FALSE),"")</f>
        <v/>
      </c>
      <c r="G53" s="64" t="str">
        <f t="shared" ca="1" si="8"/>
        <v/>
      </c>
      <c r="H53" s="109" t="str">
        <f ca="1">IFERROR(INDIRECT(CONCATENATE("Distance!$H",C48+5)),"")</f>
        <v/>
      </c>
      <c r="I53" s="147" t="str">
        <f ca="1">IFERROR(IF(OR(H53="",H53=0,H53&lt;A47),"",VLOOKUP(H53,A47:B55,2,TRUE)),9)</f>
        <v/>
      </c>
      <c r="J53" s="67"/>
      <c r="K53" s="104">
        <f ca="1">IFERROR(INDIRECT(CONCATENATE("Distance!$j",C48+5)),"")</f>
        <v>6</v>
      </c>
      <c r="L53" s="104" t="str">
        <f ca="1">IFERROR(INDIRECT(CONCATENATE("Distance!$k",C48+5)),"")</f>
        <v/>
      </c>
      <c r="M53" s="286" t="str">
        <f ca="1">IFERROR(VLOOKUP($C46&amp;L53,downloads!$A$1:$E$1000,2,FALSE),"")</f>
        <v/>
      </c>
      <c r="N53" s="64" t="str">
        <f t="shared" ca="1" si="9"/>
        <v/>
      </c>
      <c r="O53" s="109" t="str">
        <f ca="1">IFERROR(INDIRECT(CONCATENATE("Distance!$T",C48+5)),"")</f>
        <v/>
      </c>
      <c r="P53" s="147" t="str">
        <f ca="1">IFERROR(IF(OR(O53="",O53=0,O53&lt;A47),"",VLOOKUP(O53,A47:B55,2,TRUE)),9)</f>
        <v/>
      </c>
      <c r="R53" s="66">
        <f ca="1">IFERROR(IF(OR(E53=0,E53="",H53=0,H53="",H53="X"),0,VLOOKUP(D53,INDIRECT(MatchDay!$W$2),2,FALSE)),"")</f>
        <v>0</v>
      </c>
      <c r="S53" s="66">
        <f ca="1">IFERROR(IF(OR(L53=0,L53="",O53=0,O53="",O53="X"),0,VLOOKUP(K53,INDIRECT(MatchDay!$W$2),3,FALSE)),"")</f>
        <v>0</v>
      </c>
    </row>
    <row r="54" spans="1:21" x14ac:dyDescent="0.35">
      <c r="A54" s="105">
        <f>IFERROR(VLOOKUP(C46,standards,10,FALSE),"-")</f>
        <v>29</v>
      </c>
      <c r="B54" s="419">
        <v>8</v>
      </c>
      <c r="C54" s="103" t="s">
        <v>151</v>
      </c>
      <c r="D54" s="104">
        <f ca="1">IFERROR(INDIRECT(CONCATENATE("Distance!$d",C48+6)),"")</f>
        <v>7</v>
      </c>
      <c r="E54" s="104" t="str">
        <f ca="1">IFERROR(INDIRECT(CONCATENATE("Distance!$E",C48+6)),"")</f>
        <v/>
      </c>
      <c r="F54" s="286" t="str">
        <f ca="1">IFERROR(VLOOKUP($C46&amp;E54,downloads!$A$1:$E$1000,2,FALSE),"")</f>
        <v/>
      </c>
      <c r="G54" s="64" t="str">
        <f t="shared" ca="1" si="8"/>
        <v/>
      </c>
      <c r="H54" s="109" t="str">
        <f ca="1">IFERROR(INDIRECT(CONCATENATE("Distance!$H",C48+6)),"")</f>
        <v/>
      </c>
      <c r="I54" s="147" t="str">
        <f ca="1">IFERROR(IF(OR(H54="",H54=0,H54&lt;A47),"",VLOOKUP(H54,A47:B55,2,TRUE)),9)</f>
        <v/>
      </c>
      <c r="J54" s="67"/>
      <c r="K54" s="104">
        <f ca="1">IFERROR(INDIRECT(CONCATENATE("Distance!$j",C48+6)),"")</f>
        <v>7</v>
      </c>
      <c r="L54" s="104" t="str">
        <f ca="1">IFERROR(INDIRECT(CONCATENATE("Distance!$k",C48+6)),"")</f>
        <v/>
      </c>
      <c r="M54" s="286" t="str">
        <f ca="1">IFERROR(VLOOKUP($C46&amp;L54,downloads!$A$1:$E$1000,2,FALSE),"")</f>
        <v/>
      </c>
      <c r="N54" s="64" t="str">
        <f t="shared" ca="1" si="9"/>
        <v/>
      </c>
      <c r="O54" s="109" t="str">
        <f ca="1">IFERROR(INDIRECT(CONCATENATE("Distance!$T",C48+6)),"")</f>
        <v/>
      </c>
      <c r="P54" s="147" t="str">
        <f ca="1">IFERROR(IF(OR(O54="",O54=0,O54&lt;A47),"",VLOOKUP(O54,A47:B55,2,TRUE)),9)</f>
        <v/>
      </c>
      <c r="R54" s="66">
        <f ca="1">IFERROR(IF(OR(E54=0,E54="",H54=0,H54="",H54="X"),0,VLOOKUP(D54,INDIRECT(MatchDay!$W$2),2,FALSE)),"")</f>
        <v>0</v>
      </c>
      <c r="S54" s="66">
        <f ca="1">IFERROR(IF(OR(L54=0,L54="",O54=0,O54="",O54="X"),0,VLOOKUP(K54,INDIRECT(MatchDay!$W$2),3,FALSE)),"")</f>
        <v>0</v>
      </c>
    </row>
    <row r="55" spans="1:21" x14ac:dyDescent="0.35">
      <c r="A55" s="105">
        <f>IFERROR(VLOOKUP(C46,standards,11,FALSE),"-")</f>
        <v>32</v>
      </c>
      <c r="B55" s="419">
        <v>9</v>
      </c>
      <c r="C55" s="103">
        <f>IFERROR(VLOOKUP(C46,records,5,FALSE),"")</f>
        <v>39.94</v>
      </c>
      <c r="D55" s="104">
        <f ca="1">IFERROR(INDIRECT(CONCATENATE("Distance!$d",C48+7)),"")</f>
        <v>8</v>
      </c>
      <c r="E55" s="104" t="str">
        <f ca="1">IFERROR(INDIRECT(CONCATENATE("Distance!$E",C48+7)),"")</f>
        <v/>
      </c>
      <c r="F55" s="286" t="str">
        <f ca="1">IFERROR(VLOOKUP($C46&amp;E55,downloads!$A$1:$E$1000,2,FALSE),"")</f>
        <v/>
      </c>
      <c r="G55" s="64" t="str">
        <f t="shared" ca="1" si="8"/>
        <v/>
      </c>
      <c r="H55" s="109" t="str">
        <f ca="1">IFERROR(INDIRECT(CONCATENATE("Distance!$H",C48+7)),"")</f>
        <v/>
      </c>
      <c r="I55" s="147" t="str">
        <f ca="1">IFERROR(IF(OR(H55="",H55=0,H55&lt;A47),"",VLOOKUP(H55,A47:B55,2,TRUE)),9)</f>
        <v/>
      </c>
      <c r="J55" s="67"/>
      <c r="K55" s="104">
        <f ca="1">IFERROR(INDIRECT(CONCATENATE("Distance!$j",C48+7)),"")</f>
        <v>8</v>
      </c>
      <c r="L55" s="104" t="str">
        <f ca="1">IFERROR(INDIRECT(CONCATENATE("Distance!$k",C48+7)),"")</f>
        <v/>
      </c>
      <c r="M55" s="286" t="str">
        <f ca="1">IFERROR(VLOOKUP($C46&amp;L55,downloads!$A$1:$E$1000,2,FALSE),"")</f>
        <v/>
      </c>
      <c r="N55" s="64" t="str">
        <f t="shared" ca="1" si="9"/>
        <v/>
      </c>
      <c r="O55" s="109" t="str">
        <f ca="1">IFERROR(INDIRECT(CONCATENATE("Distance!$T",C48+7)),"")</f>
        <v/>
      </c>
      <c r="P55" s="147" t="str">
        <f ca="1">IFERROR(IF(OR(O55="",O55=0,O55&lt;A47),"",VLOOKUP(O55,A47:B55,2,TRUE)),9)</f>
        <v/>
      </c>
      <c r="R55" s="66">
        <f ca="1">IFERROR(IF(OR(E55=0,E55="",H55=0,H55="",H55="X"),0,VLOOKUP(D55,INDIRECT(MatchDay!$W$2),2,FALSE)),"")</f>
        <v>0</v>
      </c>
      <c r="S55" s="66">
        <f ca="1">IFERROR(IF(OR(L55=0,L55="",O55=0,O55="",O55="X"),0,VLOOKUP(K55,INDIRECT(MatchDay!$W$2),3,FALSE)),"")</f>
        <v>0</v>
      </c>
    </row>
    <row r="57" spans="1:21" x14ac:dyDescent="0.35">
      <c r="C57" s="98" t="s">
        <v>189</v>
      </c>
      <c r="D57" s="99" t="str">
        <f>IFERROR(VLOOKUP(C57,timetables,2,FALSE)&amp;" "&amp;VLOOKUP(C57,timetables,3,FALSE)&amp;" A","")</f>
        <v>Shot U15 Boys A</v>
      </c>
      <c r="E57" s="99"/>
      <c r="H57" s="108" t="str">
        <f ca="1">IFERROR(IF(OR(H59=0,H59="",H59="X"),"",IF(H59&gt;C66,"REC",IF(H59=C66,"=Rec",""))),"")</f>
        <v/>
      </c>
      <c r="I57" s="147" t="str">
        <f ca="1">IFERROR(IF(OR(H59=0,H59="",H59="X"),"",IF(H59&gt;C66,"REC",IF(H59=C66,"=Rec",""))),"")</f>
        <v/>
      </c>
      <c r="K57" s="101" t="str">
        <f>IFERROR(VLOOKUP(C57,timetables,2,FALSE)&amp;" "&amp;VLOOKUP(C57,timetables,3,FALSE)&amp;" B","")</f>
        <v>Shot U15 Boys B</v>
      </c>
      <c r="L57" s="102"/>
      <c r="R57" s="66" t="s">
        <v>53</v>
      </c>
      <c r="S57" s="66" t="s">
        <v>54</v>
      </c>
    </row>
    <row r="58" spans="1:21" x14ac:dyDescent="0.35">
      <c r="A58" s="105">
        <f>IFERROR(VLOOKUP(C57,standards,3,FALSE),"-")</f>
        <v>7.4</v>
      </c>
      <c r="B58" s="419">
        <v>1</v>
      </c>
      <c r="C58" s="79"/>
      <c r="D58" s="45" t="s">
        <v>177</v>
      </c>
      <c r="E58" s="45" t="s">
        <v>118</v>
      </c>
      <c r="F58" s="47" t="s">
        <v>174</v>
      </c>
      <c r="G58" s="47" t="s">
        <v>175</v>
      </c>
      <c r="H58" s="45" t="s">
        <v>176</v>
      </c>
      <c r="I58" s="148" t="s">
        <v>1003</v>
      </c>
      <c r="J58" s="47"/>
      <c r="K58" s="45" t="s">
        <v>177</v>
      </c>
      <c r="L58" s="45" t="s">
        <v>118</v>
      </c>
      <c r="M58" s="47" t="s">
        <v>174</v>
      </c>
      <c r="N58" s="47" t="s">
        <v>175</v>
      </c>
      <c r="O58" s="45" t="s">
        <v>176</v>
      </c>
      <c r="P58" s="148" t="s">
        <v>1003</v>
      </c>
    </row>
    <row r="59" spans="1:21" x14ac:dyDescent="0.35">
      <c r="A59" s="105">
        <f>IFERROR(VLOOKUP(C57,standards,4,FALSE),"-")</f>
        <v>8</v>
      </c>
      <c r="B59" s="419">
        <v>2</v>
      </c>
      <c r="C59" s="66">
        <f>IFERROR(VLOOKUP(C57,Distance!A:B,2,FALSE),"")</f>
        <v>187</v>
      </c>
      <c r="D59" s="104">
        <f ca="1">IFERROR(INDIRECT(CONCATENATE("Distance!$d",C59)),"")</f>
        <v>1</v>
      </c>
      <c r="E59" s="104">
        <f ca="1">IFERROR(INDIRECT(CONCATENATE("Distance!$E",C59)),"")</f>
        <v>1</v>
      </c>
      <c r="F59" s="286" t="str">
        <f ca="1">IFERROR(VLOOKUP($C57&amp;E59,downloads!$A$1:$E$1000,2,FALSE),"")</f>
        <v>Lucas BEECH</v>
      </c>
      <c r="G59" s="64" t="str">
        <f t="shared" ref="G59:G66" ca="1" si="10">IFERROR(VLOOKUP(E59,teamlookup,5,FALSE),"")</f>
        <v>C&amp;N</v>
      </c>
      <c r="H59" s="109">
        <f ca="1">IFERROR(INDIRECT(CONCATENATE("Distance!$H",C59)),"")</f>
        <v>7.47</v>
      </c>
      <c r="I59" s="147">
        <f ca="1">IFERROR(IF(OR(H59="",H59=0,H59&lt;A58),"",VLOOKUP(H59,A58:B66,2,TRUE)),9)</f>
        <v>1</v>
      </c>
      <c r="J59" s="67"/>
      <c r="K59" s="104">
        <f ca="1">IFERROR(INDIRECT(CONCATENATE("Distance!$j",C59)),"")</f>
        <v>1</v>
      </c>
      <c r="L59" s="104">
        <f ca="1">IFERROR(INDIRECT(CONCATENATE("Distance!$k",C59)),"")</f>
        <v>11</v>
      </c>
      <c r="M59" s="286" t="str">
        <f ca="1">IFERROR(VLOOKUP($C57&amp;L59,downloads!$A$1:$E$1000,2,FALSE),"")</f>
        <v>Oliver BORG-HEFFERNAN</v>
      </c>
      <c r="N59" s="64" t="str">
        <f t="shared" ref="N59:N66" ca="1" si="11">IFERROR(VLOOKUP(L59,teamlookup,5,FALSE),"")</f>
        <v>C&amp;N</v>
      </c>
      <c r="O59" s="109">
        <f ca="1">IFERROR(INDIRECT(CONCATENATE("Distance!$T",C59)),"")</f>
        <v>5.92</v>
      </c>
      <c r="P59" s="147" t="str">
        <f ca="1">IFERROR(IF(OR(O59="",O59=0,O59&lt;A58),"",VLOOKUP(O59,A58:B66,2,TRUE)),9)</f>
        <v/>
      </c>
      <c r="R59" s="66">
        <f ca="1">IFERROR(IF(OR(E59=0,E59="",H59=0,H59="",H59="X"),0,VLOOKUP(D59,INDIRECT(MatchDay!$W$2),2,FALSE)),"")</f>
        <v>10</v>
      </c>
      <c r="S59" s="66">
        <f ca="1">IFERROR(IF(OR(L59=0,L59="",O59=0,O59="",O59="X"),0,VLOOKUP(K59,INDIRECT(MatchDay!$W$2),3,FALSE)),"")</f>
        <v>8</v>
      </c>
      <c r="T59" s="168">
        <f ca="1">COUNTIF(E59,"&gt;0")</f>
        <v>1</v>
      </c>
      <c r="U59" s="66">
        <f ca="1">IFERROR(IF(E59&gt;88,1,0),0)</f>
        <v>0</v>
      </c>
    </row>
    <row r="60" spans="1:21" x14ac:dyDescent="0.35">
      <c r="A60" s="105">
        <f>IFERROR(VLOOKUP(C57,standards,5,FALSE),"-")</f>
        <v>8.6</v>
      </c>
      <c r="B60" s="419">
        <v>3</v>
      </c>
      <c r="C60" s="103"/>
      <c r="D60" s="104">
        <f ca="1">IFERROR(INDIRECT(CONCATENATE("Distance!$d",C59+1)),"")</f>
        <v>2</v>
      </c>
      <c r="E60" s="104">
        <f ca="1">IFERROR(INDIRECT(CONCATENATE("Distance!$E",C59+1)),"")</f>
        <v>2</v>
      </c>
      <c r="F60" s="286" t="str">
        <f ca="1">IFERROR(VLOOKUP($C57&amp;E60,downloads!$A$1:$E$1000,2,FALSE),"")</f>
        <v>Marshall FLEET</v>
      </c>
      <c r="G60" s="64" t="str">
        <f t="shared" ca="1" si="10"/>
        <v>ECHT</v>
      </c>
      <c r="H60" s="109">
        <f ca="1">IFERROR(INDIRECT(CONCATENATE("Distance!$H",C59+1)),"")</f>
        <v>7.1</v>
      </c>
      <c r="I60" s="147" t="str">
        <f ca="1">IFERROR(IF(OR(H60="",H60=0,H60&lt;A58),"",VLOOKUP(H60,A58:B66,2,TRUE)),9)</f>
        <v/>
      </c>
      <c r="J60" s="67"/>
      <c r="K60" s="104">
        <f ca="1">IFERROR(INDIRECT(CONCATENATE("Distance!$j",C59+1)),"")</f>
        <v>2</v>
      </c>
      <c r="L60" s="104">
        <f ca="1">IFERROR(INDIRECT(CONCATENATE("Distance!$k",C59+1)),"")</f>
        <v>3</v>
      </c>
      <c r="M60" s="286" t="str">
        <f ca="1">IFERROR(VLOOKUP($C57&amp;L60,downloads!$A$1:$E$1000,2,FALSE),"")</f>
        <v>Oliver SANDERSON</v>
      </c>
      <c r="N60" s="64" t="str">
        <f t="shared" ca="1" si="11"/>
        <v>Leigh</v>
      </c>
      <c r="O60" s="109">
        <f ca="1">IFERROR(INDIRECT(CONCATENATE("Distance!$T",C59+1)),"")</f>
        <v>5.61</v>
      </c>
      <c r="P60" s="147" t="str">
        <f ca="1">IFERROR(IF(OR(O60="",O60=0,O60&lt;A58),"",VLOOKUP(O60,A58:B66,2,TRUE)),9)</f>
        <v/>
      </c>
      <c r="R60" s="66">
        <f ca="1">IFERROR(IF(OR(E60=0,E60="",H60=0,H60="",H60="X"),0,VLOOKUP(D60,INDIRECT(MatchDay!$W$2),2,FALSE)),"")</f>
        <v>8</v>
      </c>
      <c r="S60" s="66">
        <f ca="1">IFERROR(IF(OR(L60=0,L60="",O60=0,O60="",O60="X"),0,VLOOKUP(K60,INDIRECT(MatchDay!$W$2),3,FALSE)),"")</f>
        <v>6</v>
      </c>
    </row>
    <row r="61" spans="1:21" x14ac:dyDescent="0.35">
      <c r="A61" s="105">
        <f>IFERROR(VLOOKUP(C57,standards,6,FALSE),"-")</f>
        <v>9.1999999999999993</v>
      </c>
      <c r="B61" s="419">
        <v>4</v>
      </c>
      <c r="C61" s="105"/>
      <c r="D61" s="104">
        <f ca="1">IFERROR(INDIRECT(CONCATENATE("Distance!$d",C59+2)),"")</f>
        <v>3</v>
      </c>
      <c r="E61" s="104">
        <f ca="1">IFERROR(INDIRECT(CONCATENATE("Distance!$E",C59+2)),"")</f>
        <v>33</v>
      </c>
      <c r="F61" s="286" t="str">
        <f ca="1">IFERROR(VLOOKUP($C57&amp;E61,downloads!$A$1:$E$1000,2,FALSE),"")</f>
        <v>Archer GILDART</v>
      </c>
      <c r="G61" s="64" t="str">
        <f t="shared" ca="1" si="10"/>
        <v>Leigh</v>
      </c>
      <c r="H61" s="109">
        <f ca="1">IFERROR(INDIRECT(CONCATENATE("Distance!$H",C59+2)),"")</f>
        <v>6.4</v>
      </c>
      <c r="I61" s="147" t="str">
        <f ca="1">IFERROR(IF(OR(H61="",H61=0,H61&lt;A58),"",VLOOKUP(H61,A58:B66,2,TRUE)),9)</f>
        <v/>
      </c>
      <c r="J61" s="67"/>
      <c r="K61" s="104">
        <f ca="1">IFERROR(INDIRECT(CONCATENATE("Distance!$j",C59+2)),"")</f>
        <v>3</v>
      </c>
      <c r="L61" s="104" t="str">
        <f ca="1">IFERROR(INDIRECT(CONCATENATE("Distance!$k",C59+2)),"")</f>
        <v/>
      </c>
      <c r="M61" s="286" t="str">
        <f ca="1">IFERROR(VLOOKUP($C57&amp;L61,downloads!$A$1:$E$1000,2,FALSE),"")</f>
        <v/>
      </c>
      <c r="N61" s="64" t="str">
        <f t="shared" ca="1" si="11"/>
        <v/>
      </c>
      <c r="O61" s="109" t="str">
        <f ca="1">IFERROR(INDIRECT(CONCATENATE("Distance!$T",C59+2)),"")</f>
        <v/>
      </c>
      <c r="P61" s="147" t="str">
        <f ca="1">IFERROR(IF(OR(O61="",O61=0,O61&lt;A58),"",VLOOKUP(O61,A58:B66,2,TRUE)),9)</f>
        <v/>
      </c>
      <c r="R61" s="66">
        <f ca="1">IFERROR(IF(OR(E61=0,E61="",H61=0,H61="",H61="X"),0,VLOOKUP(D61,INDIRECT(MatchDay!$W$2),2,FALSE)),"")</f>
        <v>7</v>
      </c>
      <c r="S61" s="66">
        <f ca="1">IFERROR(IF(OR(L61=0,L61="",O61=0,O61="",O61="X"),0,VLOOKUP(K61,INDIRECT(MatchDay!$W$2),3,FALSE)),"")</f>
        <v>0</v>
      </c>
    </row>
    <row r="62" spans="1:21" x14ac:dyDescent="0.35">
      <c r="A62" s="105">
        <f>IFERROR(VLOOKUP(C57,standards,7,FALSE),"-")</f>
        <v>9.8000000000000007</v>
      </c>
      <c r="B62" s="419">
        <v>5</v>
      </c>
      <c r="C62" s="105"/>
      <c r="D62" s="104">
        <f ca="1">IFERROR(INDIRECT(CONCATENATE("Distance!$d",C59+3)),"")</f>
        <v>4</v>
      </c>
      <c r="E62" s="104">
        <f ca="1">IFERROR(INDIRECT(CONCATENATE("Distance!$E",C59+3)),"")</f>
        <v>6</v>
      </c>
      <c r="F62" s="286" t="str">
        <f ca="1">IFERROR(VLOOKUP($C57&amp;E62,downloads!$A$1:$E$1000,2,FALSE),"")</f>
        <v>Campbell JOHNSON</v>
      </c>
      <c r="G62" s="64" t="str">
        <f t="shared" ca="1" si="10"/>
        <v>Stock</v>
      </c>
      <c r="H62" s="109">
        <f ca="1">IFERROR(INDIRECT(CONCATENATE("Distance!$H",C59+3)),"")</f>
        <v>5.57</v>
      </c>
      <c r="I62" s="147" t="str">
        <f ca="1">IFERROR(IF(OR(H62="",H62=0,H62&lt;A58),"",VLOOKUP(H62,A58:B66,2,TRUE)),9)</f>
        <v/>
      </c>
      <c r="J62" s="67"/>
      <c r="K62" s="104">
        <f ca="1">IFERROR(INDIRECT(CONCATENATE("Distance!$j",C59+3)),"")</f>
        <v>4</v>
      </c>
      <c r="L62" s="104" t="str">
        <f ca="1">IFERROR(INDIRECT(CONCATENATE("Distance!$k",C59+3)),"")</f>
        <v/>
      </c>
      <c r="M62" s="286" t="str">
        <f ca="1">IFERROR(VLOOKUP($C57&amp;L62,downloads!$A$1:$E$1000,2,FALSE),"")</f>
        <v/>
      </c>
      <c r="N62" s="64" t="str">
        <f t="shared" ca="1" si="11"/>
        <v/>
      </c>
      <c r="O62" s="109" t="str">
        <f ca="1">IFERROR(INDIRECT(CONCATENATE("Distance!$T",C59+3)),"")</f>
        <v/>
      </c>
      <c r="P62" s="147" t="str">
        <f ca="1">IFERROR(IF(OR(O62="",O62=0,O62&lt;A58),"",VLOOKUP(O62,A58:B66,2,TRUE)),9)</f>
        <v/>
      </c>
      <c r="R62" s="66">
        <f ca="1">IFERROR(IF(OR(E62=0,E62="",H62=0,H62="",H62="X"),0,VLOOKUP(D62,INDIRECT(MatchDay!$W$2),2,FALSE)),"")</f>
        <v>6</v>
      </c>
      <c r="S62" s="66">
        <f ca="1">IFERROR(IF(OR(L62=0,L62="",O62=0,O62="",O62="X"),0,VLOOKUP(K62,INDIRECT(MatchDay!$W$2),3,FALSE)),"")</f>
        <v>0</v>
      </c>
    </row>
    <row r="63" spans="1:21" x14ac:dyDescent="0.35">
      <c r="A63" s="105">
        <f>IFERROR(VLOOKUP(C57,standards,8,FALSE),"-")</f>
        <v>10.4</v>
      </c>
      <c r="B63" s="419">
        <v>6</v>
      </c>
      <c r="C63" s="105"/>
      <c r="D63" s="104">
        <f ca="1">IFERROR(INDIRECT(CONCATENATE("Distance!$d",C59+4)),"")</f>
        <v>5</v>
      </c>
      <c r="E63" s="104">
        <f ca="1">IFERROR(INDIRECT(CONCATENATE("Distance!$E",C59+4)),"")</f>
        <v>7</v>
      </c>
      <c r="F63" s="286" t="str">
        <f ca="1">IFERROR(VLOOKUP($C57&amp;E63,downloads!$A$1:$E$1000,2,FALSE),"")</f>
        <v>Matthew HAYTON</v>
      </c>
      <c r="G63" s="64" t="str">
        <f t="shared" ca="1" si="10"/>
        <v>Wigan</v>
      </c>
      <c r="H63" s="109">
        <f ca="1">IFERROR(INDIRECT(CONCATENATE("Distance!$H",C59+4)),"")</f>
        <v>5.0999999999999996</v>
      </c>
      <c r="I63" s="147" t="str">
        <f ca="1">IFERROR(IF(OR(H63="",H63=0,H63&lt;A58),"",VLOOKUP(H63,A58:B66,2,TRUE)),9)</f>
        <v/>
      </c>
      <c r="J63" s="67"/>
      <c r="K63" s="104">
        <f ca="1">IFERROR(INDIRECT(CONCATENATE("Distance!$j",C59+4)),"")</f>
        <v>5</v>
      </c>
      <c r="L63" s="104" t="str">
        <f ca="1">IFERROR(INDIRECT(CONCATENATE("Distance!$k",C59+4)),"")</f>
        <v/>
      </c>
      <c r="M63" s="286" t="str">
        <f ca="1">IFERROR(VLOOKUP($C57&amp;L63,downloads!$A$1:$E$1000,2,FALSE),"")</f>
        <v/>
      </c>
      <c r="N63" s="64" t="str">
        <f t="shared" ca="1" si="11"/>
        <v/>
      </c>
      <c r="O63" s="109" t="str">
        <f ca="1">IFERROR(INDIRECT(CONCATENATE("Distance!$T",C59+4)),"")</f>
        <v/>
      </c>
      <c r="P63" s="147" t="str">
        <f ca="1">IFERROR(IF(OR(O63="",O63=0,O63&lt;A58),"",VLOOKUP(O63,A58:B66,2,TRUE)),9)</f>
        <v/>
      </c>
      <c r="R63" s="66">
        <f ca="1">IFERROR(IF(OR(E63=0,E63="",H63=0,H63="",H63="X"),0,VLOOKUP(D63,INDIRECT(MatchDay!$W$2),2,FALSE)),"")</f>
        <v>5</v>
      </c>
      <c r="S63" s="66">
        <f ca="1">IFERROR(IF(OR(L63=0,L63="",O63=0,O63="",O63="X"),0,VLOOKUP(K63,INDIRECT(MatchDay!$W$2),3,FALSE)),"")</f>
        <v>0</v>
      </c>
    </row>
    <row r="64" spans="1:21" x14ac:dyDescent="0.35">
      <c r="A64" s="105">
        <f>IFERROR(VLOOKUP(C57,standards,9,FALSE),"-")</f>
        <v>11.2</v>
      </c>
      <c r="B64" s="419">
        <v>7</v>
      </c>
      <c r="C64" s="105"/>
      <c r="D64" s="104">
        <f ca="1">IFERROR(INDIRECT(CONCATENATE("Distance!$d",C59+5)),"")</f>
        <v>6</v>
      </c>
      <c r="E64" s="104" t="str">
        <f ca="1">IFERROR(INDIRECT(CONCATENATE("Distance!$E",C59+5)),"")</f>
        <v/>
      </c>
      <c r="F64" s="286" t="str">
        <f ca="1">IFERROR(VLOOKUP($C57&amp;E64,downloads!$A$1:$E$1000,2,FALSE),"")</f>
        <v/>
      </c>
      <c r="G64" s="64" t="str">
        <f t="shared" ca="1" si="10"/>
        <v/>
      </c>
      <c r="H64" s="109" t="str">
        <f ca="1">IFERROR(INDIRECT(CONCATENATE("Distance!$H",C59+5)),"")</f>
        <v/>
      </c>
      <c r="I64" s="147" t="str">
        <f ca="1">IFERROR(IF(OR(H64="",H64=0,H64&lt;A58),"",VLOOKUP(H64,A58:B66,2,TRUE)),9)</f>
        <v/>
      </c>
      <c r="J64" s="67"/>
      <c r="K64" s="104">
        <f ca="1">IFERROR(INDIRECT(CONCATENATE("Distance!$j",C59+5)),"")</f>
        <v>6</v>
      </c>
      <c r="L64" s="104" t="str">
        <f ca="1">IFERROR(INDIRECT(CONCATENATE("Distance!$k",C59+5)),"")</f>
        <v/>
      </c>
      <c r="M64" s="286" t="str">
        <f ca="1">IFERROR(VLOOKUP($C57&amp;L64,downloads!$A$1:$E$1000,2,FALSE),"")</f>
        <v/>
      </c>
      <c r="N64" s="64" t="str">
        <f t="shared" ca="1" si="11"/>
        <v/>
      </c>
      <c r="O64" s="109" t="str">
        <f ca="1">IFERROR(INDIRECT(CONCATENATE("Distance!$T",C59+5)),"")</f>
        <v/>
      </c>
      <c r="P64" s="147" t="str">
        <f ca="1">IFERROR(IF(OR(O64="",O64=0,O64&lt;A58),"",VLOOKUP(O64,A58:B66,2,TRUE)),9)</f>
        <v/>
      </c>
      <c r="R64" s="66">
        <f ca="1">IFERROR(IF(OR(E64=0,E64="",H64=0,H64="",H64="X"),0,VLOOKUP(D64,INDIRECT(MatchDay!$W$2),2,FALSE)),"")</f>
        <v>0</v>
      </c>
      <c r="S64" s="66">
        <f ca="1">IFERROR(IF(OR(L64=0,L64="",O64=0,O64="",O64="X"),0,VLOOKUP(K64,INDIRECT(MatchDay!$W$2),3,FALSE)),"")</f>
        <v>0</v>
      </c>
    </row>
    <row r="65" spans="1:21" x14ac:dyDescent="0.35">
      <c r="A65" s="105">
        <f>IFERROR(VLOOKUP(C57,standards,10,FALSE),"-")</f>
        <v>12</v>
      </c>
      <c r="B65" s="419">
        <v>8</v>
      </c>
      <c r="C65" s="103" t="s">
        <v>151</v>
      </c>
      <c r="D65" s="104">
        <f ca="1">IFERROR(INDIRECT(CONCATENATE("Distance!$d",C59+6)),"")</f>
        <v>7</v>
      </c>
      <c r="E65" s="104" t="str">
        <f ca="1">IFERROR(INDIRECT(CONCATENATE("Distance!$E",C59+6)),"")</f>
        <v/>
      </c>
      <c r="F65" s="286" t="str">
        <f ca="1">IFERROR(VLOOKUP($C57&amp;E65,downloads!$A$1:$E$1000,2,FALSE),"")</f>
        <v/>
      </c>
      <c r="G65" s="64" t="str">
        <f t="shared" ca="1" si="10"/>
        <v/>
      </c>
      <c r="H65" s="109" t="str">
        <f ca="1">IFERROR(INDIRECT(CONCATENATE("Distance!$H",C59+6)),"")</f>
        <v/>
      </c>
      <c r="I65" s="147" t="str">
        <f ca="1">IFERROR(IF(OR(H65="",H65=0,H65&lt;A58),"",VLOOKUP(H65,A58:B66,2,TRUE)),9)</f>
        <v/>
      </c>
      <c r="J65" s="67"/>
      <c r="K65" s="104">
        <f ca="1">IFERROR(INDIRECT(CONCATENATE("Distance!$j",C59+6)),"")</f>
        <v>7</v>
      </c>
      <c r="L65" s="104" t="str">
        <f ca="1">IFERROR(INDIRECT(CONCATENATE("Distance!$k",C59+6)),"")</f>
        <v/>
      </c>
      <c r="M65" s="286" t="str">
        <f ca="1">IFERROR(VLOOKUP($C57&amp;L65,downloads!$A$1:$E$1000,2,FALSE),"")</f>
        <v/>
      </c>
      <c r="N65" s="64" t="str">
        <f t="shared" ca="1" si="11"/>
        <v/>
      </c>
      <c r="O65" s="109" t="str">
        <f ca="1">IFERROR(INDIRECT(CONCATENATE("Distance!$T",C59+6)),"")</f>
        <v/>
      </c>
      <c r="P65" s="147" t="str">
        <f ca="1">IFERROR(IF(OR(O65="",O65=0,O65&lt;A58),"",VLOOKUP(O65,A58:B66,2,TRUE)),9)</f>
        <v/>
      </c>
      <c r="R65" s="66">
        <f ca="1">IFERROR(IF(OR(E65=0,E65="",H65=0,H65="",H65="X"),0,VLOOKUP(D65,INDIRECT(MatchDay!$W$2),2,FALSE)),"")</f>
        <v>0</v>
      </c>
      <c r="S65" s="66">
        <f ca="1">IFERROR(IF(OR(L65=0,L65="",O65=0,O65="",O65="X"),0,VLOOKUP(K65,INDIRECT(MatchDay!$W$2),3,FALSE)),"")</f>
        <v>0</v>
      </c>
    </row>
    <row r="66" spans="1:21" x14ac:dyDescent="0.35">
      <c r="A66" s="105">
        <f>IFERROR(VLOOKUP(C57,standards,11,FALSE),"-")</f>
        <v>12.8</v>
      </c>
      <c r="B66" s="419">
        <v>9</v>
      </c>
      <c r="C66" s="103">
        <f>IFERROR(VLOOKUP(C57,records,5,FALSE),"")</f>
        <v>15.49</v>
      </c>
      <c r="D66" s="104">
        <f ca="1">IFERROR(INDIRECT(CONCATENATE("Distance!$d",C59+7)),"")</f>
        <v>8</v>
      </c>
      <c r="E66" s="104" t="str">
        <f ca="1">IFERROR(INDIRECT(CONCATENATE("Distance!$E",C59+7)),"")</f>
        <v/>
      </c>
      <c r="F66" s="286" t="str">
        <f ca="1">IFERROR(VLOOKUP($C57&amp;E66,downloads!$A$1:$E$1000,2,FALSE),"")</f>
        <v/>
      </c>
      <c r="G66" s="64" t="str">
        <f t="shared" ca="1" si="10"/>
        <v/>
      </c>
      <c r="H66" s="109" t="str">
        <f ca="1">IFERROR(INDIRECT(CONCATENATE("Distance!$H",C59+7)),"")</f>
        <v/>
      </c>
      <c r="I66" s="147" t="str">
        <f ca="1">IFERROR(IF(OR(H66="",H66=0,H66&lt;A58),"",VLOOKUP(H66,A58:B66,2,TRUE)),9)</f>
        <v/>
      </c>
      <c r="J66" s="67"/>
      <c r="K66" s="104">
        <f ca="1">IFERROR(INDIRECT(CONCATENATE("Distance!$j",C59+7)),"")</f>
        <v>8</v>
      </c>
      <c r="L66" s="104" t="str">
        <f ca="1">IFERROR(INDIRECT(CONCATENATE("Distance!$k",C59+7)),"")</f>
        <v/>
      </c>
      <c r="M66" s="286" t="str">
        <f ca="1">IFERROR(VLOOKUP($C57&amp;L66,downloads!$A$1:$E$1000,2,FALSE),"")</f>
        <v/>
      </c>
      <c r="N66" s="64" t="str">
        <f t="shared" ca="1" si="11"/>
        <v/>
      </c>
      <c r="O66" s="109" t="str">
        <f ca="1">IFERROR(INDIRECT(CONCATENATE("Distance!$T",C59+7)),"")</f>
        <v/>
      </c>
      <c r="P66" s="147" t="str">
        <f ca="1">IFERROR(IF(OR(O66="",O66=0,O66&lt;A58),"",VLOOKUP(O66,A58:B66,2,TRUE)),9)</f>
        <v/>
      </c>
      <c r="R66" s="66">
        <f ca="1">IFERROR(IF(OR(E66=0,E66="",H66=0,H66="",H66="X"),0,VLOOKUP(D66,INDIRECT(MatchDay!$W$2),2,FALSE)),"")</f>
        <v>0</v>
      </c>
      <c r="S66" s="66">
        <f ca="1">IFERROR(IF(OR(L66=0,L66="",O66=0,O66="",O66="X"),0,VLOOKUP(K66,INDIRECT(MatchDay!$W$2),3,FALSE)),"")</f>
        <v>0</v>
      </c>
    </row>
    <row r="68" spans="1:21" x14ac:dyDescent="0.35">
      <c r="C68" s="98" t="s">
        <v>190</v>
      </c>
      <c r="D68" s="99" t="str">
        <f>IFERROR(VLOOKUP(C68,timetables,2,FALSE)&amp;" "&amp;VLOOKUP(C68,timetables,3,FALSE)&amp;" A","")</f>
        <v>Javelin U15 Boys A</v>
      </c>
      <c r="E68" s="99"/>
      <c r="H68" s="108" t="str">
        <f ca="1">IFERROR(IF(OR(H70=0,H70="",H70="X"),"",IF(H70&gt;C77,"REC",IF(H70=C77,"=Rec",""))),"")</f>
        <v/>
      </c>
      <c r="I68" s="147" t="str">
        <f ca="1">IFERROR(IF(OR(H70=0,H70="",H70="X"),"",IF(H70&gt;C77,"REC",IF(H70=C77,"=Rec",""))),"")</f>
        <v/>
      </c>
      <c r="K68" s="101" t="str">
        <f>IFERROR(VLOOKUP(C68,timetables,2,FALSE)&amp;" "&amp;VLOOKUP(C68,timetables,3,FALSE)&amp;" B","")</f>
        <v>Javelin U15 Boys B</v>
      </c>
      <c r="L68" s="102"/>
      <c r="R68" s="66" t="s">
        <v>53</v>
      </c>
      <c r="S68" s="66" t="s">
        <v>54</v>
      </c>
    </row>
    <row r="69" spans="1:21" x14ac:dyDescent="0.35">
      <c r="A69" s="105">
        <f>IFERROR(VLOOKUP(C68,standards,3,FALSE),"-")</f>
        <v>20</v>
      </c>
      <c r="B69" s="419">
        <v>1</v>
      </c>
      <c r="C69" s="79"/>
      <c r="D69" s="45" t="s">
        <v>177</v>
      </c>
      <c r="E69" s="45" t="s">
        <v>118</v>
      </c>
      <c r="F69" s="47" t="s">
        <v>174</v>
      </c>
      <c r="G69" s="47" t="s">
        <v>175</v>
      </c>
      <c r="H69" s="45" t="s">
        <v>176</v>
      </c>
      <c r="I69" s="148" t="s">
        <v>1003</v>
      </c>
      <c r="J69" s="47"/>
      <c r="K69" s="45" t="s">
        <v>177</v>
      </c>
      <c r="L69" s="45" t="s">
        <v>118</v>
      </c>
      <c r="M69" s="47" t="s">
        <v>174</v>
      </c>
      <c r="N69" s="47" t="s">
        <v>175</v>
      </c>
      <c r="O69" s="45" t="s">
        <v>176</v>
      </c>
      <c r="P69" s="148" t="s">
        <v>1003</v>
      </c>
    </row>
    <row r="70" spans="1:21" x14ac:dyDescent="0.35">
      <c r="A70" s="105">
        <f>IFERROR(VLOOKUP(C68,standards,4,FALSE),"-")</f>
        <v>23</v>
      </c>
      <c r="B70" s="419">
        <v>2</v>
      </c>
      <c r="C70" s="66">
        <f>IFERROR(VLOOKUP(C68,Distance!A:B,2,FALSE),"")</f>
        <v>219</v>
      </c>
      <c r="D70" s="104">
        <f ca="1">IFERROR(INDIRECT(CONCATENATE("Distance!$d",C70)),"")</f>
        <v>1</v>
      </c>
      <c r="E70" s="104">
        <f ca="1">IFERROR(INDIRECT(CONCATENATE("Distance!$E",C70)),"")</f>
        <v>4</v>
      </c>
      <c r="F70" s="286" t="str">
        <f ca="1">IFERROR(VLOOKUP($C68&amp;E70,downloads!$A$1:$E$1000,2,FALSE),"")</f>
        <v>Tristan LAMPRECHT</v>
      </c>
      <c r="G70" s="64" t="str">
        <f t="shared" ref="G70:G77" ca="1" si="12">IFERROR(VLOOKUP(E70,teamlookup,5,FALSE),"")</f>
        <v>Macc</v>
      </c>
      <c r="H70" s="109">
        <f ca="1">IFERROR(INDIRECT(CONCATENATE("Distance!$H",C70)),"")</f>
        <v>37.17</v>
      </c>
      <c r="I70" s="147">
        <f ca="1">IFERROR(IF(OR(H70="",H70=0,H70&lt;A69),"",VLOOKUP(H70,A69:B77,2,TRUE)),9)</f>
        <v>6</v>
      </c>
      <c r="J70" s="67"/>
      <c r="K70" s="104">
        <f ca="1">IFERROR(INDIRECT(CONCATENATE("Distance!$j",C70)),"")</f>
        <v>1</v>
      </c>
      <c r="L70" s="104">
        <f ca="1">IFERROR(INDIRECT(CONCATENATE("Distance!$k",C70)),"")</f>
        <v>11</v>
      </c>
      <c r="M70" s="286" t="str">
        <f ca="1">IFERROR(VLOOKUP($C68&amp;L70,downloads!$A$1:$E$1000,2,FALSE),"")</f>
        <v>Saif AL-BAYATTI</v>
      </c>
      <c r="N70" s="64" t="str">
        <f t="shared" ref="N70:N77" ca="1" si="13">IFERROR(VLOOKUP(L70,teamlookup,5,FALSE),"")</f>
        <v>C&amp;N</v>
      </c>
      <c r="O70" s="109">
        <f ca="1">IFERROR(INDIRECT(CONCATENATE("Distance!$T",C70)),"")</f>
        <v>15.71</v>
      </c>
      <c r="P70" s="147" t="str">
        <f ca="1">IFERROR(IF(OR(O70="",O70=0,O70&lt;A69),"",VLOOKUP(O70,A69:B77,2,TRUE)),9)</f>
        <v/>
      </c>
      <c r="R70" s="66">
        <f ca="1">IFERROR(IF(OR(E70=0,E70="",H70=0,H70="",H70="X"),0,VLOOKUP(D70,INDIRECT(MatchDay!$W$2),2,FALSE)),"")</f>
        <v>10</v>
      </c>
      <c r="S70" s="66">
        <f ca="1">IFERROR(IF(OR(L70=0,L70="",O70=0,O70="",O70="X"),0,VLOOKUP(K70,INDIRECT(MatchDay!$W$2),3,FALSE)),"")</f>
        <v>8</v>
      </c>
      <c r="T70" s="168">
        <f ca="1">COUNTIF(E70,"&gt;0")</f>
        <v>1</v>
      </c>
      <c r="U70" s="66">
        <f ca="1">IFERROR(IF(E70&gt;88,1,0),0)</f>
        <v>0</v>
      </c>
    </row>
    <row r="71" spans="1:21" x14ac:dyDescent="0.35">
      <c r="A71" s="105">
        <f>IFERROR(VLOOKUP(C68,standards,5,FALSE),"-")</f>
        <v>26</v>
      </c>
      <c r="B71" s="419">
        <v>3</v>
      </c>
      <c r="C71" s="103"/>
      <c r="D71" s="104">
        <f ca="1">IFERROR(INDIRECT(CONCATENATE("Distance!$d",C70+1)),"")</f>
        <v>2</v>
      </c>
      <c r="E71" s="104">
        <f ca="1">IFERROR(INDIRECT(CONCATENATE("Distance!$E",C70+1)),"")</f>
        <v>3</v>
      </c>
      <c r="F71" s="286" t="str">
        <f ca="1">IFERROR(VLOOKUP($C68&amp;E71,downloads!$A$1:$E$1000,2,FALSE),"")</f>
        <v>Oliver SANDERSON</v>
      </c>
      <c r="G71" s="64" t="str">
        <f t="shared" ca="1" si="12"/>
        <v>Leigh</v>
      </c>
      <c r="H71" s="109">
        <f ca="1">IFERROR(INDIRECT(CONCATENATE("Distance!$H",C70+1)),"")</f>
        <v>29.79</v>
      </c>
      <c r="I71" s="147">
        <f ca="1">IFERROR(IF(OR(H71="",H71=0,H71&lt;A69),"",VLOOKUP(H71,A69:B77,2,TRUE)),9)</f>
        <v>4</v>
      </c>
      <c r="J71" s="67"/>
      <c r="K71" s="104">
        <f ca="1">IFERROR(INDIRECT(CONCATENATE("Distance!$j",C70+1)),"")</f>
        <v>2</v>
      </c>
      <c r="L71" s="104">
        <f ca="1">IFERROR(INDIRECT(CONCATENATE("Distance!$k",C70+1)),"")</f>
        <v>66</v>
      </c>
      <c r="M71" s="286" t="str">
        <f ca="1">IFERROR(VLOOKUP($C68&amp;L71,downloads!$A$1:$E$1000,2,FALSE),"")</f>
        <v>Arthur WOLSTENHOLME</v>
      </c>
      <c r="N71" s="64" t="str">
        <f t="shared" ca="1" si="13"/>
        <v>Stock</v>
      </c>
      <c r="O71" s="109">
        <f ca="1">IFERROR(INDIRECT(CONCATENATE("Distance!$T",C70+1)),"")</f>
        <v>12.48</v>
      </c>
      <c r="P71" s="147" t="str">
        <f ca="1">IFERROR(IF(OR(O71="",O71=0,O71&lt;A69),"",VLOOKUP(O71,A69:B77,2,TRUE)),9)</f>
        <v/>
      </c>
      <c r="R71" s="66">
        <f ca="1">IFERROR(IF(OR(E71=0,E71="",H71=0,H71="",H71="X"),0,VLOOKUP(D71,INDIRECT(MatchDay!$W$2),2,FALSE)),"")</f>
        <v>8</v>
      </c>
      <c r="S71" s="66">
        <f ca="1">IFERROR(IF(OR(L71=0,L71="",O71=0,O71="",O71="X"),0,VLOOKUP(K71,INDIRECT(MatchDay!$W$2),3,FALSE)),"")</f>
        <v>6</v>
      </c>
    </row>
    <row r="72" spans="1:21" x14ac:dyDescent="0.35">
      <c r="A72" s="105">
        <f>IFERROR(VLOOKUP(C68,standards,6,FALSE),"-")</f>
        <v>29</v>
      </c>
      <c r="B72" s="419">
        <v>4</v>
      </c>
      <c r="C72" s="105"/>
      <c r="D72" s="104">
        <f ca="1">IFERROR(INDIRECT(CONCATENATE("Distance!$d",C70+2)),"")</f>
        <v>3</v>
      </c>
      <c r="E72" s="104">
        <f ca="1">IFERROR(INDIRECT(CONCATENATE("Distance!$E",C70+2)),"")</f>
        <v>1</v>
      </c>
      <c r="F72" s="286" t="str">
        <f ca="1">IFERROR(VLOOKUP($C68&amp;E72,downloads!$A$1:$E$1000,2,FALSE),"")</f>
        <v>Jack TILLEY</v>
      </c>
      <c r="G72" s="64" t="str">
        <f t="shared" ca="1" si="12"/>
        <v>C&amp;N</v>
      </c>
      <c r="H72" s="109">
        <f ca="1">IFERROR(INDIRECT(CONCATENATE("Distance!$H",C70+2)),"")</f>
        <v>19.510000000000002</v>
      </c>
      <c r="I72" s="147" t="str">
        <f ca="1">IFERROR(IF(OR(H72="",H72=0,H72&lt;A69),"",VLOOKUP(H72,A69:B77,2,TRUE)),9)</f>
        <v/>
      </c>
      <c r="J72" s="67"/>
      <c r="K72" s="104">
        <f ca="1">IFERROR(INDIRECT(CONCATENATE("Distance!$j",C70+2)),"")</f>
        <v>3</v>
      </c>
      <c r="L72" s="104" t="str">
        <f ca="1">IFERROR(INDIRECT(CONCATENATE("Distance!$k",C70+2)),"")</f>
        <v/>
      </c>
      <c r="M72" s="286" t="str">
        <f ca="1">IFERROR(VLOOKUP($C68&amp;L72,downloads!$A$1:$E$1000,2,FALSE),"")</f>
        <v/>
      </c>
      <c r="N72" s="64" t="str">
        <f t="shared" ca="1" si="13"/>
        <v/>
      </c>
      <c r="O72" s="109" t="str">
        <f ca="1">IFERROR(INDIRECT(CONCATENATE("Distance!$T",C70+2)),"")</f>
        <v/>
      </c>
      <c r="P72" s="147" t="str">
        <f ca="1">IFERROR(IF(OR(O72="",O72=0,O72&lt;A69),"",VLOOKUP(O72,A69:B77,2,TRUE)),9)</f>
        <v/>
      </c>
      <c r="R72" s="66">
        <f ca="1">IFERROR(IF(OR(E72=0,E72="",H72=0,H72="",H72="X"),0,VLOOKUP(D72,INDIRECT(MatchDay!$W$2),2,FALSE)),"")</f>
        <v>7</v>
      </c>
      <c r="S72" s="66">
        <f ca="1">IFERROR(IF(OR(L72=0,L72="",O72=0,O72="",O72="X"),0,VLOOKUP(K72,INDIRECT(MatchDay!$W$2),3,FALSE)),"")</f>
        <v>0</v>
      </c>
    </row>
    <row r="73" spans="1:21" x14ac:dyDescent="0.35">
      <c r="A73" s="105">
        <f>IFERROR(VLOOKUP(C68,standards,7,FALSE),"-")</f>
        <v>32</v>
      </c>
      <c r="B73" s="419">
        <v>5</v>
      </c>
      <c r="C73" s="105"/>
      <c r="D73" s="104">
        <f ca="1">IFERROR(INDIRECT(CONCATENATE("Distance!$d",C70+3)),"")</f>
        <v>4</v>
      </c>
      <c r="E73" s="104">
        <f ca="1">IFERROR(INDIRECT(CONCATENATE("Distance!$E",C70+3)),"")</f>
        <v>6</v>
      </c>
      <c r="F73" s="286" t="str">
        <f ca="1">IFERROR(VLOOKUP($C68&amp;E73,downloads!$A$1:$E$1000,2,FALSE),"")</f>
        <v>Jacob HARWOOD-BRETNALL</v>
      </c>
      <c r="G73" s="64" t="str">
        <f t="shared" ca="1" si="12"/>
        <v>Stock</v>
      </c>
      <c r="H73" s="109">
        <f ca="1">IFERROR(INDIRECT(CONCATENATE("Distance!$H",C70+3)),"")</f>
        <v>17.87</v>
      </c>
      <c r="I73" s="147" t="str">
        <f ca="1">IFERROR(IF(OR(H73="",H73=0,H73&lt;A69),"",VLOOKUP(H73,A69:B77,2,TRUE)),9)</f>
        <v/>
      </c>
      <c r="J73" s="67"/>
      <c r="K73" s="104">
        <f ca="1">IFERROR(INDIRECT(CONCATENATE("Distance!$j",C70+3)),"")</f>
        <v>4</v>
      </c>
      <c r="L73" s="104" t="str">
        <f ca="1">IFERROR(INDIRECT(CONCATENATE("Distance!$k",C70+3)),"")</f>
        <v/>
      </c>
      <c r="M73" s="286" t="str">
        <f ca="1">IFERROR(VLOOKUP($C68&amp;L73,downloads!$A$1:$E$1000,2,FALSE),"")</f>
        <v/>
      </c>
      <c r="N73" s="64" t="str">
        <f t="shared" ca="1" si="13"/>
        <v/>
      </c>
      <c r="O73" s="109" t="str">
        <f ca="1">IFERROR(INDIRECT(CONCATENATE("Distance!$T",C70+3)),"")</f>
        <v/>
      </c>
      <c r="P73" s="147" t="str">
        <f ca="1">IFERROR(IF(OR(O73="",O73=0,O73&lt;A69),"",VLOOKUP(O73,A69:B77,2,TRUE)),9)</f>
        <v/>
      </c>
      <c r="R73" s="66">
        <f ca="1">IFERROR(IF(OR(E73=0,E73="",H73=0,H73="",H73="X"),0,VLOOKUP(D73,INDIRECT(MatchDay!$W$2),2,FALSE)),"")</f>
        <v>6</v>
      </c>
      <c r="S73" s="66">
        <f ca="1">IFERROR(IF(OR(L73=0,L73="",O73=0,O73="",O73="X"),0,VLOOKUP(K73,INDIRECT(MatchDay!$W$2),3,FALSE)),"")</f>
        <v>0</v>
      </c>
    </row>
    <row r="74" spans="1:21" x14ac:dyDescent="0.35">
      <c r="A74" s="105">
        <f>IFERROR(VLOOKUP(C68,standards,8,FALSE),"-")</f>
        <v>35</v>
      </c>
      <c r="B74" s="419">
        <v>6</v>
      </c>
      <c r="C74" s="105"/>
      <c r="D74" s="104">
        <f ca="1">IFERROR(INDIRECT(CONCATENATE("Distance!$d",C70+4)),"")</f>
        <v>5</v>
      </c>
      <c r="E74" s="104">
        <f ca="1">IFERROR(INDIRECT(CONCATENATE("Distance!$E",C70+4)),"")</f>
        <v>2</v>
      </c>
      <c r="F74" s="286" t="str">
        <f ca="1">IFERROR(VLOOKUP($C68&amp;E74,downloads!$A$1:$E$1000,2,FALSE),"")</f>
        <v>Sebastian STEWART</v>
      </c>
      <c r="G74" s="64" t="str">
        <f t="shared" ca="1" si="12"/>
        <v>ECHT</v>
      </c>
      <c r="H74" s="109">
        <f ca="1">IFERROR(INDIRECT(CONCATENATE("Distance!$H",C70+4)),"")</f>
        <v>14.47</v>
      </c>
      <c r="I74" s="147" t="str">
        <f ca="1">IFERROR(IF(OR(H74="",H74=0,H74&lt;A69),"",VLOOKUP(H74,A69:B77,2,TRUE)),9)</f>
        <v/>
      </c>
      <c r="J74" s="67"/>
      <c r="K74" s="104">
        <f ca="1">IFERROR(INDIRECT(CONCATENATE("Distance!$j",C70+4)),"")</f>
        <v>5</v>
      </c>
      <c r="L74" s="104" t="str">
        <f ca="1">IFERROR(INDIRECT(CONCATENATE("Distance!$k",C70+4)),"")</f>
        <v/>
      </c>
      <c r="M74" s="286" t="str">
        <f ca="1">IFERROR(VLOOKUP($C68&amp;L74,downloads!$A$1:$E$1000,2,FALSE),"")</f>
        <v/>
      </c>
      <c r="N74" s="64" t="str">
        <f t="shared" ca="1" si="13"/>
        <v/>
      </c>
      <c r="O74" s="109" t="str">
        <f ca="1">IFERROR(INDIRECT(CONCATENATE("Distance!$T",C70+4)),"")</f>
        <v/>
      </c>
      <c r="P74" s="147" t="str">
        <f ca="1">IFERROR(IF(OR(O74="",O74=0,O74&lt;A69),"",VLOOKUP(O74,A69:B77,2,TRUE)),9)</f>
        <v/>
      </c>
      <c r="R74" s="66">
        <f ca="1">IFERROR(IF(OR(E74=0,E74="",H74=0,H74="",H74="X"),0,VLOOKUP(D74,INDIRECT(MatchDay!$W$2),2,FALSE)),"")</f>
        <v>5</v>
      </c>
      <c r="S74" s="66">
        <f ca="1">IFERROR(IF(OR(L74=0,L74="",O74=0,O74="",O74="X"),0,VLOOKUP(K74,INDIRECT(MatchDay!$W$2),3,FALSE)),"")</f>
        <v>0</v>
      </c>
    </row>
    <row r="75" spans="1:21" x14ac:dyDescent="0.35">
      <c r="A75" s="105">
        <f>IFERROR(VLOOKUP(C68,standards,9,FALSE),"-")</f>
        <v>38</v>
      </c>
      <c r="B75" s="419">
        <v>7</v>
      </c>
      <c r="C75" s="105"/>
      <c r="D75" s="104">
        <f ca="1">IFERROR(INDIRECT(CONCATENATE("Distance!$d",C70+5)),"")</f>
        <v>6</v>
      </c>
      <c r="E75" s="104">
        <f ca="1">IFERROR(INDIRECT(CONCATENATE("Distance!$E",C70+5)),"")</f>
        <v>5</v>
      </c>
      <c r="F75" s="286" t="str">
        <f ca="1">IFERROR(VLOOKUP($C68&amp;E75,downloads!$A$1:$E$1000,2,FALSE),"")</f>
        <v>Alex BAYNHAM</v>
      </c>
      <c r="G75" s="64" t="str">
        <f t="shared" ca="1" si="12"/>
        <v>Menai</v>
      </c>
      <c r="H75" s="109">
        <f ca="1">IFERROR(INDIRECT(CONCATENATE("Distance!$H",C70+5)),"")</f>
        <v>7.28</v>
      </c>
      <c r="I75" s="147" t="str">
        <f ca="1">IFERROR(IF(OR(H75="",H75=0,H75&lt;A69),"",VLOOKUP(H75,A69:B77,2,TRUE)),9)</f>
        <v/>
      </c>
      <c r="J75" s="67"/>
      <c r="K75" s="104">
        <f ca="1">IFERROR(INDIRECT(CONCATENATE("Distance!$j",C70+5)),"")</f>
        <v>6</v>
      </c>
      <c r="L75" s="104" t="str">
        <f ca="1">IFERROR(INDIRECT(CONCATENATE("Distance!$k",C70+5)),"")</f>
        <v/>
      </c>
      <c r="M75" s="286" t="str">
        <f ca="1">IFERROR(VLOOKUP($C68&amp;L75,downloads!$A$1:$E$1000,2,FALSE),"")</f>
        <v/>
      </c>
      <c r="N75" s="64" t="str">
        <f t="shared" ca="1" si="13"/>
        <v/>
      </c>
      <c r="O75" s="109" t="str">
        <f ca="1">IFERROR(INDIRECT(CONCATENATE("Distance!$T",C70+5)),"")</f>
        <v/>
      </c>
      <c r="P75" s="147" t="str">
        <f ca="1">IFERROR(IF(OR(O75="",O75=0,O75&lt;A69),"",VLOOKUP(O75,A69:B77,2,TRUE)),9)</f>
        <v/>
      </c>
      <c r="R75" s="66">
        <f ca="1">IFERROR(IF(OR(E75=0,E75="",H75=0,H75="",H75="X"),0,VLOOKUP(D75,INDIRECT(MatchDay!$W$2),2,FALSE)),"")</f>
        <v>4</v>
      </c>
      <c r="S75" s="66">
        <f ca="1">IFERROR(IF(OR(L75=0,L75="",O75=0,O75="",O75="X"),0,VLOOKUP(K75,INDIRECT(MatchDay!$W$2),3,FALSE)),"")</f>
        <v>0</v>
      </c>
    </row>
    <row r="76" spans="1:21" x14ac:dyDescent="0.35">
      <c r="A76" s="105">
        <f>IFERROR(VLOOKUP(C68,standards,10,FALSE),"-")</f>
        <v>41</v>
      </c>
      <c r="B76" s="419">
        <v>8</v>
      </c>
      <c r="C76" s="103" t="s">
        <v>151</v>
      </c>
      <c r="D76" s="104">
        <f ca="1">IFERROR(INDIRECT(CONCATENATE("Distance!$d",C70+6)),"")</f>
        <v>7</v>
      </c>
      <c r="E76" s="104">
        <f ca="1">IFERROR(INDIRECT(CONCATENATE("Distance!$E",C70+6)),"")</f>
        <v>7</v>
      </c>
      <c r="F76" s="286" t="str">
        <f ca="1">IFERROR(VLOOKUP($C68&amp;E76,downloads!$A$1:$E$1000,2,FALSE),"")</f>
        <v>Joshua BOURNE</v>
      </c>
      <c r="G76" s="64" t="str">
        <f t="shared" ca="1" si="12"/>
        <v>Wigan</v>
      </c>
      <c r="H76" s="109" t="str">
        <f ca="1">IFERROR(INDIRECT(CONCATENATE("Distance!$H",C70+6)),"")</f>
        <v>X</v>
      </c>
      <c r="I76" s="147">
        <f ca="1">IFERROR(IF(OR(H76="",H76=0,H76&lt;A69),"",VLOOKUP(H76,A69:B77,2,TRUE)),9)</f>
        <v>9</v>
      </c>
      <c r="J76" s="67"/>
      <c r="K76" s="104">
        <f ca="1">IFERROR(INDIRECT(CONCATENATE("Distance!$j",C70+6)),"")</f>
        <v>7</v>
      </c>
      <c r="L76" s="104" t="str">
        <f ca="1">IFERROR(INDIRECT(CONCATENATE("Distance!$k",C70+6)),"")</f>
        <v/>
      </c>
      <c r="M76" s="286" t="str">
        <f ca="1">IFERROR(VLOOKUP($C68&amp;L76,downloads!$A$1:$E$1000,2,FALSE),"")</f>
        <v/>
      </c>
      <c r="N76" s="64" t="str">
        <f t="shared" ca="1" si="13"/>
        <v/>
      </c>
      <c r="O76" s="109" t="str">
        <f ca="1">IFERROR(INDIRECT(CONCATENATE("Distance!$T",C70+6)),"")</f>
        <v/>
      </c>
      <c r="P76" s="147" t="str">
        <f ca="1">IFERROR(IF(OR(O76="",O76=0,O76&lt;A69),"",VLOOKUP(O76,A69:B77,2,TRUE)),9)</f>
        <v/>
      </c>
      <c r="R76" s="66">
        <f ca="1">IFERROR(IF(OR(E76=0,E76="",H76=0,H76="",H76="X"),0,VLOOKUP(D76,INDIRECT(MatchDay!$W$2),2,FALSE)),"")</f>
        <v>0</v>
      </c>
      <c r="S76" s="66">
        <f ca="1">IFERROR(IF(OR(L76=0,L76="",O76=0,O76="",O76="X"),0,VLOOKUP(K76,INDIRECT(MatchDay!$W$2),3,FALSE)),"")</f>
        <v>0</v>
      </c>
    </row>
    <row r="77" spans="1:21" x14ac:dyDescent="0.35">
      <c r="A77" s="105">
        <f>IFERROR(VLOOKUP(C68,standards,11,FALSE),"-")</f>
        <v>44</v>
      </c>
      <c r="B77" s="419">
        <v>9</v>
      </c>
      <c r="C77" s="103">
        <f>IFERROR(VLOOKUP(C68,records,5,FALSE),"")</f>
        <v>61.4</v>
      </c>
      <c r="D77" s="104">
        <f ca="1">IFERROR(INDIRECT(CONCATENATE("Distance!$d",C70+7)),"")</f>
        <v>8</v>
      </c>
      <c r="E77" s="104" t="str">
        <f ca="1">IFERROR(INDIRECT(CONCATENATE("Distance!$E",C70+7)),"")</f>
        <v/>
      </c>
      <c r="F77" s="286" t="str">
        <f ca="1">IFERROR(VLOOKUP($C68&amp;E77,downloads!$A$1:$E$1000,2,FALSE),"")</f>
        <v/>
      </c>
      <c r="G77" s="64" t="str">
        <f t="shared" ca="1" si="12"/>
        <v/>
      </c>
      <c r="H77" s="109" t="str">
        <f ca="1">IFERROR(INDIRECT(CONCATENATE("Distance!$H",C70+7)),"")</f>
        <v/>
      </c>
      <c r="I77" s="147" t="str">
        <f ca="1">IFERROR(IF(OR(H77="",H77=0,H77&lt;A69),"",VLOOKUP(H77,A69:B77,2,TRUE)),9)</f>
        <v/>
      </c>
      <c r="J77" s="67"/>
      <c r="K77" s="104">
        <f ca="1">IFERROR(INDIRECT(CONCATENATE("Distance!$j",C70+7)),"")</f>
        <v>8</v>
      </c>
      <c r="L77" s="104" t="str">
        <f ca="1">IFERROR(INDIRECT(CONCATENATE("Distance!$k",C70+7)),"")</f>
        <v/>
      </c>
      <c r="M77" s="286" t="str">
        <f ca="1">IFERROR(VLOOKUP($C68&amp;L77,downloads!$A$1:$E$1000,2,FALSE),"")</f>
        <v/>
      </c>
      <c r="N77" s="64" t="str">
        <f t="shared" ca="1" si="13"/>
        <v/>
      </c>
      <c r="O77" s="109" t="str">
        <f ca="1">IFERROR(INDIRECT(CONCATENATE("Distance!$T",C70+7)),"")</f>
        <v/>
      </c>
      <c r="P77" s="147" t="str">
        <f ca="1">IFERROR(IF(OR(O77="",O77=0,O77&lt;A69),"",VLOOKUP(O77,A69:B77,2,TRUE)),9)</f>
        <v/>
      </c>
      <c r="R77" s="66">
        <f ca="1">IFERROR(IF(OR(E77=0,E77="",H77=0,H77="",H77="X"),0,VLOOKUP(D77,INDIRECT(MatchDay!$W$2),2,FALSE)),"")</f>
        <v>0</v>
      </c>
      <c r="S77" s="66">
        <f ca="1">IFERROR(IF(OR(L77=0,L77="",O77=0,O77="",O77="X"),0,VLOOKUP(K77,INDIRECT(MatchDay!$W$2),3,FALSE)),"")</f>
        <v>0</v>
      </c>
    </row>
    <row r="79" spans="1:21" x14ac:dyDescent="0.35">
      <c r="C79" s="98" t="s">
        <v>191</v>
      </c>
      <c r="D79" s="99" t="str">
        <f>IFERROR(VLOOKUP(C79,timetables,2,FALSE)&amp;" "&amp;VLOOKUP(C79,timetables,3,FALSE)&amp;" A","")</f>
        <v>Javelin U15 Girls A</v>
      </c>
      <c r="E79" s="99"/>
      <c r="H79" s="108" t="str">
        <f ca="1">IFERROR(IF(OR(H81=0,H81="",H81="X"),"",IF(H81&gt;C88,"REC",IF(H81=C88,"=Rec",""))),"")</f>
        <v/>
      </c>
      <c r="I79" s="147" t="str">
        <f ca="1">IFERROR(IF(OR(H81=0,H81="",H81="X"),"",IF(H81&gt;C88,"REC",IF(H81=C88,"=Rec",""))),"")</f>
        <v/>
      </c>
      <c r="K79" s="101" t="str">
        <f>IFERROR(VLOOKUP(C79,timetables,2,FALSE)&amp;" "&amp;VLOOKUP(C79,timetables,3,FALSE)&amp;" B","")</f>
        <v>Javelin U15 Girls B</v>
      </c>
      <c r="L79" s="102"/>
      <c r="R79" s="66" t="s">
        <v>53</v>
      </c>
      <c r="S79" s="66" t="s">
        <v>54</v>
      </c>
    </row>
    <row r="80" spans="1:21" x14ac:dyDescent="0.35">
      <c r="A80" s="105">
        <f>IFERROR(VLOOKUP(C79,standards,3,FALSE),"-")</f>
        <v>16.5</v>
      </c>
      <c r="B80" s="419">
        <v>1</v>
      </c>
      <c r="C80" s="79"/>
      <c r="D80" s="45" t="s">
        <v>177</v>
      </c>
      <c r="E80" s="45" t="s">
        <v>118</v>
      </c>
      <c r="F80" s="47" t="s">
        <v>174</v>
      </c>
      <c r="G80" s="47" t="s">
        <v>175</v>
      </c>
      <c r="H80" s="45" t="s">
        <v>176</v>
      </c>
      <c r="I80" s="148" t="s">
        <v>1003</v>
      </c>
      <c r="J80" s="47"/>
      <c r="K80" s="45" t="s">
        <v>177</v>
      </c>
      <c r="L80" s="45" t="s">
        <v>118</v>
      </c>
      <c r="M80" s="47" t="s">
        <v>174</v>
      </c>
      <c r="N80" s="47" t="s">
        <v>175</v>
      </c>
      <c r="O80" s="45" t="s">
        <v>176</v>
      </c>
      <c r="P80" s="148" t="s">
        <v>1003</v>
      </c>
    </row>
    <row r="81" spans="1:21" x14ac:dyDescent="0.35">
      <c r="A81" s="105">
        <f>IFERROR(VLOOKUP(C79,standards,4,FALSE),"-")</f>
        <v>19</v>
      </c>
      <c r="B81" s="419">
        <v>2</v>
      </c>
      <c r="C81" s="66">
        <f>IFERROR(VLOOKUP(C79,Distance!A:B,2,FALSE),"")</f>
        <v>251</v>
      </c>
      <c r="D81" s="104">
        <f ca="1">IFERROR(INDIRECT(CONCATENATE("Distance!$d",C81)),"")</f>
        <v>1</v>
      </c>
      <c r="E81" s="104">
        <f ca="1">IFERROR(INDIRECT(CONCATENATE("Distance!$E",C81)),"")</f>
        <v>6</v>
      </c>
      <c r="F81" s="286" t="str">
        <f ca="1">IFERROR(VLOOKUP($C79&amp;E81,downloads!$A$1:$E$1000,2,FALSE),"")</f>
        <v>Molly MILLS</v>
      </c>
      <c r="G81" s="64" t="str">
        <f t="shared" ref="G81:G88" ca="1" si="14">IFERROR(VLOOKUP(E81,teamlookup,5,FALSE),"")</f>
        <v>Stock</v>
      </c>
      <c r="H81" s="109">
        <f ca="1">IFERROR(INDIRECT(CONCATENATE("Distance!$H",C81)),"")</f>
        <v>30.06</v>
      </c>
      <c r="I81" s="147">
        <f ca="1">IFERROR(IF(OR(H81="",H81=0,H81&lt;A80),"",VLOOKUP(H81,A80:B88,2,TRUE)),9)</f>
        <v>6</v>
      </c>
      <c r="J81" s="67"/>
      <c r="K81" s="104">
        <f ca="1">IFERROR(INDIRECT(CONCATENATE("Distance!$j",C81)),"")</f>
        <v>1</v>
      </c>
      <c r="L81" s="104">
        <f ca="1">IFERROR(INDIRECT(CONCATENATE("Distance!$k",C81)),"")</f>
        <v>1</v>
      </c>
      <c r="M81" s="286" t="str">
        <f ca="1">IFERROR(VLOOKUP($C79&amp;L81,downloads!$A$1:$E$1000,2,FALSE),"")</f>
        <v>Elisha CARTER</v>
      </c>
      <c r="N81" s="64" t="str">
        <f t="shared" ref="N81:N88" ca="1" si="15">IFERROR(VLOOKUP(L81,teamlookup,5,FALSE),"")</f>
        <v>C&amp;N</v>
      </c>
      <c r="O81" s="109">
        <f ca="1">IFERROR(INDIRECT(CONCATENATE("Distance!$T",C81)),"")</f>
        <v>19.98</v>
      </c>
      <c r="P81" s="147">
        <f ca="1">IFERROR(IF(OR(O81="",O81=0,O81&lt;A80),"",VLOOKUP(O81,A80:B88,2,TRUE)),9)</f>
        <v>2</v>
      </c>
      <c r="R81" s="66">
        <f ca="1">IFERROR(IF(OR(E81=0,E81="",H81=0,H81="",H81="X"),0,VLOOKUP(D81,INDIRECT(MatchDay!$W$2),2,FALSE)),"")</f>
        <v>10</v>
      </c>
      <c r="S81" s="66">
        <f ca="1">IFERROR(IF(OR(L81=0,L81="",O81=0,O81="",O81="X"),0,VLOOKUP(K81,INDIRECT(MatchDay!$W$2),3,FALSE)),"")</f>
        <v>8</v>
      </c>
      <c r="T81" s="168">
        <f ca="1">COUNTIF(E81,"&gt;0")</f>
        <v>1</v>
      </c>
      <c r="U81" s="66">
        <f ca="1">IFERROR(IF(E81&gt;88,1,0),0)</f>
        <v>0</v>
      </c>
    </row>
    <row r="82" spans="1:21" x14ac:dyDescent="0.35">
      <c r="A82" s="105">
        <f>IFERROR(VLOOKUP(C79,standards,5,FALSE),"-")</f>
        <v>21.5</v>
      </c>
      <c r="B82" s="419">
        <v>3</v>
      </c>
      <c r="C82" s="103"/>
      <c r="D82" s="104">
        <f ca="1">IFERROR(INDIRECT(CONCATENATE("Distance!$d",C81+1)),"")</f>
        <v>2</v>
      </c>
      <c r="E82" s="104">
        <f ca="1">IFERROR(INDIRECT(CONCATENATE("Distance!$E",C81+1)),"")</f>
        <v>11</v>
      </c>
      <c r="F82" s="286" t="str">
        <f ca="1">IFERROR(VLOOKUP($C79&amp;E82,downloads!$A$1:$E$1000,2,FALSE),"")</f>
        <v>Lucy HARDING</v>
      </c>
      <c r="G82" s="64" t="str">
        <f t="shared" ca="1" si="14"/>
        <v>C&amp;N</v>
      </c>
      <c r="H82" s="109">
        <f ca="1">IFERROR(INDIRECT(CONCATENATE("Distance!$H",C81+1)),"")</f>
        <v>21.79</v>
      </c>
      <c r="I82" s="147">
        <f ca="1">IFERROR(IF(OR(H82="",H82=0,H82&lt;A80),"",VLOOKUP(H82,A80:B88,2,TRUE)),9)</f>
        <v>3</v>
      </c>
      <c r="J82" s="67"/>
      <c r="K82" s="104">
        <f ca="1">IFERROR(INDIRECT(CONCATENATE("Distance!$j",C81+1)),"")</f>
        <v>2</v>
      </c>
      <c r="L82" s="104">
        <f ca="1">IFERROR(INDIRECT(CONCATENATE("Distance!$k",C81+1)),"")</f>
        <v>22</v>
      </c>
      <c r="M82" s="286" t="str">
        <f ca="1">IFERROR(VLOOKUP($C79&amp;L82,downloads!$A$1:$E$1000,2,FALSE),"")</f>
        <v>Sophia GUSH</v>
      </c>
      <c r="N82" s="64" t="str">
        <f t="shared" ca="1" si="15"/>
        <v>ECHT</v>
      </c>
      <c r="O82" s="109">
        <f ca="1">IFERROR(INDIRECT(CONCATENATE("Distance!$T",C81+1)),"")</f>
        <v>13.25</v>
      </c>
      <c r="P82" s="147" t="str">
        <f ca="1">IFERROR(IF(OR(O82="",O82=0,O82&lt;A80),"",VLOOKUP(O82,A80:B88,2,TRUE)),9)</f>
        <v/>
      </c>
      <c r="R82" s="66">
        <f ca="1">IFERROR(IF(OR(E82=0,E82="",H82=0,H82="",H82="X"),0,VLOOKUP(D82,INDIRECT(MatchDay!$W$2),2,FALSE)),"")</f>
        <v>8</v>
      </c>
      <c r="S82" s="66">
        <f ca="1">IFERROR(IF(OR(L82=0,L82="",O82=0,O82="",O82="X"),0,VLOOKUP(K82,INDIRECT(MatchDay!$W$2),3,FALSE)),"")</f>
        <v>6</v>
      </c>
    </row>
    <row r="83" spans="1:21" x14ac:dyDescent="0.35">
      <c r="A83" s="105">
        <f>IFERROR(VLOOKUP(C79,standards,6,FALSE),"-")</f>
        <v>24</v>
      </c>
      <c r="B83" s="419">
        <v>4</v>
      </c>
      <c r="C83" s="105"/>
      <c r="D83" s="104">
        <f ca="1">IFERROR(INDIRECT(CONCATENATE("Distance!$d",C81+2)),"")</f>
        <v>3</v>
      </c>
      <c r="E83" s="104">
        <f ca="1">IFERROR(INDIRECT(CONCATENATE("Distance!$E",C81+2)),"")</f>
        <v>2</v>
      </c>
      <c r="F83" s="286" t="str">
        <f ca="1">IFERROR(VLOOKUP($C79&amp;E83,downloads!$A$1:$E$1000,2,FALSE),"")</f>
        <v>Anna ROOKE</v>
      </c>
      <c r="G83" s="64" t="str">
        <f t="shared" ca="1" si="14"/>
        <v>ECHT</v>
      </c>
      <c r="H83" s="109">
        <f ca="1">IFERROR(INDIRECT(CONCATENATE("Distance!$H",C81+2)),"")</f>
        <v>15.6</v>
      </c>
      <c r="I83" s="147" t="str">
        <f ca="1">IFERROR(IF(OR(H83="",H83=0,H83&lt;A80),"",VLOOKUP(H83,A80:B88,2,TRUE)),9)</f>
        <v/>
      </c>
      <c r="J83" s="67"/>
      <c r="K83" s="104">
        <f ca="1">IFERROR(INDIRECT(CONCATENATE("Distance!$j",C81+2)),"")</f>
        <v>3</v>
      </c>
      <c r="L83" s="104">
        <f ca="1">IFERROR(INDIRECT(CONCATENATE("Distance!$k",C81+2)),"")</f>
        <v>55</v>
      </c>
      <c r="M83" s="286" t="str">
        <f ca="1">IFERROR(VLOOKUP($C79&amp;L83,downloads!$A$1:$E$1000,2,FALSE),"")</f>
        <v>Elliw MOSS</v>
      </c>
      <c r="N83" s="64" t="str">
        <f t="shared" ca="1" si="15"/>
        <v>Menai</v>
      </c>
      <c r="O83" s="109">
        <f ca="1">IFERROR(INDIRECT(CONCATENATE("Distance!$T",C81+2)),"")</f>
        <v>9.5500000000000007</v>
      </c>
      <c r="P83" s="147" t="str">
        <f ca="1">IFERROR(IF(OR(O83="",O83=0,O83&lt;A80),"",VLOOKUP(O83,A80:B88,2,TRUE)),9)</f>
        <v/>
      </c>
      <c r="R83" s="66">
        <f ca="1">IFERROR(IF(OR(E83=0,E83="",H83=0,H83="",H83="X"),0,VLOOKUP(D83,INDIRECT(MatchDay!$W$2),2,FALSE)),"")</f>
        <v>7</v>
      </c>
      <c r="S83" s="66">
        <f ca="1">IFERROR(IF(OR(L83=0,L83="",O83=0,O83="",O83="X"),0,VLOOKUP(K83,INDIRECT(MatchDay!$W$2),3,FALSE)),"")</f>
        <v>5</v>
      </c>
    </row>
    <row r="84" spans="1:21" x14ac:dyDescent="0.35">
      <c r="A84" s="105">
        <f>IFERROR(VLOOKUP(C79,standards,7,FALSE),"-")</f>
        <v>26.5</v>
      </c>
      <c r="B84" s="419">
        <v>5</v>
      </c>
      <c r="C84" s="105"/>
      <c r="D84" s="104">
        <f ca="1">IFERROR(INDIRECT(CONCATENATE("Distance!$d",C81+3)),"")</f>
        <v>4</v>
      </c>
      <c r="E84" s="104">
        <f ca="1">IFERROR(INDIRECT(CONCATENATE("Distance!$E",C81+3)),"")</f>
        <v>5</v>
      </c>
      <c r="F84" s="286" t="str">
        <f ca="1">IFERROR(VLOOKUP($C79&amp;E84,downloads!$A$1:$E$1000,2,FALSE),"")</f>
        <v>Erin JACOBS</v>
      </c>
      <c r="G84" s="64" t="str">
        <f t="shared" ca="1" si="14"/>
        <v>Menai</v>
      </c>
      <c r="H84" s="109">
        <f ca="1">IFERROR(INDIRECT(CONCATENATE("Distance!$H",C81+3)),"")</f>
        <v>13.77</v>
      </c>
      <c r="I84" s="147" t="str">
        <f ca="1">IFERROR(IF(OR(H84="",H84=0,H84&lt;A80),"",VLOOKUP(H84,A80:B88,2,TRUE)),9)</f>
        <v/>
      </c>
      <c r="J84" s="67"/>
      <c r="K84" s="104">
        <f ca="1">IFERROR(INDIRECT(CONCATENATE("Distance!$j",C81+3)),"")</f>
        <v>4</v>
      </c>
      <c r="L84" s="104">
        <f ca="1">IFERROR(INDIRECT(CONCATENATE("Distance!$k",C81+3)),"")</f>
        <v>7</v>
      </c>
      <c r="M84" s="286" t="str">
        <f ca="1">IFERROR(VLOOKUP($C79&amp;L84,downloads!$A$1:$E$1000,2,FALSE),"")</f>
        <v>Niamh JOHNSON</v>
      </c>
      <c r="N84" s="64" t="str">
        <f t="shared" ca="1" si="15"/>
        <v>Wigan</v>
      </c>
      <c r="O84" s="109" t="str">
        <f ca="1">IFERROR(INDIRECT(CONCATENATE("Distance!$T",C81+3)),"")</f>
        <v>X</v>
      </c>
      <c r="P84" s="147">
        <f ca="1">IFERROR(IF(OR(O84="",O84=0,O84&lt;A80),"",VLOOKUP(O84,A80:B88,2,TRUE)),9)</f>
        <v>9</v>
      </c>
      <c r="R84" s="66">
        <f ca="1">IFERROR(IF(OR(E84=0,E84="",H84=0,H84="",H84="X"),0,VLOOKUP(D84,INDIRECT(MatchDay!$W$2),2,FALSE)),"")</f>
        <v>6</v>
      </c>
      <c r="S84" s="66">
        <f ca="1">IFERROR(IF(OR(L84=0,L84="",O84=0,O84="",O84="X"),0,VLOOKUP(K84,INDIRECT(MatchDay!$W$2),3,FALSE)),"")</f>
        <v>0</v>
      </c>
    </row>
    <row r="85" spans="1:21" x14ac:dyDescent="0.35">
      <c r="A85" s="105">
        <f>IFERROR(VLOOKUP(C79,standards,8,FALSE),"-")</f>
        <v>29</v>
      </c>
      <c r="B85" s="419">
        <v>6</v>
      </c>
      <c r="C85" s="105"/>
      <c r="D85" s="104">
        <f ca="1">IFERROR(INDIRECT(CONCATENATE("Distance!$d",C81+4)),"")</f>
        <v>5</v>
      </c>
      <c r="E85" s="104">
        <f ca="1">IFERROR(INDIRECT(CONCATENATE("Distance!$E",C81+4)),"")</f>
        <v>77</v>
      </c>
      <c r="F85" s="286" t="str">
        <f ca="1">IFERROR(VLOOKUP($C79&amp;E85,downloads!$A$1:$E$1000,2,FALSE),"")</f>
        <v>Esme HARRIS</v>
      </c>
      <c r="G85" s="64" t="str">
        <f t="shared" ca="1" si="14"/>
        <v>Wigan</v>
      </c>
      <c r="H85" s="109">
        <f ca="1">IFERROR(INDIRECT(CONCATENATE("Distance!$H",C81+4)),"")</f>
        <v>11.61</v>
      </c>
      <c r="I85" s="147" t="str">
        <f ca="1">IFERROR(IF(OR(H85="",H85=0,H85&lt;A80),"",VLOOKUP(H85,A80:B88,2,TRUE)),9)</f>
        <v/>
      </c>
      <c r="J85" s="67"/>
      <c r="K85" s="104">
        <f ca="1">IFERROR(INDIRECT(CONCATENATE("Distance!$j",C81+4)),"")</f>
        <v>5</v>
      </c>
      <c r="L85" s="104" t="str">
        <f ca="1">IFERROR(INDIRECT(CONCATENATE("Distance!$k",C81+4)),"")</f>
        <v/>
      </c>
      <c r="M85" s="286" t="str">
        <f ca="1">IFERROR(VLOOKUP($C79&amp;L85,downloads!$A$1:$E$1000,2,FALSE),"")</f>
        <v/>
      </c>
      <c r="N85" s="64" t="str">
        <f t="shared" ca="1" si="15"/>
        <v/>
      </c>
      <c r="O85" s="109" t="str">
        <f ca="1">IFERROR(INDIRECT(CONCATENATE("Distance!$T",C81+4)),"")</f>
        <v/>
      </c>
      <c r="P85" s="147" t="str">
        <f ca="1">IFERROR(IF(OR(O85="",O85=0,O85&lt;A80),"",VLOOKUP(O85,A80:B88,2,TRUE)),9)</f>
        <v/>
      </c>
      <c r="R85" s="66">
        <f ca="1">IFERROR(IF(OR(E85=0,E85="",H85=0,H85="",H85="X"),0,VLOOKUP(D85,INDIRECT(MatchDay!$W$2),2,FALSE)),"")</f>
        <v>5</v>
      </c>
      <c r="S85" s="66">
        <f ca="1">IFERROR(IF(OR(L85=0,L85="",O85=0,O85="",O85="X"),0,VLOOKUP(K85,INDIRECT(MatchDay!$W$2),3,FALSE)),"")</f>
        <v>0</v>
      </c>
    </row>
    <row r="86" spans="1:21" x14ac:dyDescent="0.35">
      <c r="A86" s="105">
        <f>IFERROR(VLOOKUP(C79,standards,9,FALSE),"-")</f>
        <v>31.5</v>
      </c>
      <c r="B86" s="419">
        <v>7</v>
      </c>
      <c r="C86" s="105"/>
      <c r="D86" s="104">
        <f ca="1">IFERROR(INDIRECT(CONCATENATE("Distance!$d",C81+5)),"")</f>
        <v>6</v>
      </c>
      <c r="E86" s="104" t="str">
        <f ca="1">IFERROR(INDIRECT(CONCATENATE("Distance!$E",C81+5)),"")</f>
        <v/>
      </c>
      <c r="F86" s="286" t="str">
        <f ca="1">IFERROR(VLOOKUP($C79&amp;E86,downloads!$A$1:$E$1000,2,FALSE),"")</f>
        <v/>
      </c>
      <c r="G86" s="64" t="str">
        <f t="shared" ca="1" si="14"/>
        <v/>
      </c>
      <c r="H86" s="109" t="str">
        <f ca="1">IFERROR(INDIRECT(CONCATENATE("Distance!$H",C81+5)),"")</f>
        <v/>
      </c>
      <c r="I86" s="147" t="str">
        <f ca="1">IFERROR(IF(OR(H86="",H86=0,H86&lt;A80),"",VLOOKUP(H86,A80:B88,2,TRUE)),9)</f>
        <v/>
      </c>
      <c r="J86" s="67"/>
      <c r="K86" s="104">
        <f ca="1">IFERROR(INDIRECT(CONCATENATE("Distance!$j",C81+5)),"")</f>
        <v>6</v>
      </c>
      <c r="L86" s="104" t="str">
        <f ca="1">IFERROR(INDIRECT(CONCATENATE("Distance!$k",C81+5)),"")</f>
        <v/>
      </c>
      <c r="M86" s="286" t="str">
        <f ca="1">IFERROR(VLOOKUP($C79&amp;L86,downloads!$A$1:$E$1000,2,FALSE),"")</f>
        <v/>
      </c>
      <c r="N86" s="64" t="str">
        <f t="shared" ca="1" si="15"/>
        <v/>
      </c>
      <c r="O86" s="109" t="str">
        <f ca="1">IFERROR(INDIRECT(CONCATENATE("Distance!$T",C81+5)),"")</f>
        <v/>
      </c>
      <c r="P86" s="147" t="str">
        <f ca="1">IFERROR(IF(OR(O86="",O86=0,O86&lt;A80),"",VLOOKUP(O86,A80:B88,2,TRUE)),9)</f>
        <v/>
      </c>
      <c r="R86" s="66">
        <f ca="1">IFERROR(IF(OR(E86=0,E86="",H86=0,H86="",H86="X"),0,VLOOKUP(D86,INDIRECT(MatchDay!$W$2),2,FALSE)),"")</f>
        <v>0</v>
      </c>
      <c r="S86" s="66">
        <f ca="1">IFERROR(IF(OR(L86=0,L86="",O86=0,O86="",O86="X"),0,VLOOKUP(K86,INDIRECT(MatchDay!$W$2),3,FALSE)),"")</f>
        <v>0</v>
      </c>
    </row>
    <row r="87" spans="1:21" x14ac:dyDescent="0.35">
      <c r="A87" s="105">
        <f>IFERROR(VLOOKUP(C79,standards,10,FALSE),"-")</f>
        <v>34</v>
      </c>
      <c r="B87" s="419">
        <v>8</v>
      </c>
      <c r="C87" s="103" t="s">
        <v>151</v>
      </c>
      <c r="D87" s="104">
        <f ca="1">IFERROR(INDIRECT(CONCATENATE("Distance!$d",C81+6)),"")</f>
        <v>7</v>
      </c>
      <c r="E87" s="104" t="str">
        <f ca="1">IFERROR(INDIRECT(CONCATENATE("Distance!$E",C81+6)),"")</f>
        <v/>
      </c>
      <c r="F87" s="286" t="str">
        <f ca="1">IFERROR(VLOOKUP($C79&amp;E87,downloads!$A$1:$E$1000,2,FALSE),"")</f>
        <v/>
      </c>
      <c r="G87" s="64" t="str">
        <f t="shared" ca="1" si="14"/>
        <v/>
      </c>
      <c r="H87" s="109" t="str">
        <f ca="1">IFERROR(INDIRECT(CONCATENATE("Distance!$H",C81+6)),"")</f>
        <v/>
      </c>
      <c r="I87" s="147" t="str">
        <f ca="1">IFERROR(IF(OR(H87="",H87=0,H87&lt;A80),"",VLOOKUP(H87,A80:B88,2,TRUE)),9)</f>
        <v/>
      </c>
      <c r="J87" s="67"/>
      <c r="K87" s="104">
        <f ca="1">IFERROR(INDIRECT(CONCATENATE("Distance!$j",C81+6)),"")</f>
        <v>7</v>
      </c>
      <c r="L87" s="104" t="str">
        <f ca="1">IFERROR(INDIRECT(CONCATENATE("Distance!$k",C81+6)),"")</f>
        <v/>
      </c>
      <c r="M87" s="286" t="str">
        <f ca="1">IFERROR(VLOOKUP($C79&amp;L87,downloads!$A$1:$E$1000,2,FALSE),"")</f>
        <v/>
      </c>
      <c r="N87" s="64" t="str">
        <f t="shared" ca="1" si="15"/>
        <v/>
      </c>
      <c r="O87" s="109" t="str">
        <f ca="1">IFERROR(INDIRECT(CONCATENATE("Distance!$T",C81+6)),"")</f>
        <v/>
      </c>
      <c r="P87" s="147" t="str">
        <f ca="1">IFERROR(IF(OR(O87="",O87=0,O87&lt;A80),"",VLOOKUP(O87,A80:B88,2,TRUE)),9)</f>
        <v/>
      </c>
      <c r="R87" s="66">
        <f ca="1">IFERROR(IF(OR(E87=0,E87="",H87=0,H87="",H87="X"),0,VLOOKUP(D87,INDIRECT(MatchDay!$W$2),2,FALSE)),"")</f>
        <v>0</v>
      </c>
      <c r="S87" s="66">
        <f ca="1">IFERROR(IF(OR(L87=0,L87="",O87=0,O87="",O87="X"),0,VLOOKUP(K87,INDIRECT(MatchDay!$W$2),3,FALSE)),"")</f>
        <v>0</v>
      </c>
    </row>
    <row r="88" spans="1:21" x14ac:dyDescent="0.35">
      <c r="A88" s="105">
        <f>IFERROR(VLOOKUP(C79,standards,11,FALSE),"-")</f>
        <v>36.5</v>
      </c>
      <c r="B88" s="419">
        <v>9</v>
      </c>
      <c r="C88" s="103">
        <f>IFERROR(VLOOKUP(C79,records,5,FALSE),"")</f>
        <v>45.76</v>
      </c>
      <c r="D88" s="104">
        <f ca="1">IFERROR(INDIRECT(CONCATENATE("Distance!$d",C81+7)),"")</f>
        <v>8</v>
      </c>
      <c r="E88" s="104" t="str">
        <f ca="1">IFERROR(INDIRECT(CONCATENATE("Distance!$E",C81+7)),"")</f>
        <v/>
      </c>
      <c r="F88" s="286" t="str">
        <f ca="1">IFERROR(VLOOKUP($C79&amp;E88,downloads!$A$1:$E$1000,2,FALSE),"")</f>
        <v/>
      </c>
      <c r="G88" s="64" t="str">
        <f t="shared" ca="1" si="14"/>
        <v/>
      </c>
      <c r="H88" s="109" t="str">
        <f ca="1">IFERROR(INDIRECT(CONCATENATE("Distance!$H",C81+7)),"")</f>
        <v/>
      </c>
      <c r="I88" s="147" t="str">
        <f ca="1">IFERROR(IF(OR(H88="",H88=0,H88&lt;A80),"",VLOOKUP(H88,A80:B88,2,TRUE)),9)</f>
        <v/>
      </c>
      <c r="J88" s="67"/>
      <c r="K88" s="104">
        <f ca="1">IFERROR(INDIRECT(CONCATENATE("Distance!$j",C81+7)),"")</f>
        <v>8</v>
      </c>
      <c r="L88" s="104" t="str">
        <f ca="1">IFERROR(INDIRECT(CONCATENATE("Distance!$k",C81+7)),"")</f>
        <v/>
      </c>
      <c r="M88" s="286" t="str">
        <f ca="1">IFERROR(VLOOKUP($C79&amp;L88,downloads!$A$1:$E$1000,2,FALSE),"")</f>
        <v/>
      </c>
      <c r="N88" s="64" t="str">
        <f t="shared" ca="1" si="15"/>
        <v/>
      </c>
      <c r="O88" s="109" t="str">
        <f ca="1">IFERROR(INDIRECT(CONCATENATE("Distance!$T",C81+7)),"")</f>
        <v/>
      </c>
      <c r="P88" s="147" t="str">
        <f ca="1">IFERROR(IF(OR(O88="",O88=0,O88&lt;A80),"",VLOOKUP(O88,A80:B88,2,TRUE)),9)</f>
        <v/>
      </c>
      <c r="R88" s="66">
        <f ca="1">IFERROR(IF(OR(E88=0,E88="",H88=0,H88="",H88="X"),0,VLOOKUP(D88,INDIRECT(MatchDay!$W$2),2,FALSE)),"")</f>
        <v>0</v>
      </c>
      <c r="S88" s="66">
        <f ca="1">IFERROR(IF(OR(L88=0,L88="",O88=0,O88="",O88="X"),0,VLOOKUP(K88,INDIRECT(MatchDay!$W$2),3,FALSE)),"")</f>
        <v>0</v>
      </c>
    </row>
    <row r="90" spans="1:21" x14ac:dyDescent="0.35">
      <c r="C90" s="98" t="s">
        <v>192</v>
      </c>
      <c r="D90" s="99" t="str">
        <f>IFERROR(VLOOKUP(C90,timetables,2,FALSE)&amp;" "&amp;VLOOKUP(C90,timetables,3,FALSE)&amp;" A","")</f>
        <v>Shot U13 Boys A</v>
      </c>
      <c r="E90" s="99"/>
      <c r="H90" s="108" t="str">
        <f ca="1">IFERROR(IF(OR(H92=0,H92="",H92="X"),"",IF(H92&gt;C99,"REC",IF(H92=C99,"=Rec",""))),"")</f>
        <v/>
      </c>
      <c r="I90" s="147" t="str">
        <f ca="1">IFERROR(IF(OR(H92=0,H92="",H92="X"),"",IF(H92&gt;C99,"REC",IF(H92=C99,"=Rec",""))),"")</f>
        <v/>
      </c>
      <c r="K90" s="101" t="str">
        <f>IFERROR(VLOOKUP(C90,timetables,2,FALSE)&amp;" "&amp;VLOOKUP(C90,timetables,3,FALSE)&amp;" B","")</f>
        <v>Shot U13 Boys B</v>
      </c>
      <c r="L90" s="102"/>
      <c r="R90" s="66" t="s">
        <v>53</v>
      </c>
      <c r="S90" s="66" t="s">
        <v>54</v>
      </c>
    </row>
    <row r="91" spans="1:21" x14ac:dyDescent="0.35">
      <c r="A91" s="105">
        <f>IFERROR(VLOOKUP(C90,standards,3,FALSE),"-")</f>
        <v>6.2</v>
      </c>
      <c r="B91" s="419">
        <v>1</v>
      </c>
      <c r="C91" s="79"/>
      <c r="D91" s="45" t="s">
        <v>177</v>
      </c>
      <c r="E91" s="45" t="s">
        <v>118</v>
      </c>
      <c r="F91" s="47" t="s">
        <v>174</v>
      </c>
      <c r="G91" s="47" t="s">
        <v>175</v>
      </c>
      <c r="H91" s="45" t="s">
        <v>176</v>
      </c>
      <c r="I91" s="148" t="s">
        <v>1003</v>
      </c>
      <c r="J91" s="47"/>
      <c r="K91" s="45" t="s">
        <v>177</v>
      </c>
      <c r="L91" s="45" t="s">
        <v>118</v>
      </c>
      <c r="M91" s="47" t="s">
        <v>174</v>
      </c>
      <c r="N91" s="47" t="s">
        <v>175</v>
      </c>
      <c r="O91" s="45" t="s">
        <v>176</v>
      </c>
      <c r="P91" s="148" t="s">
        <v>1003</v>
      </c>
    </row>
    <row r="92" spans="1:21" x14ac:dyDescent="0.35">
      <c r="A92" s="105">
        <f>IFERROR(VLOOKUP(C90,standards,4,FALSE),"-")</f>
        <v>6.6</v>
      </c>
      <c r="B92" s="419">
        <v>2</v>
      </c>
      <c r="C92" s="66">
        <f>IFERROR(VLOOKUP(C90,Distance!A:B,2,FALSE),"")</f>
        <v>283</v>
      </c>
      <c r="D92" s="104">
        <f ca="1">IFERROR(INDIRECT(CONCATENATE("Distance!$d",C92)),"")</f>
        <v>1</v>
      </c>
      <c r="E92" s="104">
        <f ca="1">IFERROR(INDIRECT(CONCATENATE("Distance!$E",C92)),"")</f>
        <v>4</v>
      </c>
      <c r="F92" s="286" t="str">
        <f ca="1">IFERROR(VLOOKUP($C90&amp;E92,downloads!$A$1:$E$1000,2,FALSE),"")</f>
        <v>Samuel SAVAGE</v>
      </c>
      <c r="G92" s="64" t="str">
        <f t="shared" ref="G92:G99" ca="1" si="16">IFERROR(VLOOKUP(E92,teamlookup,5,FALSE),"")</f>
        <v>Macc</v>
      </c>
      <c r="H92" s="109">
        <f ca="1">IFERROR(INDIRECT(CONCATENATE("Distance!$H",C92)),"")</f>
        <v>9.2100000000000009</v>
      </c>
      <c r="I92" s="147">
        <f ca="1">IFERROR(IF(OR(H92="",H92=0,H92&lt;A91),"",VLOOKUP(H92,A91:B99,2,TRUE)),9)</f>
        <v>7</v>
      </c>
      <c r="J92" s="67"/>
      <c r="K92" s="104">
        <f ca="1">IFERROR(INDIRECT(CONCATENATE("Distance!$j",C92)),"")</f>
        <v>1</v>
      </c>
      <c r="L92" s="104">
        <f ca="1">IFERROR(INDIRECT(CONCATENATE("Distance!$k",C92)),"")</f>
        <v>44</v>
      </c>
      <c r="M92" s="286" t="str">
        <f ca="1">IFERROR(VLOOKUP($C90&amp;L92,downloads!$A$1:$E$1000,2,FALSE),"")</f>
        <v>Robert NWANKWO</v>
      </c>
      <c r="N92" s="64" t="str">
        <f t="shared" ref="N92:N99" ca="1" si="17">IFERROR(VLOOKUP(L92,teamlookup,5,FALSE),"")</f>
        <v>Macc</v>
      </c>
      <c r="O92" s="109">
        <f ca="1">IFERROR(INDIRECT(CONCATENATE("Distance!$T",C92)),"")</f>
        <v>7.04</v>
      </c>
      <c r="P92" s="147">
        <f ca="1">IFERROR(IF(OR(O92="",O92=0,O92&lt;A91),"",VLOOKUP(O92,A91:B99,2,TRUE)),9)</f>
        <v>3</v>
      </c>
      <c r="R92" s="66">
        <f ca="1">IFERROR(IF(OR(E92=0,E92="",H92=0,H92="",H92="X"),0,VLOOKUP(D92,INDIRECT(MatchDay!$W$2),2,FALSE)),"")</f>
        <v>10</v>
      </c>
      <c r="S92" s="66">
        <f ca="1">IFERROR(IF(OR(L92=0,L92="",O92=0,O92="",O92="X"),0,VLOOKUP(K92,INDIRECT(MatchDay!$W$2),3,FALSE)),"")</f>
        <v>8</v>
      </c>
      <c r="T92" s="168">
        <f ca="1">COUNTIF(E92,"&gt;0")</f>
        <v>1</v>
      </c>
      <c r="U92" s="66">
        <f ca="1">IFERROR(IF(E92&gt;88,1,0),0)</f>
        <v>0</v>
      </c>
    </row>
    <row r="93" spans="1:21" x14ac:dyDescent="0.35">
      <c r="A93" s="105">
        <f>IFERROR(VLOOKUP(C90,standards,5,FALSE),"-")</f>
        <v>7</v>
      </c>
      <c r="B93" s="419">
        <v>3</v>
      </c>
      <c r="C93" s="103"/>
      <c r="D93" s="104">
        <f ca="1">IFERROR(INDIRECT(CONCATENATE("Distance!$d",C92+1)),"")</f>
        <v>2</v>
      </c>
      <c r="E93" s="104">
        <f ca="1">IFERROR(INDIRECT(CONCATENATE("Distance!$E",C92+1)),"")</f>
        <v>2</v>
      </c>
      <c r="F93" s="286" t="str">
        <f ca="1">IFERROR(VLOOKUP($C90&amp;E93,downloads!$A$1:$E$1000,2,FALSE),"")</f>
        <v>Benjamin SYKES</v>
      </c>
      <c r="G93" s="64" t="str">
        <f t="shared" ca="1" si="16"/>
        <v>ECHT</v>
      </c>
      <c r="H93" s="109">
        <f ca="1">IFERROR(INDIRECT(CONCATENATE("Distance!$H",C92+1)),"")</f>
        <v>7.25</v>
      </c>
      <c r="I93" s="147">
        <f ca="1">IFERROR(IF(OR(H93="",H93=0,H93&lt;A91),"",VLOOKUP(H93,A91:B99,2,TRUE)),9)</f>
        <v>3</v>
      </c>
      <c r="J93" s="67"/>
      <c r="K93" s="104">
        <f ca="1">IFERROR(INDIRECT(CONCATENATE("Distance!$j",C92+1)),"")</f>
        <v>2</v>
      </c>
      <c r="L93" s="104">
        <f ca="1">IFERROR(INDIRECT(CONCATENATE("Distance!$k",C92+1)),"")</f>
        <v>3</v>
      </c>
      <c r="M93" s="286" t="str">
        <f ca="1">IFERROR(VLOOKUP($C90&amp;L93,downloads!$A$1:$E$1000,2,FALSE),"")</f>
        <v>Henri MANNION</v>
      </c>
      <c r="N93" s="64" t="str">
        <f t="shared" ca="1" si="17"/>
        <v>Leigh</v>
      </c>
      <c r="O93" s="109">
        <f ca="1">IFERROR(INDIRECT(CONCATENATE("Distance!$T",C92+1)),"")</f>
        <v>5.93</v>
      </c>
      <c r="P93" s="147" t="str">
        <f ca="1">IFERROR(IF(OR(O93="",O93=0,O93&lt;A91),"",VLOOKUP(O93,A91:B99,2,TRUE)),9)</f>
        <v/>
      </c>
      <c r="R93" s="66">
        <f ca="1">IFERROR(IF(OR(E93=0,E93="",H93=0,H93="",H93="X"),0,VLOOKUP(D93,INDIRECT(MatchDay!$W$2),2,FALSE)),"")</f>
        <v>8</v>
      </c>
      <c r="S93" s="66">
        <f ca="1">IFERROR(IF(OR(L93=0,L93="",O93=0,O93="",O93="X"),0,VLOOKUP(K93,INDIRECT(MatchDay!$W$2),3,FALSE)),"")</f>
        <v>6</v>
      </c>
    </row>
    <row r="94" spans="1:21" x14ac:dyDescent="0.35">
      <c r="A94" s="105">
        <f>IFERROR(VLOOKUP(C90,standards,6,FALSE),"-")</f>
        <v>7.4</v>
      </c>
      <c r="B94" s="419">
        <v>4</v>
      </c>
      <c r="C94" s="105"/>
      <c r="D94" s="104">
        <f ca="1">IFERROR(INDIRECT(CONCATENATE("Distance!$d",C92+2)),"")</f>
        <v>3</v>
      </c>
      <c r="E94" s="104">
        <f ca="1">IFERROR(INDIRECT(CONCATENATE("Distance!$E",C92+2)),"")</f>
        <v>1</v>
      </c>
      <c r="F94" s="286" t="str">
        <f ca="1">IFERROR(VLOOKUP($C90&amp;E94,downloads!$A$1:$E$1000,2,FALSE),"")</f>
        <v>Ben JEFFS</v>
      </c>
      <c r="G94" s="64" t="str">
        <f t="shared" ca="1" si="16"/>
        <v>C&amp;N</v>
      </c>
      <c r="H94" s="109">
        <f ca="1">IFERROR(INDIRECT(CONCATENATE("Distance!$H",C92+2)),"")</f>
        <v>7.23</v>
      </c>
      <c r="I94" s="147">
        <f ca="1">IFERROR(IF(OR(H94="",H94=0,H94&lt;A91),"",VLOOKUP(H94,A91:B99,2,TRUE)),9)</f>
        <v>3</v>
      </c>
      <c r="J94" s="67"/>
      <c r="K94" s="104">
        <f ca="1">IFERROR(INDIRECT(CONCATENATE("Distance!$j",C92+2)),"")</f>
        <v>3</v>
      </c>
      <c r="L94" s="104">
        <f ca="1">IFERROR(INDIRECT(CONCATENATE("Distance!$k",C92+2)),"")</f>
        <v>11</v>
      </c>
      <c r="M94" s="286" t="str">
        <f ca="1">IFERROR(VLOOKUP($C90&amp;L94,downloads!$A$1:$E$1000,2,FALSE),"")</f>
        <v>Ewan DAVIES</v>
      </c>
      <c r="N94" s="64" t="str">
        <f t="shared" ca="1" si="17"/>
        <v>C&amp;N</v>
      </c>
      <c r="O94" s="109">
        <f ca="1">IFERROR(INDIRECT(CONCATENATE("Distance!$T",C92+2)),"")</f>
        <v>5.7</v>
      </c>
      <c r="P94" s="147" t="str">
        <f ca="1">IFERROR(IF(OR(O94="",O94=0,O94&lt;A91),"",VLOOKUP(O94,A91:B99,2,TRUE)),9)</f>
        <v/>
      </c>
      <c r="R94" s="66">
        <f ca="1">IFERROR(IF(OR(E94=0,E94="",H94=0,H94="",H94="X"),0,VLOOKUP(D94,INDIRECT(MatchDay!$W$2),2,FALSE)),"")</f>
        <v>7</v>
      </c>
      <c r="S94" s="66">
        <f ca="1">IFERROR(IF(OR(L94=0,L94="",O94=0,O94="",O94="X"),0,VLOOKUP(K94,INDIRECT(MatchDay!$W$2),3,FALSE)),"")</f>
        <v>5</v>
      </c>
    </row>
    <row r="95" spans="1:21" x14ac:dyDescent="0.35">
      <c r="A95" s="105">
        <f>IFERROR(VLOOKUP(C90,standards,7,FALSE),"-")</f>
        <v>8</v>
      </c>
      <c r="B95" s="419">
        <v>5</v>
      </c>
      <c r="C95" s="105"/>
      <c r="D95" s="104">
        <f ca="1">IFERROR(INDIRECT(CONCATENATE("Distance!$d",C92+3)),"")</f>
        <v>4</v>
      </c>
      <c r="E95" s="104">
        <f ca="1">IFERROR(INDIRECT(CONCATENATE("Distance!$E",C92+3)),"")</f>
        <v>77</v>
      </c>
      <c r="F95" s="286" t="str">
        <f ca="1">IFERROR(VLOOKUP($C90&amp;E95,downloads!$A$1:$E$1000,2,FALSE),"")</f>
        <v>Theo MORGAN</v>
      </c>
      <c r="G95" s="64" t="str">
        <f t="shared" ca="1" si="16"/>
        <v>Wigan</v>
      </c>
      <c r="H95" s="109">
        <f ca="1">IFERROR(INDIRECT(CONCATENATE("Distance!$H",C92+3)),"")</f>
        <v>6.45</v>
      </c>
      <c r="I95" s="147">
        <f ca="1">IFERROR(IF(OR(H95="",H95=0,H95&lt;A91),"",VLOOKUP(H95,A91:B99,2,TRUE)),9)</f>
        <v>1</v>
      </c>
      <c r="J95" s="67"/>
      <c r="K95" s="104">
        <f ca="1">IFERROR(INDIRECT(CONCATENATE("Distance!$j",C92+3)),"")</f>
        <v>4</v>
      </c>
      <c r="L95" s="104">
        <f ca="1">IFERROR(INDIRECT(CONCATENATE("Distance!$k",C92+3)),"")</f>
        <v>22</v>
      </c>
      <c r="M95" s="286" t="str">
        <f ca="1">IFERROR(VLOOKUP($C90&amp;L95,downloads!$A$1:$E$1000,2,FALSE),"")</f>
        <v>Oliver MANNION</v>
      </c>
      <c r="N95" s="64" t="str">
        <f t="shared" ca="1" si="17"/>
        <v>ECHT</v>
      </c>
      <c r="O95" s="109">
        <f ca="1">IFERROR(INDIRECT(CONCATENATE("Distance!$T",C92+3)),"")</f>
        <v>5.15</v>
      </c>
      <c r="P95" s="147" t="str">
        <f ca="1">IFERROR(IF(OR(O95="",O95=0,O95&lt;A91),"",VLOOKUP(O95,A91:B99,2,TRUE)),9)</f>
        <v/>
      </c>
      <c r="R95" s="66">
        <f ca="1">IFERROR(IF(OR(E95=0,E95="",H95=0,H95="",H95="X"),0,VLOOKUP(D95,INDIRECT(MatchDay!$W$2),2,FALSE)),"")</f>
        <v>6</v>
      </c>
      <c r="S95" s="66">
        <f ca="1">IFERROR(IF(OR(L95=0,L95="",O95=0,O95="",O95="X"),0,VLOOKUP(K95,INDIRECT(MatchDay!$W$2),3,FALSE)),"")</f>
        <v>4</v>
      </c>
    </row>
    <row r="96" spans="1:21" x14ac:dyDescent="0.35">
      <c r="A96" s="105">
        <f>IFERROR(VLOOKUP(C90,standards,8,FALSE),"-")</f>
        <v>8.6</v>
      </c>
      <c r="B96" s="419">
        <v>6</v>
      </c>
      <c r="C96" s="105"/>
      <c r="D96" s="104">
        <f ca="1">IFERROR(INDIRECT(CONCATENATE("Distance!$d",C92+4)),"")</f>
        <v>5</v>
      </c>
      <c r="E96" s="104">
        <f ca="1">IFERROR(INDIRECT(CONCATENATE("Distance!$E",C92+4)),"")</f>
        <v>33</v>
      </c>
      <c r="F96" s="286" t="str">
        <f ca="1">IFERROR(VLOOKUP($C90&amp;E96,downloads!$A$1:$E$1000,2,FALSE),"")</f>
        <v>Jack FLETCHER</v>
      </c>
      <c r="G96" s="64" t="str">
        <f t="shared" ca="1" si="16"/>
        <v>Leigh</v>
      </c>
      <c r="H96" s="109">
        <f ca="1">IFERROR(INDIRECT(CONCATENATE("Distance!$H",C92+4)),"")</f>
        <v>6.01</v>
      </c>
      <c r="I96" s="147" t="str">
        <f ca="1">IFERROR(IF(OR(H96="",H96=0,H96&lt;A91),"",VLOOKUP(H96,A91:B99,2,TRUE)),9)</f>
        <v/>
      </c>
      <c r="J96" s="67"/>
      <c r="K96" s="104">
        <f ca="1">IFERROR(INDIRECT(CONCATENATE("Distance!$j",C92+4)),"")</f>
        <v>5</v>
      </c>
      <c r="L96" s="104">
        <f ca="1">IFERROR(INDIRECT(CONCATENATE("Distance!$k",C92+4)),"")</f>
        <v>7</v>
      </c>
      <c r="M96" s="286" t="str">
        <f ca="1">IFERROR(VLOOKUP($C90&amp;L96,downloads!$A$1:$E$1000,2,FALSE),"")</f>
        <v>Charlie STRETTON</v>
      </c>
      <c r="N96" s="64" t="str">
        <f t="shared" ca="1" si="17"/>
        <v>Wigan</v>
      </c>
      <c r="O96" s="109">
        <f ca="1">IFERROR(INDIRECT(CONCATENATE("Distance!$T",C92+4)),"")</f>
        <v>3.72</v>
      </c>
      <c r="P96" s="147" t="str">
        <f ca="1">IFERROR(IF(OR(O96="",O96=0,O96&lt;A91),"",VLOOKUP(O96,A91:B99,2,TRUE)),9)</f>
        <v/>
      </c>
      <c r="R96" s="66">
        <f ca="1">IFERROR(IF(OR(E96=0,E96="",H96=0,H96="",H96="X"),0,VLOOKUP(D96,INDIRECT(MatchDay!$W$2),2,FALSE)),"")</f>
        <v>5</v>
      </c>
      <c r="S96" s="66">
        <f ca="1">IFERROR(IF(OR(L96=0,L96="",O96=0,O96="",O96="X"),0,VLOOKUP(K96,INDIRECT(MatchDay!$W$2),3,FALSE)),"")</f>
        <v>3</v>
      </c>
    </row>
    <row r="97" spans="1:21" x14ac:dyDescent="0.35">
      <c r="A97" s="105">
        <f>IFERROR(VLOOKUP(C90,standards,9,FALSE),"-")</f>
        <v>9.1999999999999993</v>
      </c>
      <c r="B97" s="419">
        <v>7</v>
      </c>
      <c r="C97" s="105"/>
      <c r="D97" s="104">
        <f ca="1">IFERROR(INDIRECT(CONCATENATE("Distance!$d",C92+5)),"")</f>
        <v>6</v>
      </c>
      <c r="E97" s="104" t="str">
        <f ca="1">IFERROR(INDIRECT(CONCATENATE("Distance!$E",C92+5)),"")</f>
        <v/>
      </c>
      <c r="F97" s="286" t="str">
        <f ca="1">IFERROR(VLOOKUP($C90&amp;E97,downloads!$A$1:$E$1000,2,FALSE),"")</f>
        <v/>
      </c>
      <c r="G97" s="64" t="str">
        <f t="shared" ca="1" si="16"/>
        <v/>
      </c>
      <c r="H97" s="109" t="str">
        <f ca="1">IFERROR(INDIRECT(CONCATENATE("Distance!$H",C92+5)),"")</f>
        <v/>
      </c>
      <c r="I97" s="147" t="str">
        <f ca="1">IFERROR(IF(OR(H97="",H97=0,H97&lt;A91),"",VLOOKUP(H97,A91:B99,2,TRUE)),9)</f>
        <v/>
      </c>
      <c r="J97" s="67"/>
      <c r="K97" s="104">
        <f ca="1">IFERROR(INDIRECT(CONCATENATE("Distance!$j",C92+5)),"")</f>
        <v>6</v>
      </c>
      <c r="L97" s="104" t="str">
        <f ca="1">IFERROR(INDIRECT(CONCATENATE("Distance!$k",C92+5)),"")</f>
        <v/>
      </c>
      <c r="M97" s="286" t="str">
        <f ca="1">IFERROR(VLOOKUP($C90&amp;L97,downloads!$A$1:$E$1000,2,FALSE),"")</f>
        <v/>
      </c>
      <c r="N97" s="64" t="str">
        <f t="shared" ca="1" si="17"/>
        <v/>
      </c>
      <c r="O97" s="109" t="str">
        <f ca="1">IFERROR(INDIRECT(CONCATENATE("Distance!$T",C92+5)),"")</f>
        <v/>
      </c>
      <c r="P97" s="147" t="str">
        <f ca="1">IFERROR(IF(OR(O97="",O97=0,O97&lt;A91),"",VLOOKUP(O97,A91:B99,2,TRUE)),9)</f>
        <v/>
      </c>
      <c r="R97" s="66">
        <f ca="1">IFERROR(IF(OR(E97=0,E97="",H97=0,H97="",H97="X"),0,VLOOKUP(D97,INDIRECT(MatchDay!$W$2),2,FALSE)),"")</f>
        <v>0</v>
      </c>
      <c r="S97" s="66">
        <f ca="1">IFERROR(IF(OR(L97=0,L97="",O97=0,O97="",O97="X"),0,VLOOKUP(K97,INDIRECT(MatchDay!$W$2),3,FALSE)),"")</f>
        <v>0</v>
      </c>
    </row>
    <row r="98" spans="1:21" x14ac:dyDescent="0.35">
      <c r="A98" s="105">
        <f>IFERROR(VLOOKUP(C90,standards,10,FALSE),"-")</f>
        <v>9.8000000000000007</v>
      </c>
      <c r="B98" s="419">
        <v>8</v>
      </c>
      <c r="C98" s="103" t="s">
        <v>151</v>
      </c>
      <c r="D98" s="104">
        <f ca="1">IFERROR(INDIRECT(CONCATENATE("Distance!$d",C92+6)),"")</f>
        <v>7</v>
      </c>
      <c r="E98" s="104" t="str">
        <f ca="1">IFERROR(INDIRECT(CONCATENATE("Distance!$E",C92+6)),"")</f>
        <v/>
      </c>
      <c r="F98" s="286" t="str">
        <f ca="1">IFERROR(VLOOKUP($C90&amp;E98,downloads!$A$1:$E$1000,2,FALSE),"")</f>
        <v/>
      </c>
      <c r="G98" s="64" t="str">
        <f t="shared" ca="1" si="16"/>
        <v/>
      </c>
      <c r="H98" s="109" t="str">
        <f ca="1">IFERROR(INDIRECT(CONCATENATE("Distance!$H",C92+6)),"")</f>
        <v/>
      </c>
      <c r="I98" s="147" t="str">
        <f ca="1">IFERROR(IF(OR(H98="",H98=0,H98&lt;A91),"",VLOOKUP(H98,A91:B99,2,TRUE)),9)</f>
        <v/>
      </c>
      <c r="J98" s="67"/>
      <c r="K98" s="104">
        <f ca="1">IFERROR(INDIRECT(CONCATENATE("Distance!$j",C92+6)),"")</f>
        <v>7</v>
      </c>
      <c r="L98" s="104" t="str">
        <f ca="1">IFERROR(INDIRECT(CONCATENATE("Distance!$k",C92+6)),"")</f>
        <v/>
      </c>
      <c r="M98" s="286" t="str">
        <f ca="1">IFERROR(VLOOKUP($C90&amp;L98,downloads!$A$1:$E$1000,2,FALSE),"")</f>
        <v/>
      </c>
      <c r="N98" s="64" t="str">
        <f t="shared" ca="1" si="17"/>
        <v/>
      </c>
      <c r="O98" s="109" t="str">
        <f ca="1">IFERROR(INDIRECT(CONCATENATE("Distance!$T",C92+6)),"")</f>
        <v/>
      </c>
      <c r="P98" s="147" t="str">
        <f ca="1">IFERROR(IF(OR(O98="",O98=0,O98&lt;A91),"",VLOOKUP(O98,A91:B99,2,TRUE)),9)</f>
        <v/>
      </c>
      <c r="R98" s="66">
        <f ca="1">IFERROR(IF(OR(E98=0,E98="",H98=0,H98="",H98="X"),0,VLOOKUP(D98,INDIRECT(MatchDay!$W$2),2,FALSE)),"")</f>
        <v>0</v>
      </c>
      <c r="S98" s="66">
        <f ca="1">IFERROR(IF(OR(L98=0,L98="",O98=0,O98="",O98="X"),0,VLOOKUP(K98,INDIRECT(MatchDay!$W$2),3,FALSE)),"")</f>
        <v>0</v>
      </c>
    </row>
    <row r="99" spans="1:21" x14ac:dyDescent="0.35">
      <c r="A99" s="105">
        <f>IFERROR(VLOOKUP(C90,standards,11,FALSE),"-")</f>
        <v>10.4</v>
      </c>
      <c r="B99" s="419">
        <v>9</v>
      </c>
      <c r="C99" s="103">
        <f>IFERROR(VLOOKUP(C90,records,5,FALSE),"")</f>
        <v>12.35</v>
      </c>
      <c r="D99" s="104">
        <f ca="1">IFERROR(INDIRECT(CONCATENATE("Distance!$d",C92+7)),"")</f>
        <v>8</v>
      </c>
      <c r="E99" s="104" t="str">
        <f ca="1">IFERROR(INDIRECT(CONCATENATE("Distance!$E",C92+7)),"")</f>
        <v/>
      </c>
      <c r="F99" s="286" t="str">
        <f ca="1">IFERROR(VLOOKUP($C90&amp;E99,downloads!$A$1:$E$1000,2,FALSE),"")</f>
        <v/>
      </c>
      <c r="G99" s="64" t="str">
        <f t="shared" ca="1" si="16"/>
        <v/>
      </c>
      <c r="H99" s="109" t="str">
        <f ca="1">IFERROR(INDIRECT(CONCATENATE("Distance!$H",C92+7)),"")</f>
        <v/>
      </c>
      <c r="I99" s="147" t="str">
        <f ca="1">IFERROR(IF(OR(H99="",H99=0,H99&lt;A91),"",VLOOKUP(H99,A91:B99,2,TRUE)),9)</f>
        <v/>
      </c>
      <c r="J99" s="67"/>
      <c r="K99" s="104">
        <f ca="1">IFERROR(INDIRECT(CONCATENATE("Distance!$j",C92+7)),"")</f>
        <v>8</v>
      </c>
      <c r="L99" s="104" t="str">
        <f ca="1">IFERROR(INDIRECT(CONCATENATE("Distance!$k",C92+7)),"")</f>
        <v/>
      </c>
      <c r="M99" s="286" t="str">
        <f ca="1">IFERROR(VLOOKUP($C90&amp;L99,downloads!$A$1:$E$1000,2,FALSE),"")</f>
        <v/>
      </c>
      <c r="N99" s="64" t="str">
        <f t="shared" ca="1" si="17"/>
        <v/>
      </c>
      <c r="O99" s="109" t="str">
        <f ca="1">IFERROR(INDIRECT(CONCATENATE("Distance!$T",C92+7)),"")</f>
        <v/>
      </c>
      <c r="P99" s="147" t="str">
        <f ca="1">IFERROR(IF(OR(O99="",O99=0,O99&lt;A91),"",VLOOKUP(O99,A91:B99,2,TRUE)),9)</f>
        <v/>
      </c>
      <c r="R99" s="66">
        <f ca="1">IFERROR(IF(OR(E99=0,E99="",H99=0,H99="",H99="X"),0,VLOOKUP(D99,INDIRECT(MatchDay!$W$2),2,FALSE)),"")</f>
        <v>0</v>
      </c>
      <c r="S99" s="66">
        <f ca="1">IFERROR(IF(OR(L99=0,L99="",O99=0,O99="",O99="X"),0,VLOOKUP(K99,INDIRECT(MatchDay!$W$2),3,FALSE)),"")</f>
        <v>0</v>
      </c>
    </row>
    <row r="101" spans="1:21" x14ac:dyDescent="0.35">
      <c r="C101" s="98" t="s">
        <v>193</v>
      </c>
      <c r="D101" s="99" t="str">
        <f>IFERROR(VLOOKUP(C101,timetables,2,FALSE)&amp;" "&amp;VLOOKUP(C101,timetables,3,FALSE)&amp;" A","")</f>
        <v>Javelin U13 Boys A</v>
      </c>
      <c r="E101" s="99"/>
      <c r="H101" s="108" t="str">
        <f ca="1">IFERROR(IF(OR(H103=0,H103="",H103="X"),"",IF(H103&gt;C110,"REC",IF(H103=C110,"=Rec",""))),"")</f>
        <v/>
      </c>
      <c r="I101" s="147" t="str">
        <f ca="1">IFERROR(IF(OR(H103=0,H103="",H103="X"),"",IF(H103&gt;C110,"REC",IF(H103=C110,"=Rec",""))),"")</f>
        <v/>
      </c>
      <c r="K101" s="101" t="str">
        <f>IFERROR(VLOOKUP(C101,timetables,2,FALSE)&amp;" "&amp;VLOOKUP(C101,timetables,3,FALSE)&amp;" B","")</f>
        <v>Javelin U13 Boys B</v>
      </c>
      <c r="L101" s="102"/>
      <c r="R101" s="66" t="s">
        <v>53</v>
      </c>
      <c r="S101" s="66" t="s">
        <v>54</v>
      </c>
    </row>
    <row r="102" spans="1:21" x14ac:dyDescent="0.35">
      <c r="A102" s="105">
        <f>IFERROR(VLOOKUP(C101,standards,3,FALSE),"-")</f>
        <v>12</v>
      </c>
      <c r="B102" s="419">
        <v>1</v>
      </c>
      <c r="C102" s="79"/>
      <c r="D102" s="45" t="s">
        <v>177</v>
      </c>
      <c r="E102" s="45" t="s">
        <v>118</v>
      </c>
      <c r="F102" s="47" t="s">
        <v>174</v>
      </c>
      <c r="G102" s="47" t="s">
        <v>175</v>
      </c>
      <c r="H102" s="45" t="s">
        <v>176</v>
      </c>
      <c r="I102" s="148" t="s">
        <v>1003</v>
      </c>
      <c r="J102" s="47"/>
      <c r="K102" s="45" t="s">
        <v>177</v>
      </c>
      <c r="L102" s="45" t="s">
        <v>118</v>
      </c>
      <c r="M102" s="47" t="s">
        <v>174</v>
      </c>
      <c r="N102" s="47" t="s">
        <v>175</v>
      </c>
      <c r="O102" s="45" t="s">
        <v>176</v>
      </c>
      <c r="P102" s="148" t="s">
        <v>1003</v>
      </c>
    </row>
    <row r="103" spans="1:21" x14ac:dyDescent="0.35">
      <c r="A103" s="105">
        <f>IFERROR(VLOOKUP(C101,standards,4,FALSE),"-")</f>
        <v>14</v>
      </c>
      <c r="B103" s="419">
        <v>2</v>
      </c>
      <c r="C103" s="66">
        <f>IFERROR(VLOOKUP(C101,Distance!A:B,2,FALSE),"")</f>
        <v>315</v>
      </c>
      <c r="D103" s="104">
        <f ca="1">IFERROR(INDIRECT(CONCATENATE("Distance!$d",C103)),"")</f>
        <v>1</v>
      </c>
      <c r="E103" s="104">
        <f ca="1">IFERROR(INDIRECT(CONCATENATE("Distance!$E",C103)),"")</f>
        <v>3</v>
      </c>
      <c r="F103" s="286" t="str">
        <f ca="1">IFERROR(VLOOKUP($C101&amp;E103,downloads!$A$1:$E$1000,2,FALSE),"")</f>
        <v>Oscar FINCH</v>
      </c>
      <c r="G103" s="64" t="str">
        <f t="shared" ref="G103:G110" ca="1" si="18">IFERROR(VLOOKUP(E103,teamlookup,5,FALSE),"")</f>
        <v>Leigh</v>
      </c>
      <c r="H103" s="109">
        <f ca="1">IFERROR(INDIRECT(CONCATENATE("Distance!$H",C103)),"")</f>
        <v>31.74</v>
      </c>
      <c r="I103" s="147">
        <f ca="1">IFERROR(IF(OR(H103="",H103=0,H103&lt;A102),"",VLOOKUP(H103,A102:B110,2,TRUE)),9)</f>
        <v>7</v>
      </c>
      <c r="J103" s="67"/>
      <c r="K103" s="104">
        <f ca="1">IFERROR(INDIRECT(CONCATENATE("Distance!$j",C103)),"")</f>
        <v>1</v>
      </c>
      <c r="L103" s="104">
        <f ca="1">IFERROR(INDIRECT(CONCATENATE("Distance!$k",C103)),"")</f>
        <v>33</v>
      </c>
      <c r="M103" s="286" t="str">
        <f ca="1">IFERROR(VLOOKUP($C101&amp;L103,downloads!$A$1:$E$1000,2,FALSE),"")</f>
        <v>James HOWARTH-LINTON</v>
      </c>
      <c r="N103" s="64" t="str">
        <f t="shared" ref="N103:N110" ca="1" si="19">IFERROR(VLOOKUP(L103,teamlookup,5,FALSE),"")</f>
        <v>Leigh</v>
      </c>
      <c r="O103" s="109">
        <f ca="1">IFERROR(INDIRECT(CONCATENATE("Distance!$T",C103)),"")</f>
        <v>25.74</v>
      </c>
      <c r="P103" s="147">
        <f ca="1">IFERROR(IF(OR(O103="",O103=0,O103&lt;A102),"",VLOOKUP(O103,A102:B110,2,TRUE)),9)</f>
        <v>5</v>
      </c>
      <c r="R103" s="66">
        <f ca="1">IFERROR(IF(OR(E103=0,E103="",H103=0,H103="",H103="X"),0,VLOOKUP(D103,INDIRECT(MatchDay!$W$2),2,FALSE)),"")</f>
        <v>10</v>
      </c>
      <c r="S103" s="66">
        <f ca="1">IFERROR(IF(OR(L103=0,L103="",O103=0,O103="",O103="X"),0,VLOOKUP(K103,INDIRECT(MatchDay!$W$2),3,FALSE)),"")</f>
        <v>8</v>
      </c>
      <c r="T103" s="168">
        <f ca="1">COUNTIF(E103,"&gt;0")</f>
        <v>1</v>
      </c>
      <c r="U103" s="66">
        <f ca="1">IFERROR(IF(E103&gt;88,1,0),0)</f>
        <v>0</v>
      </c>
    </row>
    <row r="104" spans="1:21" x14ac:dyDescent="0.35">
      <c r="A104" s="105">
        <f>IFERROR(VLOOKUP(C101,standards,5,FALSE),"-")</f>
        <v>17</v>
      </c>
      <c r="B104" s="419">
        <v>3</v>
      </c>
      <c r="C104" s="103"/>
      <c r="D104" s="104">
        <f ca="1">IFERROR(INDIRECT(CONCATENATE("Distance!$d",C103+1)),"")</f>
        <v>2</v>
      </c>
      <c r="E104" s="104">
        <f ca="1">IFERROR(INDIRECT(CONCATENATE("Distance!$E",C103+1)),"")</f>
        <v>2</v>
      </c>
      <c r="F104" s="286" t="str">
        <f ca="1">IFERROR(VLOOKUP($C101&amp;E104,downloads!$A$1:$E$1000,2,FALSE),"")</f>
        <v>Benjamin SYKES</v>
      </c>
      <c r="G104" s="64" t="str">
        <f t="shared" ca="1" si="18"/>
        <v>ECHT</v>
      </c>
      <c r="H104" s="109">
        <f ca="1">IFERROR(INDIRECT(CONCATENATE("Distance!$H",C103+1)),"")</f>
        <v>29.44</v>
      </c>
      <c r="I104" s="147">
        <f ca="1">IFERROR(IF(OR(H104="",H104=0,H104&lt;A102),"",VLOOKUP(H104,A102:B110,2,TRUE)),9)</f>
        <v>7</v>
      </c>
      <c r="J104" s="67"/>
      <c r="K104" s="104">
        <f ca="1">IFERROR(INDIRECT(CONCATENATE("Distance!$j",C103+1)),"")</f>
        <v>2</v>
      </c>
      <c r="L104" s="104">
        <f ca="1">IFERROR(INDIRECT(CONCATENATE("Distance!$k",C103+1)),"")</f>
        <v>44</v>
      </c>
      <c r="M104" s="286" t="str">
        <f ca="1">IFERROR(VLOOKUP($C101&amp;L104,downloads!$A$1:$E$1000,2,FALSE),"")</f>
        <v>Isaac BAKER</v>
      </c>
      <c r="N104" s="64" t="str">
        <f t="shared" ca="1" si="19"/>
        <v>Macc</v>
      </c>
      <c r="O104" s="109">
        <f ca="1">IFERROR(INDIRECT(CONCATENATE("Distance!$T",C103+1)),"")</f>
        <v>14.64</v>
      </c>
      <c r="P104" s="147">
        <f ca="1">IFERROR(IF(OR(O104="",O104=0,O104&lt;A102),"",VLOOKUP(O104,A102:B110,2,TRUE)),9)</f>
        <v>2</v>
      </c>
      <c r="R104" s="66">
        <f ca="1">IFERROR(IF(OR(E104=0,E104="",H104=0,H104="",H104="X"),0,VLOOKUP(D104,INDIRECT(MatchDay!$W$2),2,FALSE)),"")</f>
        <v>8</v>
      </c>
      <c r="S104" s="66">
        <f ca="1">IFERROR(IF(OR(L104=0,L104="",O104=0,O104="",O104="X"),0,VLOOKUP(K104,INDIRECT(MatchDay!$W$2),3,FALSE)),"")</f>
        <v>6</v>
      </c>
    </row>
    <row r="105" spans="1:21" x14ac:dyDescent="0.35">
      <c r="A105" s="105">
        <f>IFERROR(VLOOKUP(C101,standards,6,FALSE),"-")</f>
        <v>20</v>
      </c>
      <c r="B105" s="419">
        <v>4</v>
      </c>
      <c r="C105" s="105"/>
      <c r="D105" s="104">
        <f ca="1">IFERROR(INDIRECT(CONCATENATE("Distance!$d",C103+2)),"")</f>
        <v>3</v>
      </c>
      <c r="E105" s="104">
        <f ca="1">IFERROR(INDIRECT(CONCATENATE("Distance!$E",C103+2)),"")</f>
        <v>7</v>
      </c>
      <c r="F105" s="286" t="str">
        <f ca="1">IFERROR(VLOOKUP($C101&amp;E105,downloads!$A$1:$E$1000,2,FALSE),"")</f>
        <v>Samuel HODGKINSON</v>
      </c>
      <c r="G105" s="64" t="str">
        <f t="shared" ca="1" si="18"/>
        <v>Wigan</v>
      </c>
      <c r="H105" s="109">
        <f ca="1">IFERROR(INDIRECT(CONCATENATE("Distance!$H",C103+2)),"")</f>
        <v>22.45</v>
      </c>
      <c r="I105" s="147">
        <f ca="1">IFERROR(IF(OR(H105="",H105=0,H105&lt;A102),"",VLOOKUP(H105,A102:B110,2,TRUE)),9)</f>
        <v>4</v>
      </c>
      <c r="J105" s="67"/>
      <c r="K105" s="104">
        <f ca="1">IFERROR(INDIRECT(CONCATENATE("Distance!$j",C103+2)),"")</f>
        <v>3</v>
      </c>
      <c r="L105" s="104">
        <f ca="1">IFERROR(INDIRECT(CONCATENATE("Distance!$k",C103+2)),"")</f>
        <v>22</v>
      </c>
      <c r="M105" s="286" t="str">
        <f ca="1">IFERROR(VLOOKUP($C101&amp;L105,downloads!$A$1:$E$1000,2,FALSE),"")</f>
        <v>James NELSON</v>
      </c>
      <c r="N105" s="64" t="str">
        <f t="shared" ca="1" si="19"/>
        <v>ECHT</v>
      </c>
      <c r="O105" s="109">
        <f ca="1">IFERROR(INDIRECT(CONCATENATE("Distance!$T",C103+2)),"")</f>
        <v>14.58</v>
      </c>
      <c r="P105" s="147">
        <f ca="1">IFERROR(IF(OR(O105="",O105=0,O105&lt;A102),"",VLOOKUP(O105,A102:B110,2,TRUE)),9)</f>
        <v>2</v>
      </c>
      <c r="R105" s="66">
        <f ca="1">IFERROR(IF(OR(E105=0,E105="",H105=0,H105="",H105="X"),0,VLOOKUP(D105,INDIRECT(MatchDay!$W$2),2,FALSE)),"")</f>
        <v>7</v>
      </c>
      <c r="S105" s="66">
        <f ca="1">IFERROR(IF(OR(L105=0,L105="",O105=0,O105="",O105="X"),0,VLOOKUP(K105,INDIRECT(MatchDay!$W$2),3,FALSE)),"")</f>
        <v>5</v>
      </c>
    </row>
    <row r="106" spans="1:21" x14ac:dyDescent="0.35">
      <c r="A106" s="105">
        <f>IFERROR(VLOOKUP(C101,standards,7,FALSE),"-")</f>
        <v>23</v>
      </c>
      <c r="B106" s="419">
        <v>5</v>
      </c>
      <c r="C106" s="105"/>
      <c r="D106" s="104">
        <f ca="1">IFERROR(INDIRECT(CONCATENATE("Distance!$d",C103+3)),"")</f>
        <v>4</v>
      </c>
      <c r="E106" s="104">
        <f ca="1">IFERROR(INDIRECT(CONCATENATE("Distance!$E",C103+3)),"")</f>
        <v>4</v>
      </c>
      <c r="F106" s="286" t="str">
        <f ca="1">IFERROR(VLOOKUP($C101&amp;E106,downloads!$A$1:$E$1000,2,FALSE),"")</f>
        <v>Robert NWANKWO</v>
      </c>
      <c r="G106" s="64" t="str">
        <f t="shared" ca="1" si="18"/>
        <v>Macc</v>
      </c>
      <c r="H106" s="109">
        <f ca="1">IFERROR(INDIRECT(CONCATENATE("Distance!$H",C103+3)),"")</f>
        <v>19.25</v>
      </c>
      <c r="I106" s="147">
        <f ca="1">IFERROR(IF(OR(H106="",H106=0,H106&lt;A102),"",VLOOKUP(H106,A102:B110,2,TRUE)),9)</f>
        <v>3</v>
      </c>
      <c r="J106" s="67"/>
      <c r="K106" s="104">
        <f ca="1">IFERROR(INDIRECT(CONCATENATE("Distance!$j",C103+3)),"")</f>
        <v>4</v>
      </c>
      <c r="L106" s="104">
        <f ca="1">IFERROR(INDIRECT(CONCATENATE("Distance!$k",C103+3)),"")</f>
        <v>11</v>
      </c>
      <c r="M106" s="286" t="str">
        <f ca="1">IFERROR(VLOOKUP($C101&amp;L106,downloads!$A$1:$E$1000,2,FALSE),"")</f>
        <v>Gabriel BRZEZINSKI</v>
      </c>
      <c r="N106" s="64" t="str">
        <f t="shared" ca="1" si="19"/>
        <v>C&amp;N</v>
      </c>
      <c r="O106" s="109">
        <f ca="1">IFERROR(INDIRECT(CONCATENATE("Distance!$T",C103+3)),"")</f>
        <v>12.41</v>
      </c>
      <c r="P106" s="147">
        <f ca="1">IFERROR(IF(OR(O106="",O106=0,O106&lt;A102),"",VLOOKUP(O106,A102:B110,2,TRUE)),9)</f>
        <v>1</v>
      </c>
      <c r="R106" s="66">
        <f ca="1">IFERROR(IF(OR(E106=0,E106="",H106=0,H106="",H106="X"),0,VLOOKUP(D106,INDIRECT(MatchDay!$W$2),2,FALSE)),"")</f>
        <v>6</v>
      </c>
      <c r="S106" s="66">
        <f ca="1">IFERROR(IF(OR(L106=0,L106="",O106=0,O106="",O106="X"),0,VLOOKUP(K106,INDIRECT(MatchDay!$W$2),3,FALSE)),"")</f>
        <v>4</v>
      </c>
    </row>
    <row r="107" spans="1:21" x14ac:dyDescent="0.35">
      <c r="A107" s="105">
        <f>IFERROR(VLOOKUP(C101,standards,8,FALSE),"-")</f>
        <v>26</v>
      </c>
      <c r="B107" s="419">
        <v>6</v>
      </c>
      <c r="C107" s="105"/>
      <c r="D107" s="104">
        <f ca="1">IFERROR(INDIRECT(CONCATENATE("Distance!$d",C103+4)),"")</f>
        <v>5</v>
      </c>
      <c r="E107" s="104">
        <f ca="1">IFERROR(INDIRECT(CONCATENATE("Distance!$E",C103+4)),"")</f>
        <v>1</v>
      </c>
      <c r="F107" s="286" t="str">
        <f ca="1">IFERROR(VLOOKUP($C101&amp;E107,downloads!$A$1:$E$1000,2,FALSE),"")</f>
        <v>Kaidan DOS REIS</v>
      </c>
      <c r="G107" s="64" t="str">
        <f t="shared" ca="1" si="18"/>
        <v>C&amp;N</v>
      </c>
      <c r="H107" s="109">
        <f ca="1">IFERROR(INDIRECT(CONCATENATE("Distance!$H",C103+4)),"")</f>
        <v>17.399999999999999</v>
      </c>
      <c r="I107" s="147">
        <f ca="1">IFERROR(IF(OR(H107="",H107=0,H107&lt;A102),"",VLOOKUP(H107,A102:B110,2,TRUE)),9)</f>
        <v>3</v>
      </c>
      <c r="J107" s="67"/>
      <c r="K107" s="104">
        <f ca="1">IFERROR(INDIRECT(CONCATENATE("Distance!$j",C103+4)),"")</f>
        <v>5</v>
      </c>
      <c r="L107" s="104">
        <f ca="1">IFERROR(INDIRECT(CONCATENATE("Distance!$k",C103+4)),"")</f>
        <v>77</v>
      </c>
      <c r="M107" s="286" t="str">
        <f ca="1">IFERROR(VLOOKUP($C101&amp;L107,downloads!$A$1:$E$1000,2,FALSE),"")</f>
        <v>Charlie STRETTON</v>
      </c>
      <c r="N107" s="64" t="str">
        <f t="shared" ca="1" si="19"/>
        <v>Wigan</v>
      </c>
      <c r="O107" s="109">
        <f ca="1">IFERROR(INDIRECT(CONCATENATE("Distance!$T",C103+4)),"")</f>
        <v>10.91</v>
      </c>
      <c r="P107" s="147" t="str">
        <f ca="1">IFERROR(IF(OR(O107="",O107=0,O107&lt;A102),"",VLOOKUP(O107,A102:B110,2,TRUE)),9)</f>
        <v/>
      </c>
      <c r="R107" s="66">
        <f ca="1">IFERROR(IF(OR(E107=0,E107="",H107=0,H107="",H107="X"),0,VLOOKUP(D107,INDIRECT(MatchDay!$W$2),2,FALSE)),"")</f>
        <v>5</v>
      </c>
      <c r="S107" s="66">
        <f ca="1">IFERROR(IF(OR(L107=0,L107="",O107=0,O107="",O107="X"),0,VLOOKUP(K107,INDIRECT(MatchDay!$W$2),3,FALSE)),"")</f>
        <v>3</v>
      </c>
    </row>
    <row r="108" spans="1:21" x14ac:dyDescent="0.35">
      <c r="A108" s="105">
        <f>IFERROR(VLOOKUP(C101,standards,9,FALSE),"-")</f>
        <v>29</v>
      </c>
      <c r="B108" s="419">
        <v>7</v>
      </c>
      <c r="C108" s="105"/>
      <c r="D108" s="104">
        <f ca="1">IFERROR(INDIRECT(CONCATENATE("Distance!$d",C103+5)),"")</f>
        <v>6</v>
      </c>
      <c r="E108" s="104" t="str">
        <f ca="1">IFERROR(INDIRECT(CONCATENATE("Distance!$E",C103+5)),"")</f>
        <v/>
      </c>
      <c r="F108" s="286" t="str">
        <f ca="1">IFERROR(VLOOKUP($C101&amp;E108,downloads!$A$1:$E$1000,2,FALSE),"")</f>
        <v/>
      </c>
      <c r="G108" s="64" t="str">
        <f t="shared" ca="1" si="18"/>
        <v/>
      </c>
      <c r="H108" s="109" t="str">
        <f ca="1">IFERROR(INDIRECT(CONCATENATE("Distance!$H",C103+5)),"")</f>
        <v/>
      </c>
      <c r="I108" s="147" t="str">
        <f ca="1">IFERROR(IF(OR(H108="",H108=0,H108&lt;A102),"",VLOOKUP(H108,A102:B110,2,TRUE)),9)</f>
        <v/>
      </c>
      <c r="J108" s="67"/>
      <c r="K108" s="104">
        <f ca="1">IFERROR(INDIRECT(CONCATENATE("Distance!$j",C103+5)),"")</f>
        <v>6</v>
      </c>
      <c r="L108" s="104" t="str">
        <f ca="1">IFERROR(INDIRECT(CONCATENATE("Distance!$k",C103+5)),"")</f>
        <v/>
      </c>
      <c r="M108" s="286" t="str">
        <f ca="1">IFERROR(VLOOKUP($C101&amp;L108,downloads!$A$1:$E$1000,2,FALSE),"")</f>
        <v/>
      </c>
      <c r="N108" s="64" t="str">
        <f t="shared" ca="1" si="19"/>
        <v/>
      </c>
      <c r="O108" s="109" t="str">
        <f ca="1">IFERROR(INDIRECT(CONCATENATE("Distance!$T",C103+5)),"")</f>
        <v/>
      </c>
      <c r="P108" s="147" t="str">
        <f ca="1">IFERROR(IF(OR(O108="",O108=0,O108&lt;A102),"",VLOOKUP(O108,A102:B110,2,TRUE)),9)</f>
        <v/>
      </c>
      <c r="R108" s="66">
        <f ca="1">IFERROR(IF(OR(E108=0,E108="",H108=0,H108="",H108="X"),0,VLOOKUP(D108,INDIRECT(MatchDay!$W$2),2,FALSE)),"")</f>
        <v>0</v>
      </c>
      <c r="S108" s="66">
        <f ca="1">IFERROR(IF(OR(L108=0,L108="",O108=0,O108="",O108="X"),0,VLOOKUP(K108,INDIRECT(MatchDay!$W$2),3,FALSE)),"")</f>
        <v>0</v>
      </c>
    </row>
    <row r="109" spans="1:21" x14ac:dyDescent="0.35">
      <c r="A109" s="105">
        <f>IFERROR(VLOOKUP(C101,standards,10,FALSE),"-")</f>
        <v>32</v>
      </c>
      <c r="B109" s="419">
        <v>8</v>
      </c>
      <c r="C109" s="103" t="s">
        <v>151</v>
      </c>
      <c r="D109" s="104">
        <f ca="1">IFERROR(INDIRECT(CONCATENATE("Distance!$d",C103+6)),"")</f>
        <v>7</v>
      </c>
      <c r="E109" s="104" t="str">
        <f ca="1">IFERROR(INDIRECT(CONCATENATE("Distance!$E",C103+6)),"")</f>
        <v/>
      </c>
      <c r="F109" s="286" t="str">
        <f ca="1">IFERROR(VLOOKUP($C101&amp;E109,downloads!$A$1:$E$1000,2,FALSE),"")</f>
        <v/>
      </c>
      <c r="G109" s="64" t="str">
        <f t="shared" ca="1" si="18"/>
        <v/>
      </c>
      <c r="H109" s="109" t="str">
        <f ca="1">IFERROR(INDIRECT(CONCATENATE("Distance!$H",C103+6)),"")</f>
        <v/>
      </c>
      <c r="I109" s="147" t="str">
        <f ca="1">IFERROR(IF(OR(H109="",H109=0,H109&lt;A102),"",VLOOKUP(H109,A102:B110,2,TRUE)),9)</f>
        <v/>
      </c>
      <c r="J109" s="67"/>
      <c r="K109" s="104">
        <f ca="1">IFERROR(INDIRECT(CONCATENATE("Distance!$j",C103+6)),"")</f>
        <v>7</v>
      </c>
      <c r="L109" s="104" t="str">
        <f ca="1">IFERROR(INDIRECT(CONCATENATE("Distance!$k",C103+6)),"")</f>
        <v/>
      </c>
      <c r="M109" s="286" t="str">
        <f ca="1">IFERROR(VLOOKUP($C101&amp;L109,downloads!$A$1:$E$1000,2,FALSE),"")</f>
        <v/>
      </c>
      <c r="N109" s="64" t="str">
        <f t="shared" ca="1" si="19"/>
        <v/>
      </c>
      <c r="O109" s="109" t="str">
        <f ca="1">IFERROR(INDIRECT(CONCATENATE("Distance!$T",C103+6)),"")</f>
        <v/>
      </c>
      <c r="P109" s="147" t="str">
        <f ca="1">IFERROR(IF(OR(O109="",O109=0,O109&lt;A102),"",VLOOKUP(O109,A102:B110,2,TRUE)),9)</f>
        <v/>
      </c>
      <c r="R109" s="66">
        <f ca="1">IFERROR(IF(OR(E109=0,E109="",H109=0,H109="",H109="X"),0,VLOOKUP(D109,INDIRECT(MatchDay!$W$2),2,FALSE)),"")</f>
        <v>0</v>
      </c>
      <c r="S109" s="66">
        <f ca="1">IFERROR(IF(OR(L109=0,L109="",O109=0,O109="",O109="X"),0,VLOOKUP(K109,INDIRECT(MatchDay!$W$2),3,FALSE)),"")</f>
        <v>0</v>
      </c>
    </row>
    <row r="110" spans="1:21" x14ac:dyDescent="0.35">
      <c r="A110" s="105">
        <f>IFERROR(VLOOKUP(C101,standards,11,FALSE),"-")</f>
        <v>35</v>
      </c>
      <c r="B110" s="419">
        <v>9</v>
      </c>
      <c r="C110" s="103">
        <f>IFERROR(VLOOKUP(C101,records,5,FALSE),"")</f>
        <v>49.49</v>
      </c>
      <c r="D110" s="104">
        <f ca="1">IFERROR(INDIRECT(CONCATENATE("Distance!$d",C103+7)),"")</f>
        <v>8</v>
      </c>
      <c r="E110" s="104" t="str">
        <f ca="1">IFERROR(INDIRECT(CONCATENATE("Distance!$E",C103+7)),"")</f>
        <v/>
      </c>
      <c r="F110" s="286" t="str">
        <f ca="1">IFERROR(VLOOKUP($C101&amp;E110,downloads!$A$1:$E$1000,2,FALSE),"")</f>
        <v/>
      </c>
      <c r="G110" s="64" t="str">
        <f t="shared" ca="1" si="18"/>
        <v/>
      </c>
      <c r="H110" s="109" t="str">
        <f ca="1">IFERROR(INDIRECT(CONCATENATE("Distance!$H",C103+7)),"")</f>
        <v/>
      </c>
      <c r="I110" s="147" t="str">
        <f ca="1">IFERROR(IF(OR(H110="",H110=0,H110&lt;A102),"",VLOOKUP(H110,A102:B110,2,TRUE)),9)</f>
        <v/>
      </c>
      <c r="J110" s="67"/>
      <c r="K110" s="104">
        <f ca="1">IFERROR(INDIRECT(CONCATENATE("Distance!$j",C103+7)),"")</f>
        <v>8</v>
      </c>
      <c r="L110" s="104" t="str">
        <f ca="1">IFERROR(INDIRECT(CONCATENATE("Distance!$k",C103+7)),"")</f>
        <v/>
      </c>
      <c r="M110" s="286" t="str">
        <f ca="1">IFERROR(VLOOKUP($C101&amp;L110,downloads!$A$1:$E$1000,2,FALSE),"")</f>
        <v/>
      </c>
      <c r="N110" s="64" t="str">
        <f t="shared" ca="1" si="19"/>
        <v/>
      </c>
      <c r="O110" s="109" t="str">
        <f ca="1">IFERROR(INDIRECT(CONCATENATE("Distance!$T",C103+7)),"")</f>
        <v/>
      </c>
      <c r="P110" s="147" t="str">
        <f ca="1">IFERROR(IF(OR(O110="",O110=0,O110&lt;A102),"",VLOOKUP(O110,A102:B110,2,TRUE)),9)</f>
        <v/>
      </c>
      <c r="R110" s="66">
        <f ca="1">IFERROR(IF(OR(E110=0,E110="",H110=0,H110="",H110="X"),0,VLOOKUP(D110,INDIRECT(MatchDay!$W$2),2,FALSE)),"")</f>
        <v>0</v>
      </c>
      <c r="S110" s="66">
        <f ca="1">IFERROR(IF(OR(L110=0,L110="",O110=0,O110="",O110="X"),0,VLOOKUP(K110,INDIRECT(MatchDay!$W$2),3,FALSE)),"")</f>
        <v>0</v>
      </c>
    </row>
    <row r="112" spans="1:21" x14ac:dyDescent="0.35">
      <c r="C112" s="98" t="s">
        <v>194</v>
      </c>
      <c r="D112" s="99" t="str">
        <f>IFERROR(VLOOKUP(C112,timetables,2,FALSE)&amp;" "&amp;VLOOKUP(C112,timetables,3,FALSE)&amp;" A","")</f>
        <v>Shot U15 Girls A</v>
      </c>
      <c r="E112" s="99"/>
      <c r="H112" s="108" t="str">
        <f ca="1">IFERROR(IF(OR(H114=0,H114="",H114="X"),"",IF(H114&gt;C121,"REC",IF(H114=C121,"=Rec",""))),"")</f>
        <v/>
      </c>
      <c r="I112" s="147" t="str">
        <f ca="1">IFERROR(IF(OR(H114=0,H114="",H114="X"),"",IF(H114&gt;C121,"REC",IF(H114=C121,"=Rec",""))),"")</f>
        <v/>
      </c>
      <c r="K112" s="101" t="str">
        <f>IFERROR(VLOOKUP(C112,timetables,2,FALSE)&amp;" "&amp;VLOOKUP(C112,timetables,3,FALSE)&amp;" B","")</f>
        <v>Shot U15 Girls B</v>
      </c>
      <c r="L112" s="102"/>
      <c r="R112" s="66" t="s">
        <v>53</v>
      </c>
      <c r="S112" s="66" t="s">
        <v>54</v>
      </c>
    </row>
    <row r="113" spans="1:21" x14ac:dyDescent="0.35">
      <c r="A113" s="105">
        <f>IFERROR(VLOOKUP(C112,standards,3,FALSE),"-")</f>
        <v>6</v>
      </c>
      <c r="B113" s="419">
        <v>1</v>
      </c>
      <c r="C113" s="79"/>
      <c r="D113" s="45" t="s">
        <v>177</v>
      </c>
      <c r="E113" s="45" t="s">
        <v>118</v>
      </c>
      <c r="F113" s="47" t="s">
        <v>174</v>
      </c>
      <c r="G113" s="47" t="s">
        <v>175</v>
      </c>
      <c r="H113" s="45" t="s">
        <v>176</v>
      </c>
      <c r="I113" s="148" t="s">
        <v>1003</v>
      </c>
      <c r="J113" s="47"/>
      <c r="K113" s="45" t="s">
        <v>177</v>
      </c>
      <c r="L113" s="45" t="s">
        <v>118</v>
      </c>
      <c r="M113" s="47" t="s">
        <v>174</v>
      </c>
      <c r="N113" s="47" t="s">
        <v>175</v>
      </c>
      <c r="O113" s="45" t="s">
        <v>176</v>
      </c>
      <c r="P113" s="148" t="s">
        <v>1003</v>
      </c>
    </row>
    <row r="114" spans="1:21" x14ac:dyDescent="0.35">
      <c r="A114" s="105">
        <f>IFERROR(VLOOKUP(C112,standards,4,FALSE),"-")</f>
        <v>6.5</v>
      </c>
      <c r="B114" s="419">
        <v>2</v>
      </c>
      <c r="C114" s="66">
        <f>IFERROR(VLOOKUP(C112,Distance!A:B,2,FALSE),"")</f>
        <v>347</v>
      </c>
      <c r="D114" s="104">
        <f ca="1">IFERROR(INDIRECT(CONCATENATE("Distance!$d",C114)),"")</f>
        <v>1</v>
      </c>
      <c r="E114" s="104">
        <f ca="1">IFERROR(INDIRECT(CONCATENATE("Distance!$E",C114)),"")</f>
        <v>7</v>
      </c>
      <c r="F114" s="286" t="str">
        <f ca="1">IFERROR(VLOOKUP($C112&amp;E114,downloads!$A$1:$E$1000,2,FALSE),"")</f>
        <v>Lauren HEWITT</v>
      </c>
      <c r="G114" s="64" t="str">
        <f t="shared" ref="G114:G121" ca="1" si="20">IFERROR(VLOOKUP(E114,teamlookup,5,FALSE),"")</f>
        <v>Wigan</v>
      </c>
      <c r="H114" s="109">
        <f ca="1">IFERROR(INDIRECT(CONCATENATE("Distance!$H",C114)),"")</f>
        <v>8.32</v>
      </c>
      <c r="I114" s="147">
        <f ca="1">IFERROR(IF(OR(H114="",H114=0,H114&lt;A113),"",VLOOKUP(H114,A113:B121,2,TRUE)),9)</f>
        <v>5</v>
      </c>
      <c r="J114" s="67"/>
      <c r="K114" s="104">
        <f ca="1">IFERROR(INDIRECT(CONCATENATE("Distance!$j",C114)),"")</f>
        <v>1</v>
      </c>
      <c r="L114" s="104">
        <f ca="1">IFERROR(INDIRECT(CONCATENATE("Distance!$k",C114)),"")</f>
        <v>11</v>
      </c>
      <c r="M114" s="286" t="str">
        <f ca="1">IFERROR(VLOOKUP($C112&amp;L114,downloads!$A$1:$E$1000,2,FALSE),"")</f>
        <v>Bella VARLEY</v>
      </c>
      <c r="N114" s="64" t="str">
        <f t="shared" ref="N114:N121" ca="1" si="21">IFERROR(VLOOKUP(L114,teamlookup,5,FALSE),"")</f>
        <v>C&amp;N</v>
      </c>
      <c r="O114" s="109">
        <f ca="1">IFERROR(INDIRECT(CONCATENATE("Distance!$T",C114)),"")</f>
        <v>6.49</v>
      </c>
      <c r="P114" s="147">
        <f ca="1">IFERROR(IF(OR(O114="",O114=0,O114&lt;A113),"",VLOOKUP(O114,A113:B121,2,TRUE)),9)</f>
        <v>1</v>
      </c>
      <c r="R114" s="66">
        <f ca="1">IFERROR(IF(OR(E114=0,E114="",H114=0,H114="",H114="X"),0,VLOOKUP(D114,INDIRECT(MatchDay!$W$2),2,FALSE)),"")</f>
        <v>10</v>
      </c>
      <c r="S114" s="66">
        <f ca="1">IFERROR(IF(OR(L114=0,L114="",O114=0,O114="",O114="X"),0,VLOOKUP(K114,INDIRECT(MatchDay!$W$2),3,FALSE)),"")</f>
        <v>8</v>
      </c>
      <c r="T114" s="168">
        <f ca="1">COUNTIF(E114,"&gt;0")</f>
        <v>1</v>
      </c>
      <c r="U114" s="66">
        <f ca="1">IFERROR(IF(E114&gt;88,1,0),0)</f>
        <v>0</v>
      </c>
    </row>
    <row r="115" spans="1:21" x14ac:dyDescent="0.35">
      <c r="A115" s="105">
        <f>IFERROR(VLOOKUP(C112,standards,5,FALSE),"-")</f>
        <v>7</v>
      </c>
      <c r="B115" s="419">
        <v>3</v>
      </c>
      <c r="C115" s="103"/>
      <c r="D115" s="104">
        <f ca="1">IFERROR(INDIRECT(CONCATENATE("Distance!$d",C114+1)),"")</f>
        <v>2</v>
      </c>
      <c r="E115" s="104">
        <f ca="1">IFERROR(INDIRECT(CONCATENATE("Distance!$E",C114+1)),"")</f>
        <v>6</v>
      </c>
      <c r="F115" s="286" t="str">
        <f ca="1">IFERROR(VLOOKUP($C112&amp;E115,downloads!$A$1:$E$1000,2,FALSE),"")</f>
        <v>Lucy JONES</v>
      </c>
      <c r="G115" s="64" t="str">
        <f t="shared" ca="1" si="20"/>
        <v>Stock</v>
      </c>
      <c r="H115" s="109">
        <f ca="1">IFERROR(INDIRECT(CONCATENATE("Distance!$H",C114+1)),"")</f>
        <v>7.86</v>
      </c>
      <c r="I115" s="147">
        <f ca="1">IFERROR(IF(OR(H115="",H115=0,H115&lt;A113),"",VLOOKUP(H115,A113:B121,2,TRUE)),9)</f>
        <v>4</v>
      </c>
      <c r="J115" s="67"/>
      <c r="K115" s="104">
        <f ca="1">IFERROR(INDIRECT(CONCATENATE("Distance!$j",C114+1)),"")</f>
        <v>2</v>
      </c>
      <c r="L115" s="104">
        <f ca="1">IFERROR(INDIRECT(CONCATENATE("Distance!$k",C114+1)),"")</f>
        <v>3</v>
      </c>
      <c r="M115" s="286" t="str">
        <f ca="1">IFERROR(VLOOKUP($C112&amp;L115,downloads!$A$1:$E$1000,2,FALSE),"")</f>
        <v>Eva MELLING</v>
      </c>
      <c r="N115" s="64" t="str">
        <f t="shared" ca="1" si="21"/>
        <v>Leigh</v>
      </c>
      <c r="O115" s="109">
        <f ca="1">IFERROR(INDIRECT(CONCATENATE("Distance!$T",C114+1)),"")</f>
        <v>5.79</v>
      </c>
      <c r="P115" s="147" t="str">
        <f ca="1">IFERROR(IF(OR(O115="",O115=0,O115&lt;A113),"",VLOOKUP(O115,A113:B121,2,TRUE)),9)</f>
        <v/>
      </c>
      <c r="R115" s="66">
        <f ca="1">IFERROR(IF(OR(E115=0,E115="",H115=0,H115="",H115="X"),0,VLOOKUP(D115,INDIRECT(MatchDay!$W$2),2,FALSE)),"")</f>
        <v>8</v>
      </c>
      <c r="S115" s="66">
        <f ca="1">IFERROR(IF(OR(L115=0,L115="",O115=0,O115="",O115="X"),0,VLOOKUP(K115,INDIRECT(MatchDay!$W$2),3,FALSE)),"")</f>
        <v>6</v>
      </c>
    </row>
    <row r="116" spans="1:21" x14ac:dyDescent="0.35">
      <c r="A116" s="105">
        <f>IFERROR(VLOOKUP(C112,standards,6,FALSE),"-")</f>
        <v>7.6</v>
      </c>
      <c r="B116" s="419">
        <v>4</v>
      </c>
      <c r="C116" s="105"/>
      <c r="D116" s="104">
        <f ca="1">IFERROR(INDIRECT(CONCATENATE("Distance!$d",C114+2)),"")</f>
        <v>3</v>
      </c>
      <c r="E116" s="104">
        <f ca="1">IFERROR(INDIRECT(CONCATENATE("Distance!$E",C114+2)),"")</f>
        <v>1</v>
      </c>
      <c r="F116" s="286" t="str">
        <f ca="1">IFERROR(VLOOKUP($C112&amp;E116,downloads!$A$1:$E$1000,2,FALSE),"")</f>
        <v>Lucy HARDING</v>
      </c>
      <c r="G116" s="64" t="str">
        <f t="shared" ca="1" si="20"/>
        <v>C&amp;N</v>
      </c>
      <c r="H116" s="109">
        <f ca="1">IFERROR(INDIRECT(CONCATENATE("Distance!$H",C114+2)),"")</f>
        <v>7.4</v>
      </c>
      <c r="I116" s="147">
        <f ca="1">IFERROR(IF(OR(H116="",H116=0,H116&lt;A113),"",VLOOKUP(H116,A113:B121,2,TRUE)),9)</f>
        <v>3</v>
      </c>
      <c r="J116" s="67"/>
      <c r="K116" s="104">
        <f ca="1">IFERROR(INDIRECT(CONCATENATE("Distance!$j",C114+2)),"")</f>
        <v>3</v>
      </c>
      <c r="L116" s="104">
        <f ca="1">IFERROR(INDIRECT(CONCATENATE("Distance!$k",C114+2)),"")</f>
        <v>77</v>
      </c>
      <c r="M116" s="286" t="str">
        <f ca="1">IFERROR(VLOOKUP($C112&amp;L116,downloads!$A$1:$E$1000,2,FALSE),"")</f>
        <v>Lucy STRETTON</v>
      </c>
      <c r="N116" s="64" t="str">
        <f t="shared" ca="1" si="21"/>
        <v>Wigan</v>
      </c>
      <c r="O116" s="109">
        <f ca="1">IFERROR(INDIRECT(CONCATENATE("Distance!$T",C114+2)),"")</f>
        <v>5.72</v>
      </c>
      <c r="P116" s="147" t="str">
        <f ca="1">IFERROR(IF(OR(O116="",O116=0,O116&lt;A113),"",VLOOKUP(O116,A113:B121,2,TRUE)),9)</f>
        <v/>
      </c>
      <c r="R116" s="66">
        <f ca="1">IFERROR(IF(OR(E116=0,E116="",H116=0,H116="",H116="X"),0,VLOOKUP(D116,INDIRECT(MatchDay!$W$2),2,FALSE)),"")</f>
        <v>7</v>
      </c>
      <c r="S116" s="66">
        <f ca="1">IFERROR(IF(OR(L116=0,L116="",O116=0,O116="",O116="X"),0,VLOOKUP(K116,INDIRECT(MatchDay!$W$2),3,FALSE)),"")</f>
        <v>5</v>
      </c>
    </row>
    <row r="117" spans="1:21" x14ac:dyDescent="0.35">
      <c r="A117" s="105">
        <f>IFERROR(VLOOKUP(C112,standards,7,FALSE),"-")</f>
        <v>8.1999999999999993</v>
      </c>
      <c r="B117" s="419">
        <v>5</v>
      </c>
      <c r="C117" s="105"/>
      <c r="D117" s="104">
        <f ca="1">IFERROR(INDIRECT(CONCATENATE("Distance!$d",C114+3)),"")</f>
        <v>4</v>
      </c>
      <c r="E117" s="104">
        <f ca="1">IFERROR(INDIRECT(CONCATENATE("Distance!$E",C114+3)),"")</f>
        <v>5</v>
      </c>
      <c r="F117" s="286" t="str">
        <f ca="1">IFERROR(VLOOKUP($C112&amp;E117,downloads!$A$1:$E$1000,2,FALSE),"")</f>
        <v>Erin JACOBS</v>
      </c>
      <c r="G117" s="64" t="str">
        <f t="shared" ca="1" si="20"/>
        <v>Menai</v>
      </c>
      <c r="H117" s="109">
        <f ca="1">IFERROR(INDIRECT(CONCATENATE("Distance!$H",C114+3)),"")</f>
        <v>7.19</v>
      </c>
      <c r="I117" s="147">
        <f ca="1">IFERROR(IF(OR(H117="",H117=0,H117&lt;A113),"",VLOOKUP(H117,A113:B121,2,TRUE)),9)</f>
        <v>3</v>
      </c>
      <c r="J117" s="67"/>
      <c r="K117" s="104">
        <f ca="1">IFERROR(INDIRECT(CONCATENATE("Distance!$j",C114+3)),"")</f>
        <v>4</v>
      </c>
      <c r="L117" s="104">
        <f ca="1">IFERROR(INDIRECT(CONCATENATE("Distance!$k",C114+3)),"")</f>
        <v>55</v>
      </c>
      <c r="M117" s="286" t="str">
        <f ca="1">IFERROR(VLOOKUP($C112&amp;L117,downloads!$A$1:$E$1000,2,FALSE),"")</f>
        <v>Krista JONES</v>
      </c>
      <c r="N117" s="64" t="str">
        <f t="shared" ca="1" si="21"/>
        <v>Menai</v>
      </c>
      <c r="O117" s="109">
        <f ca="1">IFERROR(INDIRECT(CONCATENATE("Distance!$T",C114+3)),"")</f>
        <v>5.54</v>
      </c>
      <c r="P117" s="147" t="str">
        <f ca="1">IFERROR(IF(OR(O117="",O117=0,O117&lt;A113),"",VLOOKUP(O117,A113:B121,2,TRUE)),9)</f>
        <v/>
      </c>
      <c r="R117" s="66">
        <f ca="1">IFERROR(IF(OR(E117=0,E117="",H117=0,H117="",H117="X"),0,VLOOKUP(D117,INDIRECT(MatchDay!$W$2),2,FALSE)),"")</f>
        <v>6</v>
      </c>
      <c r="S117" s="66">
        <f ca="1">IFERROR(IF(OR(L117=0,L117="",O117=0,O117="",O117="X"),0,VLOOKUP(K117,INDIRECT(MatchDay!$W$2),3,FALSE)),"")</f>
        <v>4</v>
      </c>
    </row>
    <row r="118" spans="1:21" x14ac:dyDescent="0.35">
      <c r="A118" s="105">
        <f>IFERROR(VLOOKUP(C112,standards,8,FALSE),"-")</f>
        <v>8.8000000000000007</v>
      </c>
      <c r="B118" s="419">
        <v>6</v>
      </c>
      <c r="C118" s="105"/>
      <c r="D118" s="104">
        <f ca="1">IFERROR(INDIRECT(CONCATENATE("Distance!$d",C114+4)),"")</f>
        <v>5</v>
      </c>
      <c r="E118" s="104">
        <f ca="1">IFERROR(INDIRECT(CONCATENATE("Distance!$E",C114+4)),"")</f>
        <v>33</v>
      </c>
      <c r="F118" s="286" t="str">
        <f ca="1">IFERROR(VLOOKUP($C112&amp;E118,downloads!$A$1:$E$1000,2,FALSE),"")</f>
        <v>Olivia COPPER</v>
      </c>
      <c r="G118" s="64" t="str">
        <f t="shared" ca="1" si="20"/>
        <v>Leigh</v>
      </c>
      <c r="H118" s="109">
        <f ca="1">IFERROR(INDIRECT(CONCATENATE("Distance!$H",C114+4)),"")</f>
        <v>6.11</v>
      </c>
      <c r="I118" s="147">
        <f ca="1">IFERROR(IF(OR(H118="",H118=0,H118&lt;A113),"",VLOOKUP(H118,A113:B121,2,TRUE)),9)</f>
        <v>1</v>
      </c>
      <c r="J118" s="67"/>
      <c r="K118" s="104">
        <f ca="1">IFERROR(INDIRECT(CONCATENATE("Distance!$j",C114+4)),"")</f>
        <v>5</v>
      </c>
      <c r="L118" s="104" t="str">
        <f ca="1">IFERROR(INDIRECT(CONCATENATE("Distance!$k",C114+4)),"")</f>
        <v/>
      </c>
      <c r="M118" s="286" t="str">
        <f ca="1">IFERROR(VLOOKUP($C112&amp;L118,downloads!$A$1:$E$1000,2,FALSE),"")</f>
        <v/>
      </c>
      <c r="N118" s="64" t="str">
        <f t="shared" ca="1" si="21"/>
        <v/>
      </c>
      <c r="O118" s="109" t="str">
        <f ca="1">IFERROR(INDIRECT(CONCATENATE("Distance!$T",C114+4)),"")</f>
        <v/>
      </c>
      <c r="P118" s="147" t="str">
        <f ca="1">IFERROR(IF(OR(O118="",O118=0,O118&lt;A113),"",VLOOKUP(O118,A113:B121,2,TRUE)),9)</f>
        <v/>
      </c>
      <c r="R118" s="66">
        <f ca="1">IFERROR(IF(OR(E118=0,E118="",H118=0,H118="",H118="X"),0,VLOOKUP(D118,INDIRECT(MatchDay!$W$2),2,FALSE)),"")</f>
        <v>5</v>
      </c>
      <c r="S118" s="66">
        <f ca="1">IFERROR(IF(OR(L118=0,L118="",O118=0,O118="",O118="X"),0,VLOOKUP(K118,INDIRECT(MatchDay!$W$2),3,FALSE)),"")</f>
        <v>0</v>
      </c>
    </row>
    <row r="119" spans="1:21" x14ac:dyDescent="0.35">
      <c r="A119" s="105">
        <f>IFERROR(VLOOKUP(C112,standards,9,FALSE),"-")</f>
        <v>9.4</v>
      </c>
      <c r="B119" s="419">
        <v>7</v>
      </c>
      <c r="C119" s="105"/>
      <c r="D119" s="104">
        <f ca="1">IFERROR(INDIRECT(CONCATENATE("Distance!$d",C114+5)),"")</f>
        <v>6</v>
      </c>
      <c r="E119" s="104">
        <f ca="1">IFERROR(INDIRECT(CONCATENATE("Distance!$E",C114+5)),"")</f>
        <v>2</v>
      </c>
      <c r="F119" s="286" t="str">
        <f ca="1">IFERROR(VLOOKUP($C112&amp;E119,downloads!$A$1:$E$1000,2,FALSE),"")</f>
        <v>Isla HERRING</v>
      </c>
      <c r="G119" s="64" t="str">
        <f t="shared" ca="1" si="20"/>
        <v>ECHT</v>
      </c>
      <c r="H119" s="109">
        <f ca="1">IFERROR(INDIRECT(CONCATENATE("Distance!$H",C114+5)),"")</f>
        <v>4.34</v>
      </c>
      <c r="I119" s="147" t="str">
        <f ca="1">IFERROR(IF(OR(H119="",H119=0,H119&lt;A113),"",VLOOKUP(H119,A113:B121,2,TRUE)),9)</f>
        <v/>
      </c>
      <c r="J119" s="67"/>
      <c r="K119" s="104">
        <f ca="1">IFERROR(INDIRECT(CONCATENATE("Distance!$j",C114+5)),"")</f>
        <v>6</v>
      </c>
      <c r="L119" s="104" t="str">
        <f ca="1">IFERROR(INDIRECT(CONCATENATE("Distance!$k",C114+5)),"")</f>
        <v/>
      </c>
      <c r="M119" s="286" t="str">
        <f ca="1">IFERROR(VLOOKUP($C112&amp;L119,downloads!$A$1:$E$1000,2,FALSE),"")</f>
        <v/>
      </c>
      <c r="N119" s="64" t="str">
        <f t="shared" ca="1" si="21"/>
        <v/>
      </c>
      <c r="O119" s="109" t="str">
        <f ca="1">IFERROR(INDIRECT(CONCATENATE("Distance!$T",C114+5)),"")</f>
        <v/>
      </c>
      <c r="P119" s="147" t="str">
        <f ca="1">IFERROR(IF(OR(O119="",O119=0,O119&lt;A113),"",VLOOKUP(O119,A113:B121,2,TRUE)),9)</f>
        <v/>
      </c>
      <c r="R119" s="66">
        <f ca="1">IFERROR(IF(OR(E119=0,E119="",H119=0,H119="",H119="X"),0,VLOOKUP(D119,INDIRECT(MatchDay!$W$2),2,FALSE)),"")</f>
        <v>4</v>
      </c>
      <c r="S119" s="66">
        <f ca="1">IFERROR(IF(OR(L119=0,L119="",O119=0,O119="",O119="X"),0,VLOOKUP(K119,INDIRECT(MatchDay!$W$2),3,FALSE)),"")</f>
        <v>0</v>
      </c>
    </row>
    <row r="120" spans="1:21" x14ac:dyDescent="0.35">
      <c r="A120" s="105">
        <f>IFERROR(VLOOKUP(C112,standards,10,FALSE),"-")</f>
        <v>10</v>
      </c>
      <c r="B120" s="419">
        <v>8</v>
      </c>
      <c r="C120" s="103" t="s">
        <v>151</v>
      </c>
      <c r="D120" s="104">
        <f ca="1">IFERROR(INDIRECT(CONCATENATE("Distance!$d",C114+6)),"")</f>
        <v>7</v>
      </c>
      <c r="E120" s="104" t="str">
        <f ca="1">IFERROR(INDIRECT(CONCATENATE("Distance!$E",C114+6)),"")</f>
        <v/>
      </c>
      <c r="F120" s="286" t="str">
        <f ca="1">IFERROR(VLOOKUP($C112&amp;E120,downloads!$A$1:$E$1000,2,FALSE),"")</f>
        <v/>
      </c>
      <c r="G120" s="64" t="str">
        <f t="shared" ca="1" si="20"/>
        <v/>
      </c>
      <c r="H120" s="109" t="str">
        <f ca="1">IFERROR(INDIRECT(CONCATENATE("Distance!$H",C114+6)),"")</f>
        <v/>
      </c>
      <c r="I120" s="147" t="str">
        <f ca="1">IFERROR(IF(OR(H120="",H120=0,H120&lt;A113),"",VLOOKUP(H120,A113:B121,2,TRUE)),9)</f>
        <v/>
      </c>
      <c r="J120" s="67"/>
      <c r="K120" s="104">
        <f ca="1">IFERROR(INDIRECT(CONCATENATE("Distance!$j",C114+6)),"")</f>
        <v>7</v>
      </c>
      <c r="L120" s="104" t="str">
        <f ca="1">IFERROR(INDIRECT(CONCATENATE("Distance!$k",C114+6)),"")</f>
        <v/>
      </c>
      <c r="M120" s="286" t="str">
        <f ca="1">IFERROR(VLOOKUP($C112&amp;L120,downloads!$A$1:$E$1000,2,FALSE),"")</f>
        <v/>
      </c>
      <c r="N120" s="64" t="str">
        <f t="shared" ca="1" si="21"/>
        <v/>
      </c>
      <c r="O120" s="109" t="str">
        <f ca="1">IFERROR(INDIRECT(CONCATENATE("Distance!$T",C114+6)),"")</f>
        <v/>
      </c>
      <c r="P120" s="147" t="str">
        <f ca="1">IFERROR(IF(OR(O120="",O120=0,O120&lt;A113),"",VLOOKUP(O120,A113:B121,2,TRUE)),9)</f>
        <v/>
      </c>
      <c r="R120" s="66">
        <f ca="1">IFERROR(IF(OR(E120=0,E120="",H120=0,H120="",H120="X"),0,VLOOKUP(D120,INDIRECT(MatchDay!$W$2),2,FALSE)),"")</f>
        <v>0</v>
      </c>
      <c r="S120" s="66">
        <f ca="1">IFERROR(IF(OR(L120=0,L120="",O120=0,O120="",O120="X"),0,VLOOKUP(K120,INDIRECT(MatchDay!$W$2),3,FALSE)),"")</f>
        <v>0</v>
      </c>
    </row>
    <row r="121" spans="1:21" x14ac:dyDescent="0.35">
      <c r="A121" s="105">
        <f>IFERROR(VLOOKUP(C112,standards,11,FALSE),"-")</f>
        <v>10.8</v>
      </c>
      <c r="B121" s="419">
        <v>9</v>
      </c>
      <c r="C121" s="103">
        <f>IFERROR(VLOOKUP(C112,records,5,FALSE),"")</f>
        <v>13.72</v>
      </c>
      <c r="D121" s="104">
        <f ca="1">IFERROR(INDIRECT(CONCATENATE("Distance!$d",C114+7)),"")</f>
        <v>8</v>
      </c>
      <c r="E121" s="104" t="str">
        <f ca="1">IFERROR(INDIRECT(CONCATENATE("Distance!$E",C114+7)),"")</f>
        <v/>
      </c>
      <c r="F121" s="286" t="str">
        <f ca="1">IFERROR(VLOOKUP($C112&amp;E121,downloads!$A$1:$E$1000,2,FALSE),"")</f>
        <v/>
      </c>
      <c r="G121" s="64" t="str">
        <f t="shared" ca="1" si="20"/>
        <v/>
      </c>
      <c r="H121" s="109" t="str">
        <f ca="1">IFERROR(INDIRECT(CONCATENATE("Distance!$H",C114+7)),"")</f>
        <v/>
      </c>
      <c r="I121" s="147" t="str">
        <f ca="1">IFERROR(IF(OR(H121="",H121=0,H121&lt;A113),"",VLOOKUP(H121,A113:B121,2,TRUE)),9)</f>
        <v/>
      </c>
      <c r="J121" s="67"/>
      <c r="K121" s="104">
        <f ca="1">IFERROR(INDIRECT(CONCATENATE("Distance!$j",C114+7)),"")</f>
        <v>8</v>
      </c>
      <c r="L121" s="104" t="str">
        <f ca="1">IFERROR(INDIRECT(CONCATENATE("Distance!$k",C114+7)),"")</f>
        <v/>
      </c>
      <c r="M121" s="286" t="str">
        <f ca="1">IFERROR(VLOOKUP($C112&amp;L121,downloads!$A$1:$E$1000,2,FALSE),"")</f>
        <v/>
      </c>
      <c r="N121" s="64" t="str">
        <f t="shared" ca="1" si="21"/>
        <v/>
      </c>
      <c r="O121" s="109" t="str">
        <f ca="1">IFERROR(INDIRECT(CONCATENATE("Distance!$T",C114+7)),"")</f>
        <v/>
      </c>
      <c r="P121" s="147" t="str">
        <f ca="1">IFERROR(IF(OR(O121="",O121=0,O121&lt;A113),"",VLOOKUP(O121,A113:B121,2,TRUE)),9)</f>
        <v/>
      </c>
      <c r="R121" s="66">
        <f ca="1">IFERROR(IF(OR(E121=0,E121="",H121=0,H121="",H121="X"),0,VLOOKUP(D121,INDIRECT(MatchDay!$W$2),2,FALSE)),"")</f>
        <v>0</v>
      </c>
      <c r="S121" s="66">
        <f ca="1">IFERROR(IF(OR(L121=0,L121="",O121=0,O121="",O121="X"),0,VLOOKUP(K121,INDIRECT(MatchDay!$W$2),3,FALSE)),"")</f>
        <v>0</v>
      </c>
    </row>
    <row r="123" spans="1:21" x14ac:dyDescent="0.35">
      <c r="C123" s="98" t="s">
        <v>195</v>
      </c>
      <c r="D123" s="99" t="str">
        <f>IFERROR(VLOOKUP(C123,timetables,2,FALSE)&amp;" "&amp;VLOOKUP(C123,timetables,3,FALSE)&amp;" A","")</f>
        <v>Javelin U13 Girls A</v>
      </c>
      <c r="E123" s="99"/>
      <c r="H123" s="108" t="str">
        <f ca="1">IFERROR(IF(OR(H125=0,H125="",H125="X"),"",IF(H125&gt;C132,"REC",IF(H125=C132,"=Rec",""))),"")</f>
        <v/>
      </c>
      <c r="I123" s="147" t="str">
        <f ca="1">IFERROR(IF(OR(H125=0,H125="",H125="X"),"",IF(H125&gt;C132,"REC",IF(H125=C132,"=Rec",""))),"")</f>
        <v/>
      </c>
      <c r="K123" s="101" t="str">
        <f>IFERROR(VLOOKUP(C123,timetables,2,FALSE)&amp;" "&amp;VLOOKUP(C123,timetables,3,FALSE)&amp;" B","")</f>
        <v>Javelin U13 Girls B</v>
      </c>
      <c r="L123" s="102"/>
      <c r="R123" s="66" t="s">
        <v>53</v>
      </c>
      <c r="S123" s="66" t="s">
        <v>54</v>
      </c>
    </row>
    <row r="124" spans="1:21" x14ac:dyDescent="0.35">
      <c r="A124" s="105">
        <f>IFERROR(VLOOKUP(C123,standards,3,FALSE),"-")</f>
        <v>9</v>
      </c>
      <c r="B124" s="419">
        <v>1</v>
      </c>
      <c r="C124" s="79"/>
      <c r="D124" s="45" t="s">
        <v>177</v>
      </c>
      <c r="E124" s="45" t="s">
        <v>118</v>
      </c>
      <c r="F124" s="47" t="s">
        <v>174</v>
      </c>
      <c r="G124" s="47" t="s">
        <v>175</v>
      </c>
      <c r="H124" s="45" t="s">
        <v>176</v>
      </c>
      <c r="I124" s="148" t="s">
        <v>1003</v>
      </c>
      <c r="J124" s="47"/>
      <c r="K124" s="45" t="s">
        <v>177</v>
      </c>
      <c r="L124" s="45" t="s">
        <v>118</v>
      </c>
      <c r="M124" s="47" t="s">
        <v>174</v>
      </c>
      <c r="N124" s="47" t="s">
        <v>175</v>
      </c>
      <c r="O124" s="45" t="s">
        <v>176</v>
      </c>
      <c r="P124" s="148" t="s">
        <v>1003</v>
      </c>
    </row>
    <row r="125" spans="1:21" x14ac:dyDescent="0.35">
      <c r="A125" s="105">
        <f>IFERROR(VLOOKUP(C123,standards,4,FALSE),"-")</f>
        <v>11.5</v>
      </c>
      <c r="B125" s="419">
        <v>2</v>
      </c>
      <c r="C125" s="66">
        <f>IFERROR(VLOOKUP(C123,Distance!A:B,2,FALSE),"")</f>
        <v>379</v>
      </c>
      <c r="D125" s="104">
        <f ca="1">IFERROR(INDIRECT(CONCATENATE("Distance!$d",C125)),"")</f>
        <v>1</v>
      </c>
      <c r="E125" s="104">
        <f ca="1">IFERROR(INDIRECT(CONCATENATE("Distance!$E",C125)),"")</f>
        <v>1</v>
      </c>
      <c r="F125" s="286" t="str">
        <f ca="1">IFERROR(VLOOKUP($C123&amp;E125,downloads!$A$1:$E$1000,2,FALSE),"")</f>
        <v>Ruby WILKINS</v>
      </c>
      <c r="G125" s="64" t="str">
        <f t="shared" ref="G125:G132" ca="1" si="22">IFERROR(VLOOKUP(E125,teamlookup,5,FALSE),"")</f>
        <v>C&amp;N</v>
      </c>
      <c r="H125" s="109">
        <f ca="1">IFERROR(INDIRECT(CONCATENATE("Distance!$H",C125)),"")</f>
        <v>15.32</v>
      </c>
      <c r="I125" s="147">
        <f ca="1">IFERROR(IF(OR(H125="",H125=0,H125&lt;A124),"",VLOOKUP(H125,A124:B132,2,TRUE)),9)</f>
        <v>3</v>
      </c>
      <c r="J125" s="67"/>
      <c r="K125" s="104">
        <f ca="1">IFERROR(INDIRECT(CONCATENATE("Distance!$j",C125)),"")</f>
        <v>1</v>
      </c>
      <c r="L125" s="104">
        <f ca="1">IFERROR(INDIRECT(CONCATENATE("Distance!$k",C125)),"")</f>
        <v>33</v>
      </c>
      <c r="M125" s="286" t="str">
        <f ca="1">IFERROR(VLOOKUP($C123&amp;L125,downloads!$A$1:$E$1000,2,FALSE),"")</f>
        <v>Aniko BEHARRIE</v>
      </c>
      <c r="N125" s="64" t="str">
        <f t="shared" ref="N125:N132" ca="1" si="23">IFERROR(VLOOKUP(L125,teamlookup,5,FALSE),"")</f>
        <v>Leigh</v>
      </c>
      <c r="O125" s="109">
        <f ca="1">IFERROR(INDIRECT(CONCATENATE("Distance!$T",C125)),"")</f>
        <v>13.7</v>
      </c>
      <c r="P125" s="147">
        <f ca="1">IFERROR(IF(OR(O125="",O125=0,O125&lt;A124),"",VLOOKUP(O125,A124:B132,2,TRUE)),9)</f>
        <v>2</v>
      </c>
      <c r="R125" s="66">
        <f ca="1">IFERROR(IF(OR(E125=0,E125="",H125=0,H125="",H125="X"),0,VLOOKUP(D125,INDIRECT(MatchDay!$W$2),2,FALSE)),"")</f>
        <v>10</v>
      </c>
      <c r="S125" s="66">
        <f ca="1">IFERROR(IF(OR(L125=0,L125="",O125=0,O125="",O125="X"),0,VLOOKUP(K125,INDIRECT(MatchDay!$W$2),3,FALSE)),"")</f>
        <v>8</v>
      </c>
      <c r="T125" s="168">
        <f ca="1">COUNTIF(E125,"&gt;0")</f>
        <v>1</v>
      </c>
      <c r="U125" s="66">
        <f ca="1">IFERROR(IF(E125&gt;88,1,0),0)</f>
        <v>0</v>
      </c>
    </row>
    <row r="126" spans="1:21" x14ac:dyDescent="0.35">
      <c r="A126" s="105">
        <f>IFERROR(VLOOKUP(C123,standards,5,FALSE),"-")</f>
        <v>14</v>
      </c>
      <c r="B126" s="419">
        <v>3</v>
      </c>
      <c r="C126" s="103"/>
      <c r="D126" s="104">
        <f ca="1">IFERROR(INDIRECT(CONCATENATE("Distance!$d",C125+1)),"")</f>
        <v>2</v>
      </c>
      <c r="E126" s="104">
        <f ca="1">IFERROR(INDIRECT(CONCATENATE("Distance!$E",C125+1)),"")</f>
        <v>3</v>
      </c>
      <c r="F126" s="286" t="str">
        <f ca="1">IFERROR(VLOOKUP($C123&amp;E126,downloads!$A$1:$E$1000,2,FALSE),"")</f>
        <v>Emily ASHTON</v>
      </c>
      <c r="G126" s="64" t="str">
        <f t="shared" ca="1" si="22"/>
        <v>Leigh</v>
      </c>
      <c r="H126" s="109">
        <f ca="1">IFERROR(INDIRECT(CONCATENATE("Distance!$H",C125+1)),"")</f>
        <v>15.31</v>
      </c>
      <c r="I126" s="147">
        <f ca="1">IFERROR(IF(OR(H126="",H126=0,H126&lt;A124),"",VLOOKUP(H126,A124:B132,2,TRUE)),9)</f>
        <v>3</v>
      </c>
      <c r="J126" s="67"/>
      <c r="K126" s="104">
        <f ca="1">IFERROR(INDIRECT(CONCATENATE("Distance!$j",C125+1)),"")</f>
        <v>2</v>
      </c>
      <c r="L126" s="104">
        <f ca="1">IFERROR(INDIRECT(CONCATENATE("Distance!$k",C125+1)),"")</f>
        <v>11</v>
      </c>
      <c r="M126" s="286" t="str">
        <f ca="1">IFERROR(VLOOKUP($C123&amp;L126,downloads!$A$1:$E$1000,2,FALSE),"")</f>
        <v>Malkia HENRY</v>
      </c>
      <c r="N126" s="64" t="str">
        <f t="shared" ca="1" si="23"/>
        <v>C&amp;N</v>
      </c>
      <c r="O126" s="109">
        <f ca="1">IFERROR(INDIRECT(CONCATENATE("Distance!$T",C125+1)),"")</f>
        <v>12.62</v>
      </c>
      <c r="P126" s="147">
        <f ca="1">IFERROR(IF(OR(O126="",O126=0,O126&lt;A124),"",VLOOKUP(O126,A124:B132,2,TRUE)),9)</f>
        <v>2</v>
      </c>
      <c r="R126" s="66">
        <f ca="1">IFERROR(IF(OR(E126=0,E126="",H126=0,H126="",H126="X"),0,VLOOKUP(D126,INDIRECT(MatchDay!$W$2),2,FALSE)),"")</f>
        <v>8</v>
      </c>
      <c r="S126" s="66">
        <f ca="1">IFERROR(IF(OR(L126=0,L126="",O126=0,O126="",O126="X"),0,VLOOKUP(K126,INDIRECT(MatchDay!$W$2),3,FALSE)),"")</f>
        <v>6</v>
      </c>
    </row>
    <row r="127" spans="1:21" x14ac:dyDescent="0.35">
      <c r="A127" s="105">
        <f>IFERROR(VLOOKUP(C123,standards,6,FALSE),"-")</f>
        <v>16.5</v>
      </c>
      <c r="B127" s="419">
        <v>4</v>
      </c>
      <c r="C127" s="105"/>
      <c r="D127" s="104">
        <f ca="1">IFERROR(INDIRECT(CONCATENATE("Distance!$d",C125+2)),"")</f>
        <v>3</v>
      </c>
      <c r="E127" s="104">
        <f ca="1">IFERROR(INDIRECT(CONCATENATE("Distance!$E",C125+2)),"")</f>
        <v>2</v>
      </c>
      <c r="F127" s="286" t="str">
        <f ca="1">IFERROR(VLOOKUP($C123&amp;E127,downloads!$A$1:$E$1000,2,FALSE),"")</f>
        <v>Imogen MCBURNIE</v>
      </c>
      <c r="G127" s="64" t="str">
        <f t="shared" ca="1" si="22"/>
        <v>ECHT</v>
      </c>
      <c r="H127" s="109">
        <f ca="1">IFERROR(INDIRECT(CONCATENATE("Distance!$H",C125+2)),"")</f>
        <v>14.02</v>
      </c>
      <c r="I127" s="147">
        <f ca="1">IFERROR(IF(OR(H127="",H127=0,H127&lt;A124),"",VLOOKUP(H127,A124:B132,2,TRUE)),9)</f>
        <v>3</v>
      </c>
      <c r="J127" s="67"/>
      <c r="K127" s="104">
        <f ca="1">IFERROR(INDIRECT(CONCATENATE("Distance!$j",C125+2)),"")</f>
        <v>3</v>
      </c>
      <c r="L127" s="104">
        <f ca="1">IFERROR(INDIRECT(CONCATENATE("Distance!$k",C125+2)),"")</f>
        <v>22</v>
      </c>
      <c r="M127" s="286" t="str">
        <f ca="1">IFERROR(VLOOKUP($C123&amp;L127,downloads!$A$1:$E$1000,2,FALSE),"")</f>
        <v>Demi BAXTER</v>
      </c>
      <c r="N127" s="64" t="str">
        <f t="shared" ca="1" si="23"/>
        <v>ECHT</v>
      </c>
      <c r="O127" s="109">
        <f ca="1">IFERROR(INDIRECT(CONCATENATE("Distance!$T",C125+2)),"")</f>
        <v>12.17</v>
      </c>
      <c r="P127" s="147">
        <f ca="1">IFERROR(IF(OR(O127="",O127=0,O127&lt;A124),"",VLOOKUP(O127,A124:B132,2,TRUE)),9)</f>
        <v>2</v>
      </c>
      <c r="R127" s="66">
        <f ca="1">IFERROR(IF(OR(E127=0,E127="",H127=0,H127="",H127="X"),0,VLOOKUP(D127,INDIRECT(MatchDay!$W$2),2,FALSE)),"")</f>
        <v>7</v>
      </c>
      <c r="S127" s="66">
        <f ca="1">IFERROR(IF(OR(L127=0,L127="",O127=0,O127="",O127="X"),0,VLOOKUP(K127,INDIRECT(MatchDay!$W$2),3,FALSE)),"")</f>
        <v>5</v>
      </c>
    </row>
    <row r="128" spans="1:21" x14ac:dyDescent="0.35">
      <c r="A128" s="105">
        <f>IFERROR(VLOOKUP(C123,standards,7,FALSE),"-")</f>
        <v>19</v>
      </c>
      <c r="B128" s="419">
        <v>5</v>
      </c>
      <c r="C128" s="105"/>
      <c r="D128" s="104">
        <f ca="1">IFERROR(INDIRECT(CONCATENATE("Distance!$d",C125+3)),"")</f>
        <v>4</v>
      </c>
      <c r="E128" s="104">
        <f ca="1">IFERROR(INDIRECT(CONCATENATE("Distance!$E",C125+3)),"")</f>
        <v>7</v>
      </c>
      <c r="F128" s="286" t="str">
        <f ca="1">IFERROR(VLOOKUP($C123&amp;E128,downloads!$A$1:$E$1000,2,FALSE),"")</f>
        <v>Maisie CADMAN</v>
      </c>
      <c r="G128" s="64" t="str">
        <f t="shared" ca="1" si="22"/>
        <v>Wigan</v>
      </c>
      <c r="H128" s="109">
        <f ca="1">IFERROR(INDIRECT(CONCATENATE("Distance!$H",C125+3)),"")</f>
        <v>11.2</v>
      </c>
      <c r="I128" s="147">
        <f ca="1">IFERROR(IF(OR(H128="",H128=0,H128&lt;A124),"",VLOOKUP(H128,A124:B132,2,TRUE)),9)</f>
        <v>1</v>
      </c>
      <c r="J128" s="67"/>
      <c r="K128" s="104">
        <f ca="1">IFERROR(INDIRECT(CONCATENATE("Distance!$j",C125+3)),"")</f>
        <v>4</v>
      </c>
      <c r="L128" s="104">
        <f ca="1">IFERROR(INDIRECT(CONCATENATE("Distance!$k",C125+3)),"")</f>
        <v>77</v>
      </c>
      <c r="M128" s="286" t="str">
        <f ca="1">IFERROR(VLOOKUP($C123&amp;L128,downloads!$A$1:$E$1000,2,FALSE),"")</f>
        <v>Grace HARRIS</v>
      </c>
      <c r="N128" s="64" t="str">
        <f t="shared" ca="1" si="23"/>
        <v>Wigan</v>
      </c>
      <c r="O128" s="109">
        <f ca="1">IFERROR(INDIRECT(CONCATENATE("Distance!$T",C125+3)),"")</f>
        <v>3.9</v>
      </c>
      <c r="P128" s="147" t="str">
        <f ca="1">IFERROR(IF(OR(O128="",O128=0,O128&lt;A124),"",VLOOKUP(O128,A124:B132,2,TRUE)),9)</f>
        <v/>
      </c>
      <c r="R128" s="66">
        <f ca="1">IFERROR(IF(OR(E128=0,E128="",H128=0,H128="",H128="X"),0,VLOOKUP(D128,INDIRECT(MatchDay!$W$2),2,FALSE)),"")</f>
        <v>6</v>
      </c>
      <c r="S128" s="66">
        <f ca="1">IFERROR(IF(OR(L128=0,L128="",O128=0,O128="",O128="X"),0,VLOOKUP(K128,INDIRECT(MatchDay!$W$2),3,FALSE)),"")</f>
        <v>4</v>
      </c>
    </row>
    <row r="129" spans="1:21" x14ac:dyDescent="0.35">
      <c r="A129" s="105">
        <f>IFERROR(VLOOKUP(C123,standards,8,FALSE),"-")</f>
        <v>21.5</v>
      </c>
      <c r="B129" s="419">
        <v>6</v>
      </c>
      <c r="C129" s="105"/>
      <c r="D129" s="104">
        <f ca="1">IFERROR(INDIRECT(CONCATENATE("Distance!$d",C125+4)),"")</f>
        <v>5</v>
      </c>
      <c r="E129" s="104">
        <f ca="1">IFERROR(INDIRECT(CONCATENATE("Distance!$E",C125+4)),"")</f>
        <v>4</v>
      </c>
      <c r="F129" s="286" t="str">
        <f ca="1">IFERROR(VLOOKUP($C123&amp;E129,downloads!$A$1:$E$1000,2,FALSE),"")</f>
        <v>Lauren HARPER</v>
      </c>
      <c r="G129" s="64" t="str">
        <f t="shared" ca="1" si="22"/>
        <v>Macc</v>
      </c>
      <c r="H129" s="109">
        <f ca="1">IFERROR(INDIRECT(CONCATENATE("Distance!$H",C125+4)),"")</f>
        <v>8.4</v>
      </c>
      <c r="I129" s="147" t="str">
        <f ca="1">IFERROR(IF(OR(H129="",H129=0,H129&lt;A124),"",VLOOKUP(H129,A124:B132,2,TRUE)),9)</f>
        <v/>
      </c>
      <c r="J129" s="67"/>
      <c r="K129" s="104">
        <f ca="1">IFERROR(INDIRECT(CONCATENATE("Distance!$j",C125+4)),"")</f>
        <v>5</v>
      </c>
      <c r="L129" s="104">
        <f ca="1">IFERROR(INDIRECT(CONCATENATE("Distance!$k",C125+4)),"")</f>
        <v>44</v>
      </c>
      <c r="M129" s="286" t="str">
        <f ca="1">IFERROR(VLOOKUP($C123&amp;L129,downloads!$A$1:$E$1000,2,FALSE),"")</f>
        <v>Charlotte RHODES</v>
      </c>
      <c r="N129" s="64" t="str">
        <f t="shared" ca="1" si="23"/>
        <v>Macc</v>
      </c>
      <c r="O129" s="109">
        <f ca="1">IFERROR(INDIRECT(CONCATENATE("Distance!$T",C125+4)),"")</f>
        <v>3.15</v>
      </c>
      <c r="P129" s="147" t="str">
        <f ca="1">IFERROR(IF(OR(O129="",O129=0,O129&lt;A124),"",VLOOKUP(O129,A124:B132,2,TRUE)),9)</f>
        <v/>
      </c>
      <c r="R129" s="66">
        <f ca="1">IFERROR(IF(OR(E129=0,E129="",H129=0,H129="",H129="X"),0,VLOOKUP(D129,INDIRECT(MatchDay!$W$2),2,FALSE)),"")</f>
        <v>5</v>
      </c>
      <c r="S129" s="66">
        <f ca="1">IFERROR(IF(OR(L129=0,L129="",O129=0,O129="",O129="X"),0,VLOOKUP(K129,INDIRECT(MatchDay!$W$2),3,FALSE)),"")</f>
        <v>3</v>
      </c>
    </row>
    <row r="130" spans="1:21" x14ac:dyDescent="0.35">
      <c r="A130" s="105">
        <f>IFERROR(VLOOKUP(C123,standards,9,FALSE),"-")</f>
        <v>24</v>
      </c>
      <c r="B130" s="419">
        <v>7</v>
      </c>
      <c r="C130" s="105"/>
      <c r="D130" s="104">
        <f ca="1">IFERROR(INDIRECT(CONCATENATE("Distance!$d",C125+5)),"")</f>
        <v>6</v>
      </c>
      <c r="E130" s="104" t="str">
        <f ca="1">IFERROR(INDIRECT(CONCATENATE("Distance!$E",C125+5)),"")</f>
        <v/>
      </c>
      <c r="F130" s="286" t="str">
        <f ca="1">IFERROR(VLOOKUP($C123&amp;E130,downloads!$A$1:$E$1000,2,FALSE),"")</f>
        <v/>
      </c>
      <c r="G130" s="64" t="str">
        <f t="shared" ca="1" si="22"/>
        <v/>
      </c>
      <c r="H130" s="109" t="str">
        <f ca="1">IFERROR(INDIRECT(CONCATENATE("Distance!$H",C125+5)),"")</f>
        <v/>
      </c>
      <c r="I130" s="147" t="str">
        <f ca="1">IFERROR(IF(OR(H130="",H130=0,H130&lt;A124),"",VLOOKUP(H130,A124:B132,2,TRUE)),9)</f>
        <v/>
      </c>
      <c r="J130" s="67"/>
      <c r="K130" s="104">
        <f ca="1">IFERROR(INDIRECT(CONCATENATE("Distance!$j",C125+5)),"")</f>
        <v>6</v>
      </c>
      <c r="L130" s="104" t="str">
        <f ca="1">IFERROR(INDIRECT(CONCATENATE("Distance!$k",C125+5)),"")</f>
        <v/>
      </c>
      <c r="M130" s="286" t="str">
        <f ca="1">IFERROR(VLOOKUP($C123&amp;L130,downloads!$A$1:$E$1000,2,FALSE),"")</f>
        <v/>
      </c>
      <c r="N130" s="64" t="str">
        <f t="shared" ca="1" si="23"/>
        <v/>
      </c>
      <c r="O130" s="109" t="str">
        <f ca="1">IFERROR(INDIRECT(CONCATENATE("Distance!$T",C125+5)),"")</f>
        <v/>
      </c>
      <c r="P130" s="147" t="str">
        <f ca="1">IFERROR(IF(OR(O130="",O130=0,O130&lt;A124),"",VLOOKUP(O130,A124:B132,2,TRUE)),9)</f>
        <v/>
      </c>
      <c r="R130" s="66">
        <f ca="1">IFERROR(IF(OR(E130=0,E130="",H130=0,H130="",H130="X"),0,VLOOKUP(D130,INDIRECT(MatchDay!$W$2),2,FALSE)),"")</f>
        <v>0</v>
      </c>
      <c r="S130" s="66">
        <f ca="1">IFERROR(IF(OR(L130=0,L130="",O130=0,O130="",O130="X"),0,VLOOKUP(K130,INDIRECT(MatchDay!$W$2),3,FALSE)),"")</f>
        <v>0</v>
      </c>
    </row>
    <row r="131" spans="1:21" x14ac:dyDescent="0.35">
      <c r="A131" s="105">
        <f>IFERROR(VLOOKUP(C123,standards,10,FALSE),"-")</f>
        <v>26.5</v>
      </c>
      <c r="B131" s="419">
        <v>8</v>
      </c>
      <c r="C131" s="103" t="s">
        <v>151</v>
      </c>
      <c r="D131" s="104">
        <f ca="1">IFERROR(INDIRECT(CONCATENATE("Distance!$d",C125+6)),"")</f>
        <v>7</v>
      </c>
      <c r="E131" s="104" t="str">
        <f ca="1">IFERROR(INDIRECT(CONCATENATE("Distance!$E",C125+6)),"")</f>
        <v/>
      </c>
      <c r="F131" s="286" t="str">
        <f ca="1">IFERROR(VLOOKUP($C123&amp;E131,downloads!$A$1:$E$1000,2,FALSE),"")</f>
        <v/>
      </c>
      <c r="G131" s="64" t="str">
        <f t="shared" ca="1" si="22"/>
        <v/>
      </c>
      <c r="H131" s="109" t="str">
        <f ca="1">IFERROR(INDIRECT(CONCATENATE("Distance!$H",C125+6)),"")</f>
        <v/>
      </c>
      <c r="I131" s="147" t="str">
        <f ca="1">IFERROR(IF(OR(H131="",H131=0,H131&lt;A124),"",VLOOKUP(H131,A124:B132,2,TRUE)),9)</f>
        <v/>
      </c>
      <c r="J131" s="67"/>
      <c r="K131" s="104">
        <f ca="1">IFERROR(INDIRECT(CONCATENATE("Distance!$j",C125+6)),"")</f>
        <v>7</v>
      </c>
      <c r="L131" s="104" t="str">
        <f ca="1">IFERROR(INDIRECT(CONCATENATE("Distance!$k",C125+6)),"")</f>
        <v/>
      </c>
      <c r="M131" s="286" t="str">
        <f ca="1">IFERROR(VLOOKUP($C123&amp;L131,downloads!$A$1:$E$1000,2,FALSE),"")</f>
        <v/>
      </c>
      <c r="N131" s="64" t="str">
        <f t="shared" ca="1" si="23"/>
        <v/>
      </c>
      <c r="O131" s="109" t="str">
        <f ca="1">IFERROR(INDIRECT(CONCATENATE("Distance!$T",C125+6)),"")</f>
        <v/>
      </c>
      <c r="P131" s="147" t="str">
        <f ca="1">IFERROR(IF(OR(O131="",O131=0,O131&lt;A124),"",VLOOKUP(O131,A124:B132,2,TRUE)),9)</f>
        <v/>
      </c>
      <c r="R131" s="66">
        <f ca="1">IFERROR(IF(OR(E131=0,E131="",H131=0,H131="",H131="X"),0,VLOOKUP(D131,INDIRECT(MatchDay!$W$2),2,FALSE)),"")</f>
        <v>0</v>
      </c>
      <c r="S131" s="66">
        <f ca="1">IFERROR(IF(OR(L131=0,L131="",O131=0,O131="",O131="X"),0,VLOOKUP(K131,INDIRECT(MatchDay!$W$2),3,FALSE)),"")</f>
        <v>0</v>
      </c>
    </row>
    <row r="132" spans="1:21" x14ac:dyDescent="0.35">
      <c r="A132" s="105">
        <f>IFERROR(VLOOKUP(C123,standards,11,FALSE),"-")</f>
        <v>29</v>
      </c>
      <c r="B132" s="419">
        <v>9</v>
      </c>
      <c r="C132" s="103">
        <f>IFERROR(VLOOKUP(C123,records,5,FALSE),"")</f>
        <v>44.02</v>
      </c>
      <c r="D132" s="104">
        <f ca="1">IFERROR(INDIRECT(CONCATENATE("Distance!$d",C125+7)),"")</f>
        <v>8</v>
      </c>
      <c r="E132" s="104" t="str">
        <f ca="1">IFERROR(INDIRECT(CONCATENATE("Distance!$E",C125+7)),"")</f>
        <v/>
      </c>
      <c r="F132" s="286" t="str">
        <f ca="1">IFERROR(VLOOKUP($C123&amp;E132,downloads!$A$1:$E$1000,2,FALSE),"")</f>
        <v/>
      </c>
      <c r="G132" s="64" t="str">
        <f t="shared" ca="1" si="22"/>
        <v/>
      </c>
      <c r="H132" s="109" t="str">
        <f ca="1">IFERROR(INDIRECT(CONCATENATE("Distance!$H",C125+7)),"")</f>
        <v/>
      </c>
      <c r="I132" s="147" t="str">
        <f ca="1">IFERROR(IF(OR(H132="",H132=0,H132&lt;A124),"",VLOOKUP(H132,A124:B132,2,TRUE)),9)</f>
        <v/>
      </c>
      <c r="J132" s="67"/>
      <c r="K132" s="104">
        <f ca="1">IFERROR(INDIRECT(CONCATENATE("Distance!$j",C125+7)),"")</f>
        <v>8</v>
      </c>
      <c r="L132" s="104" t="str">
        <f ca="1">IFERROR(INDIRECT(CONCATENATE("Distance!$k",C125+7)),"")</f>
        <v/>
      </c>
      <c r="M132" s="286" t="str">
        <f ca="1">IFERROR(VLOOKUP($C123&amp;L132,downloads!$A$1:$E$1000,2,FALSE),"")</f>
        <v/>
      </c>
      <c r="N132" s="64" t="str">
        <f t="shared" ca="1" si="23"/>
        <v/>
      </c>
      <c r="O132" s="109" t="str">
        <f ca="1">IFERROR(INDIRECT(CONCATENATE("Distance!$T",C125+7)),"")</f>
        <v/>
      </c>
      <c r="P132" s="147" t="str">
        <f ca="1">IFERROR(IF(OR(O132="",O132=0,O132&lt;A124),"",VLOOKUP(O132,A124:B132,2,TRUE)),9)</f>
        <v/>
      </c>
      <c r="R132" s="66">
        <f ca="1">IFERROR(IF(OR(E132=0,E132="",H132=0,H132="",H132="X"),0,VLOOKUP(D132,INDIRECT(MatchDay!$W$2),2,FALSE)),"")</f>
        <v>0</v>
      </c>
      <c r="S132" s="66">
        <f ca="1">IFERROR(IF(OR(L132=0,L132="",O132=0,O132="",O132="X"),0,VLOOKUP(K132,INDIRECT(MatchDay!$W$2),3,FALSE)),"")</f>
        <v>0</v>
      </c>
    </row>
    <row r="134" spans="1:21" x14ac:dyDescent="0.35">
      <c r="C134" s="98" t="s">
        <v>244</v>
      </c>
      <c r="D134" s="99" t="str">
        <f>IFERROR(VLOOKUP(C134,timetables,2,FALSE)&amp;" "&amp;VLOOKUP(C134,timetables,3,FALSE)&amp;" A","")</f>
        <v>Long Jump U13 Boys A</v>
      </c>
      <c r="E134" s="99"/>
      <c r="H134" s="108" t="str">
        <f ca="1">IFERROR(IF(OR(H136=0,H136="",H136="X"),"",IF(H136&gt;C143,"REC",IF(H136=C143,"=Rec",""))),"")</f>
        <v/>
      </c>
      <c r="I134" s="147" t="str">
        <f ca="1">IFERROR(IF(OR(H136=0,H136="",H136="X"),"",IF(H136&gt;C143,"REC",IF(H136=C143,"=Rec",""))),"")</f>
        <v/>
      </c>
      <c r="K134" s="101" t="str">
        <f>IFERROR(VLOOKUP(C134,timetables,2,FALSE)&amp;" "&amp;VLOOKUP(C134,timetables,3,FALSE)&amp;" B","")</f>
        <v>Long Jump U13 Boys B</v>
      </c>
      <c r="L134" s="102"/>
      <c r="R134" s="66" t="s">
        <v>53</v>
      </c>
      <c r="S134" s="66" t="s">
        <v>54</v>
      </c>
    </row>
    <row r="135" spans="1:21" x14ac:dyDescent="0.35">
      <c r="A135" s="105">
        <f>IFERROR(VLOOKUP(C134,standards,3,FALSE),"-")</f>
        <v>3</v>
      </c>
      <c r="B135" s="419">
        <v>1</v>
      </c>
      <c r="C135" s="79"/>
      <c r="D135" s="45" t="s">
        <v>177</v>
      </c>
      <c r="E135" s="45" t="s">
        <v>118</v>
      </c>
      <c r="F135" s="47" t="s">
        <v>174</v>
      </c>
      <c r="G135" s="47" t="s">
        <v>175</v>
      </c>
      <c r="H135" s="45" t="s">
        <v>176</v>
      </c>
      <c r="I135" s="148" t="s">
        <v>1003</v>
      </c>
      <c r="J135" s="47"/>
      <c r="K135" s="45" t="s">
        <v>177</v>
      </c>
      <c r="L135" s="45" t="s">
        <v>118</v>
      </c>
      <c r="M135" s="47" t="s">
        <v>174</v>
      </c>
      <c r="N135" s="47" t="s">
        <v>175</v>
      </c>
      <c r="O135" s="45" t="s">
        <v>176</v>
      </c>
      <c r="P135" s="148" t="s">
        <v>1003</v>
      </c>
    </row>
    <row r="136" spans="1:21" x14ac:dyDescent="0.35">
      <c r="A136" s="105">
        <f>IFERROR(VLOOKUP(C134,standards,4,FALSE),"-")</f>
        <v>3.25</v>
      </c>
      <c r="B136" s="419">
        <v>2</v>
      </c>
      <c r="C136" s="66">
        <f>IFERROR(VLOOKUP(C134,Distance!A:B,2,FALSE),"")</f>
        <v>411</v>
      </c>
      <c r="D136" s="104">
        <f ca="1">IFERROR(INDIRECT(CONCATENATE("Distance!$d",C136)),"")</f>
        <v>1</v>
      </c>
      <c r="E136" s="104">
        <f ca="1">IFERROR(INDIRECT(CONCATENATE("Distance!$E",C136)),"")</f>
        <v>4</v>
      </c>
      <c r="F136" s="286" t="str">
        <f ca="1">IFERROR(VLOOKUP($C134&amp;E136,downloads!$A$1:$E$1000,2,FALSE),"")</f>
        <v>Tomas BEDOYA</v>
      </c>
      <c r="G136" s="64" t="str">
        <f t="shared" ref="G136:G143" ca="1" si="24">IFERROR(VLOOKUP(E136,teamlookup,5,FALSE),"")</f>
        <v>Macc</v>
      </c>
      <c r="H136" s="109">
        <f ca="1">IFERROR(INDIRECT(CONCATENATE("Distance!$H",C136)),"")</f>
        <v>4.37</v>
      </c>
      <c r="I136" s="147">
        <f ca="1">IFERROR(IF(OR(H136="",H136=0,H136&lt;A135),"",VLOOKUP(H136,A135:B143,2,TRUE)),9)</f>
        <v>6</v>
      </c>
      <c r="J136" s="67"/>
      <c r="K136" s="104">
        <f ca="1">IFERROR(INDIRECT(CONCATENATE("Distance!$j",C136)),"")</f>
        <v>1</v>
      </c>
      <c r="L136" s="104">
        <f ca="1">IFERROR(INDIRECT(CONCATENATE("Distance!$k",C136)),"")</f>
        <v>44</v>
      </c>
      <c r="M136" s="286" t="str">
        <f ca="1">IFERROR(VLOOKUP($C134&amp;L136,downloads!$A$1:$E$1000,2,FALSE),"")</f>
        <v>Dylan BAKER</v>
      </c>
      <c r="N136" s="64" t="str">
        <f t="shared" ref="N136:N143" ca="1" si="25">IFERROR(VLOOKUP(L136,teamlookup,5,FALSE),"")</f>
        <v>Macc</v>
      </c>
      <c r="O136" s="109">
        <f ca="1">IFERROR(INDIRECT(CONCATENATE("Distance!$T",C136)),"")</f>
        <v>3.86</v>
      </c>
      <c r="P136" s="147">
        <f ca="1">IFERROR(IF(OR(O136="",O136=0,O136&lt;A135),"",VLOOKUP(O136,A135:B143,2,TRUE)),9)</f>
        <v>4</v>
      </c>
      <c r="R136" s="66">
        <f ca="1">IFERROR(IF(OR(E136=0,E136="",H136=0,H136="",H136="X"),0,VLOOKUP(D136,INDIRECT(MatchDay!$W$2),2,FALSE)),"")</f>
        <v>10</v>
      </c>
      <c r="S136" s="66">
        <f ca="1">IFERROR(IF(OR(L136=0,L136="",O136=0,O136="",O136="X"),0,VLOOKUP(K136,INDIRECT(MatchDay!$W$2),3,FALSE)),"")</f>
        <v>8</v>
      </c>
      <c r="T136" s="168">
        <f ca="1">COUNTIF(E136,"&gt;0")</f>
        <v>1</v>
      </c>
      <c r="U136" s="66">
        <f ca="1">IFERROR(IF(E136&gt;88,1,0),0)</f>
        <v>0</v>
      </c>
    </row>
    <row r="137" spans="1:21" x14ac:dyDescent="0.35">
      <c r="A137" s="105">
        <f>IFERROR(VLOOKUP(C134,standards,5,FALSE),"-")</f>
        <v>3.5</v>
      </c>
      <c r="B137" s="419">
        <v>3</v>
      </c>
      <c r="C137" s="103"/>
      <c r="D137" s="104">
        <f ca="1">IFERROR(INDIRECT(CONCATENATE("Distance!$d",C136+1)),"")</f>
        <v>2</v>
      </c>
      <c r="E137" s="104">
        <f ca="1">IFERROR(INDIRECT(CONCATENATE("Distance!$E",C136+1)),"")</f>
        <v>7</v>
      </c>
      <c r="F137" s="286" t="str">
        <f ca="1">IFERROR(VLOOKUP($C134&amp;E137,downloads!$A$1:$E$1000,2,FALSE),"")</f>
        <v>Henry MORRIS</v>
      </c>
      <c r="G137" s="64" t="str">
        <f t="shared" ca="1" si="24"/>
        <v>Wigan</v>
      </c>
      <c r="H137" s="109">
        <f ca="1">IFERROR(INDIRECT(CONCATENATE("Distance!$H",C136+1)),"")</f>
        <v>4.25</v>
      </c>
      <c r="I137" s="147">
        <f ca="1">IFERROR(IF(OR(H137="",H137=0,H137&lt;A135),"",VLOOKUP(H137,A135:B143,2,TRUE)),9)</f>
        <v>6</v>
      </c>
      <c r="J137" s="67"/>
      <c r="K137" s="104">
        <f ca="1">IFERROR(INDIRECT(CONCATENATE("Distance!$j",C136+1)),"")</f>
        <v>2</v>
      </c>
      <c r="L137" s="104">
        <f ca="1">IFERROR(INDIRECT(CONCATENATE("Distance!$k",C136+1)),"")</f>
        <v>33</v>
      </c>
      <c r="M137" s="286" t="str">
        <f ca="1">IFERROR(VLOOKUP($C134&amp;L137,downloads!$A$1:$E$1000,2,FALSE),"")</f>
        <v>Jack FLETCHER</v>
      </c>
      <c r="N137" s="64" t="str">
        <f t="shared" ca="1" si="25"/>
        <v>Leigh</v>
      </c>
      <c r="O137" s="109">
        <f ca="1">IFERROR(INDIRECT(CONCATENATE("Distance!$T",C136+1)),"")</f>
        <v>3.32</v>
      </c>
      <c r="P137" s="147">
        <f ca="1">IFERROR(IF(OR(O137="",O137=0,O137&lt;A135),"",VLOOKUP(O137,A135:B143,2,TRUE)),9)</f>
        <v>2</v>
      </c>
      <c r="R137" s="66">
        <f ca="1">IFERROR(IF(OR(E137=0,E137="",H137=0,H137="",H137="X"),0,VLOOKUP(D137,INDIRECT(MatchDay!$W$2),2,FALSE)),"")</f>
        <v>8</v>
      </c>
      <c r="S137" s="66">
        <f ca="1">IFERROR(IF(OR(L137=0,L137="",O137=0,O137="",O137="X"),0,VLOOKUP(K137,INDIRECT(MatchDay!$W$2),3,FALSE)),"")</f>
        <v>6</v>
      </c>
    </row>
    <row r="138" spans="1:21" x14ac:dyDescent="0.35">
      <c r="A138" s="105">
        <f>IFERROR(VLOOKUP(C134,standards,6,FALSE),"-")</f>
        <v>3.75</v>
      </c>
      <c r="B138" s="419">
        <v>4</v>
      </c>
      <c r="C138" s="105"/>
      <c r="D138" s="104">
        <f ca="1">IFERROR(INDIRECT(CONCATENATE("Distance!$d",C136+2)),"")</f>
        <v>3</v>
      </c>
      <c r="E138" s="104">
        <f ca="1">IFERROR(INDIRECT(CONCATENATE("Distance!$E",C136+2)),"")</f>
        <v>3</v>
      </c>
      <c r="F138" s="286" t="str">
        <f ca="1">IFERROR(VLOOKUP($C134&amp;E138,downloads!$A$1:$E$1000,2,FALSE),"")</f>
        <v>Oscar FINCH</v>
      </c>
      <c r="G138" s="64" t="str">
        <f t="shared" ca="1" si="24"/>
        <v>Leigh</v>
      </c>
      <c r="H138" s="109">
        <f ca="1">IFERROR(INDIRECT(CONCATENATE("Distance!$H",C136+2)),"")</f>
        <v>4.04</v>
      </c>
      <c r="I138" s="147">
        <f ca="1">IFERROR(IF(OR(H138="",H138=0,H138&lt;A135),"",VLOOKUP(H138,A135:B143,2,TRUE)),9)</f>
        <v>5</v>
      </c>
      <c r="J138" s="67"/>
      <c r="K138" s="104">
        <f ca="1">IFERROR(INDIRECT(CONCATENATE("Distance!$j",C136+2)),"")</f>
        <v>3</v>
      </c>
      <c r="L138" s="104">
        <f ca="1">IFERROR(INDIRECT(CONCATENATE("Distance!$k",C136+2)),"")</f>
        <v>66</v>
      </c>
      <c r="M138" s="286" t="str">
        <f ca="1">IFERROR(VLOOKUP($C134&amp;L138,downloads!$A$1:$E$1000,2,FALSE),"")</f>
        <v>Alex KITCHEN</v>
      </c>
      <c r="N138" s="64" t="str">
        <f t="shared" ca="1" si="25"/>
        <v>Stock</v>
      </c>
      <c r="O138" s="109">
        <f ca="1">IFERROR(INDIRECT(CONCATENATE("Distance!$T",C136+2)),"")</f>
        <v>3.28</v>
      </c>
      <c r="P138" s="147">
        <f ca="1">IFERROR(IF(OR(O138="",O138=0,O138&lt;A135),"",VLOOKUP(O138,A135:B143,2,TRUE)),9)</f>
        <v>2</v>
      </c>
      <c r="R138" s="66">
        <f ca="1">IFERROR(IF(OR(E138=0,E138="",H138=0,H138="",H138="X"),0,VLOOKUP(D138,INDIRECT(MatchDay!$W$2),2,FALSE)),"")</f>
        <v>7</v>
      </c>
      <c r="S138" s="66">
        <f ca="1">IFERROR(IF(OR(L138=0,L138="",O138=0,O138="",O138="X"),0,VLOOKUP(K138,INDIRECT(MatchDay!$W$2),3,FALSE)),"")</f>
        <v>5</v>
      </c>
    </row>
    <row r="139" spans="1:21" x14ac:dyDescent="0.35">
      <c r="A139" s="105">
        <f>IFERROR(VLOOKUP(C134,standards,7,FALSE),"-")</f>
        <v>4</v>
      </c>
      <c r="B139" s="419">
        <v>5</v>
      </c>
      <c r="C139" s="105"/>
      <c r="D139" s="104">
        <f ca="1">IFERROR(INDIRECT(CONCATENATE("Distance!$d",C136+3)),"")</f>
        <v>4</v>
      </c>
      <c r="E139" s="104">
        <f ca="1">IFERROR(INDIRECT(CONCATENATE("Distance!$E",C136+3)),"")</f>
        <v>6</v>
      </c>
      <c r="F139" s="286" t="str">
        <f ca="1">IFERROR(VLOOKUP($C134&amp;E139,downloads!$A$1:$E$1000,2,FALSE),"")</f>
        <v>Arthur CAMPBELL</v>
      </c>
      <c r="G139" s="64" t="str">
        <f t="shared" ca="1" si="24"/>
        <v>Stock</v>
      </c>
      <c r="H139" s="109">
        <f ca="1">IFERROR(INDIRECT(CONCATENATE("Distance!$H",C136+3)),"")</f>
        <v>4</v>
      </c>
      <c r="I139" s="147">
        <f ca="1">IFERROR(IF(OR(H139="",H139=0,H139&lt;A135),"",VLOOKUP(H139,A135:B143,2,TRUE)),9)</f>
        <v>5</v>
      </c>
      <c r="J139" s="67"/>
      <c r="K139" s="104">
        <f ca="1">IFERROR(INDIRECT(CONCATENATE("Distance!$j",C136+3)),"")</f>
        <v>4</v>
      </c>
      <c r="L139" s="104">
        <f ca="1">IFERROR(INDIRECT(CONCATENATE("Distance!$k",C136+3)),"")</f>
        <v>1</v>
      </c>
      <c r="M139" s="286" t="str">
        <f ca="1">IFERROR(VLOOKUP($C134&amp;L139,downloads!$A$1:$E$1000,2,FALSE),"")</f>
        <v>Charlie SMITH</v>
      </c>
      <c r="N139" s="64" t="str">
        <f t="shared" ca="1" si="25"/>
        <v>C&amp;N</v>
      </c>
      <c r="O139" s="109">
        <f ca="1">IFERROR(INDIRECT(CONCATENATE("Distance!$T",C136+3)),"")</f>
        <v>3.22</v>
      </c>
      <c r="P139" s="147">
        <f ca="1">IFERROR(IF(OR(O139="",O139=0,O139&lt;A135),"",VLOOKUP(O139,A135:B143,2,TRUE)),9)</f>
        <v>1</v>
      </c>
      <c r="R139" s="66">
        <f ca="1">IFERROR(IF(OR(E139=0,E139="",H139=0,H139="",H139="X"),0,VLOOKUP(D139,INDIRECT(MatchDay!$W$2),2,FALSE)),"")</f>
        <v>6</v>
      </c>
      <c r="S139" s="66">
        <f ca="1">IFERROR(IF(OR(L139=0,L139="",O139=0,O139="",O139="X"),0,VLOOKUP(K139,INDIRECT(MatchDay!$W$2),3,FALSE)),"")</f>
        <v>4</v>
      </c>
    </row>
    <row r="140" spans="1:21" x14ac:dyDescent="0.35">
      <c r="A140" s="105">
        <f>IFERROR(VLOOKUP(C134,standards,8,FALSE),"-")</f>
        <v>4.25</v>
      </c>
      <c r="B140" s="419">
        <v>6</v>
      </c>
      <c r="C140" s="105"/>
      <c r="D140" s="104">
        <f ca="1">IFERROR(INDIRECT(CONCATENATE("Distance!$d",C136+4)),"")</f>
        <v>5</v>
      </c>
      <c r="E140" s="104">
        <f ca="1">IFERROR(INDIRECT(CONCATENATE("Distance!$E",C136+4)),"")</f>
        <v>11</v>
      </c>
      <c r="F140" s="286" t="str">
        <f ca="1">IFERROR(VLOOKUP($C134&amp;E140,downloads!$A$1:$E$1000,2,FALSE),"")</f>
        <v>Kaidan DOS REIS</v>
      </c>
      <c r="G140" s="64" t="str">
        <f t="shared" ca="1" si="24"/>
        <v>C&amp;N</v>
      </c>
      <c r="H140" s="109">
        <f ca="1">IFERROR(INDIRECT(CONCATENATE("Distance!$H",C136+4)),"")</f>
        <v>3.92</v>
      </c>
      <c r="I140" s="147">
        <f ca="1">IFERROR(IF(OR(H140="",H140=0,H140&lt;A135),"",VLOOKUP(H140,A135:B143,2,TRUE)),9)</f>
        <v>4</v>
      </c>
      <c r="J140" s="67"/>
      <c r="K140" s="104">
        <f ca="1">IFERROR(INDIRECT(CONCATENATE("Distance!$j",C136+4)),"")</f>
        <v>5</v>
      </c>
      <c r="L140" s="104">
        <f ca="1">IFERROR(INDIRECT(CONCATENATE("Distance!$k",C136+4)),"")</f>
        <v>22</v>
      </c>
      <c r="M140" s="286" t="str">
        <f ca="1">IFERROR(VLOOKUP($C134&amp;L140,downloads!$A$1:$E$1000,2,FALSE),"")</f>
        <v>Sebastien GREGORY</v>
      </c>
      <c r="N140" s="64" t="str">
        <f t="shared" ca="1" si="25"/>
        <v>ECHT</v>
      </c>
      <c r="O140" s="109">
        <f ca="1">IFERROR(INDIRECT(CONCATENATE("Distance!$T",C136+4)),"")</f>
        <v>2.5099999999999998</v>
      </c>
      <c r="P140" s="147" t="str">
        <f ca="1">IFERROR(IF(OR(O140="",O140=0,O140&lt;A135),"",VLOOKUP(O140,A135:B143,2,TRUE)),9)</f>
        <v/>
      </c>
      <c r="R140" s="66">
        <f ca="1">IFERROR(IF(OR(E140=0,E140="",H140=0,H140="",H140="X"),0,VLOOKUP(D140,INDIRECT(MatchDay!$W$2),2,FALSE)),"")</f>
        <v>5</v>
      </c>
      <c r="S140" s="66">
        <f ca="1">IFERROR(IF(OR(L140=0,L140="",O140=0,O140="",O140="X"),0,VLOOKUP(K140,INDIRECT(MatchDay!$W$2),3,FALSE)),"")</f>
        <v>3</v>
      </c>
    </row>
    <row r="141" spans="1:21" x14ac:dyDescent="0.35">
      <c r="A141" s="105">
        <f>IFERROR(VLOOKUP(C134,standards,9,FALSE),"-")</f>
        <v>4.5</v>
      </c>
      <c r="B141" s="419">
        <v>7</v>
      </c>
      <c r="C141" s="105"/>
      <c r="D141" s="104">
        <f ca="1">IFERROR(INDIRECT(CONCATENATE("Distance!$d",C136+5)),"")</f>
        <v>6</v>
      </c>
      <c r="E141" s="104">
        <f ca="1">IFERROR(INDIRECT(CONCATENATE("Distance!$E",C136+5)),"")</f>
        <v>2</v>
      </c>
      <c r="F141" s="286" t="str">
        <f ca="1">IFERROR(VLOOKUP($C134&amp;E141,downloads!$A$1:$E$1000,2,FALSE),"")</f>
        <v>Oliver MANNION</v>
      </c>
      <c r="G141" s="64" t="str">
        <f t="shared" ca="1" si="24"/>
        <v>ECHT</v>
      </c>
      <c r="H141" s="109">
        <f ca="1">IFERROR(INDIRECT(CONCATENATE("Distance!$H",C136+5)),"")</f>
        <v>3.42</v>
      </c>
      <c r="I141" s="147">
        <f ca="1">IFERROR(IF(OR(H141="",H141=0,H141&lt;A135),"",VLOOKUP(H141,A135:B143,2,TRUE)),9)</f>
        <v>2</v>
      </c>
      <c r="J141" s="67"/>
      <c r="K141" s="104">
        <f ca="1">IFERROR(INDIRECT(CONCATENATE("Distance!$j",C136+5)),"")</f>
        <v>6</v>
      </c>
      <c r="L141" s="104">
        <f ca="1">IFERROR(INDIRECT(CONCATENATE("Distance!$k",C136+5)),"")</f>
        <v>77</v>
      </c>
      <c r="M141" s="286" t="str">
        <f ca="1">IFERROR(VLOOKUP($C134&amp;L141,downloads!$A$1:$E$1000,2,FALSE),"")</f>
        <v>Evan BARNETT</v>
      </c>
      <c r="N141" s="64" t="str">
        <f t="shared" ca="1" si="25"/>
        <v>Wigan</v>
      </c>
      <c r="O141" s="109">
        <f ca="1">IFERROR(INDIRECT(CONCATENATE("Distance!$T",C136+5)),"")</f>
        <v>2.37</v>
      </c>
      <c r="P141" s="147" t="str">
        <f ca="1">IFERROR(IF(OR(O141="",O141=0,O141&lt;A135),"",VLOOKUP(O141,A135:B143,2,TRUE)),9)</f>
        <v/>
      </c>
      <c r="R141" s="66">
        <f ca="1">IFERROR(IF(OR(E141=0,E141="",H141=0,H141="",H141="X"),0,VLOOKUP(D141,INDIRECT(MatchDay!$W$2),2,FALSE)),"")</f>
        <v>4</v>
      </c>
      <c r="S141" s="66">
        <f ca="1">IFERROR(IF(OR(L141=0,L141="",O141=0,O141="",O141="X"),0,VLOOKUP(K141,INDIRECT(MatchDay!$W$2),3,FALSE)),"")</f>
        <v>2</v>
      </c>
    </row>
    <row r="142" spans="1:21" x14ac:dyDescent="0.35">
      <c r="A142" s="105">
        <f>IFERROR(VLOOKUP(C134,standards,10,FALSE),"-")</f>
        <v>4.75</v>
      </c>
      <c r="B142" s="419">
        <v>8</v>
      </c>
      <c r="C142" s="103" t="s">
        <v>151</v>
      </c>
      <c r="D142" s="104">
        <f ca="1">IFERROR(INDIRECT(CONCATENATE("Distance!$d",C136+6)),"")</f>
        <v>7</v>
      </c>
      <c r="E142" s="104" t="str">
        <f ca="1">IFERROR(INDIRECT(CONCATENATE("Distance!$E",C136+6)),"")</f>
        <v/>
      </c>
      <c r="F142" s="286" t="str">
        <f ca="1">IFERROR(VLOOKUP($C134&amp;E142,downloads!$A$1:$E$1000,2,FALSE),"")</f>
        <v/>
      </c>
      <c r="G142" s="64" t="str">
        <f t="shared" ca="1" si="24"/>
        <v/>
      </c>
      <c r="H142" s="109" t="str">
        <f ca="1">IFERROR(INDIRECT(CONCATENATE("Distance!$H",C136+6)),"")</f>
        <v/>
      </c>
      <c r="I142" s="147" t="str">
        <f ca="1">IFERROR(IF(OR(H142="",H142=0,H142&lt;A135),"",VLOOKUP(H142,A135:B143,2,TRUE)),9)</f>
        <v/>
      </c>
      <c r="J142" s="67"/>
      <c r="K142" s="104">
        <f ca="1">IFERROR(INDIRECT(CONCATENATE("Distance!$j",C136+6)),"")</f>
        <v>7</v>
      </c>
      <c r="L142" s="104" t="str">
        <f ca="1">IFERROR(INDIRECT(CONCATENATE("Distance!$k",C136+6)),"")</f>
        <v/>
      </c>
      <c r="M142" s="286" t="str">
        <f ca="1">IFERROR(VLOOKUP($C134&amp;L142,downloads!$A$1:$E$1000,2,FALSE),"")</f>
        <v/>
      </c>
      <c r="N142" s="64" t="str">
        <f t="shared" ca="1" si="25"/>
        <v/>
      </c>
      <c r="O142" s="109" t="str">
        <f ca="1">IFERROR(INDIRECT(CONCATENATE("Distance!$T",C136+6)),"")</f>
        <v/>
      </c>
      <c r="P142" s="147" t="str">
        <f ca="1">IFERROR(IF(OR(O142="",O142=0,O142&lt;A135),"",VLOOKUP(O142,A135:B143,2,TRUE)),9)</f>
        <v/>
      </c>
      <c r="R142" s="66">
        <f ca="1">IFERROR(IF(OR(E142=0,E142="",H142=0,H142="",H142="X"),0,VLOOKUP(D142,INDIRECT(MatchDay!$W$2),2,FALSE)),"")</f>
        <v>0</v>
      </c>
      <c r="S142" s="66">
        <f ca="1">IFERROR(IF(OR(L142=0,L142="",O142=0,O142="",O142="X"),0,VLOOKUP(K142,INDIRECT(MatchDay!$W$2),3,FALSE)),"")</f>
        <v>0</v>
      </c>
    </row>
    <row r="143" spans="1:21" x14ac:dyDescent="0.35">
      <c r="A143" s="105">
        <f>IFERROR(VLOOKUP(C134,standards,11,FALSE),"-")</f>
        <v>5</v>
      </c>
      <c r="B143" s="419">
        <v>9</v>
      </c>
      <c r="C143" s="103">
        <f>IFERROR(VLOOKUP(C134,records,5,FALSE),"")</f>
        <v>5.45</v>
      </c>
      <c r="D143" s="104">
        <f ca="1">IFERROR(INDIRECT(CONCATENATE("Distance!$d",C136+7)),"")</f>
        <v>8</v>
      </c>
      <c r="E143" s="104" t="str">
        <f ca="1">IFERROR(INDIRECT(CONCATENATE("Distance!$E",C136+7)),"")</f>
        <v/>
      </c>
      <c r="F143" s="286" t="str">
        <f ca="1">IFERROR(VLOOKUP($C134&amp;E143,downloads!$A$1:$E$1000,2,FALSE),"")</f>
        <v/>
      </c>
      <c r="G143" s="64" t="str">
        <f t="shared" ca="1" si="24"/>
        <v/>
      </c>
      <c r="H143" s="109" t="str">
        <f ca="1">IFERROR(INDIRECT(CONCATENATE("Distance!$H",C136+7)),"")</f>
        <v/>
      </c>
      <c r="I143" s="147" t="str">
        <f ca="1">IFERROR(IF(OR(H143="",H143=0,H143&lt;A135),"",VLOOKUP(H143,A135:B143,2,TRUE)),9)</f>
        <v/>
      </c>
      <c r="J143" s="67"/>
      <c r="K143" s="104">
        <f ca="1">IFERROR(INDIRECT(CONCATENATE("Distance!$j",C136+7)),"")</f>
        <v>8</v>
      </c>
      <c r="L143" s="104" t="str">
        <f ca="1">IFERROR(INDIRECT(CONCATENATE("Distance!$k",C136+7)),"")</f>
        <v/>
      </c>
      <c r="M143" s="286" t="str">
        <f ca="1">IFERROR(VLOOKUP($C134&amp;L143,downloads!$A$1:$E$1000,2,FALSE),"")</f>
        <v/>
      </c>
      <c r="N143" s="64" t="str">
        <f t="shared" ca="1" si="25"/>
        <v/>
      </c>
      <c r="O143" s="109" t="str">
        <f ca="1">IFERROR(INDIRECT(CONCATENATE("Distance!$T",C136+7)),"")</f>
        <v/>
      </c>
      <c r="P143" s="147" t="str">
        <f ca="1">IFERROR(IF(OR(O143="",O143=0,O143&lt;A135),"",VLOOKUP(O143,A135:B143,2,TRUE)),9)</f>
        <v/>
      </c>
      <c r="R143" s="66">
        <f ca="1">IFERROR(IF(OR(E143=0,E143="",H143=0,H143="",H143="X"),0,VLOOKUP(D143,INDIRECT(MatchDay!$W$2),2,FALSE)),"")</f>
        <v>0</v>
      </c>
      <c r="S143" s="66">
        <f ca="1">IFERROR(IF(OR(L143=0,L143="",O143=0,O143="",O143="X"),0,VLOOKUP(K143,INDIRECT(MatchDay!$W$2),3,FALSE)),"")</f>
        <v>0</v>
      </c>
    </row>
    <row r="145" spans="1:21" x14ac:dyDescent="0.35">
      <c r="C145" s="98" t="s">
        <v>245</v>
      </c>
      <c r="D145" s="99" t="str">
        <f>IFERROR(VLOOKUP(C145,timetables,2,FALSE)&amp;" "&amp;VLOOKUP(C145,timetables,3,FALSE)&amp;" A","")</f>
        <v>Long Jump U15 Girls A</v>
      </c>
      <c r="E145" s="99"/>
      <c r="H145" s="108" t="str">
        <f ca="1">IFERROR(IF(OR(H147=0,H147="",H147="X"),"",IF(H147&gt;C154,"REC",IF(H147=C154,"=Rec",""))),"")</f>
        <v/>
      </c>
      <c r="I145" s="147" t="str">
        <f ca="1">IFERROR(IF(OR(H147=0,H147="",H147="X"),"",IF(H147&gt;C154,"REC",IF(H147=C154,"=Rec",""))),"")</f>
        <v/>
      </c>
      <c r="K145" s="101" t="str">
        <f>IFERROR(VLOOKUP(C145,timetables,2,FALSE)&amp;" "&amp;VLOOKUP(C145,timetables,3,FALSE)&amp;" B","")</f>
        <v>Long Jump U15 Girls B</v>
      </c>
      <c r="L145" s="102"/>
      <c r="R145" s="66" t="s">
        <v>53</v>
      </c>
      <c r="S145" s="66" t="s">
        <v>54</v>
      </c>
    </row>
    <row r="146" spans="1:21" x14ac:dyDescent="0.35">
      <c r="A146" s="105">
        <f>IFERROR(VLOOKUP(C145,standards,3,FALSE),"-")</f>
        <v>3.25</v>
      </c>
      <c r="B146" s="419">
        <v>1</v>
      </c>
      <c r="C146" s="79"/>
      <c r="D146" s="45" t="s">
        <v>177</v>
      </c>
      <c r="E146" s="45" t="s">
        <v>118</v>
      </c>
      <c r="F146" s="47" t="s">
        <v>174</v>
      </c>
      <c r="G146" s="47" t="s">
        <v>175</v>
      </c>
      <c r="H146" s="45" t="s">
        <v>176</v>
      </c>
      <c r="I146" s="148" t="s">
        <v>1003</v>
      </c>
      <c r="J146" s="47"/>
      <c r="K146" s="45" t="s">
        <v>177</v>
      </c>
      <c r="L146" s="45" t="s">
        <v>118</v>
      </c>
      <c r="M146" s="47" t="s">
        <v>174</v>
      </c>
      <c r="N146" s="47" t="s">
        <v>175</v>
      </c>
      <c r="O146" s="45" t="s">
        <v>176</v>
      </c>
      <c r="P146" s="148" t="s">
        <v>1003</v>
      </c>
    </row>
    <row r="147" spans="1:21" x14ac:dyDescent="0.35">
      <c r="A147" s="105">
        <f>IFERROR(VLOOKUP(C145,standards,4,FALSE),"-")</f>
        <v>3.5</v>
      </c>
      <c r="B147" s="419">
        <v>2</v>
      </c>
      <c r="C147" s="66">
        <f>IFERROR(VLOOKUP(C145,Distance!A:B,2,FALSE),"")</f>
        <v>443</v>
      </c>
      <c r="D147" s="104">
        <f ca="1">IFERROR(INDIRECT(CONCATENATE("Distance!$d",C147)),"")</f>
        <v>1</v>
      </c>
      <c r="E147" s="104">
        <f ca="1">IFERROR(INDIRECT(CONCATENATE("Distance!$E",C147)),"")</f>
        <v>6</v>
      </c>
      <c r="F147" s="286" t="str">
        <f ca="1">IFERROR(VLOOKUP($C145&amp;E147,downloads!$A$1:$E$1000,2,FALSE),"")</f>
        <v>Molly MILLS</v>
      </c>
      <c r="G147" s="64" t="str">
        <f t="shared" ref="G147:G154" ca="1" si="26">IFERROR(VLOOKUP(E147,teamlookup,5,FALSE),"")</f>
        <v>Stock</v>
      </c>
      <c r="H147" s="109">
        <f ca="1">IFERROR(INDIRECT(CONCATENATE("Distance!$H",C147)),"")</f>
        <v>4.7300000000000004</v>
      </c>
      <c r="I147" s="147">
        <f ca="1">IFERROR(IF(OR(H147="",H147=0,H147&lt;A146),"",VLOOKUP(H147,A146:B154,2,TRUE)),9)</f>
        <v>6</v>
      </c>
      <c r="J147" s="67"/>
      <c r="K147" s="104">
        <f ca="1">IFERROR(INDIRECT(CONCATENATE("Distance!$j",C147)),"")</f>
        <v>1</v>
      </c>
      <c r="L147" s="104">
        <f ca="1">IFERROR(INDIRECT(CONCATENATE("Distance!$k",C147)),"")</f>
        <v>66</v>
      </c>
      <c r="M147" s="286" t="str">
        <f ca="1">IFERROR(VLOOKUP($C145&amp;L147,downloads!$A$1:$E$1000,2,FALSE),"")</f>
        <v/>
      </c>
      <c r="N147" s="64" t="str">
        <f t="shared" ref="N147:N154" ca="1" si="27">IFERROR(VLOOKUP(L147,teamlookup,5,FALSE),"")</f>
        <v>Stock</v>
      </c>
      <c r="O147" s="109">
        <f ca="1">IFERROR(INDIRECT(CONCATENATE("Distance!$T",C147)),"")</f>
        <v>4.21</v>
      </c>
      <c r="P147" s="147">
        <f ca="1">IFERROR(IF(OR(O147="",O147=0,O147&lt;A146),"",VLOOKUP(O147,A146:B154,2,TRUE)),9)</f>
        <v>4</v>
      </c>
      <c r="R147" s="66">
        <f ca="1">IFERROR(IF(OR(E147=0,E147="",H147=0,H147="",H147="X"),0,VLOOKUP(D147,INDIRECT(MatchDay!$W$2),2,FALSE)),"")</f>
        <v>10</v>
      </c>
      <c r="S147" s="66">
        <f ca="1">IFERROR(IF(OR(L147=0,L147="",O147=0,O147="",O147="X"),0,VLOOKUP(K147,INDIRECT(MatchDay!$W$2),3,FALSE)),"")</f>
        <v>8</v>
      </c>
      <c r="T147" s="168">
        <f ca="1">COUNTIF(E147,"&gt;0")</f>
        <v>1</v>
      </c>
      <c r="U147" s="66">
        <f ca="1">IFERROR(IF(E147&gt;88,1,0),0)</f>
        <v>0</v>
      </c>
    </row>
    <row r="148" spans="1:21" x14ac:dyDescent="0.35">
      <c r="A148" s="105">
        <f>IFERROR(VLOOKUP(C145,standards,5,FALSE),"-")</f>
        <v>3.75</v>
      </c>
      <c r="B148" s="419">
        <v>3</v>
      </c>
      <c r="C148" s="103"/>
      <c r="D148" s="104">
        <f ca="1">IFERROR(INDIRECT(CONCATENATE("Distance!$d",C147+1)),"")</f>
        <v>2</v>
      </c>
      <c r="E148" s="104">
        <f ca="1">IFERROR(INDIRECT(CONCATENATE("Distance!$E",C147+1)),"")</f>
        <v>77</v>
      </c>
      <c r="F148" s="286" t="str">
        <f ca="1">IFERROR(VLOOKUP($C145&amp;E148,downloads!$A$1:$E$1000,2,FALSE),"")</f>
        <v>Emma PIMBLETT</v>
      </c>
      <c r="G148" s="64" t="str">
        <f t="shared" ca="1" si="26"/>
        <v>Wigan</v>
      </c>
      <c r="H148" s="109">
        <f ca="1">IFERROR(INDIRECT(CONCATENATE("Distance!$H",C147+1)),"")</f>
        <v>4.53</v>
      </c>
      <c r="I148" s="147">
        <f ca="1">IFERROR(IF(OR(H148="",H148=0,H148&lt;A146),"",VLOOKUP(H148,A146:B154,2,TRUE)),9)</f>
        <v>6</v>
      </c>
      <c r="J148" s="67"/>
      <c r="K148" s="104">
        <f ca="1">IFERROR(INDIRECT(CONCATENATE("Distance!$j",C147+1)),"")</f>
        <v>2</v>
      </c>
      <c r="L148" s="104">
        <f ca="1">IFERROR(INDIRECT(CONCATENATE("Distance!$k",C147+1)),"")</f>
        <v>11</v>
      </c>
      <c r="M148" s="286" t="str">
        <f ca="1">IFERROR(VLOOKUP($C145&amp;L148,downloads!$A$1:$E$1000,2,FALSE),"")</f>
        <v>Mia O'DONNELL</v>
      </c>
      <c r="N148" s="64" t="str">
        <f t="shared" ca="1" si="27"/>
        <v>C&amp;N</v>
      </c>
      <c r="O148" s="109">
        <f ca="1">IFERROR(INDIRECT(CONCATENATE("Distance!$T",C147+1)),"")</f>
        <v>4.1900000000000004</v>
      </c>
      <c r="P148" s="147">
        <f ca="1">IFERROR(IF(OR(O148="",O148=0,O148&lt;A146),"",VLOOKUP(O148,A146:B154,2,TRUE)),9)</f>
        <v>4</v>
      </c>
      <c r="R148" s="66">
        <f ca="1">IFERROR(IF(OR(E148=0,E148="",H148=0,H148="",H148="X"),0,VLOOKUP(D148,INDIRECT(MatchDay!$W$2),2,FALSE)),"")</f>
        <v>8</v>
      </c>
      <c r="S148" s="66">
        <f ca="1">IFERROR(IF(OR(L148=0,L148="",O148=0,O148="",O148="X"),0,VLOOKUP(K148,INDIRECT(MatchDay!$W$2),3,FALSE)),"")</f>
        <v>6</v>
      </c>
    </row>
    <row r="149" spans="1:21" x14ac:dyDescent="0.35">
      <c r="A149" s="105">
        <f>IFERROR(VLOOKUP(C145,standards,6,FALSE),"-")</f>
        <v>4</v>
      </c>
      <c r="B149" s="419">
        <v>4</v>
      </c>
      <c r="C149" s="105"/>
      <c r="D149" s="104">
        <f ca="1">IFERROR(INDIRECT(CONCATENATE("Distance!$d",C147+2)),"")</f>
        <v>3</v>
      </c>
      <c r="E149" s="104">
        <f ca="1">IFERROR(INDIRECT(CONCATENATE("Distance!$E",C147+2)),"")</f>
        <v>1</v>
      </c>
      <c r="F149" s="286" t="str">
        <f ca="1">IFERROR(VLOOKUP($C145&amp;E149,downloads!$A$1:$E$1000,2,FALSE),"")</f>
        <v>Olivia WELCH</v>
      </c>
      <c r="G149" s="64" t="str">
        <f t="shared" ca="1" si="26"/>
        <v>C&amp;N</v>
      </c>
      <c r="H149" s="109">
        <f ca="1">IFERROR(INDIRECT(CONCATENATE("Distance!$H",C147+2)),"")</f>
        <v>4.34</v>
      </c>
      <c r="I149" s="147">
        <f ca="1">IFERROR(IF(OR(H149="",H149=0,H149&lt;A146),"",VLOOKUP(H149,A146:B154,2,TRUE)),9)</f>
        <v>5</v>
      </c>
      <c r="J149" s="67"/>
      <c r="K149" s="104">
        <f ca="1">IFERROR(INDIRECT(CONCATENATE("Distance!$j",C147+2)),"")</f>
        <v>3</v>
      </c>
      <c r="L149" s="104">
        <f ca="1">IFERROR(INDIRECT(CONCATENATE("Distance!$k",C147+2)),"")</f>
        <v>33</v>
      </c>
      <c r="M149" s="286" t="str">
        <f ca="1">IFERROR(VLOOKUP($C145&amp;L149,downloads!$A$1:$E$1000,2,FALSE),"")</f>
        <v>Isobel EVANS</v>
      </c>
      <c r="N149" s="64" t="str">
        <f t="shared" ca="1" si="27"/>
        <v>Leigh</v>
      </c>
      <c r="O149" s="109">
        <f ca="1">IFERROR(INDIRECT(CONCATENATE("Distance!$T",C147+2)),"")</f>
        <v>3.93</v>
      </c>
      <c r="P149" s="147">
        <f ca="1">IFERROR(IF(OR(O149="",O149=0,O149&lt;A146),"",VLOOKUP(O149,A146:B154,2,TRUE)),9)</f>
        <v>3</v>
      </c>
      <c r="R149" s="66">
        <f ca="1">IFERROR(IF(OR(E149=0,E149="",H149=0,H149="",H149="X"),0,VLOOKUP(D149,INDIRECT(MatchDay!$W$2),2,FALSE)),"")</f>
        <v>7</v>
      </c>
      <c r="S149" s="66">
        <f ca="1">IFERROR(IF(OR(L149=0,L149="",O149=0,O149="",O149="X"),0,VLOOKUP(K149,INDIRECT(MatchDay!$W$2),3,FALSE)),"")</f>
        <v>5</v>
      </c>
    </row>
    <row r="150" spans="1:21" x14ac:dyDescent="0.35">
      <c r="A150" s="105">
        <f>IFERROR(VLOOKUP(C145,standards,7,FALSE),"-")</f>
        <v>4.25</v>
      </c>
      <c r="B150" s="419">
        <v>5</v>
      </c>
      <c r="C150" s="105"/>
      <c r="D150" s="104">
        <f ca="1">IFERROR(INDIRECT(CONCATENATE("Distance!$d",C147+3)),"")</f>
        <v>4</v>
      </c>
      <c r="E150" s="104">
        <f ca="1">IFERROR(INDIRECT(CONCATENATE("Distance!$E",C147+3)),"")</f>
        <v>5</v>
      </c>
      <c r="F150" s="286" t="str">
        <f ca="1">IFERROR(VLOOKUP($C145&amp;E150,downloads!$A$1:$E$1000,2,FALSE),"")</f>
        <v>Lily HARDY</v>
      </c>
      <c r="G150" s="64" t="str">
        <f t="shared" ca="1" si="26"/>
        <v>Menai</v>
      </c>
      <c r="H150" s="109">
        <f ca="1">IFERROR(INDIRECT(CONCATENATE("Distance!$H",C147+3)),"")</f>
        <v>4.24</v>
      </c>
      <c r="I150" s="147">
        <f ca="1">IFERROR(IF(OR(H150="",H150=0,H150&lt;A146),"",VLOOKUP(H150,A146:B154,2,TRUE)),9)</f>
        <v>4</v>
      </c>
      <c r="J150" s="67"/>
      <c r="K150" s="104">
        <f ca="1">IFERROR(INDIRECT(CONCATENATE("Distance!$j",C147+3)),"")</f>
        <v>4</v>
      </c>
      <c r="L150" s="104">
        <f ca="1">IFERROR(INDIRECT(CONCATENATE("Distance!$k",C147+3)),"")</f>
        <v>7</v>
      </c>
      <c r="M150" s="286" t="str">
        <f ca="1">IFERROR(VLOOKUP($C145&amp;L150,downloads!$A$1:$E$1000,2,FALSE),"")</f>
        <v>Emily WILSON</v>
      </c>
      <c r="N150" s="64" t="str">
        <f t="shared" ca="1" si="27"/>
        <v>Wigan</v>
      </c>
      <c r="O150" s="109">
        <f ca="1">IFERROR(INDIRECT(CONCATENATE("Distance!$T",C147+3)),"")</f>
        <v>3.85</v>
      </c>
      <c r="P150" s="147">
        <f ca="1">IFERROR(IF(OR(O150="",O150=0,O150&lt;A146),"",VLOOKUP(O150,A146:B154,2,TRUE)),9)</f>
        <v>3</v>
      </c>
      <c r="R150" s="66">
        <f ca="1">IFERROR(IF(OR(E150=0,E150="",H150=0,H150="",H150="X"),0,VLOOKUP(D150,INDIRECT(MatchDay!$W$2),2,FALSE)),"")</f>
        <v>6</v>
      </c>
      <c r="S150" s="66">
        <f ca="1">IFERROR(IF(OR(L150=0,L150="",O150=0,O150="",O150="X"),0,VLOOKUP(K150,INDIRECT(MatchDay!$W$2),3,FALSE)),"")</f>
        <v>4</v>
      </c>
    </row>
    <row r="151" spans="1:21" x14ac:dyDescent="0.35">
      <c r="A151" s="105">
        <f>IFERROR(VLOOKUP(C145,standards,8,FALSE),"-")</f>
        <v>4.5</v>
      </c>
      <c r="B151" s="419">
        <v>6</v>
      </c>
      <c r="C151" s="105"/>
      <c r="D151" s="104">
        <f ca="1">IFERROR(INDIRECT(CONCATENATE("Distance!$d",C147+4)),"")</f>
        <v>5</v>
      </c>
      <c r="E151" s="104">
        <f ca="1">IFERROR(INDIRECT(CONCATENATE("Distance!$E",C147+4)),"")</f>
        <v>3</v>
      </c>
      <c r="F151" s="286" t="str">
        <f ca="1">IFERROR(VLOOKUP($C145&amp;E151,downloads!$A$1:$E$1000,2,FALSE),"")</f>
        <v>Olivia COPPER</v>
      </c>
      <c r="G151" s="64" t="str">
        <f t="shared" ca="1" si="26"/>
        <v>Leigh</v>
      </c>
      <c r="H151" s="109">
        <f ca="1">IFERROR(INDIRECT(CONCATENATE("Distance!$H",C147+4)),"")</f>
        <v>4.1100000000000003</v>
      </c>
      <c r="I151" s="147">
        <f ca="1">IFERROR(IF(OR(H151="",H151=0,H151&lt;A146),"",VLOOKUP(H151,A146:B154,2,TRUE)),9)</f>
        <v>4</v>
      </c>
      <c r="J151" s="67"/>
      <c r="K151" s="104">
        <f ca="1">IFERROR(INDIRECT(CONCATENATE("Distance!$j",C147+4)),"")</f>
        <v>5</v>
      </c>
      <c r="L151" s="104">
        <f ca="1">IFERROR(INDIRECT(CONCATENATE("Distance!$k",C147+4)),"")</f>
        <v>55</v>
      </c>
      <c r="M151" s="286" t="str">
        <f ca="1">IFERROR(VLOOKUP($C145&amp;L151,downloads!$A$1:$E$1000,2,FALSE),"")</f>
        <v>Mabli WILLIAMS</v>
      </c>
      <c r="N151" s="64" t="str">
        <f t="shared" ca="1" si="27"/>
        <v>Menai</v>
      </c>
      <c r="O151" s="109">
        <f ca="1">IFERROR(INDIRECT(CONCATENATE("Distance!$T",C147+4)),"")</f>
        <v>3.35</v>
      </c>
      <c r="P151" s="147">
        <f ca="1">IFERROR(IF(OR(O151="",O151=0,O151&lt;A146),"",VLOOKUP(O151,A146:B154,2,TRUE)),9)</f>
        <v>1</v>
      </c>
      <c r="R151" s="66">
        <f ca="1">IFERROR(IF(OR(E151=0,E151="",H151=0,H151="",H151="X"),0,VLOOKUP(D151,INDIRECT(MatchDay!$W$2),2,FALSE)),"")</f>
        <v>5</v>
      </c>
      <c r="S151" s="66">
        <f ca="1">IFERROR(IF(OR(L151=0,L151="",O151=0,O151="",O151="X"),0,VLOOKUP(K151,INDIRECT(MatchDay!$W$2),3,FALSE)),"")</f>
        <v>3</v>
      </c>
    </row>
    <row r="152" spans="1:21" x14ac:dyDescent="0.35">
      <c r="A152" s="105">
        <f>IFERROR(VLOOKUP(C145,standards,9,FALSE),"-")</f>
        <v>4.75</v>
      </c>
      <c r="B152" s="419">
        <v>7</v>
      </c>
      <c r="C152" s="105"/>
      <c r="D152" s="104">
        <f ca="1">IFERROR(INDIRECT(CONCATENATE("Distance!$d",C147+5)),"")</f>
        <v>6</v>
      </c>
      <c r="E152" s="104">
        <f ca="1">IFERROR(INDIRECT(CONCATENATE("Distance!$E",C147+5)),"")</f>
        <v>4</v>
      </c>
      <c r="F152" s="286" t="str">
        <f ca="1">IFERROR(VLOOKUP($C145&amp;E152,downloads!$A$1:$E$1000,2,FALSE),"")</f>
        <v>Elizabeth PENDRILL</v>
      </c>
      <c r="G152" s="64" t="str">
        <f t="shared" ca="1" si="26"/>
        <v>Macc</v>
      </c>
      <c r="H152" s="109">
        <f ca="1">IFERROR(INDIRECT(CONCATENATE("Distance!$H",C147+5)),"")</f>
        <v>4.04</v>
      </c>
      <c r="I152" s="147">
        <f ca="1">IFERROR(IF(OR(H152="",H152=0,H152&lt;A146),"",VLOOKUP(H152,A146:B154,2,TRUE)),9)</f>
        <v>4</v>
      </c>
      <c r="J152" s="67"/>
      <c r="K152" s="104">
        <f ca="1">IFERROR(INDIRECT(CONCATENATE("Distance!$j",C147+5)),"")</f>
        <v>6</v>
      </c>
      <c r="L152" s="104">
        <f ca="1">IFERROR(INDIRECT(CONCATENATE("Distance!$k",C147+5)),"")</f>
        <v>44</v>
      </c>
      <c r="M152" s="286" t="str">
        <f ca="1">IFERROR(VLOOKUP($C145&amp;L152,downloads!$A$1:$E$1000,2,FALSE),"")</f>
        <v>Brooke SAYCE</v>
      </c>
      <c r="N152" s="64" t="str">
        <f t="shared" ca="1" si="27"/>
        <v>Macc</v>
      </c>
      <c r="O152" s="109">
        <f ca="1">IFERROR(INDIRECT(CONCATENATE("Distance!$T",C147+5)),"")</f>
        <v>2.84</v>
      </c>
      <c r="P152" s="147" t="str">
        <f ca="1">IFERROR(IF(OR(O152="",O152=0,O152&lt;A146),"",VLOOKUP(O152,A146:B154,2,TRUE)),9)</f>
        <v/>
      </c>
      <c r="R152" s="66">
        <f ca="1">IFERROR(IF(OR(E152=0,E152="",H152=0,H152="",H152="X"),0,VLOOKUP(D152,INDIRECT(MatchDay!$W$2),2,FALSE)),"")</f>
        <v>4</v>
      </c>
      <c r="S152" s="66">
        <f ca="1">IFERROR(IF(OR(L152=0,L152="",O152=0,O152="",O152="X"),0,VLOOKUP(K152,INDIRECT(MatchDay!$W$2),3,FALSE)),"")</f>
        <v>2</v>
      </c>
    </row>
    <row r="153" spans="1:21" x14ac:dyDescent="0.35">
      <c r="A153" s="105">
        <f>IFERROR(VLOOKUP(C145,standards,10,FALSE),"-")</f>
        <v>4.95</v>
      </c>
      <c r="B153" s="419">
        <v>8</v>
      </c>
      <c r="C153" s="103" t="s">
        <v>151</v>
      </c>
      <c r="D153" s="104">
        <f ca="1">IFERROR(INDIRECT(CONCATENATE("Distance!$d",C147+6)),"")</f>
        <v>7</v>
      </c>
      <c r="E153" s="104">
        <f ca="1">IFERROR(INDIRECT(CONCATENATE("Distance!$E",C147+6)),"")</f>
        <v>2</v>
      </c>
      <c r="F153" s="286" t="str">
        <f ca="1">IFERROR(VLOOKUP($C145&amp;E153,downloads!$A$1:$E$1000,2,FALSE),"")</f>
        <v>Ava ROYLE</v>
      </c>
      <c r="G153" s="64" t="str">
        <f t="shared" ca="1" si="26"/>
        <v>ECHT</v>
      </c>
      <c r="H153" s="109">
        <f ca="1">IFERROR(INDIRECT(CONCATENATE("Distance!$H",C147+6)),"")</f>
        <v>4</v>
      </c>
      <c r="I153" s="147">
        <f ca="1">IFERROR(IF(OR(H153="",H153=0,H153&lt;A146),"",VLOOKUP(H153,A146:B154,2,TRUE)),9)</f>
        <v>4</v>
      </c>
      <c r="J153" s="67"/>
      <c r="K153" s="104">
        <f ca="1">IFERROR(INDIRECT(CONCATENATE("Distance!$j",C147+6)),"")</f>
        <v>7</v>
      </c>
      <c r="L153" s="104" t="str">
        <f ca="1">IFERROR(INDIRECT(CONCATENATE("Distance!$k",C147+6)),"")</f>
        <v/>
      </c>
      <c r="M153" s="286" t="str">
        <f ca="1">IFERROR(VLOOKUP($C145&amp;L153,downloads!$A$1:$E$1000,2,FALSE),"")</f>
        <v/>
      </c>
      <c r="N153" s="64" t="str">
        <f t="shared" ca="1" si="27"/>
        <v/>
      </c>
      <c r="O153" s="109" t="str">
        <f ca="1">IFERROR(INDIRECT(CONCATENATE("Distance!$T",C147+6)),"")</f>
        <v/>
      </c>
      <c r="P153" s="147" t="str">
        <f ca="1">IFERROR(IF(OR(O153="",O153=0,O153&lt;A146),"",VLOOKUP(O153,A146:B154,2,TRUE)),9)</f>
        <v/>
      </c>
      <c r="R153" s="66">
        <f ca="1">IFERROR(IF(OR(E153=0,E153="",H153=0,H153="",H153="X"),0,VLOOKUP(D153,INDIRECT(MatchDay!$W$2),2,FALSE)),"")</f>
        <v>3</v>
      </c>
      <c r="S153" s="66">
        <f ca="1">IFERROR(IF(OR(L153=0,L153="",O153=0,O153="",O153="X"),0,VLOOKUP(K153,INDIRECT(MatchDay!$W$2),3,FALSE)),"")</f>
        <v>0</v>
      </c>
    </row>
    <row r="154" spans="1:21" x14ac:dyDescent="0.35">
      <c r="A154" s="105">
        <f>IFERROR(VLOOKUP(C145,standards,11,FALSE),"-")</f>
        <v>5.0999999999999996</v>
      </c>
      <c r="B154" s="419">
        <v>9</v>
      </c>
      <c r="C154" s="103">
        <f>IFERROR(VLOOKUP(C145,records,5,FALSE),"")</f>
        <v>5.65</v>
      </c>
      <c r="D154" s="104">
        <f ca="1">IFERROR(INDIRECT(CONCATENATE("Distance!$d",C147+7)),"")</f>
        <v>8</v>
      </c>
      <c r="E154" s="104" t="str">
        <f ca="1">IFERROR(INDIRECT(CONCATENATE("Distance!$E",C147+7)),"")</f>
        <v/>
      </c>
      <c r="F154" s="286" t="str">
        <f ca="1">IFERROR(VLOOKUP($C145&amp;E154,downloads!$A$1:$E$1000,2,FALSE),"")</f>
        <v/>
      </c>
      <c r="G154" s="64" t="str">
        <f t="shared" ca="1" si="26"/>
        <v/>
      </c>
      <c r="H154" s="109" t="str">
        <f ca="1">IFERROR(INDIRECT(CONCATENATE("Distance!$H",C147+7)),"")</f>
        <v/>
      </c>
      <c r="I154" s="147" t="str">
        <f ca="1">IFERROR(IF(OR(H154="",H154=0,H154&lt;A146),"",VLOOKUP(H154,A146:B154,2,TRUE)),9)</f>
        <v/>
      </c>
      <c r="J154" s="67"/>
      <c r="K154" s="104">
        <f ca="1">IFERROR(INDIRECT(CONCATENATE("Distance!$j",C147+7)),"")</f>
        <v>8</v>
      </c>
      <c r="L154" s="104" t="str">
        <f ca="1">IFERROR(INDIRECT(CONCATENATE("Distance!$k",C147+7)),"")</f>
        <v/>
      </c>
      <c r="M154" s="286" t="str">
        <f ca="1">IFERROR(VLOOKUP($C145&amp;L154,downloads!$A$1:$E$1000,2,FALSE),"")</f>
        <v/>
      </c>
      <c r="N154" s="64" t="str">
        <f t="shared" ca="1" si="27"/>
        <v/>
      </c>
      <c r="O154" s="109" t="str">
        <f ca="1">IFERROR(INDIRECT(CONCATENATE("Distance!$T",C147+7)),"")</f>
        <v/>
      </c>
      <c r="P154" s="147" t="str">
        <f ca="1">IFERROR(IF(OR(O154="",O154=0,O154&lt;A146),"",VLOOKUP(O154,A146:B154,2,TRUE)),9)</f>
        <v/>
      </c>
      <c r="R154" s="66">
        <f ca="1">IFERROR(IF(OR(E154=0,E154="",H154=0,H154="",H154="X"),0,VLOOKUP(D154,INDIRECT(MatchDay!$W$2),2,FALSE)),"")</f>
        <v>0</v>
      </c>
      <c r="S154" s="66">
        <f ca="1">IFERROR(IF(OR(L154=0,L154="",O154=0,O154="",O154="X"),0,VLOOKUP(K154,INDIRECT(MatchDay!$W$2),3,FALSE)),"")</f>
        <v>0</v>
      </c>
    </row>
    <row r="156" spans="1:21" x14ac:dyDescent="0.35">
      <c r="C156" s="98" t="s">
        <v>246</v>
      </c>
      <c r="D156" s="99" t="str">
        <f>IFERROR(VLOOKUP(C156,timetables,2,FALSE)&amp;" "&amp;VLOOKUP(C156,timetables,3,FALSE)&amp;" A","")</f>
        <v>Long Jump U13 Girls A</v>
      </c>
      <c r="E156" s="99"/>
      <c r="H156" s="108" t="str">
        <f ca="1">IFERROR(IF(OR(H158=0,H158="",H158="X"),"",IF(H158&gt;C165,"REC",IF(H158=C165,"=Rec",""))),"")</f>
        <v/>
      </c>
      <c r="I156" s="147" t="str">
        <f ca="1">IFERROR(IF(OR(H158=0,H158="",H158="X"),"",IF(H158&gt;C165,"REC",IF(H158=C165,"=Rec",""))),"")</f>
        <v/>
      </c>
      <c r="K156" s="101" t="str">
        <f>IFERROR(VLOOKUP(C156,timetables,2,FALSE)&amp;" "&amp;VLOOKUP(C156,timetables,3,FALSE)&amp;" B","")</f>
        <v>Long Jump U13 Girls B</v>
      </c>
      <c r="L156" s="102"/>
      <c r="R156" s="66" t="s">
        <v>53</v>
      </c>
      <c r="S156" s="66" t="s">
        <v>54</v>
      </c>
    </row>
    <row r="157" spans="1:21" x14ac:dyDescent="0.35">
      <c r="A157" s="105">
        <f>IFERROR(VLOOKUP(C156,standards,3,FALSE),"-")</f>
        <v>2.5</v>
      </c>
      <c r="B157" s="419">
        <v>1</v>
      </c>
      <c r="C157" s="79"/>
      <c r="D157" s="45" t="s">
        <v>177</v>
      </c>
      <c r="E157" s="45" t="s">
        <v>118</v>
      </c>
      <c r="F157" s="47" t="s">
        <v>174</v>
      </c>
      <c r="G157" s="47" t="s">
        <v>175</v>
      </c>
      <c r="H157" s="45" t="s">
        <v>176</v>
      </c>
      <c r="I157" s="148" t="s">
        <v>1003</v>
      </c>
      <c r="J157" s="47"/>
      <c r="K157" s="45" t="s">
        <v>177</v>
      </c>
      <c r="L157" s="45" t="s">
        <v>118</v>
      </c>
      <c r="M157" s="47" t="s">
        <v>174</v>
      </c>
      <c r="N157" s="47" t="s">
        <v>175</v>
      </c>
      <c r="O157" s="45" t="s">
        <v>176</v>
      </c>
      <c r="P157" s="148" t="s">
        <v>1003</v>
      </c>
    </row>
    <row r="158" spans="1:21" x14ac:dyDescent="0.35">
      <c r="A158" s="105">
        <f>IFERROR(VLOOKUP(C156,standards,4,FALSE),"-")</f>
        <v>2.75</v>
      </c>
      <c r="B158" s="419">
        <v>2</v>
      </c>
      <c r="C158" s="66">
        <f>IFERROR(VLOOKUP(C156,Distance!A:B,2,FALSE),"")</f>
        <v>475</v>
      </c>
      <c r="D158" s="104">
        <f ca="1">IFERROR(INDIRECT(CONCATENATE("Distance!$d",C158)),"")</f>
        <v>1</v>
      </c>
      <c r="E158" s="104">
        <f ca="1">IFERROR(INDIRECT(CONCATENATE("Distance!$E",C158)),"")</f>
        <v>1</v>
      </c>
      <c r="F158" s="286" t="str">
        <f ca="1">IFERROR(VLOOKUP($C156&amp;E158,downloads!$A$1:$E$1000,2,FALSE),"")</f>
        <v>Lucy HOWARTH</v>
      </c>
      <c r="G158" s="64" t="str">
        <f t="shared" ref="G158:G165" ca="1" si="28">IFERROR(VLOOKUP(E158,teamlookup,5,FALSE),"")</f>
        <v>C&amp;N</v>
      </c>
      <c r="H158" s="109">
        <f ca="1">IFERROR(INDIRECT(CONCATENATE("Distance!$H",C158)),"")</f>
        <v>4.13</v>
      </c>
      <c r="I158" s="147">
        <f ca="1">IFERROR(IF(OR(H158="",H158=0,H158&lt;A157),"",VLOOKUP(H158,A157:B165,2,TRUE)),9)</f>
        <v>7</v>
      </c>
      <c r="J158" s="67"/>
      <c r="K158" s="104">
        <f ca="1">IFERROR(INDIRECT(CONCATENATE("Distance!$j",C158)),"")</f>
        <v>1</v>
      </c>
      <c r="L158" s="104">
        <f ca="1">IFERROR(INDIRECT(CONCATENATE("Distance!$k",C158)),"")</f>
        <v>11</v>
      </c>
      <c r="M158" s="286" t="str">
        <f ca="1">IFERROR(VLOOKUP($C156&amp;L158,downloads!$A$1:$E$1000,2,FALSE),"")</f>
        <v>Bethany HALL</v>
      </c>
      <c r="N158" s="64" t="str">
        <f t="shared" ref="N158:N165" ca="1" si="29">IFERROR(VLOOKUP(L158,teamlookup,5,FALSE),"")</f>
        <v>C&amp;N</v>
      </c>
      <c r="O158" s="109">
        <f ca="1">IFERROR(INDIRECT(CONCATENATE("Distance!$T",C158)),"")</f>
        <v>3.5</v>
      </c>
      <c r="P158" s="147">
        <f ca="1">IFERROR(IF(OR(O158="",O158=0,O158&lt;A157),"",VLOOKUP(O158,A157:B165,2,TRUE)),9)</f>
        <v>5</v>
      </c>
      <c r="R158" s="66">
        <f ca="1">IFERROR(IF(OR(E158=0,E158="",H158=0,H158="",H158="X"),0,VLOOKUP(D158,INDIRECT(MatchDay!$W$2),2,FALSE)),"")</f>
        <v>10</v>
      </c>
      <c r="S158" s="66">
        <f ca="1">IFERROR(IF(OR(L158=0,L158="",O158=0,O158="",O158="X"),0,VLOOKUP(K158,INDIRECT(MatchDay!$W$2),3,FALSE)),"")</f>
        <v>8</v>
      </c>
      <c r="T158" s="168">
        <f ca="1">COUNTIF(E158,"&gt;0")</f>
        <v>1</v>
      </c>
      <c r="U158" s="66">
        <f ca="1">IFERROR(IF(E158&gt;88,1,0),0)</f>
        <v>0</v>
      </c>
    </row>
    <row r="159" spans="1:21" x14ac:dyDescent="0.35">
      <c r="A159" s="105">
        <f>IFERROR(VLOOKUP(C156,standards,5,FALSE),"-")</f>
        <v>3</v>
      </c>
      <c r="B159" s="419">
        <v>3</v>
      </c>
      <c r="C159" s="103"/>
      <c r="D159" s="104">
        <f ca="1">IFERROR(INDIRECT(CONCATENATE("Distance!$d",C158+1)),"")</f>
        <v>2</v>
      </c>
      <c r="E159" s="104">
        <f ca="1">IFERROR(INDIRECT(CONCATENATE("Distance!$E",C158+1)),"")</f>
        <v>3</v>
      </c>
      <c r="F159" s="286" t="str">
        <f ca="1">IFERROR(VLOOKUP($C156&amp;E159,downloads!$A$1:$E$1000,2,FALSE),"")</f>
        <v>Ava BROOMES</v>
      </c>
      <c r="G159" s="64" t="str">
        <f t="shared" ca="1" si="28"/>
        <v>Leigh</v>
      </c>
      <c r="H159" s="109">
        <f ca="1">IFERROR(INDIRECT(CONCATENATE("Distance!$H",C158+1)),"")</f>
        <v>4.0199999999999996</v>
      </c>
      <c r="I159" s="147">
        <f ca="1">IFERROR(IF(OR(H159="",H159=0,H159&lt;A157),"",VLOOKUP(H159,A157:B165,2,TRUE)),9)</f>
        <v>7</v>
      </c>
      <c r="J159" s="67"/>
      <c r="K159" s="104">
        <f ca="1">IFERROR(INDIRECT(CONCATENATE("Distance!$j",C158+1)),"")</f>
        <v>2</v>
      </c>
      <c r="L159" s="104">
        <f ca="1">IFERROR(INDIRECT(CONCATENATE("Distance!$k",C158+1)),"")</f>
        <v>77</v>
      </c>
      <c r="M159" s="286" t="str">
        <f ca="1">IFERROR(VLOOKUP($C156&amp;L159,downloads!$A$1:$E$1000,2,FALSE),"")</f>
        <v>Katie-lou MALLEY</v>
      </c>
      <c r="N159" s="64" t="str">
        <f t="shared" ca="1" si="29"/>
        <v>Wigan</v>
      </c>
      <c r="O159" s="109">
        <f ca="1">IFERROR(INDIRECT(CONCATENATE("Distance!$T",C158+1)),"")</f>
        <v>3.34</v>
      </c>
      <c r="P159" s="147">
        <f ca="1">IFERROR(IF(OR(O159="",O159=0,O159&lt;A157),"",VLOOKUP(O159,A157:B165,2,TRUE)),9)</f>
        <v>4</v>
      </c>
      <c r="R159" s="66">
        <f ca="1">IFERROR(IF(OR(E159=0,E159="",H159=0,H159="",H159="X"),0,VLOOKUP(D159,INDIRECT(MatchDay!$W$2),2,FALSE)),"")</f>
        <v>8</v>
      </c>
      <c r="S159" s="66">
        <f ca="1">IFERROR(IF(OR(L159=0,L159="",O159=0,O159="",O159="X"),0,VLOOKUP(K159,INDIRECT(MatchDay!$W$2),3,FALSE)),"")</f>
        <v>6</v>
      </c>
    </row>
    <row r="160" spans="1:21" x14ac:dyDescent="0.35">
      <c r="A160" s="105">
        <f>IFERROR(VLOOKUP(C156,standards,6,FALSE),"-")</f>
        <v>3.25</v>
      </c>
      <c r="B160" s="419">
        <v>4</v>
      </c>
      <c r="C160" s="105"/>
      <c r="D160" s="104">
        <f ca="1">IFERROR(INDIRECT(CONCATENATE("Distance!$d",C158+2)),"")</f>
        <v>3</v>
      </c>
      <c r="E160" s="104">
        <f ca="1">IFERROR(INDIRECT(CONCATENATE("Distance!$E",C158+2)),"")</f>
        <v>6</v>
      </c>
      <c r="F160" s="286" t="str">
        <f ca="1">IFERROR(VLOOKUP($C156&amp;E160,downloads!$A$1:$E$1000,2,FALSE),"")</f>
        <v>Emily WALTON</v>
      </c>
      <c r="G160" s="64" t="str">
        <f t="shared" ca="1" si="28"/>
        <v>Stock</v>
      </c>
      <c r="H160" s="109">
        <f ca="1">IFERROR(INDIRECT(CONCATENATE("Distance!$H",C158+2)),"")</f>
        <v>3.84</v>
      </c>
      <c r="I160" s="147">
        <f ca="1">IFERROR(IF(OR(H160="",H160=0,H160&lt;A157),"",VLOOKUP(H160,A157:B165,2,TRUE)),9)</f>
        <v>6</v>
      </c>
      <c r="J160" s="67"/>
      <c r="K160" s="104">
        <f ca="1">IFERROR(INDIRECT(CONCATENATE("Distance!$j",C158+2)),"")</f>
        <v>3</v>
      </c>
      <c r="L160" s="104">
        <f ca="1">IFERROR(INDIRECT(CONCATENATE("Distance!$k",C158+2)),"")</f>
        <v>33</v>
      </c>
      <c r="M160" s="286" t="str">
        <f ca="1">IFERROR(VLOOKUP($C156&amp;L160,downloads!$A$1:$E$1000,2,FALSE),"")</f>
        <v>Isabella GORMAN</v>
      </c>
      <c r="N160" s="64" t="str">
        <f t="shared" ca="1" si="29"/>
        <v>Leigh</v>
      </c>
      <c r="O160" s="109">
        <f ca="1">IFERROR(INDIRECT(CONCATENATE("Distance!$T",C158+2)),"")</f>
        <v>3.1</v>
      </c>
      <c r="P160" s="147">
        <f ca="1">IFERROR(IF(OR(O160="",O160=0,O160&lt;A157),"",VLOOKUP(O160,A157:B165,2,TRUE)),9)</f>
        <v>3</v>
      </c>
      <c r="R160" s="66">
        <f ca="1">IFERROR(IF(OR(E160=0,E160="",H160=0,H160="",H160="X"),0,VLOOKUP(D160,INDIRECT(MatchDay!$W$2),2,FALSE)),"")</f>
        <v>7</v>
      </c>
      <c r="S160" s="66">
        <f ca="1">IFERROR(IF(OR(L160=0,L160="",O160=0,O160="",O160="X"),0,VLOOKUP(K160,INDIRECT(MatchDay!$W$2),3,FALSE)),"")</f>
        <v>5</v>
      </c>
    </row>
    <row r="161" spans="1:21" x14ac:dyDescent="0.35">
      <c r="A161" s="105">
        <f>IFERROR(VLOOKUP(C156,standards,7,FALSE),"-")</f>
        <v>3.5</v>
      </c>
      <c r="B161" s="419">
        <v>5</v>
      </c>
      <c r="C161" s="105"/>
      <c r="D161" s="104">
        <f ca="1">IFERROR(INDIRECT(CONCATENATE("Distance!$d",C158+3)),"")</f>
        <v>4</v>
      </c>
      <c r="E161" s="104">
        <f ca="1">IFERROR(INDIRECT(CONCATENATE("Distance!$E",C158+3)),"")</f>
        <v>5</v>
      </c>
      <c r="F161" s="286" t="str">
        <f ca="1">IFERROR(VLOOKUP($C156&amp;E161,downloads!$A$1:$E$1000,2,FALSE),"")</f>
        <v>Holly WORTH</v>
      </c>
      <c r="G161" s="64" t="str">
        <f t="shared" ca="1" si="28"/>
        <v>Menai</v>
      </c>
      <c r="H161" s="109">
        <f ca="1">IFERROR(INDIRECT(CONCATENATE("Distance!$H",C158+3)),"")</f>
        <v>3.79</v>
      </c>
      <c r="I161" s="147">
        <f ca="1">IFERROR(IF(OR(H161="",H161=0,H161&lt;A157),"",VLOOKUP(H161,A157:B165,2,TRUE)),9)</f>
        <v>6</v>
      </c>
      <c r="J161" s="67"/>
      <c r="K161" s="104">
        <f ca="1">IFERROR(INDIRECT(CONCATENATE("Distance!$j",C158+3)),"")</f>
        <v>4</v>
      </c>
      <c r="L161" s="104">
        <f ca="1">IFERROR(INDIRECT(CONCATENATE("Distance!$k",C158+3)),"")</f>
        <v>44</v>
      </c>
      <c r="M161" s="286" t="str">
        <f ca="1">IFERROR(VLOOKUP($C156&amp;L161,downloads!$A$1:$E$1000,2,FALSE),"")</f>
        <v>Iona FISHER</v>
      </c>
      <c r="N161" s="64" t="str">
        <f t="shared" ca="1" si="29"/>
        <v>Macc</v>
      </c>
      <c r="O161" s="109">
        <f ca="1">IFERROR(INDIRECT(CONCATENATE("Distance!$T",C158+3)),"")</f>
        <v>3.03</v>
      </c>
      <c r="P161" s="147">
        <f ca="1">IFERROR(IF(OR(O161="",O161=0,O161&lt;A157),"",VLOOKUP(O161,A157:B165,2,TRUE)),9)</f>
        <v>3</v>
      </c>
      <c r="R161" s="66">
        <f ca="1">IFERROR(IF(OR(E161=0,E161="",H161=0,H161="",H161="X"),0,VLOOKUP(D161,INDIRECT(MatchDay!$W$2),2,FALSE)),"")</f>
        <v>6</v>
      </c>
      <c r="S161" s="66">
        <f ca="1">IFERROR(IF(OR(L161=0,L161="",O161=0,O161="",O161="X"),0,VLOOKUP(K161,INDIRECT(MatchDay!$W$2),3,FALSE)),"")</f>
        <v>4</v>
      </c>
    </row>
    <row r="162" spans="1:21" x14ac:dyDescent="0.35">
      <c r="A162" s="105">
        <f>IFERROR(VLOOKUP(C156,standards,8,FALSE),"-")</f>
        <v>3.75</v>
      </c>
      <c r="B162" s="419">
        <v>6</v>
      </c>
      <c r="C162" s="105"/>
      <c r="D162" s="104">
        <f ca="1">IFERROR(INDIRECT(CONCATENATE("Distance!$d",C158+4)),"")</f>
        <v>5</v>
      </c>
      <c r="E162" s="104">
        <f ca="1">IFERROR(INDIRECT(CONCATENATE("Distance!$E",C158+4)),"")</f>
        <v>4</v>
      </c>
      <c r="F162" s="286" t="str">
        <f ca="1">IFERROR(VLOOKUP($C156&amp;E162,downloads!$A$1:$E$1000,2,FALSE),"")</f>
        <v>Lara ADU-GYAMFI</v>
      </c>
      <c r="G162" s="64" t="str">
        <f t="shared" ca="1" si="28"/>
        <v>Macc</v>
      </c>
      <c r="H162" s="109">
        <f ca="1">IFERROR(INDIRECT(CONCATENATE("Distance!$H",C158+4)),"")</f>
        <v>3.52</v>
      </c>
      <c r="I162" s="147">
        <f ca="1">IFERROR(IF(OR(H162="",H162=0,H162&lt;A157),"",VLOOKUP(H162,A157:B165,2,TRUE)),9)</f>
        <v>5</v>
      </c>
      <c r="J162" s="67"/>
      <c r="K162" s="104">
        <f ca="1">IFERROR(INDIRECT(CONCATENATE("Distance!$j",C158+4)),"")</f>
        <v>5</v>
      </c>
      <c r="L162" s="104">
        <f ca="1">IFERROR(INDIRECT(CONCATENATE("Distance!$k",C158+4)),"")</f>
        <v>2</v>
      </c>
      <c r="M162" s="286" t="str">
        <f ca="1">IFERROR(VLOOKUP($C156&amp;L162,downloads!$A$1:$E$1000,2,FALSE),"")</f>
        <v>Madaline BURKE</v>
      </c>
      <c r="N162" s="64" t="str">
        <f t="shared" ca="1" si="29"/>
        <v>ECHT</v>
      </c>
      <c r="O162" s="109">
        <f ca="1">IFERROR(INDIRECT(CONCATENATE("Distance!$T",C158+4)),"")</f>
        <v>2.99</v>
      </c>
      <c r="P162" s="147">
        <f ca="1">IFERROR(IF(OR(O162="",O162=0,O162&lt;A157),"",VLOOKUP(O162,A157:B165,2,TRUE)),9)</f>
        <v>2</v>
      </c>
      <c r="R162" s="66">
        <f ca="1">IFERROR(IF(OR(E162=0,E162="",H162=0,H162="",H162="X"),0,VLOOKUP(D162,INDIRECT(MatchDay!$W$2),2,FALSE)),"")</f>
        <v>5</v>
      </c>
      <c r="S162" s="66">
        <f ca="1">IFERROR(IF(OR(L162=0,L162="",O162=0,O162="",O162="X"),0,VLOOKUP(K162,INDIRECT(MatchDay!$W$2),3,FALSE)),"")</f>
        <v>3</v>
      </c>
    </row>
    <row r="163" spans="1:21" x14ac:dyDescent="0.35">
      <c r="A163" s="105">
        <f>IFERROR(VLOOKUP(C156,standards,9,FALSE),"-")</f>
        <v>4</v>
      </c>
      <c r="B163" s="419">
        <v>7</v>
      </c>
      <c r="C163" s="105"/>
      <c r="D163" s="104">
        <f ca="1">IFERROR(INDIRECT(CONCATENATE("Distance!$d",C158+5)),"")</f>
        <v>6</v>
      </c>
      <c r="E163" s="104">
        <f ca="1">IFERROR(INDIRECT(CONCATENATE("Distance!$E",C158+5)),"")</f>
        <v>7</v>
      </c>
      <c r="F163" s="286" t="str">
        <f ca="1">IFERROR(VLOOKUP($C156&amp;E163,downloads!$A$1:$E$1000,2,FALSE),"")</f>
        <v>Elody HILL</v>
      </c>
      <c r="G163" s="64" t="str">
        <f t="shared" ca="1" si="28"/>
        <v>Wigan</v>
      </c>
      <c r="H163" s="109">
        <f ca="1">IFERROR(INDIRECT(CONCATENATE("Distance!$H",C158+5)),"")</f>
        <v>3.44</v>
      </c>
      <c r="I163" s="147">
        <f ca="1">IFERROR(IF(OR(H163="",H163=0,H163&lt;A157),"",VLOOKUP(H163,A157:B165,2,TRUE)),9)</f>
        <v>4</v>
      </c>
      <c r="J163" s="67"/>
      <c r="K163" s="104">
        <f ca="1">IFERROR(INDIRECT(CONCATENATE("Distance!$j",C158+5)),"")</f>
        <v>6</v>
      </c>
      <c r="L163" s="104" t="str">
        <f ca="1">IFERROR(INDIRECT(CONCATENATE("Distance!$k",C158+5)),"")</f>
        <v/>
      </c>
      <c r="M163" s="286" t="str">
        <f ca="1">IFERROR(VLOOKUP($C156&amp;L163,downloads!$A$1:$E$1000,2,FALSE),"")</f>
        <v/>
      </c>
      <c r="N163" s="64" t="str">
        <f t="shared" ca="1" si="29"/>
        <v/>
      </c>
      <c r="O163" s="109" t="str">
        <f ca="1">IFERROR(INDIRECT(CONCATENATE("Distance!$T",C158+5)),"")</f>
        <v/>
      </c>
      <c r="P163" s="147" t="str">
        <f ca="1">IFERROR(IF(OR(O163="",O163=0,O163&lt;A157),"",VLOOKUP(O163,A157:B165,2,TRUE)),9)</f>
        <v/>
      </c>
      <c r="R163" s="66">
        <f ca="1">IFERROR(IF(OR(E163=0,E163="",H163=0,H163="",H163="X"),0,VLOOKUP(D163,INDIRECT(MatchDay!$W$2),2,FALSE)),"")</f>
        <v>4</v>
      </c>
      <c r="S163" s="66">
        <f ca="1">IFERROR(IF(OR(L163=0,L163="",O163=0,O163="",O163="X"),0,VLOOKUP(K163,INDIRECT(MatchDay!$W$2),3,FALSE)),"")</f>
        <v>0</v>
      </c>
    </row>
    <row r="164" spans="1:21" x14ac:dyDescent="0.35">
      <c r="A164" s="105">
        <f>IFERROR(VLOOKUP(C156,standards,10,FALSE),"-")</f>
        <v>4.25</v>
      </c>
      <c r="B164" s="419">
        <v>8</v>
      </c>
      <c r="C164" s="103" t="s">
        <v>151</v>
      </c>
      <c r="D164" s="104">
        <f ca="1">IFERROR(INDIRECT(CONCATENATE("Distance!$d",C158+6)),"")</f>
        <v>7</v>
      </c>
      <c r="E164" s="104">
        <f ca="1">IFERROR(INDIRECT(CONCATENATE("Distance!$E",C158+6)),"")</f>
        <v>22</v>
      </c>
      <c r="F164" s="286" t="str">
        <f ca="1">IFERROR(VLOOKUP($C156&amp;E164,downloads!$A$1:$E$1000,2,FALSE),"")</f>
        <v>Kyla MILLINGTON</v>
      </c>
      <c r="G164" s="64" t="str">
        <f t="shared" ca="1" si="28"/>
        <v>ECHT</v>
      </c>
      <c r="H164" s="109">
        <f ca="1">IFERROR(INDIRECT(CONCATENATE("Distance!$H",C158+6)),"")</f>
        <v>3.13</v>
      </c>
      <c r="I164" s="147">
        <f ca="1">IFERROR(IF(OR(H164="",H164=0,H164&lt;A157),"",VLOOKUP(H164,A157:B165,2,TRUE)),9)</f>
        <v>3</v>
      </c>
      <c r="J164" s="67"/>
      <c r="K164" s="104">
        <f ca="1">IFERROR(INDIRECT(CONCATENATE("Distance!$j",C158+6)),"")</f>
        <v>7</v>
      </c>
      <c r="L164" s="104" t="str">
        <f ca="1">IFERROR(INDIRECT(CONCATENATE("Distance!$k",C158+6)),"")</f>
        <v/>
      </c>
      <c r="M164" s="286" t="str">
        <f ca="1">IFERROR(VLOOKUP($C156&amp;L164,downloads!$A$1:$E$1000,2,FALSE),"")</f>
        <v/>
      </c>
      <c r="N164" s="64" t="str">
        <f t="shared" ca="1" si="29"/>
        <v/>
      </c>
      <c r="O164" s="109" t="str">
        <f ca="1">IFERROR(INDIRECT(CONCATENATE("Distance!$T",C158+6)),"")</f>
        <v/>
      </c>
      <c r="P164" s="147" t="str">
        <f ca="1">IFERROR(IF(OR(O164="",O164=0,O164&lt;A157),"",VLOOKUP(O164,A157:B165,2,TRUE)),9)</f>
        <v/>
      </c>
      <c r="R164" s="66">
        <f ca="1">IFERROR(IF(OR(E164=0,E164="",H164=0,H164="",H164="X"),0,VLOOKUP(D164,INDIRECT(MatchDay!$W$2),2,FALSE)),"")</f>
        <v>3</v>
      </c>
      <c r="S164" s="66">
        <f ca="1">IFERROR(IF(OR(L164=0,L164="",O164=0,O164="",O164="X"),0,VLOOKUP(K164,INDIRECT(MatchDay!$W$2),3,FALSE)),"")</f>
        <v>0</v>
      </c>
    </row>
    <row r="165" spans="1:21" x14ac:dyDescent="0.35">
      <c r="A165" s="105">
        <f>IFERROR(VLOOKUP(C156,standards,11,FALSE),"-")</f>
        <v>4.5</v>
      </c>
      <c r="B165" s="419">
        <v>9</v>
      </c>
      <c r="C165" s="103">
        <f>IFERROR(VLOOKUP(C156,records,5,FALSE),"")</f>
        <v>5.23</v>
      </c>
      <c r="D165" s="104">
        <f ca="1">IFERROR(INDIRECT(CONCATENATE("Distance!$d",C158+7)),"")</f>
        <v>8</v>
      </c>
      <c r="E165" s="104" t="str">
        <f ca="1">IFERROR(INDIRECT(CONCATENATE("Distance!$E",C158+7)),"")</f>
        <v/>
      </c>
      <c r="F165" s="286" t="str">
        <f ca="1">IFERROR(VLOOKUP($C156&amp;E165,downloads!$A$1:$E$1000,2,FALSE),"")</f>
        <v/>
      </c>
      <c r="G165" s="64" t="str">
        <f t="shared" ca="1" si="28"/>
        <v/>
      </c>
      <c r="H165" s="109" t="str">
        <f ca="1">IFERROR(INDIRECT(CONCATENATE("Distance!$H",C158+7)),"")</f>
        <v/>
      </c>
      <c r="I165" s="147" t="str">
        <f ca="1">IFERROR(IF(OR(H165="",H165=0,H165&lt;A157),"",VLOOKUP(H165,A157:B165,2,TRUE)),9)</f>
        <v/>
      </c>
      <c r="J165" s="67"/>
      <c r="K165" s="104">
        <f ca="1">IFERROR(INDIRECT(CONCATENATE("Distance!$j",C158+7)),"")</f>
        <v>8</v>
      </c>
      <c r="L165" s="104" t="str">
        <f ca="1">IFERROR(INDIRECT(CONCATENATE("Distance!$k",C158+7)),"")</f>
        <v/>
      </c>
      <c r="M165" s="286" t="str">
        <f ca="1">IFERROR(VLOOKUP($C156&amp;L165,downloads!$A$1:$E$1000,2,FALSE),"")</f>
        <v/>
      </c>
      <c r="N165" s="64" t="str">
        <f t="shared" ca="1" si="29"/>
        <v/>
      </c>
      <c r="O165" s="109" t="str">
        <f ca="1">IFERROR(INDIRECT(CONCATENATE("Distance!$T",C158+7)),"")</f>
        <v/>
      </c>
      <c r="P165" s="147" t="str">
        <f ca="1">IFERROR(IF(OR(O165="",O165=0,O165&lt;A157),"",VLOOKUP(O165,A157:B165,2,TRUE)),9)</f>
        <v/>
      </c>
      <c r="R165" s="66">
        <f ca="1">IFERROR(IF(OR(E165=0,E165="",H165=0,H165="",H165="X"),0,VLOOKUP(D165,INDIRECT(MatchDay!$W$2),2,FALSE)),"")</f>
        <v>0</v>
      </c>
      <c r="S165" s="66">
        <f ca="1">IFERROR(IF(OR(L165=0,L165="",O165=0,O165="",O165="X"),0,VLOOKUP(K165,INDIRECT(MatchDay!$W$2),3,FALSE)),"")</f>
        <v>0</v>
      </c>
    </row>
    <row r="167" spans="1:21" x14ac:dyDescent="0.35">
      <c r="C167" s="98" t="s">
        <v>247</v>
      </c>
      <c r="D167" s="99" t="str">
        <f>IFERROR(VLOOKUP(C167,timetables,2,FALSE)&amp;" "&amp;VLOOKUP(C167,timetables,3,FALSE)&amp;" A","")</f>
        <v>Long Jump U15 Boys A</v>
      </c>
      <c r="E167" s="99"/>
      <c r="H167" s="108" t="str">
        <f ca="1">IFERROR(IF(OR(H169=0,H169="",H169="X"),"",IF(H169&gt;C176,"REC",IF(H169=C176,"=Rec",""))),"")</f>
        <v/>
      </c>
      <c r="I167" s="147" t="str">
        <f ca="1">IFERROR(IF(OR(H169=0,H169="",H169="X"),"",IF(H169&gt;C176,"REC",IF(H169=C176,"=Rec",""))),"")</f>
        <v/>
      </c>
      <c r="K167" s="101" t="str">
        <f>IFERROR(VLOOKUP(C167,timetables,2,FALSE)&amp;" "&amp;VLOOKUP(C167,timetables,3,FALSE)&amp;" B","")</f>
        <v>Long Jump U15 Boys B</v>
      </c>
      <c r="L167" s="102"/>
      <c r="R167" s="66" t="s">
        <v>53</v>
      </c>
      <c r="S167" s="66" t="s">
        <v>54</v>
      </c>
    </row>
    <row r="168" spans="1:21" x14ac:dyDescent="0.35">
      <c r="A168" s="105">
        <f>IFERROR(VLOOKUP(C167,standards,3,FALSE),"-")</f>
        <v>3.75</v>
      </c>
      <c r="B168" s="419">
        <v>1</v>
      </c>
      <c r="C168" s="79"/>
      <c r="D168" s="45" t="s">
        <v>177</v>
      </c>
      <c r="E168" s="45" t="s">
        <v>118</v>
      </c>
      <c r="F168" s="47" t="s">
        <v>174</v>
      </c>
      <c r="G168" s="47" t="s">
        <v>175</v>
      </c>
      <c r="H168" s="45" t="s">
        <v>176</v>
      </c>
      <c r="I168" s="148" t="s">
        <v>1003</v>
      </c>
      <c r="J168" s="47"/>
      <c r="K168" s="45" t="s">
        <v>177</v>
      </c>
      <c r="L168" s="45" t="s">
        <v>118</v>
      </c>
      <c r="M168" s="47" t="s">
        <v>174</v>
      </c>
      <c r="N168" s="47" t="s">
        <v>175</v>
      </c>
      <c r="O168" s="45" t="s">
        <v>176</v>
      </c>
      <c r="P168" s="148" t="s">
        <v>1003</v>
      </c>
    </row>
    <row r="169" spans="1:21" x14ac:dyDescent="0.35">
      <c r="A169" s="105">
        <f>IFERROR(VLOOKUP(C167,standards,4,FALSE),"-")</f>
        <v>4</v>
      </c>
      <c r="B169" s="419">
        <v>2</v>
      </c>
      <c r="C169" s="66">
        <f>IFERROR(VLOOKUP(C167,Distance!A:B,2,FALSE),"")</f>
        <v>507</v>
      </c>
      <c r="D169" s="104">
        <f ca="1">IFERROR(INDIRECT(CONCATENATE("Distance!$d",C169)),"")</f>
        <v>1</v>
      </c>
      <c r="E169" s="104">
        <f ca="1">IFERROR(INDIRECT(CONCATENATE("Distance!$E",C169)),"")</f>
        <v>2</v>
      </c>
      <c r="F169" s="286" t="str">
        <f ca="1">IFERROR(VLOOKUP($C167&amp;E169,downloads!$A$1:$E$1000,2,FALSE),"")</f>
        <v>Max ORMSTON</v>
      </c>
      <c r="G169" s="64" t="str">
        <f t="shared" ref="G169:G176" ca="1" si="30">IFERROR(VLOOKUP(E169,teamlookup,5,FALSE),"")</f>
        <v>ECHT</v>
      </c>
      <c r="H169" s="109">
        <f ca="1">IFERROR(INDIRECT(CONCATENATE("Distance!$H",C169)),"")</f>
        <v>4.95</v>
      </c>
      <c r="I169" s="147">
        <f ca="1">IFERROR(IF(OR(H169="",H169=0,H169&lt;A168),"",VLOOKUP(H169,A168:B176,2,TRUE)),9)</f>
        <v>5</v>
      </c>
      <c r="J169" s="67"/>
      <c r="K169" s="104">
        <f ca="1">IFERROR(INDIRECT(CONCATENATE("Distance!$j",C169)),"")</f>
        <v>1</v>
      </c>
      <c r="L169" s="104">
        <f ca="1">IFERROR(INDIRECT(CONCATENATE("Distance!$k",C169)),"")</f>
        <v>11</v>
      </c>
      <c r="M169" s="286" t="str">
        <f ca="1">IFERROR(VLOOKUP($C167&amp;L169,downloads!$A$1:$E$1000,2,FALSE),"")</f>
        <v>William CATTELL</v>
      </c>
      <c r="N169" s="64" t="str">
        <f t="shared" ref="N169:N176" ca="1" si="31">IFERROR(VLOOKUP(L169,teamlookup,5,FALSE),"")</f>
        <v>C&amp;N</v>
      </c>
      <c r="O169" s="109">
        <f ca="1">IFERROR(INDIRECT(CONCATENATE("Distance!$T",C169)),"")</f>
        <v>4.5</v>
      </c>
      <c r="P169" s="147">
        <f ca="1">IFERROR(IF(OR(O169="",O169=0,O169&lt;A168),"",VLOOKUP(O169,A168:B176,2,TRUE)),9)</f>
        <v>4</v>
      </c>
      <c r="R169" s="66">
        <f ca="1">IFERROR(IF(OR(E169=0,E169="",H169=0,H169="",H169="X"),0,VLOOKUP(D169,INDIRECT(MatchDay!$W$2),2,FALSE)),"")</f>
        <v>10</v>
      </c>
      <c r="S169" s="66">
        <f ca="1">IFERROR(IF(OR(L169=0,L169="",O169=0,O169="",O169="X"),0,VLOOKUP(K169,INDIRECT(MatchDay!$W$2),3,FALSE)),"")</f>
        <v>8</v>
      </c>
      <c r="T169" s="168">
        <f ca="1">COUNTIF(E169,"&gt;0")</f>
        <v>1</v>
      </c>
      <c r="U169" s="66">
        <f ca="1">IFERROR(IF(E169&gt;88,1,0),0)</f>
        <v>0</v>
      </c>
    </row>
    <row r="170" spans="1:21" x14ac:dyDescent="0.35">
      <c r="A170" s="105">
        <f>IFERROR(VLOOKUP(C167,standards,5,FALSE),"-")</f>
        <v>4.25</v>
      </c>
      <c r="B170" s="419">
        <v>3</v>
      </c>
      <c r="C170" s="103"/>
      <c r="D170" s="104">
        <f ca="1">IFERROR(INDIRECT(CONCATENATE("Distance!$d",C169+1)),"")</f>
        <v>2</v>
      </c>
      <c r="E170" s="104">
        <f ca="1">IFERROR(INDIRECT(CONCATENATE("Distance!$E",C169+1)),"")</f>
        <v>5</v>
      </c>
      <c r="F170" s="286" t="str">
        <f ca="1">IFERROR(VLOOKUP($C167&amp;E170,downloads!$A$1:$E$1000,2,FALSE),"")</f>
        <v>Morgan JONES</v>
      </c>
      <c r="G170" s="64" t="str">
        <f t="shared" ca="1" si="30"/>
        <v>Menai</v>
      </c>
      <c r="H170" s="109">
        <f ca="1">IFERROR(INDIRECT(CONCATENATE("Distance!$H",C169+1)),"")</f>
        <v>4.75</v>
      </c>
      <c r="I170" s="147">
        <f ca="1">IFERROR(IF(OR(H170="",H170=0,H170&lt;A168),"",VLOOKUP(H170,A168:B176,2,TRUE)),9)</f>
        <v>5</v>
      </c>
      <c r="J170" s="67"/>
      <c r="K170" s="104">
        <f ca="1">IFERROR(INDIRECT(CONCATENATE("Distance!$j",C169+1)),"")</f>
        <v>2</v>
      </c>
      <c r="L170" s="104">
        <f ca="1">IFERROR(INDIRECT(CONCATENATE("Distance!$k",C169+1)),"")</f>
        <v>66</v>
      </c>
      <c r="M170" s="286" t="str">
        <f ca="1">IFERROR(VLOOKUP($C167&amp;L170,downloads!$A$1:$E$1000,2,FALSE),"")</f>
        <v>Campbell JOHNSON</v>
      </c>
      <c r="N170" s="64" t="str">
        <f t="shared" ca="1" si="31"/>
        <v>Stock</v>
      </c>
      <c r="O170" s="109">
        <f ca="1">IFERROR(INDIRECT(CONCATENATE("Distance!$T",C169+1)),"")</f>
        <v>4.24</v>
      </c>
      <c r="P170" s="147">
        <f ca="1">IFERROR(IF(OR(O170="",O170=0,O170&lt;A168),"",VLOOKUP(O170,A168:B176,2,TRUE)),9)</f>
        <v>2</v>
      </c>
      <c r="R170" s="66">
        <f ca="1">IFERROR(IF(OR(E170=0,E170="",H170=0,H170="",H170="X"),0,VLOOKUP(D170,INDIRECT(MatchDay!$W$2),2,FALSE)),"")</f>
        <v>8</v>
      </c>
      <c r="S170" s="66">
        <f ca="1">IFERROR(IF(OR(L170=0,L170="",O170=0,O170="",O170="X"),0,VLOOKUP(K170,INDIRECT(MatchDay!$W$2),3,FALSE)),"")</f>
        <v>6</v>
      </c>
    </row>
    <row r="171" spans="1:21" x14ac:dyDescent="0.35">
      <c r="A171" s="105">
        <f>IFERROR(VLOOKUP(C167,standards,6,FALSE),"-")</f>
        <v>4.5</v>
      </c>
      <c r="B171" s="419">
        <v>4</v>
      </c>
      <c r="C171" s="105"/>
      <c r="D171" s="104">
        <f ca="1">IFERROR(INDIRECT(CONCATENATE("Distance!$d",C169+2)),"")</f>
        <v>3</v>
      </c>
      <c r="E171" s="104">
        <f ca="1">IFERROR(INDIRECT(CONCATENATE("Distance!$E",C169+2)),"")</f>
        <v>3</v>
      </c>
      <c r="F171" s="286" t="str">
        <f ca="1">IFERROR(VLOOKUP($C167&amp;E171,downloads!$A$1:$E$1000,2,FALSE),"")</f>
        <v>Hugo JAMES</v>
      </c>
      <c r="G171" s="64" t="str">
        <f t="shared" ca="1" si="30"/>
        <v>Leigh</v>
      </c>
      <c r="H171" s="109">
        <f ca="1">IFERROR(INDIRECT(CONCATENATE("Distance!$H",C169+2)),"")</f>
        <v>4.66</v>
      </c>
      <c r="I171" s="147">
        <f ca="1">IFERROR(IF(OR(H171="",H171=0,H171&lt;A168),"",VLOOKUP(H171,A168:B176,2,TRUE)),9)</f>
        <v>4</v>
      </c>
      <c r="J171" s="67"/>
      <c r="K171" s="104">
        <f ca="1">IFERROR(INDIRECT(CONCATENATE("Distance!$j",C169+2)),"")</f>
        <v>3</v>
      </c>
      <c r="L171" s="104">
        <f ca="1">IFERROR(INDIRECT(CONCATENATE("Distance!$k",C169+2)),"")</f>
        <v>4</v>
      </c>
      <c r="M171" s="286" t="str">
        <f ca="1">IFERROR(VLOOKUP($C167&amp;L171,downloads!$A$1:$E$1000,2,FALSE),"")</f>
        <v>Thomas WOOD</v>
      </c>
      <c r="N171" s="64" t="str">
        <f t="shared" ca="1" si="31"/>
        <v>Macc</v>
      </c>
      <c r="O171" s="109">
        <f ca="1">IFERROR(INDIRECT(CONCATENATE("Distance!$T",C169+2)),"")</f>
        <v>4.0199999999999996</v>
      </c>
      <c r="P171" s="147">
        <f ca="1">IFERROR(IF(OR(O171="",O171=0,O171&lt;A168),"",VLOOKUP(O171,A168:B176,2,TRUE)),9)</f>
        <v>2</v>
      </c>
      <c r="R171" s="66">
        <f ca="1">IFERROR(IF(OR(E171=0,E171="",H171=0,H171="",H171="X"),0,VLOOKUP(D171,INDIRECT(MatchDay!$W$2),2,FALSE)),"")</f>
        <v>7</v>
      </c>
      <c r="S171" s="66">
        <f ca="1">IFERROR(IF(OR(L171=0,L171="",O171=0,O171="",O171="X"),0,VLOOKUP(K171,INDIRECT(MatchDay!$W$2),3,FALSE)),"")</f>
        <v>5</v>
      </c>
    </row>
    <row r="172" spans="1:21" x14ac:dyDescent="0.35">
      <c r="A172" s="105">
        <f>IFERROR(VLOOKUP(C167,standards,7,FALSE),"-")</f>
        <v>4.75</v>
      </c>
      <c r="B172" s="419">
        <v>5</v>
      </c>
      <c r="C172" s="105"/>
      <c r="D172" s="104">
        <f ca="1">IFERROR(INDIRECT(CONCATENATE("Distance!$d",C169+3)),"")</f>
        <v>4</v>
      </c>
      <c r="E172" s="104">
        <f ca="1">IFERROR(INDIRECT(CONCATENATE("Distance!$E",C169+3)),"")</f>
        <v>1</v>
      </c>
      <c r="F172" s="286" t="str">
        <f ca="1">IFERROR(VLOOKUP($C167&amp;E172,downloads!$A$1:$E$1000,2,FALSE),"")</f>
        <v>Isaac PICKERING</v>
      </c>
      <c r="G172" s="64" t="str">
        <f t="shared" ca="1" si="30"/>
        <v>C&amp;N</v>
      </c>
      <c r="H172" s="109">
        <f ca="1">IFERROR(INDIRECT(CONCATENATE("Distance!$H",C169+3)),"")</f>
        <v>4.63</v>
      </c>
      <c r="I172" s="147">
        <f ca="1">IFERROR(IF(OR(H172="",H172=0,H172&lt;A168),"",VLOOKUP(H172,A168:B176,2,TRUE)),9)</f>
        <v>4</v>
      </c>
      <c r="J172" s="67"/>
      <c r="K172" s="104">
        <f ca="1">IFERROR(INDIRECT(CONCATENATE("Distance!$j",C169+3)),"")</f>
        <v>4</v>
      </c>
      <c r="L172" s="104">
        <f ca="1">IFERROR(INDIRECT(CONCATENATE("Distance!$k",C169+3)),"")</f>
        <v>77</v>
      </c>
      <c r="M172" s="286" t="str">
        <f ca="1">IFERROR(VLOOKUP($C167&amp;L172,downloads!$A$1:$E$1000,2,FALSE),"")</f>
        <v>Joshua BOURNE</v>
      </c>
      <c r="N172" s="64" t="str">
        <f t="shared" ca="1" si="31"/>
        <v>Wigan</v>
      </c>
      <c r="O172" s="109">
        <f ca="1">IFERROR(INDIRECT(CONCATENATE("Distance!$T",C169+3)),"")</f>
        <v>3.83</v>
      </c>
      <c r="P172" s="147">
        <f ca="1">IFERROR(IF(OR(O172="",O172=0,O172&lt;A168),"",VLOOKUP(O172,A168:B176,2,TRUE)),9)</f>
        <v>1</v>
      </c>
      <c r="R172" s="66">
        <f ca="1">IFERROR(IF(OR(E172=0,E172="",H172=0,H172="",H172="X"),0,VLOOKUP(D172,INDIRECT(MatchDay!$W$2),2,FALSE)),"")</f>
        <v>6</v>
      </c>
      <c r="S172" s="66">
        <f ca="1">IFERROR(IF(OR(L172=0,L172="",O172=0,O172="",O172="X"),0,VLOOKUP(K172,INDIRECT(MatchDay!$W$2),3,FALSE)),"")</f>
        <v>4</v>
      </c>
    </row>
    <row r="173" spans="1:21" x14ac:dyDescent="0.35">
      <c r="A173" s="105">
        <f>IFERROR(VLOOKUP(C167,standards,8,FALSE),"-")</f>
        <v>5</v>
      </c>
      <c r="B173" s="419">
        <v>6</v>
      </c>
      <c r="C173" s="105"/>
      <c r="D173" s="104">
        <f ca="1">IFERROR(INDIRECT(CONCATENATE("Distance!$d",C169+4)),"")</f>
        <v>5</v>
      </c>
      <c r="E173" s="104">
        <f ca="1">IFERROR(INDIRECT(CONCATENATE("Distance!$E",C169+4)),"")</f>
        <v>6</v>
      </c>
      <c r="F173" s="286" t="str">
        <f ca="1">IFERROR(VLOOKUP($C167&amp;E173,downloads!$A$1:$E$1000,2,FALSE),"")</f>
        <v>Quaid SIN</v>
      </c>
      <c r="G173" s="64" t="str">
        <f t="shared" ca="1" si="30"/>
        <v>Stock</v>
      </c>
      <c r="H173" s="109">
        <f ca="1">IFERROR(INDIRECT(CONCATENATE("Distance!$H",C169+4)),"")</f>
        <v>4.3600000000000003</v>
      </c>
      <c r="I173" s="147">
        <f ca="1">IFERROR(IF(OR(H173="",H173=0,H173&lt;A168),"",VLOOKUP(H173,A168:B176,2,TRUE)),9)</f>
        <v>3</v>
      </c>
      <c r="J173" s="67"/>
      <c r="K173" s="104">
        <f ca="1">IFERROR(INDIRECT(CONCATENATE("Distance!$j",C169+4)),"")</f>
        <v>5</v>
      </c>
      <c r="L173" s="104">
        <f ca="1">IFERROR(INDIRECT(CONCATENATE("Distance!$k",C169+4)),"")</f>
        <v>55</v>
      </c>
      <c r="M173" s="286" t="str">
        <f ca="1">IFERROR(VLOOKUP($C167&amp;L173,downloads!$A$1:$E$1000,2,FALSE),"")</f>
        <v>Owain WILLIAMS</v>
      </c>
      <c r="N173" s="64" t="str">
        <f t="shared" ca="1" si="31"/>
        <v>Menai</v>
      </c>
      <c r="O173" s="109">
        <f ca="1">IFERROR(INDIRECT(CONCATENATE("Distance!$T",C169+4)),"")</f>
        <v>3.42</v>
      </c>
      <c r="P173" s="147" t="str">
        <f ca="1">IFERROR(IF(OR(O173="",O173=0,O173&lt;A168),"",VLOOKUP(O173,A168:B176,2,TRUE)),9)</f>
        <v/>
      </c>
      <c r="R173" s="66">
        <f ca="1">IFERROR(IF(OR(E173=0,E173="",H173=0,H173="",H173="X"),0,VLOOKUP(D173,INDIRECT(MatchDay!$W$2),2,FALSE)),"")</f>
        <v>5</v>
      </c>
      <c r="S173" s="66">
        <f ca="1">IFERROR(IF(OR(L173=0,L173="",O173=0,O173="",O173="X"),0,VLOOKUP(K173,INDIRECT(MatchDay!$W$2),3,FALSE)),"")</f>
        <v>3</v>
      </c>
    </row>
    <row r="174" spans="1:21" x14ac:dyDescent="0.35">
      <c r="A174" s="105">
        <f>IFERROR(VLOOKUP(C167,standards,9,FALSE),"-")</f>
        <v>5.25</v>
      </c>
      <c r="B174" s="419">
        <v>7</v>
      </c>
      <c r="C174" s="105"/>
      <c r="D174" s="104">
        <f ca="1">IFERROR(INDIRECT(CONCATENATE("Distance!$d",C169+5)),"")</f>
        <v>6</v>
      </c>
      <c r="E174" s="104">
        <f ca="1">IFERROR(INDIRECT(CONCATENATE("Distance!$E",C169+5)),"")</f>
        <v>7</v>
      </c>
      <c r="F174" s="286" t="str">
        <f ca="1">IFERROR(VLOOKUP($C167&amp;E174,downloads!$A$1:$E$1000,2,FALSE),"")</f>
        <v>Joshua ROBERTS</v>
      </c>
      <c r="G174" s="64" t="str">
        <f t="shared" ca="1" si="30"/>
        <v>Wigan</v>
      </c>
      <c r="H174" s="109">
        <f ca="1">IFERROR(INDIRECT(CONCATENATE("Distance!$H",C169+5)),"")</f>
        <v>4.3099999999999996</v>
      </c>
      <c r="I174" s="147">
        <f ca="1">IFERROR(IF(OR(H174="",H174=0,H174&lt;A168),"",VLOOKUP(H174,A168:B176,2,TRUE)),9)</f>
        <v>3</v>
      </c>
      <c r="J174" s="67"/>
      <c r="K174" s="104">
        <f ca="1">IFERROR(INDIRECT(CONCATENATE("Distance!$j",C169+5)),"")</f>
        <v>6</v>
      </c>
      <c r="L174" s="104">
        <f ca="1">IFERROR(INDIRECT(CONCATENATE("Distance!$k",C169+5)),"")</f>
        <v>33</v>
      </c>
      <c r="M174" s="286" t="str">
        <f ca="1">IFERROR(VLOOKUP($C167&amp;L174,downloads!$A$1:$E$1000,2,FALSE),"")</f>
        <v>Ben JAYATILLEKE</v>
      </c>
      <c r="N174" s="64" t="str">
        <f t="shared" ca="1" si="31"/>
        <v>Leigh</v>
      </c>
      <c r="O174" s="109">
        <f ca="1">IFERROR(INDIRECT(CONCATENATE("Distance!$T",C169+5)),"")</f>
        <v>3.4</v>
      </c>
      <c r="P174" s="147" t="str">
        <f ca="1">IFERROR(IF(OR(O174="",O174=0,O174&lt;A168),"",VLOOKUP(O174,A168:B176,2,TRUE)),9)</f>
        <v/>
      </c>
      <c r="R174" s="66">
        <f ca="1">IFERROR(IF(OR(E174=0,E174="",H174=0,H174="",H174="X"),0,VLOOKUP(D174,INDIRECT(MatchDay!$W$2),2,FALSE)),"")</f>
        <v>4</v>
      </c>
      <c r="S174" s="66">
        <f ca="1">IFERROR(IF(OR(L174=0,L174="",O174=0,O174="",O174="X"),0,VLOOKUP(K174,INDIRECT(MatchDay!$W$2),3,FALSE)),"")</f>
        <v>2</v>
      </c>
    </row>
    <row r="175" spans="1:21" x14ac:dyDescent="0.35">
      <c r="A175" s="105">
        <f>IFERROR(VLOOKUP(C167,standards,10,FALSE),"-")</f>
        <v>5.5</v>
      </c>
      <c r="B175" s="419">
        <v>8</v>
      </c>
      <c r="C175" s="103" t="s">
        <v>151</v>
      </c>
      <c r="D175" s="104">
        <f ca="1">IFERROR(INDIRECT(CONCATENATE("Distance!$d",C169+6)),"")</f>
        <v>7</v>
      </c>
      <c r="E175" s="104">
        <f ca="1">IFERROR(INDIRECT(CONCATENATE("Distance!$E",C169+6)),"")</f>
        <v>44</v>
      </c>
      <c r="F175" s="286" t="str">
        <f ca="1">IFERROR(VLOOKUP($C167&amp;E175,downloads!$A$1:$E$1000,2,FALSE),"")</f>
        <v>Will HAMMOND</v>
      </c>
      <c r="G175" s="64" t="str">
        <f t="shared" ca="1" si="30"/>
        <v>Macc</v>
      </c>
      <c r="H175" s="109">
        <f ca="1">IFERROR(INDIRECT(CONCATENATE("Distance!$H",C169+6)),"")</f>
        <v>4.07</v>
      </c>
      <c r="I175" s="147">
        <f ca="1">IFERROR(IF(OR(H175="",H175=0,H175&lt;A168),"",VLOOKUP(H175,A168:B176,2,TRUE)),9)</f>
        <v>2</v>
      </c>
      <c r="J175" s="67"/>
      <c r="K175" s="104">
        <f ca="1">IFERROR(INDIRECT(CONCATENATE("Distance!$j",C169+6)),"")</f>
        <v>7</v>
      </c>
      <c r="L175" s="104">
        <f ca="1">IFERROR(INDIRECT(CONCATENATE("Distance!$k",C169+6)),"")</f>
        <v>22</v>
      </c>
      <c r="M175" s="286" t="str">
        <f ca="1">IFERROR(VLOOKUP($C167&amp;L175,downloads!$A$1:$E$1000,2,FALSE),"")</f>
        <v>Alfie MILLINGTON</v>
      </c>
      <c r="N175" s="64" t="str">
        <f t="shared" ca="1" si="31"/>
        <v>ECHT</v>
      </c>
      <c r="O175" s="109">
        <f ca="1">IFERROR(INDIRECT(CONCATENATE("Distance!$T",C169+6)),"")</f>
        <v>3</v>
      </c>
      <c r="P175" s="147" t="str">
        <f ca="1">IFERROR(IF(OR(O175="",O175=0,O175&lt;A168),"",VLOOKUP(O175,A168:B176,2,TRUE)),9)</f>
        <v/>
      </c>
      <c r="R175" s="66">
        <f ca="1">IFERROR(IF(OR(E175=0,E175="",H175=0,H175="",H175="X"),0,VLOOKUP(D175,INDIRECT(MatchDay!$W$2),2,FALSE)),"")</f>
        <v>3</v>
      </c>
      <c r="S175" s="66">
        <f ca="1">IFERROR(IF(OR(L175=0,L175="",O175=0,O175="",O175="X"),0,VLOOKUP(K175,INDIRECT(MatchDay!$W$2),3,FALSE)),"")</f>
        <v>1</v>
      </c>
    </row>
    <row r="176" spans="1:21" x14ac:dyDescent="0.35">
      <c r="A176" s="105">
        <f>IFERROR(VLOOKUP(C167,standards,11,FALSE),"-")</f>
        <v>5.75</v>
      </c>
      <c r="B176" s="419">
        <v>9</v>
      </c>
      <c r="C176" s="103">
        <f>IFERROR(VLOOKUP(C167,records,5,FALSE),"")</f>
        <v>6.82</v>
      </c>
      <c r="D176" s="104">
        <f ca="1">IFERROR(INDIRECT(CONCATENATE("Distance!$d",C169+7)),"")</f>
        <v>8</v>
      </c>
      <c r="E176" s="104" t="str">
        <f ca="1">IFERROR(INDIRECT(CONCATENATE("Distance!$E",C169+7)),"")</f>
        <v/>
      </c>
      <c r="F176" s="286" t="str">
        <f ca="1">IFERROR(VLOOKUP($C167&amp;E176,downloads!$A$1:$E$1000,2,FALSE),"")</f>
        <v/>
      </c>
      <c r="G176" s="64" t="str">
        <f t="shared" ca="1" si="30"/>
        <v/>
      </c>
      <c r="H176" s="109" t="str">
        <f ca="1">IFERROR(INDIRECT(CONCATENATE("Distance!$H",C169+7)),"")</f>
        <v/>
      </c>
      <c r="I176" s="147" t="str">
        <f ca="1">IFERROR(IF(OR(H176="",H176=0,H176&lt;A168),"",VLOOKUP(H176,A168:B176,2,TRUE)),9)</f>
        <v/>
      </c>
      <c r="J176" s="67"/>
      <c r="K176" s="104">
        <f ca="1">IFERROR(INDIRECT(CONCATENATE("Distance!$j",C169+7)),"")</f>
        <v>8</v>
      </c>
      <c r="L176" s="104" t="str">
        <f ca="1">IFERROR(INDIRECT(CONCATENATE("Distance!$k",C169+7)),"")</f>
        <v/>
      </c>
      <c r="M176" s="286" t="str">
        <f ca="1">IFERROR(VLOOKUP($C167&amp;L176,downloads!$A$1:$E$1000,2,FALSE),"")</f>
        <v/>
      </c>
      <c r="N176" s="64" t="str">
        <f t="shared" ca="1" si="31"/>
        <v/>
      </c>
      <c r="O176" s="109" t="str">
        <f ca="1">IFERROR(INDIRECT(CONCATENATE("Distance!$T",C169+7)),"")</f>
        <v/>
      </c>
      <c r="P176" s="147" t="str">
        <f ca="1">IFERROR(IF(OR(O176="",O176=0,O176&lt;A168),"",VLOOKUP(O176,A168:B176,2,TRUE)),9)</f>
        <v/>
      </c>
      <c r="R176" s="66">
        <f ca="1">IFERROR(IF(OR(E176=0,E176="",H176=0,H176="",H176="X"),0,VLOOKUP(D176,INDIRECT(MatchDay!$W$2),2,FALSE)),"")</f>
        <v>0</v>
      </c>
      <c r="S176" s="66">
        <f ca="1">IFERROR(IF(OR(L176=0,L176="",O176=0,O176="",O176="X"),0,VLOOKUP(K176,INDIRECT(MatchDay!$W$2),3,FALSE)),"")</f>
        <v>0</v>
      </c>
    </row>
    <row r="178" spans="1:22" x14ac:dyDescent="0.35">
      <c r="C178" s="98" t="s">
        <v>180</v>
      </c>
      <c r="D178" s="99" t="str">
        <f>IFERROR(VLOOKUP(C178,timetables,2,FALSE)&amp;" "&amp;VLOOKUP(C178,timetables,3,FALSE)&amp;" A","")</f>
        <v>High Jump U15 Girls A</v>
      </c>
      <c r="E178" s="99"/>
      <c r="H178" s="108" t="str">
        <f ca="1">IFERROR(IF(OR(H180=0,H180="",H180="X"),"",IF(H180&gt;C187,"REC",IF(H180=C187,"=Rec",""))),"")</f>
        <v/>
      </c>
      <c r="I178" s="147" t="str">
        <f ca="1">IFERROR(IF(OR(H180=0,H180="",H180="X"),"",IF(H180&gt;C187,"REC",IF(H180=C187,"=Rec",""))),"")</f>
        <v/>
      </c>
      <c r="K178" s="101" t="str">
        <f>IFERROR(VLOOKUP(C178,timetables,2,FALSE)&amp;" "&amp;VLOOKUP(C178,timetables,3,FALSE)&amp;" B","")</f>
        <v>High Jump U15 Girls B</v>
      </c>
      <c r="L178" s="102"/>
      <c r="R178" s="66" t="s">
        <v>53</v>
      </c>
      <c r="S178" s="66" t="s">
        <v>54</v>
      </c>
    </row>
    <row r="179" spans="1:22" x14ac:dyDescent="0.35">
      <c r="A179" s="105">
        <f>IFERROR(VLOOKUP(C178,standards,3,FALSE),"-")</f>
        <v>1.1499999999999999</v>
      </c>
      <c r="B179" s="419">
        <v>1</v>
      </c>
      <c r="C179" s="79"/>
      <c r="D179" s="45" t="s">
        <v>177</v>
      </c>
      <c r="E179" s="45" t="s">
        <v>118</v>
      </c>
      <c r="F179" s="47" t="s">
        <v>174</v>
      </c>
      <c r="G179" s="47" t="s">
        <v>175</v>
      </c>
      <c r="H179" s="45" t="s">
        <v>176</v>
      </c>
      <c r="I179" s="148" t="s">
        <v>1003</v>
      </c>
      <c r="J179" s="47"/>
      <c r="K179" s="45" t="s">
        <v>177</v>
      </c>
      <c r="L179" s="45" t="s">
        <v>118</v>
      </c>
      <c r="M179" s="47" t="s">
        <v>174</v>
      </c>
      <c r="N179" s="47" t="s">
        <v>175</v>
      </c>
      <c r="O179" s="45" t="s">
        <v>176</v>
      </c>
      <c r="P179" s="148" t="s">
        <v>1003</v>
      </c>
    </row>
    <row r="180" spans="1:22" x14ac:dyDescent="0.35">
      <c r="A180" s="105">
        <f>IFERROR(VLOOKUP(C178,standards,4,FALSE),"-")</f>
        <v>1.2</v>
      </c>
      <c r="B180" s="419">
        <v>2</v>
      </c>
      <c r="C180" s="66">
        <f>IFERROR(VLOOKUP(C178,Height!A:B,2,FALSE),"")</f>
        <v>27</v>
      </c>
      <c r="D180" s="104">
        <f ca="1">IFERROR(INDIRECT(CONCATENATE("Height!$d",C180)),"")</f>
        <v>1</v>
      </c>
      <c r="E180" s="104">
        <f ca="1">IFERROR(INDIRECT(CONCATENATE("Height!$E",C180)),"")</f>
        <v>77</v>
      </c>
      <c r="F180" s="286" t="str">
        <f ca="1">IFERROR(VLOOKUP($C178&amp;E180,downloads!$A$1:$E$1000,2,FALSE),"")</f>
        <v>Kady HALL</v>
      </c>
      <c r="G180" s="64" t="str">
        <f t="shared" ref="G180:G187" ca="1" si="32">IFERROR(VLOOKUP(E180,teamlookup,5,FALSE),"")</f>
        <v>Wigan</v>
      </c>
      <c r="H180" s="109">
        <f ca="1">IFERROR(INDIRECT(CONCATENATE("Height!$H",C180)),"")</f>
        <v>1.5</v>
      </c>
      <c r="I180" s="147">
        <f ca="1">IFERROR(IF(OR(H180="",H180=0,H180&lt;A179),"",VLOOKUP(H180,A179:B187,2,TRUE)),9)</f>
        <v>8</v>
      </c>
      <c r="J180" s="67"/>
      <c r="K180" s="104">
        <f ca="1">IFERROR(INDIRECT(CONCATENATE("Height!$j",C180)),"")</f>
        <v>1</v>
      </c>
      <c r="L180" s="104">
        <f ca="1">IFERROR(INDIRECT(CONCATENATE("Height!$L",C180)),"")</f>
        <v>7</v>
      </c>
      <c r="M180" s="286" t="str">
        <f ca="1">IFERROR(VLOOKUP($C178&amp;L180,downloads!$A$1:$E$1000,2,FALSE),"")</f>
        <v>Lauren HEWITT</v>
      </c>
      <c r="N180" s="64" t="str">
        <f t="shared" ref="N180:N187" ca="1" si="33">IFERROR(VLOOKUP(L180,teamlookup,5,FALSE),"")</f>
        <v>Wigan</v>
      </c>
      <c r="O180" s="109">
        <f ca="1">IFERROR(INDIRECT(CONCATENATE("Height!$Z",C180)),"")</f>
        <v>1.45</v>
      </c>
      <c r="P180" s="147">
        <f ca="1">IFERROR(IF(OR(O180="",O180=0,O180&lt;A179),"",VLOOKUP(O180,A179:B187,2,TRUE)),9)</f>
        <v>7</v>
      </c>
      <c r="R180" s="66">
        <f ca="1">IFERROR(IF(OR(E180=0,E180="",H180=0,H180="",H180="X"),0,VLOOKUP(D180,INDIRECT(MatchDay!$W$2),2,FALSE)),"")</f>
        <v>10</v>
      </c>
      <c r="S180" s="66">
        <f ca="1">IFERROR(IF(OR(L180=0,L180="",O180=0,O180="",O180="X"),0,VLOOKUP(K180,INDIRECT(MatchDay!$W$2),3,FALSE)),"")</f>
        <v>8</v>
      </c>
      <c r="T180" s="168">
        <f ca="1">COUNTIF(E180,"&gt;0")</f>
        <v>1</v>
      </c>
      <c r="U180" s="66">
        <f ca="1">IFERROR(IF(E180&gt;88,1,0),0)</f>
        <v>0</v>
      </c>
      <c r="V180" s="132"/>
    </row>
    <row r="181" spans="1:22" x14ac:dyDescent="0.35">
      <c r="A181" s="105">
        <f>IFERROR(VLOOKUP(C178,standards,5,FALSE),"-")</f>
        <v>1.25</v>
      </c>
      <c r="B181" s="419">
        <v>3</v>
      </c>
      <c r="C181" s="103"/>
      <c r="D181" s="104">
        <f ca="1">IFERROR(INDIRECT(CONCATENATE("Height!$d",C180+1)),"")</f>
        <v>2</v>
      </c>
      <c r="E181" s="104">
        <f ca="1">IFERROR(INDIRECT(CONCATENATE("Height!$E",C180+1)),"")</f>
        <v>1</v>
      </c>
      <c r="F181" s="286" t="str">
        <f ca="1">IFERROR(VLOOKUP($C178&amp;E181,downloads!$A$1:$E$1000,2,FALSE),"")</f>
        <v>Olivia WELCH</v>
      </c>
      <c r="G181" s="64" t="str">
        <f t="shared" ca="1" si="32"/>
        <v>C&amp;N</v>
      </c>
      <c r="H181" s="109">
        <f ca="1">IFERROR(INDIRECT(CONCATENATE("Height!$H",C180+1)),"")</f>
        <v>1.35</v>
      </c>
      <c r="I181" s="147">
        <f ca="1">IFERROR(IF(OR(H181="",H181=0,H181&lt;A179),"",VLOOKUP(H181,A179:B187,2,TRUE)),9)</f>
        <v>5</v>
      </c>
      <c r="J181" s="67"/>
      <c r="K181" s="104">
        <f ca="1">IFERROR(INDIRECT(CONCATENATE("Height!$j",C180+1)),"")</f>
        <v>2</v>
      </c>
      <c r="L181" s="104">
        <f ca="1">IFERROR(INDIRECT(CONCATENATE("Height!$L",C180+1)),"")</f>
        <v>33</v>
      </c>
      <c r="M181" s="286" t="str">
        <f ca="1">IFERROR(VLOOKUP($C178&amp;L181,downloads!$A$1:$E$1000,2,FALSE),"")</f>
        <v>Gabriella TAYLOR</v>
      </c>
      <c r="N181" s="64" t="str">
        <f t="shared" ca="1" si="33"/>
        <v>Leigh</v>
      </c>
      <c r="O181" s="109">
        <f ca="1">IFERROR(INDIRECT(CONCATENATE("Height!$Z",C180+1)),"")</f>
        <v>1.25</v>
      </c>
      <c r="P181" s="147">
        <f ca="1">IFERROR(IF(OR(O181="",O181=0,O181&lt;A179),"",VLOOKUP(O181,A179:B187,2,TRUE)),9)</f>
        <v>3</v>
      </c>
      <c r="R181" s="66">
        <f ca="1">IFERROR(IF(OR(E181=0,E181="",H181=0,H181="",H181="X"),0,VLOOKUP(D181,INDIRECT(MatchDay!$W$2),2,FALSE)),"")</f>
        <v>8</v>
      </c>
      <c r="S181" s="66">
        <f ca="1">IFERROR(IF(OR(L181=0,L181="",O181=0,O181="",O181="X"),0,VLOOKUP(K181,INDIRECT(MatchDay!$W$2),3,FALSE)),"")</f>
        <v>6</v>
      </c>
    </row>
    <row r="182" spans="1:22" x14ac:dyDescent="0.35">
      <c r="A182" s="105">
        <f>IFERROR(VLOOKUP(C178,standards,6,FALSE),"-")</f>
        <v>1.3</v>
      </c>
      <c r="B182" s="419">
        <v>4</v>
      </c>
      <c r="C182" s="105"/>
      <c r="D182" s="104">
        <f ca="1">IFERROR(INDIRECT(CONCATENATE("Height!$d",C180+2)),"")</f>
        <v>3</v>
      </c>
      <c r="E182" s="104">
        <f ca="1">IFERROR(INDIRECT(CONCATENATE("Height!$E",C180+2)),"")</f>
        <v>3</v>
      </c>
      <c r="F182" s="286" t="str">
        <f ca="1">IFERROR(VLOOKUP($C178&amp;E182,downloads!$A$1:$E$1000,2,FALSE),"")</f>
        <v>Freya CASH</v>
      </c>
      <c r="G182" s="64" t="str">
        <f t="shared" ca="1" si="32"/>
        <v>Leigh</v>
      </c>
      <c r="H182" s="109">
        <f ca="1">IFERROR(INDIRECT(CONCATENATE("Height!$H",C180+2)),"")</f>
        <v>1.3</v>
      </c>
      <c r="I182" s="147">
        <f ca="1">IFERROR(IF(OR(H182="",H182=0,H182&lt;A179),"",VLOOKUP(H182,A179:B187,2,TRUE)),9)</f>
        <v>4</v>
      </c>
      <c r="J182" s="67"/>
      <c r="K182" s="104">
        <f ca="1">IFERROR(INDIRECT(CONCATENATE("Height!$j",C180+2)),"")</f>
        <v>3</v>
      </c>
      <c r="L182" s="104">
        <f ca="1">IFERROR(INDIRECT(CONCATENATE("Height!$L",C180+2)),"")</f>
        <v>11</v>
      </c>
      <c r="M182" s="286" t="str">
        <f ca="1">IFERROR(VLOOKUP($C178&amp;L182,downloads!$A$1:$E$1000,2,FALSE),"")</f>
        <v>Elisha CARTER</v>
      </c>
      <c r="N182" s="64" t="str">
        <f t="shared" ca="1" si="33"/>
        <v>C&amp;N</v>
      </c>
      <c r="O182" s="109">
        <f ca="1">IFERROR(INDIRECT(CONCATENATE("Height!$Z",C180+2)),"")</f>
        <v>1.2</v>
      </c>
      <c r="P182" s="147">
        <f ca="1">IFERROR(IF(OR(O182="",O182=0,O182&lt;A179),"",VLOOKUP(O182,A179:B187,2,TRUE)),9)</f>
        <v>2</v>
      </c>
      <c r="R182" s="66">
        <f ca="1">IFERROR(IF(OR(E182=0,E182="",H182=0,H182="",H182="X"),0,VLOOKUP(D182,INDIRECT(MatchDay!$W$2),2,FALSE)),"")</f>
        <v>7</v>
      </c>
      <c r="S182" s="66">
        <f ca="1">IFERROR(IF(OR(L182=0,L182="",O182=0,O182="",O182="X"),0,VLOOKUP(K182,INDIRECT(MatchDay!$W$2),3,FALSE)),"")</f>
        <v>5</v>
      </c>
      <c r="V182" s="64">
        <v>3</v>
      </c>
    </row>
    <row r="183" spans="1:22" x14ac:dyDescent="0.35">
      <c r="A183" s="105">
        <f>IFERROR(VLOOKUP(C178,standards,7,FALSE),"-")</f>
        <v>1.35</v>
      </c>
      <c r="B183" s="419">
        <v>5</v>
      </c>
      <c r="C183" s="105"/>
      <c r="D183" s="104">
        <f ca="1">IFERROR(INDIRECT(CONCATENATE("Height!$d",C180+3)),"")</f>
        <v>4</v>
      </c>
      <c r="E183" s="104">
        <f ca="1">IFERROR(INDIRECT(CONCATENATE("Height!$E",C180+3)),"")</f>
        <v>5</v>
      </c>
      <c r="F183" s="286" t="str">
        <f ca="1">IFERROR(VLOOKUP($C178&amp;E183,downloads!$A$1:$E$1000,2,FALSE),"")</f>
        <v>Krista JONES</v>
      </c>
      <c r="G183" s="64" t="str">
        <f t="shared" ca="1" si="32"/>
        <v>Menai</v>
      </c>
      <c r="H183" s="109">
        <f ca="1">IFERROR(INDIRECT(CONCATENATE("Height!$H",C180+3)),"")</f>
        <v>1.1499999999999999</v>
      </c>
      <c r="I183" s="147">
        <f ca="1">IFERROR(IF(OR(H183="",H183=0,H183&lt;A179),"",VLOOKUP(H183,A179:B187,2,TRUE)),9)</f>
        <v>1</v>
      </c>
      <c r="J183" s="67"/>
      <c r="K183" s="104" t="str">
        <f ca="1">IFERROR(INDIRECT(CONCATENATE("Height!$j",C180+3)),"")</f>
        <v/>
      </c>
      <c r="L183" s="104" t="str">
        <f ca="1">IFERROR(INDIRECT(CONCATENATE("Height!$L",C180+3)),"")</f>
        <v/>
      </c>
      <c r="M183" s="286" t="str">
        <f ca="1">IFERROR(VLOOKUP($C178&amp;L183,downloads!$A$1:$E$1000,2,FALSE),"")</f>
        <v/>
      </c>
      <c r="N183" s="64" t="str">
        <f t="shared" ca="1" si="33"/>
        <v/>
      </c>
      <c r="O183" s="109">
        <f ca="1">IFERROR(INDIRECT(CONCATENATE("Height!$Z",C180+3)),"")</f>
        <v>0</v>
      </c>
      <c r="P183" s="147" t="str">
        <f ca="1">IFERROR(IF(OR(O183="",O183=0,O183&lt;A179),"",VLOOKUP(O183,A179:B187,2,TRUE)),9)</f>
        <v/>
      </c>
      <c r="R183" s="66">
        <f ca="1">IFERROR(IF(OR(E183=0,E183="",H183=0,H183="",H183="X"),0,VLOOKUP(D183,INDIRECT(MatchDay!$W$2),2,FALSE)),"")</f>
        <v>6</v>
      </c>
      <c r="S183" s="66">
        <f ca="1">IFERROR(IF(OR(L183=0,L183="",O183=0,O183="",O183="X"),0,VLOOKUP(K183,INDIRECT(MatchDay!$W$2),3,FALSE)),"")</f>
        <v>0</v>
      </c>
      <c r="V183" s="64">
        <v>4</v>
      </c>
    </row>
    <row r="184" spans="1:22" x14ac:dyDescent="0.35">
      <c r="A184" s="105">
        <f>IFERROR(VLOOKUP(C178,standards,8,FALSE),"-")</f>
        <v>1.4</v>
      </c>
      <c r="B184" s="419">
        <v>6</v>
      </c>
      <c r="C184" s="105"/>
      <c r="D184" s="104" t="str">
        <f ca="1">IFERROR(INDIRECT(CONCATENATE("Height!$d",C180+4)),"")</f>
        <v/>
      </c>
      <c r="E184" s="104" t="str">
        <f ca="1">IFERROR(INDIRECT(CONCATENATE("Height!$E",C180+4)),"")</f>
        <v/>
      </c>
      <c r="F184" s="286" t="str">
        <f ca="1">IFERROR(VLOOKUP($C178&amp;E184,downloads!$A$1:$E$1000,2,FALSE),"")</f>
        <v/>
      </c>
      <c r="G184" s="64" t="str">
        <f t="shared" ca="1" si="32"/>
        <v/>
      </c>
      <c r="H184" s="109">
        <f ca="1">IFERROR(INDIRECT(CONCATENATE("Height!$H",C180+4)),"")</f>
        <v>0</v>
      </c>
      <c r="I184" s="147" t="str">
        <f ca="1">IFERROR(IF(OR(H184="",H184=0,H184&lt;A179),"",VLOOKUP(H184,A179:B187,2,TRUE)),9)</f>
        <v/>
      </c>
      <c r="J184" s="67"/>
      <c r="K184" s="104" t="str">
        <f ca="1">IFERROR(INDIRECT(CONCATENATE("Height!$j",C180+4)),"")</f>
        <v/>
      </c>
      <c r="L184" s="104" t="str">
        <f ca="1">IFERROR(INDIRECT(CONCATENATE("Height!$L",C180+4)),"")</f>
        <v/>
      </c>
      <c r="M184" s="286" t="str">
        <f ca="1">IFERROR(VLOOKUP($C178&amp;L184,downloads!$A$1:$E$1000,2,FALSE),"")</f>
        <v/>
      </c>
      <c r="N184" s="64" t="str">
        <f t="shared" ca="1" si="33"/>
        <v/>
      </c>
      <c r="O184" s="109">
        <f ca="1">IFERROR(INDIRECT(CONCATENATE("Height!$Z",C180+4)),"")</f>
        <v>0</v>
      </c>
      <c r="P184" s="147" t="str">
        <f ca="1">IFERROR(IF(OR(O184="",O184=0,O184&lt;A179),"",VLOOKUP(O184,A179:B187,2,TRUE)),9)</f>
        <v/>
      </c>
      <c r="R184" s="66">
        <f ca="1">IFERROR(IF(OR(E184=0,E184="",H184=0,H184="",H184="X"),0,VLOOKUP(D184,INDIRECT(MatchDay!$W$2),2,FALSE)),"")</f>
        <v>0</v>
      </c>
      <c r="S184" s="66">
        <f ca="1">IFERROR(IF(OR(L184=0,L184="",O184=0,O184="",O184="X"),0,VLOOKUP(K184,INDIRECT(MatchDay!$W$2),3,FALSE)),"")</f>
        <v>0</v>
      </c>
      <c r="V184" s="64">
        <v>5</v>
      </c>
    </row>
    <row r="185" spans="1:22" x14ac:dyDescent="0.35">
      <c r="A185" s="105">
        <f>IFERROR(VLOOKUP(C178,standards,9,FALSE),"-")</f>
        <v>1.45</v>
      </c>
      <c r="B185" s="419">
        <v>7</v>
      </c>
      <c r="C185" s="105"/>
      <c r="D185" s="104" t="str">
        <f ca="1">IFERROR(INDIRECT(CONCATENATE("Height!$d",C180+5)),"")</f>
        <v/>
      </c>
      <c r="E185" s="104" t="str">
        <f ca="1">IFERROR(INDIRECT(CONCATENATE("Height!$E",C180+5)),"")</f>
        <v/>
      </c>
      <c r="F185" s="286" t="str">
        <f ca="1">IFERROR(VLOOKUP($C178&amp;E185,downloads!$A$1:$E$1000,2,FALSE),"")</f>
        <v/>
      </c>
      <c r="G185" s="64" t="str">
        <f t="shared" ca="1" si="32"/>
        <v/>
      </c>
      <c r="H185" s="109">
        <f ca="1">IFERROR(INDIRECT(CONCATENATE("Height!$H",C180+5)),"")</f>
        <v>0</v>
      </c>
      <c r="I185" s="147" t="str">
        <f ca="1">IFERROR(IF(OR(H185="",H185=0,H185&lt;A179),"",VLOOKUP(H185,A179:B187,2,TRUE)),9)</f>
        <v/>
      </c>
      <c r="J185" s="67"/>
      <c r="K185" s="104" t="str">
        <f ca="1">IFERROR(INDIRECT(CONCATENATE("Height!$j",C180+5)),"")</f>
        <v/>
      </c>
      <c r="L185" s="104" t="str">
        <f ca="1">IFERROR(INDIRECT(CONCATENATE("Height!$L",C180+5)),"")</f>
        <v/>
      </c>
      <c r="M185" s="286" t="str">
        <f ca="1">IFERROR(VLOOKUP($C178&amp;L185,downloads!$A$1:$E$1000,2,FALSE),"")</f>
        <v/>
      </c>
      <c r="N185" s="64" t="str">
        <f t="shared" ca="1" si="33"/>
        <v/>
      </c>
      <c r="O185" s="109">
        <f ca="1">IFERROR(INDIRECT(CONCATENATE("Height!$Z",C180+5)),"")</f>
        <v>0</v>
      </c>
      <c r="P185" s="147" t="str">
        <f ca="1">IFERROR(IF(OR(O185="",O185=0,O185&lt;A179),"",VLOOKUP(O185,A179:B187,2,TRUE)),9)</f>
        <v/>
      </c>
      <c r="R185" s="66">
        <f ca="1">IFERROR(IF(OR(E185=0,E185="",H185=0,H185="",H185="X"),0,VLOOKUP(D185,INDIRECT(MatchDay!$W$2),2,FALSE)),"")</f>
        <v>0</v>
      </c>
      <c r="S185" s="66">
        <f ca="1">IFERROR(IF(OR(L185=0,L185="",O185=0,O185="",O185="X"),0,VLOOKUP(K185,INDIRECT(MatchDay!$W$2),3,FALSE)),"")</f>
        <v>0</v>
      </c>
      <c r="V185" s="64">
        <v>6</v>
      </c>
    </row>
    <row r="186" spans="1:22" x14ac:dyDescent="0.35">
      <c r="A186" s="105">
        <f>IFERROR(VLOOKUP(C178,standards,10,FALSE),"-")</f>
        <v>1.5</v>
      </c>
      <c r="B186" s="419">
        <v>8</v>
      </c>
      <c r="C186" s="103" t="s">
        <v>151</v>
      </c>
      <c r="D186" s="104" t="str">
        <f ca="1">IFERROR(INDIRECT(CONCATENATE("Height!$d",C180+6)),"")</f>
        <v/>
      </c>
      <c r="E186" s="104" t="str">
        <f ca="1">IFERROR(INDIRECT(CONCATENATE("Height!$E",C180+6)),"")</f>
        <v/>
      </c>
      <c r="F186" s="286" t="str">
        <f ca="1">IFERROR(VLOOKUP($C178&amp;E186,downloads!$A$1:$E$1000,2,FALSE),"")</f>
        <v/>
      </c>
      <c r="G186" s="64" t="str">
        <f t="shared" ca="1" si="32"/>
        <v/>
      </c>
      <c r="H186" s="109">
        <f ca="1">IFERROR(INDIRECT(CONCATENATE("Height!$H",C180+6)),"")</f>
        <v>0</v>
      </c>
      <c r="I186" s="147" t="str">
        <f ca="1">IFERROR(IF(OR(H186="",H186=0,H186&lt;A179),"",VLOOKUP(H186,A179:B187,2,TRUE)),9)</f>
        <v/>
      </c>
      <c r="J186" s="67"/>
      <c r="K186" s="104" t="str">
        <f ca="1">IFERROR(INDIRECT(CONCATENATE("Height!$j",C180+6)),"")</f>
        <v/>
      </c>
      <c r="L186" s="104" t="str">
        <f ca="1">IFERROR(INDIRECT(CONCATENATE("Height!$L",C180+6)),"")</f>
        <v/>
      </c>
      <c r="M186" s="286" t="str">
        <f ca="1">IFERROR(VLOOKUP($C178&amp;L186,downloads!$A$1:$E$1000,2,FALSE),"")</f>
        <v/>
      </c>
      <c r="N186" s="64" t="str">
        <f t="shared" ca="1" si="33"/>
        <v/>
      </c>
      <c r="O186" s="109">
        <f ca="1">IFERROR(INDIRECT(CONCATENATE("Height!$Z",C180+6)),"")</f>
        <v>0</v>
      </c>
      <c r="P186" s="147" t="str">
        <f ca="1">IFERROR(IF(OR(O186="",O186=0,O186&lt;A179),"",VLOOKUP(O186,A179:B187,2,TRUE)),9)</f>
        <v/>
      </c>
      <c r="R186" s="66">
        <f ca="1">IFERROR(IF(OR(E186=0,E186="",H186=0,H186="",H186="X"),0,VLOOKUP(D186,INDIRECT(MatchDay!$W$2),2,FALSE)),"")</f>
        <v>0</v>
      </c>
      <c r="S186" s="66">
        <f ca="1">IFERROR(IF(OR(L186=0,L186="",O186=0,O186="",O186="X"),0,VLOOKUP(K186,INDIRECT(MatchDay!$W$2),3,FALSE)),"")</f>
        <v>0</v>
      </c>
    </row>
    <row r="187" spans="1:22" x14ac:dyDescent="0.35">
      <c r="A187" s="105">
        <f>IFERROR(VLOOKUP(C178,standards,11,FALSE),"-")</f>
        <v>1.55</v>
      </c>
      <c r="B187" s="419">
        <v>9</v>
      </c>
      <c r="C187" s="103">
        <f>IFERROR(VLOOKUP(C178,records,5,FALSE),"")</f>
        <v>1.73</v>
      </c>
      <c r="D187" s="104" t="str">
        <f ca="1">IFERROR(INDIRECT(CONCATENATE("Height!$d",C180+7)),"")</f>
        <v/>
      </c>
      <c r="E187" s="104" t="str">
        <f ca="1">IFERROR(INDIRECT(CONCATENATE("Height!$E",C180+7)),"")</f>
        <v/>
      </c>
      <c r="F187" s="286" t="str">
        <f ca="1">IFERROR(VLOOKUP($C178&amp;E187,downloads!$A$1:$E$1000,2,FALSE),"")</f>
        <v/>
      </c>
      <c r="G187" s="64" t="str">
        <f t="shared" ca="1" si="32"/>
        <v/>
      </c>
      <c r="H187" s="109">
        <f ca="1">IFERROR(INDIRECT(CONCATENATE("Height!$H",C180+7)),"")</f>
        <v>0</v>
      </c>
      <c r="I187" s="147" t="str">
        <f ca="1">IFERROR(IF(OR(H187="",H187=0,H187&lt;A179),"",VLOOKUP(H187,A179:B187,2,TRUE)),9)</f>
        <v/>
      </c>
      <c r="J187" s="67"/>
      <c r="K187" s="104" t="str">
        <f ca="1">IFERROR(INDIRECT(CONCATENATE("Height!$j",C180+7)),"")</f>
        <v/>
      </c>
      <c r="L187" s="104" t="str">
        <f ca="1">IFERROR(INDIRECT(CONCATENATE("Height!$L",C180+7)),"")</f>
        <v/>
      </c>
      <c r="M187" s="286" t="str">
        <f ca="1">IFERROR(VLOOKUP($C178&amp;L187,downloads!$A$1:$E$1000,2,FALSE),"")</f>
        <v/>
      </c>
      <c r="N187" s="64" t="str">
        <f t="shared" ca="1" si="33"/>
        <v/>
      </c>
      <c r="O187" s="109">
        <f ca="1">IFERROR(INDIRECT(CONCATENATE("Height!$Z",C180+7)),"")</f>
        <v>0</v>
      </c>
      <c r="P187" s="147" t="str">
        <f ca="1">IFERROR(IF(OR(O187="",O187=0,O187&lt;A179),"",VLOOKUP(O187,A179:B187,2,TRUE)),9)</f>
        <v/>
      </c>
      <c r="R187" s="66">
        <f ca="1">IFERROR(IF(OR(E187=0,E187="",H187=0,H187="",H187="X"),0,VLOOKUP(D187,INDIRECT(MatchDay!$W$2),2,FALSE)),"")</f>
        <v>0</v>
      </c>
      <c r="S187" s="66">
        <f ca="1">IFERROR(IF(OR(L187=0,L187="",O187=0,O187="",O187="X"),0,VLOOKUP(K187,INDIRECT(MatchDay!$W$2),3,FALSE)),"")</f>
        <v>0</v>
      </c>
    </row>
    <row r="189" spans="1:22" x14ac:dyDescent="0.35">
      <c r="C189" s="98" t="s">
        <v>181</v>
      </c>
      <c r="D189" s="99" t="str">
        <f>IFERROR(VLOOKUP(C189,timetables,2,FALSE)&amp;" "&amp;VLOOKUP(C189,timetables,3,FALSE)&amp;" A","")</f>
        <v>High Jump U13 Boys A</v>
      </c>
      <c r="E189" s="99"/>
      <c r="H189" s="108" t="str">
        <f ca="1">IFERROR(IF(OR(H191=0,H191="",H191="X"),"",IF(H191&gt;C198,"REC",IF(H191=C198,"=Rec",""))),"")</f>
        <v/>
      </c>
      <c r="I189" s="147" t="str">
        <f ca="1">IFERROR(IF(OR(H191=0,H191="",H191="X"),"",IF(H191&gt;C198,"REC",IF(H191=C198,"=Rec",""))),"")</f>
        <v/>
      </c>
      <c r="K189" s="101" t="str">
        <f>IFERROR(VLOOKUP(C189,timetables,2,FALSE)&amp;" "&amp;VLOOKUP(C189,timetables,3,FALSE)&amp;" B","")</f>
        <v>High Jump U13 Boys B</v>
      </c>
      <c r="L189" s="102"/>
      <c r="R189" s="66" t="s">
        <v>53</v>
      </c>
      <c r="S189" s="66" t="s">
        <v>54</v>
      </c>
    </row>
    <row r="190" spans="1:22" x14ac:dyDescent="0.35">
      <c r="A190" s="105">
        <f>IFERROR(VLOOKUP(C189,standards,3,FALSE),"-")</f>
        <v>1.1000000000000001</v>
      </c>
      <c r="B190" s="419">
        <v>1</v>
      </c>
      <c r="C190" s="79"/>
      <c r="D190" s="45" t="s">
        <v>177</v>
      </c>
      <c r="E190" s="45" t="s">
        <v>118</v>
      </c>
      <c r="F190" s="47" t="s">
        <v>174</v>
      </c>
      <c r="G190" s="47" t="s">
        <v>175</v>
      </c>
      <c r="H190" s="45" t="s">
        <v>176</v>
      </c>
      <c r="I190" s="148" t="s">
        <v>1003</v>
      </c>
      <c r="J190" s="47"/>
      <c r="K190" s="45" t="s">
        <v>177</v>
      </c>
      <c r="L190" s="45" t="s">
        <v>118</v>
      </c>
      <c r="M190" s="47" t="s">
        <v>174</v>
      </c>
      <c r="N190" s="47" t="s">
        <v>175</v>
      </c>
      <c r="O190" s="45" t="s">
        <v>176</v>
      </c>
      <c r="P190" s="148" t="s">
        <v>1003</v>
      </c>
    </row>
    <row r="191" spans="1:22" x14ac:dyDescent="0.35">
      <c r="A191" s="105">
        <f>IFERROR(VLOOKUP(C189,standards,4,FALSE),"-")</f>
        <v>1.1499999999999999</v>
      </c>
      <c r="B191" s="419">
        <v>2</v>
      </c>
      <c r="C191" s="66">
        <f>IFERROR(VLOOKUP(C189,Height!A:B,2,FALSE),"")</f>
        <v>59</v>
      </c>
      <c r="D191" s="104">
        <f ca="1">IFERROR(INDIRECT(CONCATENATE("Height!$d",C191)),"")</f>
        <v>1</v>
      </c>
      <c r="E191" s="104">
        <f ca="1">IFERROR(INDIRECT(CONCATENATE("Height!$E",C191)),"")</f>
        <v>11</v>
      </c>
      <c r="F191" s="286" t="str">
        <f ca="1">IFERROR(VLOOKUP($C189&amp;E191,downloads!$A$1:$E$1000,2,FALSE),"")</f>
        <v>Kaidan DOS REIS</v>
      </c>
      <c r="G191" s="64" t="str">
        <f t="shared" ref="G191:G198" ca="1" si="34">IFERROR(VLOOKUP(E191,teamlookup,5,FALSE),"")</f>
        <v>C&amp;N</v>
      </c>
      <c r="H191" s="109">
        <f ca="1">IFERROR(INDIRECT(CONCATENATE("Height!$H",C191)),"")</f>
        <v>1.36</v>
      </c>
      <c r="I191" s="147">
        <f ca="1">IFERROR(IF(OR(H191="",H191=0,H191&lt;A190),"",VLOOKUP(H191,A190:B198,2,TRUE)),9)</f>
        <v>6</v>
      </c>
      <c r="J191" s="67"/>
      <c r="K191" s="104">
        <f ca="1">IFERROR(INDIRECT(CONCATENATE("Height!$j",C191)),"")</f>
        <v>1</v>
      </c>
      <c r="L191" s="104">
        <f ca="1">IFERROR(INDIRECT(CONCATENATE("Height!$L",C191)),"")</f>
        <v>1</v>
      </c>
      <c r="M191" s="286" t="str">
        <f ca="1">IFERROR(VLOOKUP($C189&amp;L191,downloads!$A$1:$E$1000,2,FALSE),"")</f>
        <v>Ewan DAVIES</v>
      </c>
      <c r="N191" s="64" t="str">
        <f t="shared" ref="N191:N198" ca="1" si="35">IFERROR(VLOOKUP(L191,teamlookup,5,FALSE),"")</f>
        <v>C&amp;N</v>
      </c>
      <c r="O191" s="109">
        <f ca="1">IFERROR(INDIRECT(CONCATENATE("Height!$Z",C191)),"")</f>
        <v>1.2</v>
      </c>
      <c r="P191" s="147">
        <f ca="1">IFERROR(IF(OR(O191="",O191=0,O191&lt;A190),"",VLOOKUP(O191,A190:B198,2,TRUE)),9)</f>
        <v>3</v>
      </c>
      <c r="R191" s="66">
        <f ca="1">IFERROR(IF(OR(E191=0,E191="",H191=0,H191="",H191="X"),0,VLOOKUP(D191,INDIRECT(MatchDay!$W$2),2,FALSE)),"")</f>
        <v>10</v>
      </c>
      <c r="S191" s="66">
        <f ca="1">IFERROR(IF(OR(L191=0,L191="",O191=0,O191="",O191="X"),0,VLOOKUP(K191,INDIRECT(MatchDay!$W$2),3,FALSE)),"")</f>
        <v>8</v>
      </c>
      <c r="T191" s="168">
        <f ca="1">COUNTIF(E191,"&gt;0")</f>
        <v>1</v>
      </c>
      <c r="U191" s="66">
        <f ca="1">IFERROR(IF(E191&gt;88,1,0),0)</f>
        <v>0</v>
      </c>
    </row>
    <row r="192" spans="1:22" x14ac:dyDescent="0.35">
      <c r="A192" s="105">
        <f>IFERROR(VLOOKUP(C189,standards,5,FALSE),"-")</f>
        <v>1.2</v>
      </c>
      <c r="B192" s="419">
        <v>3</v>
      </c>
      <c r="C192" s="103"/>
      <c r="D192" s="104">
        <f ca="1">IFERROR(INDIRECT(CONCATENATE("Height!$d",C191+1)),"")</f>
        <v>2</v>
      </c>
      <c r="E192" s="104">
        <f ca="1">IFERROR(INDIRECT(CONCATENATE("Height!$E",C191+1)),"")</f>
        <v>4</v>
      </c>
      <c r="F192" s="286" t="str">
        <f ca="1">IFERROR(VLOOKUP($C189&amp;E192,downloads!$A$1:$E$1000,2,FALSE),"")</f>
        <v>Tomas BEDOYA</v>
      </c>
      <c r="G192" s="64" t="str">
        <f t="shared" ca="1" si="34"/>
        <v>Macc</v>
      </c>
      <c r="H192" s="109">
        <f ca="1">IFERROR(INDIRECT(CONCATENATE("Height!$H",C191+1)),"")</f>
        <v>1.33</v>
      </c>
      <c r="I192" s="147">
        <f ca="1">IFERROR(IF(OR(H192="",H192=0,H192&lt;A190),"",VLOOKUP(H192,A190:B198,2,TRUE)),9)</f>
        <v>5</v>
      </c>
      <c r="J192" s="67"/>
      <c r="K192" s="104" t="str">
        <f ca="1">IFERROR(INDIRECT(CONCATENATE("Height!$j",C191+1)),"")</f>
        <v/>
      </c>
      <c r="L192" s="104" t="str">
        <f ca="1">IFERROR(INDIRECT(CONCATENATE("Height!$L",C191+1)),"")</f>
        <v/>
      </c>
      <c r="M192" s="286" t="str">
        <f ca="1">IFERROR(VLOOKUP($C189&amp;L192,downloads!$A$1:$E$1000,2,FALSE),"")</f>
        <v/>
      </c>
      <c r="N192" s="64" t="str">
        <f t="shared" ca="1" si="35"/>
        <v/>
      </c>
      <c r="O192" s="109">
        <f ca="1">IFERROR(INDIRECT(CONCATENATE("Height!$Z",C191+1)),"")</f>
        <v>0</v>
      </c>
      <c r="P192" s="147" t="str">
        <f ca="1">IFERROR(IF(OR(O192="",O192=0,O192&lt;A190),"",VLOOKUP(O192,A190:B198,2,TRUE)),9)</f>
        <v/>
      </c>
      <c r="R192" s="66">
        <f ca="1">IFERROR(IF(OR(E192=0,E192="",H192=0,H192="",H192="X"),0,VLOOKUP(D192,INDIRECT(MatchDay!$W$2),2,FALSE)),"")</f>
        <v>8</v>
      </c>
      <c r="S192" s="66">
        <f ca="1">IFERROR(IF(OR(L192=0,L192="",O192=0,O192="",O192="X"),0,VLOOKUP(K192,INDIRECT(MatchDay!$W$2),3,FALSE)),"")</f>
        <v>0</v>
      </c>
    </row>
    <row r="193" spans="1:24" x14ac:dyDescent="0.35">
      <c r="A193" s="105">
        <f>IFERROR(VLOOKUP(C189,standards,6,FALSE),"-")</f>
        <v>1.25</v>
      </c>
      <c r="B193" s="419">
        <v>4</v>
      </c>
      <c r="C193" s="105"/>
      <c r="D193" s="104">
        <f ca="1">IFERROR(INDIRECT(CONCATENATE("Height!$d",C191+2)),"")</f>
        <v>3</v>
      </c>
      <c r="E193" s="104">
        <f ca="1">IFERROR(INDIRECT(CONCATENATE("Height!$E",C191+2)),"")</f>
        <v>2</v>
      </c>
      <c r="F193" s="286" t="str">
        <f ca="1">IFERROR(VLOOKUP($C189&amp;E193,downloads!$A$1:$E$1000,2,FALSE),"")</f>
        <v>Ryan MCCARTHY</v>
      </c>
      <c r="G193" s="64" t="str">
        <f t="shared" ca="1" si="34"/>
        <v>ECHT</v>
      </c>
      <c r="H193" s="109">
        <f ca="1">IFERROR(INDIRECT(CONCATENATE("Height!$H",C191+2)),"")</f>
        <v>1.25</v>
      </c>
      <c r="I193" s="147">
        <f ca="1">IFERROR(IF(OR(H193="",H193=0,H193&lt;A190),"",VLOOKUP(H193,A190:B198,2,TRUE)),9)</f>
        <v>4</v>
      </c>
      <c r="J193" s="67"/>
      <c r="K193" s="104" t="str">
        <f ca="1">IFERROR(INDIRECT(CONCATENATE("Height!$j",C191+2)),"")</f>
        <v/>
      </c>
      <c r="L193" s="104" t="str">
        <f ca="1">IFERROR(INDIRECT(CONCATENATE("Height!$L",C191+2)),"")</f>
        <v/>
      </c>
      <c r="M193" s="286" t="str">
        <f ca="1">IFERROR(VLOOKUP($C189&amp;L193,downloads!$A$1:$E$1000,2,FALSE),"")</f>
        <v/>
      </c>
      <c r="N193" s="64" t="str">
        <f t="shared" ca="1" si="35"/>
        <v/>
      </c>
      <c r="O193" s="109">
        <f ca="1">IFERROR(INDIRECT(CONCATENATE("Height!$Z",C191+2)),"")</f>
        <v>0</v>
      </c>
      <c r="P193" s="147" t="str">
        <f ca="1">IFERROR(IF(OR(O193="",O193=0,O193&lt;A190),"",VLOOKUP(O193,A190:B198,2,TRUE)),9)</f>
        <v/>
      </c>
      <c r="R193" s="66">
        <f ca="1">IFERROR(IF(OR(E193=0,E193="",H193=0,H193="",H193="X"),0,VLOOKUP(D193,INDIRECT(MatchDay!$W$2),2,FALSE)),"")</f>
        <v>7</v>
      </c>
      <c r="S193" s="66">
        <f ca="1">IFERROR(IF(OR(L193=0,L193="",O193=0,O193="",O193="X"),0,VLOOKUP(K193,INDIRECT(MatchDay!$W$2),3,FALSE)),"")</f>
        <v>0</v>
      </c>
      <c r="V193" s="64">
        <v>3</v>
      </c>
    </row>
    <row r="194" spans="1:24" x14ac:dyDescent="0.35">
      <c r="A194" s="105">
        <f>IFERROR(VLOOKUP(C189,standards,7,FALSE),"-")</f>
        <v>1.3</v>
      </c>
      <c r="B194" s="419">
        <v>5</v>
      </c>
      <c r="C194" s="105"/>
      <c r="D194" s="104">
        <f ca="1">IFERROR(INDIRECT(CONCATENATE("Height!$d",C191+3)),"")</f>
        <v>4</v>
      </c>
      <c r="E194" s="104">
        <f ca="1">IFERROR(INDIRECT(CONCATENATE("Height!$E",C191+3)),"")</f>
        <v>7</v>
      </c>
      <c r="F194" s="286" t="str">
        <f ca="1">IFERROR(VLOOKUP($C189&amp;E194,downloads!$A$1:$E$1000,2,FALSE),"")</f>
        <v>Samuel HODGKINSON</v>
      </c>
      <c r="G194" s="64" t="str">
        <f t="shared" ca="1" si="34"/>
        <v>Wigan</v>
      </c>
      <c r="H194" s="109">
        <f ca="1">IFERROR(INDIRECT(CONCATENATE("Height!$H",C191+3)),"")</f>
        <v>1.25</v>
      </c>
      <c r="I194" s="147">
        <f ca="1">IFERROR(IF(OR(H194="",H194=0,H194&lt;A190),"",VLOOKUP(H194,A190:B198,2,TRUE)),9)</f>
        <v>4</v>
      </c>
      <c r="J194" s="67"/>
      <c r="K194" s="104" t="str">
        <f ca="1">IFERROR(INDIRECT(CONCATENATE("Height!$j",C191+3)),"")</f>
        <v/>
      </c>
      <c r="L194" s="104" t="str">
        <f ca="1">IFERROR(INDIRECT(CONCATENATE("Height!$L",C191+3)),"")</f>
        <v/>
      </c>
      <c r="M194" s="286" t="str">
        <f ca="1">IFERROR(VLOOKUP($C189&amp;L194,downloads!$A$1:$E$1000,2,FALSE),"")</f>
        <v/>
      </c>
      <c r="N194" s="64" t="str">
        <f t="shared" ca="1" si="35"/>
        <v/>
      </c>
      <c r="O194" s="109">
        <f ca="1">IFERROR(INDIRECT(CONCATENATE("Height!$Z",C191+3)),"")</f>
        <v>0</v>
      </c>
      <c r="P194" s="147" t="str">
        <f ca="1">IFERROR(IF(OR(O194="",O194=0,O194&lt;A190),"",VLOOKUP(O194,A190:B198,2,TRUE)),9)</f>
        <v/>
      </c>
      <c r="R194" s="66">
        <f ca="1">IFERROR(IF(OR(E194=0,E194="",H194=0,H194="",H194="X"),0,VLOOKUP(D194,INDIRECT(MatchDay!$W$2),2,FALSE)),"")</f>
        <v>6</v>
      </c>
      <c r="S194" s="66">
        <f ca="1">IFERROR(IF(OR(L194=0,L194="",O194=0,O194="",O194="X"),0,VLOOKUP(K194,INDIRECT(MatchDay!$W$2),3,FALSE)),"")</f>
        <v>0</v>
      </c>
      <c r="V194" s="64">
        <v>4</v>
      </c>
    </row>
    <row r="195" spans="1:24" x14ac:dyDescent="0.35">
      <c r="A195" s="105">
        <f>IFERROR(VLOOKUP(C189,standards,8,FALSE),"-")</f>
        <v>1.35</v>
      </c>
      <c r="B195" s="419">
        <v>6</v>
      </c>
      <c r="C195" s="105"/>
      <c r="D195" s="104" t="str">
        <f ca="1">IFERROR(INDIRECT(CONCATENATE("Height!$d",C191+4)),"")</f>
        <v/>
      </c>
      <c r="E195" s="104" t="str">
        <f ca="1">IFERROR(INDIRECT(CONCATENATE("Height!$E",C191+4)),"")</f>
        <v/>
      </c>
      <c r="F195" s="286" t="str">
        <f ca="1">IFERROR(VLOOKUP($C189&amp;E195,downloads!$A$1:$E$1000,2,FALSE),"")</f>
        <v/>
      </c>
      <c r="G195" s="64" t="str">
        <f t="shared" ca="1" si="34"/>
        <v/>
      </c>
      <c r="H195" s="109">
        <f ca="1">IFERROR(INDIRECT(CONCATENATE("Height!$H",C191+4)),"")</f>
        <v>0</v>
      </c>
      <c r="I195" s="147" t="str">
        <f ca="1">IFERROR(IF(OR(H195="",H195=0,H195&lt;A190),"",VLOOKUP(H195,A190:B198,2,TRUE)),9)</f>
        <v/>
      </c>
      <c r="J195" s="67"/>
      <c r="K195" s="104" t="str">
        <f ca="1">IFERROR(INDIRECT(CONCATENATE("Height!$j",C191+4)),"")</f>
        <v/>
      </c>
      <c r="L195" s="104" t="str">
        <f ca="1">IFERROR(INDIRECT(CONCATENATE("Height!$L",C191+4)),"")</f>
        <v/>
      </c>
      <c r="M195" s="286" t="str">
        <f ca="1">IFERROR(VLOOKUP($C189&amp;L195,downloads!$A$1:$E$1000,2,FALSE),"")</f>
        <v/>
      </c>
      <c r="N195" s="64" t="str">
        <f t="shared" ca="1" si="35"/>
        <v/>
      </c>
      <c r="O195" s="109">
        <f ca="1">IFERROR(INDIRECT(CONCATENATE("Height!$Z",C191+4)),"")</f>
        <v>0</v>
      </c>
      <c r="P195" s="147" t="str">
        <f ca="1">IFERROR(IF(OR(O195="",O195=0,O195&lt;A190),"",VLOOKUP(O195,A190:B198,2,TRUE)),9)</f>
        <v/>
      </c>
      <c r="R195" s="66">
        <f ca="1">IFERROR(IF(OR(E195=0,E195="",H195=0,H195="",H195="X"),0,VLOOKUP(D195,INDIRECT(MatchDay!$W$2),2,FALSE)),"")</f>
        <v>0</v>
      </c>
      <c r="S195" s="66">
        <f ca="1">IFERROR(IF(OR(L195=0,L195="",O195=0,O195="",O195="X"),0,VLOOKUP(K195,INDIRECT(MatchDay!$W$2),3,FALSE)),"")</f>
        <v>0</v>
      </c>
      <c r="V195" s="64">
        <v>5</v>
      </c>
    </row>
    <row r="196" spans="1:24" x14ac:dyDescent="0.35">
      <c r="A196" s="105">
        <f>IFERROR(VLOOKUP(C189,standards,9,FALSE),"-")</f>
        <v>1.4</v>
      </c>
      <c r="B196" s="419">
        <v>7</v>
      </c>
      <c r="C196" s="105"/>
      <c r="D196" s="104" t="str">
        <f ca="1">IFERROR(INDIRECT(CONCATENATE("Height!$d",C191+5)),"")</f>
        <v/>
      </c>
      <c r="E196" s="104" t="str">
        <f ca="1">IFERROR(INDIRECT(CONCATENATE("Height!$E",C191+5)),"")</f>
        <v/>
      </c>
      <c r="F196" s="286" t="str">
        <f ca="1">IFERROR(VLOOKUP($C189&amp;E196,downloads!$A$1:$E$1000,2,FALSE),"")</f>
        <v/>
      </c>
      <c r="G196" s="64" t="str">
        <f t="shared" ca="1" si="34"/>
        <v/>
      </c>
      <c r="H196" s="109">
        <f ca="1">IFERROR(INDIRECT(CONCATENATE("Height!$H",C191+5)),"")</f>
        <v>0</v>
      </c>
      <c r="I196" s="147" t="str">
        <f ca="1">IFERROR(IF(OR(H196="",H196=0,H196&lt;A190),"",VLOOKUP(H196,A190:B198,2,TRUE)),9)</f>
        <v/>
      </c>
      <c r="J196" s="67"/>
      <c r="K196" s="104" t="str">
        <f ca="1">IFERROR(INDIRECT(CONCATENATE("Height!$j",C191+5)),"")</f>
        <v/>
      </c>
      <c r="L196" s="104" t="str">
        <f ca="1">IFERROR(INDIRECT(CONCATENATE("Height!$L",C191+5)),"")</f>
        <v/>
      </c>
      <c r="M196" s="286" t="str">
        <f ca="1">IFERROR(VLOOKUP($C189&amp;L196,downloads!$A$1:$E$1000,2,FALSE),"")</f>
        <v/>
      </c>
      <c r="N196" s="64" t="str">
        <f t="shared" ca="1" si="35"/>
        <v/>
      </c>
      <c r="O196" s="109">
        <f ca="1">IFERROR(INDIRECT(CONCATENATE("Height!$Z",C191+5)),"")</f>
        <v>0</v>
      </c>
      <c r="P196" s="147" t="str">
        <f ca="1">IFERROR(IF(OR(O196="",O196=0,O196&lt;A190),"",VLOOKUP(O196,A190:B198,2,TRUE)),9)</f>
        <v/>
      </c>
      <c r="R196" s="66">
        <f ca="1">IFERROR(IF(OR(E196=0,E196="",H196=0,H196="",H196="X"),0,VLOOKUP(D196,INDIRECT(MatchDay!$W$2),2,FALSE)),"")</f>
        <v>0</v>
      </c>
      <c r="S196" s="66">
        <f ca="1">IFERROR(IF(OR(L196=0,L196="",O196=0,O196="",O196="X"),0,VLOOKUP(K196,INDIRECT(MatchDay!$W$2),3,FALSE)),"")</f>
        <v>0</v>
      </c>
      <c r="V196" s="64">
        <v>6</v>
      </c>
    </row>
    <row r="197" spans="1:24" x14ac:dyDescent="0.35">
      <c r="A197" s="105">
        <f>IFERROR(VLOOKUP(C189,standards,10,FALSE),"-")</f>
        <v>1.45</v>
      </c>
      <c r="B197" s="419">
        <v>8</v>
      </c>
      <c r="C197" s="103" t="s">
        <v>151</v>
      </c>
      <c r="D197" s="104" t="str">
        <f ca="1">IFERROR(INDIRECT(CONCATENATE("Height!$d",C191+6)),"")</f>
        <v/>
      </c>
      <c r="E197" s="104" t="str">
        <f ca="1">IFERROR(INDIRECT(CONCATENATE("Height!$E",C191+6)),"")</f>
        <v/>
      </c>
      <c r="F197" s="286" t="str">
        <f ca="1">IFERROR(VLOOKUP($C189&amp;E197,downloads!$A$1:$E$1000,2,FALSE),"")</f>
        <v/>
      </c>
      <c r="G197" s="64" t="str">
        <f t="shared" ca="1" si="34"/>
        <v/>
      </c>
      <c r="H197" s="109">
        <f ca="1">IFERROR(INDIRECT(CONCATENATE("Height!$H",C191+6)),"")</f>
        <v>0</v>
      </c>
      <c r="I197" s="147" t="str">
        <f ca="1">IFERROR(IF(OR(H197="",H197=0,H197&lt;A190),"",VLOOKUP(H197,A190:B198,2,TRUE)),9)</f>
        <v/>
      </c>
      <c r="J197" s="67"/>
      <c r="K197" s="104" t="str">
        <f ca="1">IFERROR(INDIRECT(CONCATENATE("Height!$j",C191+6)),"")</f>
        <v/>
      </c>
      <c r="L197" s="104" t="str">
        <f ca="1">IFERROR(INDIRECT(CONCATENATE("Height!$L",C191+6)),"")</f>
        <v/>
      </c>
      <c r="M197" s="286" t="str">
        <f ca="1">IFERROR(VLOOKUP($C189&amp;L197,downloads!$A$1:$E$1000,2,FALSE),"")</f>
        <v/>
      </c>
      <c r="N197" s="64" t="str">
        <f t="shared" ca="1" si="35"/>
        <v/>
      </c>
      <c r="O197" s="109">
        <f ca="1">IFERROR(INDIRECT(CONCATENATE("Height!$Z",C191+6)),"")</f>
        <v>0</v>
      </c>
      <c r="P197" s="147" t="str">
        <f ca="1">IFERROR(IF(OR(O197="",O197=0,O197&lt;A190),"",VLOOKUP(O197,A190:B198,2,TRUE)),9)</f>
        <v/>
      </c>
      <c r="R197" s="66">
        <f ca="1">IFERROR(IF(OR(E197=0,E197="",H197=0,H197="",H197="X"),0,VLOOKUP(D197,INDIRECT(MatchDay!$W$2),2,FALSE)),"")</f>
        <v>0</v>
      </c>
      <c r="S197" s="66">
        <f ca="1">IFERROR(IF(OR(L197=0,L197="",O197=0,O197="",O197="X"),0,VLOOKUP(K197,INDIRECT(MatchDay!$W$2),3,FALSE)),"")</f>
        <v>0</v>
      </c>
    </row>
    <row r="198" spans="1:24" x14ac:dyDescent="0.35">
      <c r="A198" s="105">
        <f>IFERROR(VLOOKUP(C189,standards,11,FALSE),"-")</f>
        <v>1.5</v>
      </c>
      <c r="B198" s="419">
        <v>9</v>
      </c>
      <c r="C198" s="103">
        <f>IFERROR(VLOOKUP(C189,records,5,FALSE),"")</f>
        <v>1.64</v>
      </c>
      <c r="D198" s="104" t="str">
        <f ca="1">IFERROR(INDIRECT(CONCATENATE("Height!$d",C191+7)),"")</f>
        <v/>
      </c>
      <c r="E198" s="104" t="str">
        <f ca="1">IFERROR(INDIRECT(CONCATENATE("Height!$E",C191+7)),"")</f>
        <v/>
      </c>
      <c r="F198" s="286" t="str">
        <f ca="1">IFERROR(VLOOKUP($C189&amp;E198,downloads!$A$1:$E$1000,2,FALSE),"")</f>
        <v/>
      </c>
      <c r="G198" s="64" t="str">
        <f t="shared" ca="1" si="34"/>
        <v/>
      </c>
      <c r="H198" s="109">
        <f ca="1">IFERROR(INDIRECT(CONCATENATE("Height!$H",C191+7)),"")</f>
        <v>0</v>
      </c>
      <c r="I198" s="147" t="str">
        <f ca="1">IFERROR(IF(OR(H198="",H198=0,H198&lt;A190),"",VLOOKUP(H198,A190:B198,2,TRUE)),9)</f>
        <v/>
      </c>
      <c r="J198" s="67"/>
      <c r="K198" s="104" t="str">
        <f ca="1">IFERROR(INDIRECT(CONCATENATE("Height!$j",C191+7)),"")</f>
        <v/>
      </c>
      <c r="L198" s="104" t="str">
        <f ca="1">IFERROR(INDIRECT(CONCATENATE("Height!$L",C191+7)),"")</f>
        <v/>
      </c>
      <c r="M198" s="286" t="str">
        <f ca="1">IFERROR(VLOOKUP($C189&amp;L198,downloads!$A$1:$E$1000,2,FALSE),"")</f>
        <v/>
      </c>
      <c r="N198" s="64" t="str">
        <f t="shared" ca="1" si="35"/>
        <v/>
      </c>
      <c r="O198" s="109">
        <f ca="1">IFERROR(INDIRECT(CONCATENATE("Height!$Z",C191+7)),"")</f>
        <v>0</v>
      </c>
      <c r="P198" s="147" t="str">
        <f ca="1">IFERROR(IF(OR(O198="",O198=0,O198&lt;A190),"",VLOOKUP(O198,A190:B198,2,TRUE)),9)</f>
        <v/>
      </c>
      <c r="R198" s="66">
        <f ca="1">IFERROR(IF(OR(E198=0,E198="",H198=0,H198="",H198="X"),0,VLOOKUP(D198,INDIRECT(MatchDay!$W$2),2,FALSE)),"")</f>
        <v>0</v>
      </c>
      <c r="S198" s="66">
        <f ca="1">IFERROR(IF(OR(L198=0,L198="",O198=0,O198="",O198="X"),0,VLOOKUP(K198,INDIRECT(MatchDay!$W$2),3,FALSE)),"")</f>
        <v>0</v>
      </c>
    </row>
    <row r="200" spans="1:24" x14ac:dyDescent="0.35">
      <c r="C200" s="98" t="s">
        <v>185</v>
      </c>
      <c r="D200" s="99" t="str">
        <f>IFERROR(VLOOKUP(C200,timetables,2,FALSE)&amp;" "&amp;VLOOKUP(C200,timetables,3,FALSE)&amp;" A","")</f>
        <v>High Jump U13 Girls A</v>
      </c>
      <c r="E200" s="99"/>
      <c r="H200" s="108" t="str">
        <f ca="1">IFERROR(IF(OR(H202=0,H202="",H202="X"),"",IF(H202&gt;C209,"REC",IF(H202=C209,"=Rec",""))),"")</f>
        <v/>
      </c>
      <c r="I200" s="147" t="str">
        <f ca="1">IFERROR(IF(OR(H202=0,H202="",H202="X"),"",IF(H202&gt;C209,"REC",IF(H202=C209,"=Rec",""))),"")</f>
        <v/>
      </c>
      <c r="K200" s="101" t="str">
        <f>IFERROR(VLOOKUP(C200,timetables,2,FALSE)&amp;" "&amp;VLOOKUP(C200,timetables,3,FALSE)&amp;" B","")</f>
        <v>High Jump U13 Girls B</v>
      </c>
      <c r="L200" s="102"/>
      <c r="R200" s="66" t="s">
        <v>53</v>
      </c>
      <c r="S200" s="66" t="s">
        <v>54</v>
      </c>
    </row>
    <row r="201" spans="1:24" x14ac:dyDescent="0.35">
      <c r="A201" s="105">
        <f>IFERROR(VLOOKUP(C200,standards,3,FALSE),"-")</f>
        <v>1</v>
      </c>
      <c r="B201" s="419">
        <v>1</v>
      </c>
      <c r="C201" s="79"/>
      <c r="D201" s="45" t="s">
        <v>177</v>
      </c>
      <c r="E201" s="45" t="s">
        <v>118</v>
      </c>
      <c r="F201" s="47" t="s">
        <v>174</v>
      </c>
      <c r="G201" s="47" t="s">
        <v>175</v>
      </c>
      <c r="H201" s="45" t="s">
        <v>176</v>
      </c>
      <c r="I201" s="148" t="s">
        <v>1003</v>
      </c>
      <c r="J201" s="47"/>
      <c r="K201" s="45" t="s">
        <v>177</v>
      </c>
      <c r="L201" s="45" t="s">
        <v>118</v>
      </c>
      <c r="M201" s="47" t="s">
        <v>174</v>
      </c>
      <c r="N201" s="47" t="s">
        <v>175</v>
      </c>
      <c r="O201" s="45" t="s">
        <v>176</v>
      </c>
      <c r="P201" s="148" t="s">
        <v>1003</v>
      </c>
    </row>
    <row r="202" spans="1:24" x14ac:dyDescent="0.35">
      <c r="A202" s="105">
        <f>IFERROR(VLOOKUP(C200,standards,4,FALSE),"-")</f>
        <v>1.05</v>
      </c>
      <c r="B202" s="419">
        <v>2</v>
      </c>
      <c r="C202" s="66">
        <f>IFERROR(VLOOKUP(C200,Height!A:B,2,FALSE),"")</f>
        <v>91</v>
      </c>
      <c r="D202" s="104">
        <f ca="1">IFERROR(INDIRECT(CONCATENATE("Height!$d",C202)),"")</f>
        <v>1</v>
      </c>
      <c r="E202" s="104">
        <f ca="1">IFERROR(INDIRECT(CONCATENATE("Height!$E",C202)),"")</f>
        <v>11</v>
      </c>
      <c r="F202" s="286" t="str">
        <f ca="1">IFERROR(VLOOKUP($C200&amp;E202,downloads!$A$1:$E$1000,2,FALSE),"")</f>
        <v>Ruby WILKINS</v>
      </c>
      <c r="G202" s="64" t="str">
        <f t="shared" ref="G202:G209" ca="1" si="36">IFERROR(VLOOKUP(E202,teamlookup,5,FALSE),"")</f>
        <v>C&amp;N</v>
      </c>
      <c r="H202" s="109">
        <f ca="1">IFERROR(INDIRECT(CONCATENATE("Height!$H",C202)),"")</f>
        <v>1.2</v>
      </c>
      <c r="I202" s="147">
        <f ca="1">IFERROR(IF(OR(H202="",H202=0,H202&lt;A201),"",VLOOKUP(H202,A201:B209,2,TRUE)),9)</f>
        <v>5</v>
      </c>
      <c r="J202" s="67"/>
      <c r="K202" s="104">
        <f ca="1">IFERROR(INDIRECT(CONCATENATE("Height!$j",C202)),"")</f>
        <v>1</v>
      </c>
      <c r="L202" s="104">
        <f ca="1">IFERROR(INDIRECT(CONCATENATE("Height!$L",C202)),"")</f>
        <v>77</v>
      </c>
      <c r="M202" s="286" t="str">
        <f ca="1">IFERROR(VLOOKUP($C200&amp;L202,downloads!$A$1:$E$1000,2,FALSE),"")</f>
        <v>Mia LACEY</v>
      </c>
      <c r="N202" s="64" t="str">
        <f t="shared" ref="N202:N209" ca="1" si="37">IFERROR(VLOOKUP(L202,teamlookup,5,FALSE),"")</f>
        <v>Wigan</v>
      </c>
      <c r="O202" s="109">
        <f ca="1">IFERROR(INDIRECT(CONCATENATE("Height!$Z",C202)),"")</f>
        <v>1.1499999999999999</v>
      </c>
      <c r="P202" s="147">
        <f ca="1">IFERROR(IF(OR(O202="",O202=0,O202&lt;A201),"",VLOOKUP(O202,A201:B209,2,TRUE)),9)</f>
        <v>4</v>
      </c>
      <c r="R202" s="66">
        <f ca="1">IFERROR(IF(OR(E202=0,E202="",H202=0,H202="",H202="X"),0,VLOOKUP(D202,INDIRECT(MatchDay!$W$2),2,FALSE)),"")</f>
        <v>10</v>
      </c>
      <c r="S202" s="66">
        <f ca="1">IFERROR(IF(OR(L202=0,L202="",O202=0,O202="",O202="X"),0,VLOOKUP(K202,INDIRECT(MatchDay!$W$2),3,FALSE)),"")</f>
        <v>8</v>
      </c>
      <c r="T202" s="168">
        <f ca="1">COUNTIF(E202,"&gt;0")</f>
        <v>1</v>
      </c>
      <c r="U202" s="66">
        <f ca="1">IFERROR(IF(E202&gt;88,1,0),0)</f>
        <v>0</v>
      </c>
    </row>
    <row r="203" spans="1:24" x14ac:dyDescent="0.35">
      <c r="A203" s="105">
        <f>IFERROR(VLOOKUP(C200,standards,5,FALSE),"-")</f>
        <v>1.1000000000000001</v>
      </c>
      <c r="B203" s="419">
        <v>3</v>
      </c>
      <c r="C203" s="103"/>
      <c r="D203" s="104">
        <f ca="1">IFERROR(INDIRECT(CONCATENATE("Height!$d",C202+1)),"")</f>
        <v>2</v>
      </c>
      <c r="E203" s="104">
        <f ca="1">IFERROR(INDIRECT(CONCATENATE("Height!$E",C202+1)),"")</f>
        <v>22</v>
      </c>
      <c r="F203" s="286" t="str">
        <f ca="1">IFERROR(VLOOKUP($C200&amp;E203,downloads!$A$1:$E$1000,2,FALSE),"")</f>
        <v>Scarlett LYNE</v>
      </c>
      <c r="G203" s="64" t="str">
        <f t="shared" ca="1" si="36"/>
        <v>ECHT</v>
      </c>
      <c r="H203" s="109">
        <f ca="1">IFERROR(INDIRECT(CONCATENATE("Height!$H",C202+1)),"")</f>
        <v>1.2</v>
      </c>
      <c r="I203" s="147">
        <f ca="1">IFERROR(IF(OR(H203="",H203=0,H203&lt;A201),"",VLOOKUP(H203,A201:B209,2,TRUE)),9)</f>
        <v>5</v>
      </c>
      <c r="J203" s="67"/>
      <c r="K203" s="104" t="str">
        <f ca="1">IFERROR(INDIRECT(CONCATENATE("Height!$j",C202+1)),"")</f>
        <v>2=</v>
      </c>
      <c r="L203" s="104">
        <f ca="1">IFERROR(INDIRECT(CONCATENATE("Height!$L",C202+1)),"")</f>
        <v>2</v>
      </c>
      <c r="M203" s="286" t="str">
        <f ca="1">IFERROR(VLOOKUP($C200&amp;L203,downloads!$A$1:$E$1000,2,FALSE),"")</f>
        <v>Imogen MCBURNIE</v>
      </c>
      <c r="N203" s="64" t="str">
        <f t="shared" ca="1" si="37"/>
        <v>ECHT</v>
      </c>
      <c r="O203" s="109">
        <f ca="1">IFERROR(INDIRECT(CONCATENATE("Height!$Z",C202+1)),"")</f>
        <v>1.1000000000000001</v>
      </c>
      <c r="P203" s="147">
        <f ca="1">IFERROR(IF(OR(O203="",O203=0,O203&lt;A201),"",VLOOKUP(O203,A201:B209,2,TRUE)),9)</f>
        <v>3</v>
      </c>
      <c r="R203" s="66">
        <f ca="1">IFERROR(IF(OR(E203=0,E203="",H203=0,H203="",H203="X"),0,VLOOKUP(D203,INDIRECT(MatchDay!$W$2),2,FALSE)),"")</f>
        <v>8</v>
      </c>
      <c r="S203" s="66">
        <f ca="1">IFERROR(IF(OR(L203=0,L203="",O203=0,O203="",O203="X"),0,VLOOKUP(K203,INDIRECT(MatchDay!$W$2),3,FALSE)),"")</f>
        <v>5.5</v>
      </c>
      <c r="X203" s="132"/>
    </row>
    <row r="204" spans="1:24" x14ac:dyDescent="0.35">
      <c r="A204" s="105">
        <f>IFERROR(VLOOKUP(C200,standards,6,FALSE),"-")</f>
        <v>1.1499999999999999</v>
      </c>
      <c r="B204" s="419">
        <v>4</v>
      </c>
      <c r="C204" s="105"/>
      <c r="D204" s="104">
        <f ca="1">IFERROR(INDIRECT(CONCATENATE("Height!$d",C202+2)),"")</f>
        <v>3</v>
      </c>
      <c r="E204" s="104">
        <f ca="1">IFERROR(INDIRECT(CONCATENATE("Height!$E",C202+2)),"")</f>
        <v>7</v>
      </c>
      <c r="F204" s="286" t="str">
        <f ca="1">IFERROR(VLOOKUP($C200&amp;E204,downloads!$A$1:$E$1000,2,FALSE),"")</f>
        <v>Layla HALL</v>
      </c>
      <c r="G204" s="64" t="str">
        <f t="shared" ca="1" si="36"/>
        <v>Wigan</v>
      </c>
      <c r="H204" s="109">
        <f ca="1">IFERROR(INDIRECT(CONCATENATE("Height!$H",C202+2)),"")</f>
        <v>1.1499999999999999</v>
      </c>
      <c r="I204" s="147">
        <f ca="1">IFERROR(IF(OR(H204="",H204=0,H204&lt;A201),"",VLOOKUP(H204,A201:B209,2,TRUE)),9)</f>
        <v>4</v>
      </c>
      <c r="J204" s="67"/>
      <c r="K204" s="104" t="str">
        <f ca="1">IFERROR(INDIRECT(CONCATENATE("Height!$j",C202+2)),"")</f>
        <v>2=</v>
      </c>
      <c r="L204" s="104">
        <f ca="1">IFERROR(INDIRECT(CONCATENATE("Height!$L",C202+2)),"")</f>
        <v>33</v>
      </c>
      <c r="M204" s="286" t="str">
        <f ca="1">IFERROR(VLOOKUP($C200&amp;L204,downloads!$A$1:$E$1000,2,FALSE),"")</f>
        <v>Maddison PENDLEBURY</v>
      </c>
      <c r="N204" s="64" t="str">
        <f t="shared" ca="1" si="37"/>
        <v>Leigh</v>
      </c>
      <c r="O204" s="109">
        <f ca="1">IFERROR(INDIRECT(CONCATENATE("Height!$Z",C202+2)),"")</f>
        <v>1.1000000000000001</v>
      </c>
      <c r="P204" s="147">
        <f ca="1">IFERROR(IF(OR(O204="",O204=0,O204&lt;A201),"",VLOOKUP(O204,A201:B209,2,TRUE)),9)</f>
        <v>3</v>
      </c>
      <c r="R204" s="66">
        <f ca="1">IFERROR(IF(OR(E204=0,E204="",H204=0,H204="",H204="X"),0,VLOOKUP(D204,INDIRECT(MatchDay!$W$2),2,FALSE)),"")</f>
        <v>7</v>
      </c>
      <c r="S204" s="66">
        <f ca="1">IFERROR(IF(OR(L204=0,L204="",O204=0,O204="",O204="X"),0,VLOOKUP(K204,INDIRECT(MatchDay!$W$2),3,FALSE)),"")</f>
        <v>5.5</v>
      </c>
      <c r="V204" s="64">
        <v>3</v>
      </c>
    </row>
    <row r="205" spans="1:24" x14ac:dyDescent="0.35">
      <c r="A205" s="105">
        <f>IFERROR(VLOOKUP(C200,standards,7,FALSE),"-")</f>
        <v>1.2</v>
      </c>
      <c r="B205" s="419">
        <v>5</v>
      </c>
      <c r="C205" s="105"/>
      <c r="D205" s="104" t="str">
        <f ca="1">IFERROR(INDIRECT(CONCATENATE("Height!$d",C202+3)),"")</f>
        <v>4=</v>
      </c>
      <c r="E205" s="104">
        <f ca="1">IFERROR(INDIRECT(CONCATENATE("Height!$E",C202+3)),"")</f>
        <v>3</v>
      </c>
      <c r="F205" s="286" t="str">
        <f ca="1">IFERROR(VLOOKUP($C200&amp;E205,downloads!$A$1:$E$1000,2,FALSE),"")</f>
        <v>Lois MELLING</v>
      </c>
      <c r="G205" s="64" t="str">
        <f t="shared" ca="1" si="36"/>
        <v>Leigh</v>
      </c>
      <c r="H205" s="109">
        <f ca="1">IFERROR(INDIRECT(CONCATENATE("Height!$H",C202+3)),"")</f>
        <v>1.1000000000000001</v>
      </c>
      <c r="I205" s="147">
        <f ca="1">IFERROR(IF(OR(H205="",H205=0,H205&lt;A201),"",VLOOKUP(H205,A201:B209,2,TRUE)),9)</f>
        <v>3</v>
      </c>
      <c r="J205" s="67"/>
      <c r="K205" s="104">
        <f ca="1">IFERROR(INDIRECT(CONCATENATE("Height!$j",C202+3)),"")</f>
        <v>4</v>
      </c>
      <c r="L205" s="104">
        <f ca="1">IFERROR(INDIRECT(CONCATENATE("Height!$L",C202+3)),"")</f>
        <v>1</v>
      </c>
      <c r="M205" s="286" t="str">
        <f ca="1">IFERROR(VLOOKUP($C200&amp;L205,downloads!$A$1:$E$1000,2,FALSE),"")</f>
        <v>Jasmine COOPER</v>
      </c>
      <c r="N205" s="64" t="str">
        <f t="shared" ca="1" si="37"/>
        <v>C&amp;N</v>
      </c>
      <c r="O205" s="109">
        <f ca="1">IFERROR(INDIRECT(CONCATENATE("Height!$Z",C202+3)),"")</f>
        <v>1.1000000000000001</v>
      </c>
      <c r="P205" s="147">
        <f ca="1">IFERROR(IF(OR(O205="",O205=0,O205&lt;A201),"",VLOOKUP(O205,A201:B209,2,TRUE)),9)</f>
        <v>3</v>
      </c>
      <c r="R205" s="66">
        <f ca="1">IFERROR(IF(OR(E205=0,E205="",H205=0,H205="",H205="X"),0,VLOOKUP(D205,INDIRECT(MatchDay!$W$2),2,FALSE)),"")</f>
        <v>5.5</v>
      </c>
      <c r="S205" s="66">
        <f ca="1">IFERROR(IF(OR(L205=0,L205="",O205=0,O205="",O205="X"),0,VLOOKUP(K205,INDIRECT(MatchDay!$W$2),3,FALSE)),"")</f>
        <v>4</v>
      </c>
      <c r="V205" s="64">
        <v>4</v>
      </c>
    </row>
    <row r="206" spans="1:24" x14ac:dyDescent="0.35">
      <c r="A206" s="105">
        <f>IFERROR(VLOOKUP(C200,standards,8,FALSE),"-")</f>
        <v>1.25</v>
      </c>
      <c r="B206" s="419">
        <v>6</v>
      </c>
      <c r="C206" s="105"/>
      <c r="D206" s="104" t="str">
        <f ca="1">IFERROR(INDIRECT(CONCATENATE("Height!$d",C202+4)),"")</f>
        <v>4=</v>
      </c>
      <c r="E206" s="104">
        <f ca="1">IFERROR(INDIRECT(CONCATENATE("Height!$E",C202+4)),"")</f>
        <v>5</v>
      </c>
      <c r="F206" s="286" t="str">
        <f ca="1">IFERROR(VLOOKUP($C200&amp;E206,downloads!$A$1:$E$1000,2,FALSE),"")</f>
        <v>Tamsin SEGUIN</v>
      </c>
      <c r="G206" s="64" t="str">
        <f t="shared" ca="1" si="36"/>
        <v>Menai</v>
      </c>
      <c r="H206" s="109">
        <f ca="1">IFERROR(INDIRECT(CONCATENATE("Height!$H",C202+4)),"")</f>
        <v>1.1000000000000001</v>
      </c>
      <c r="I206" s="147">
        <f ca="1">IFERROR(IF(OR(H206="",H206=0,H206&lt;A201),"",VLOOKUP(H206,A201:B209,2,TRUE)),9)</f>
        <v>3</v>
      </c>
      <c r="J206" s="67"/>
      <c r="K206" s="104">
        <f ca="1">IFERROR(INDIRECT(CONCATENATE("Height!$j",C202+4)),"")</f>
        <v>5</v>
      </c>
      <c r="L206" s="104">
        <f ca="1">IFERROR(INDIRECT(CONCATENATE("Height!$L",C202+4)),"")</f>
        <v>44</v>
      </c>
      <c r="M206" s="286" t="str">
        <f ca="1">IFERROR(VLOOKUP($C200&amp;L206,downloads!$A$1:$E$1000,2,FALSE),"")</f>
        <v>Lauren HARPER</v>
      </c>
      <c r="N206" s="64" t="str">
        <f t="shared" ca="1" si="37"/>
        <v>Macc</v>
      </c>
      <c r="O206" s="109" t="str">
        <f ca="1">IFERROR(INDIRECT(CONCATENATE("Height!$Z",C202+4)),"")</f>
        <v>x</v>
      </c>
      <c r="P206" s="147">
        <f ca="1">IFERROR(IF(OR(O206="",O206=0,O206&lt;A201),"",VLOOKUP(O206,A201:B209,2,TRUE)),9)</f>
        <v>9</v>
      </c>
      <c r="R206" s="66">
        <f ca="1">IFERROR(IF(OR(E206=0,E206="",H206=0,H206="",H206="X"),0,VLOOKUP(D206,INDIRECT(MatchDay!$W$2),2,FALSE)),"")</f>
        <v>5.5</v>
      </c>
      <c r="S206" s="66">
        <f ca="1">IFERROR(IF(OR(L206=0,L206="",O206=0,O206="",O206="X"),0,VLOOKUP(K206,INDIRECT(MatchDay!$W$2),3,FALSE)),"")</f>
        <v>0</v>
      </c>
      <c r="V206" s="64">
        <v>5</v>
      </c>
    </row>
    <row r="207" spans="1:24" x14ac:dyDescent="0.35">
      <c r="A207" s="105">
        <f>IFERROR(VLOOKUP(C200,standards,9,FALSE),"-")</f>
        <v>1.3</v>
      </c>
      <c r="B207" s="419">
        <v>7</v>
      </c>
      <c r="C207" s="105"/>
      <c r="D207" s="104">
        <f ca="1">IFERROR(INDIRECT(CONCATENATE("Height!$d",C202+5)),"")</f>
        <v>6</v>
      </c>
      <c r="E207" s="104">
        <f ca="1">IFERROR(INDIRECT(CONCATENATE("Height!$E",C202+5)),"")</f>
        <v>4</v>
      </c>
      <c r="F207" s="286" t="str">
        <f ca="1">IFERROR(VLOOKUP($C200&amp;E207,downloads!$A$1:$E$1000,2,FALSE),"")</f>
        <v>Eve O'DONNELL</v>
      </c>
      <c r="G207" s="64" t="str">
        <f t="shared" ca="1" si="36"/>
        <v>Macc</v>
      </c>
      <c r="H207" s="109">
        <f ca="1">IFERROR(INDIRECT(CONCATENATE("Height!$H",C202+5)),"")</f>
        <v>1.1000000000000001</v>
      </c>
      <c r="I207" s="147">
        <f ca="1">IFERROR(IF(OR(H207="",H207=0,H207&lt;A201),"",VLOOKUP(H207,A201:B209,2,TRUE)),9)</f>
        <v>3</v>
      </c>
      <c r="J207" s="67"/>
      <c r="K207" s="104" t="str">
        <f ca="1">IFERROR(INDIRECT(CONCATENATE("Height!$j",C202+5)),"")</f>
        <v/>
      </c>
      <c r="L207" s="104" t="str">
        <f ca="1">IFERROR(INDIRECT(CONCATENATE("Height!$L",C202+5)),"")</f>
        <v/>
      </c>
      <c r="M207" s="286" t="str">
        <f ca="1">IFERROR(VLOOKUP($C200&amp;L207,downloads!$A$1:$E$1000,2,FALSE),"")</f>
        <v/>
      </c>
      <c r="N207" s="64" t="str">
        <f t="shared" ca="1" si="37"/>
        <v/>
      </c>
      <c r="O207" s="109">
        <f ca="1">IFERROR(INDIRECT(CONCATENATE("Height!$Z",C202+5)),"")</f>
        <v>0</v>
      </c>
      <c r="P207" s="147" t="str">
        <f ca="1">IFERROR(IF(OR(O207="",O207=0,O207&lt;A201),"",VLOOKUP(O207,A201:B209,2,TRUE)),9)</f>
        <v/>
      </c>
      <c r="R207" s="66">
        <f ca="1">IFERROR(IF(OR(E207=0,E207="",H207=0,H207="",H207="X"),0,VLOOKUP(D207,INDIRECT(MatchDay!$W$2),2,FALSE)),"")</f>
        <v>4</v>
      </c>
      <c r="S207" s="66">
        <f ca="1">IFERROR(IF(OR(L207=0,L207="",O207=0,O207="",O207="X"),0,VLOOKUP(K207,INDIRECT(MatchDay!$W$2),3,FALSE)),"")</f>
        <v>0</v>
      </c>
      <c r="V207" s="64">
        <v>6</v>
      </c>
    </row>
    <row r="208" spans="1:24" x14ac:dyDescent="0.35">
      <c r="A208" s="105">
        <f>IFERROR(VLOOKUP(C200,standards,10,FALSE),"-")</f>
        <v>1.35</v>
      </c>
      <c r="B208" s="419">
        <v>8</v>
      </c>
      <c r="C208" s="103" t="s">
        <v>151</v>
      </c>
      <c r="D208" s="104" t="str">
        <f ca="1">IFERROR(INDIRECT(CONCATENATE("Height!$d",C202+6)),"")</f>
        <v/>
      </c>
      <c r="E208" s="104" t="str">
        <f ca="1">IFERROR(INDIRECT(CONCATENATE("Height!$E",C202+6)),"")</f>
        <v/>
      </c>
      <c r="F208" s="286" t="str">
        <f ca="1">IFERROR(VLOOKUP($C200&amp;E208,downloads!$A$1:$E$1000,2,FALSE),"")</f>
        <v/>
      </c>
      <c r="G208" s="64" t="str">
        <f t="shared" ca="1" si="36"/>
        <v/>
      </c>
      <c r="H208" s="109">
        <f ca="1">IFERROR(INDIRECT(CONCATENATE("Height!$H",C202+6)),"")</f>
        <v>0</v>
      </c>
      <c r="I208" s="147" t="str">
        <f ca="1">IFERROR(IF(OR(H208="",H208=0,H208&lt;A201),"",VLOOKUP(H208,A201:B209,2,TRUE)),9)</f>
        <v/>
      </c>
      <c r="J208" s="67"/>
      <c r="K208" s="104" t="str">
        <f ca="1">IFERROR(INDIRECT(CONCATENATE("Height!$j",C202+6)),"")</f>
        <v/>
      </c>
      <c r="L208" s="104" t="str">
        <f ca="1">IFERROR(INDIRECT(CONCATENATE("Height!$L",C202+6)),"")</f>
        <v/>
      </c>
      <c r="M208" s="286" t="str">
        <f ca="1">IFERROR(VLOOKUP($C200&amp;L208,downloads!$A$1:$E$1000,2,FALSE),"")</f>
        <v/>
      </c>
      <c r="N208" s="64" t="str">
        <f t="shared" ca="1" si="37"/>
        <v/>
      </c>
      <c r="O208" s="109">
        <f ca="1">IFERROR(INDIRECT(CONCATENATE("Height!$Z",C202+6)),"")</f>
        <v>0</v>
      </c>
      <c r="P208" s="147" t="str">
        <f ca="1">IFERROR(IF(OR(O208="",O208=0,O208&lt;A201),"",VLOOKUP(O208,A201:B209,2,TRUE)),9)</f>
        <v/>
      </c>
      <c r="R208" s="66">
        <f ca="1">IFERROR(IF(OR(E208=0,E208="",H208=0,H208="",H208="X"),0,VLOOKUP(D208,INDIRECT(MatchDay!$W$2),2,FALSE)),"")</f>
        <v>0</v>
      </c>
      <c r="S208" s="66">
        <f ca="1">IFERROR(IF(OR(L208=0,L208="",O208=0,O208="",O208="X"),0,VLOOKUP(K208,INDIRECT(MatchDay!$W$2),3,FALSE)),"")</f>
        <v>0</v>
      </c>
    </row>
    <row r="209" spans="1:22" x14ac:dyDescent="0.35">
      <c r="A209" s="105">
        <f>IFERROR(VLOOKUP(C200,standards,11,FALSE),"-")</f>
        <v>1.4</v>
      </c>
      <c r="B209" s="419">
        <v>9</v>
      </c>
      <c r="C209" s="103">
        <f>IFERROR(VLOOKUP(C200,records,5,FALSE),"")</f>
        <v>1.61</v>
      </c>
      <c r="D209" s="104" t="str">
        <f ca="1">IFERROR(INDIRECT(CONCATENATE("Height!$d",C202+7)),"")</f>
        <v/>
      </c>
      <c r="E209" s="104" t="str">
        <f ca="1">IFERROR(INDIRECT(CONCATENATE("Height!$E",C202+7)),"")</f>
        <v/>
      </c>
      <c r="F209" s="286" t="str">
        <f ca="1">IFERROR(VLOOKUP($C200&amp;E209,downloads!$A$1:$E$1000,2,FALSE),"")</f>
        <v/>
      </c>
      <c r="G209" s="64" t="str">
        <f t="shared" ca="1" si="36"/>
        <v/>
      </c>
      <c r="H209" s="109">
        <f ca="1">IFERROR(INDIRECT(CONCATENATE("Height!$H",C202+7)),"")</f>
        <v>0</v>
      </c>
      <c r="I209" s="147" t="str">
        <f ca="1">IFERROR(IF(OR(H209="",H209=0,H209&lt;A201),"",VLOOKUP(H209,A201:B209,2,TRUE)),9)</f>
        <v/>
      </c>
      <c r="J209" s="67"/>
      <c r="K209" s="104" t="str">
        <f ca="1">IFERROR(INDIRECT(CONCATENATE("Height!$j",C202+7)),"")</f>
        <v/>
      </c>
      <c r="L209" s="104" t="str">
        <f ca="1">IFERROR(INDIRECT(CONCATENATE("Height!$L",C202+7)),"")</f>
        <v/>
      </c>
      <c r="M209" s="286" t="str">
        <f ca="1">IFERROR(VLOOKUP($C200&amp;L209,downloads!$A$1:$E$1000,2,FALSE),"")</f>
        <v/>
      </c>
      <c r="N209" s="64" t="str">
        <f t="shared" ca="1" si="37"/>
        <v/>
      </c>
      <c r="O209" s="109">
        <f ca="1">IFERROR(INDIRECT(CONCATENATE("Height!$Z",C202+7)),"")</f>
        <v>0</v>
      </c>
      <c r="P209" s="147" t="str">
        <f ca="1">IFERROR(IF(OR(O209="",O209=0,O209&lt;A201),"",VLOOKUP(O209,A201:B209,2,TRUE)),9)</f>
        <v/>
      </c>
      <c r="R209" s="66">
        <f ca="1">IFERROR(IF(OR(E209=0,E209="",H209=0,H209="",H209="X"),0,VLOOKUP(D209,INDIRECT(MatchDay!$W$2),2,FALSE)),"")</f>
        <v>0</v>
      </c>
      <c r="S209" s="66">
        <f ca="1">IFERROR(IF(OR(L209=0,L209="",O209=0,O209="",O209="X"),0,VLOOKUP(K209,INDIRECT(MatchDay!$W$2),3,FALSE)),"")</f>
        <v>0</v>
      </c>
    </row>
    <row r="211" spans="1:22" x14ac:dyDescent="0.35">
      <c r="C211" s="98" t="s">
        <v>186</v>
      </c>
      <c r="D211" s="99" t="str">
        <f>IFERROR(VLOOKUP(C211,timetables,2,FALSE)&amp;" "&amp;VLOOKUP(C211,timetables,3,FALSE)&amp;" A","")</f>
        <v>Pole Vault U15 Boys A</v>
      </c>
      <c r="E211" s="99"/>
      <c r="H211" s="108" t="str">
        <f ca="1">IFERROR(IF(OR(H213=0,H213="",H213="X"),"",IF(H213&gt;C220,"REC",IF(H213=C220,"=Rec",""))),"")</f>
        <v/>
      </c>
      <c r="I211" s="147" t="str">
        <f ca="1">IFERROR(IF(OR(H213=0,H213="",H213="X"),"",IF(H213&gt;C220,"REC",IF(H213=C220,"=Rec",""))),"")</f>
        <v/>
      </c>
      <c r="K211" s="101" t="str">
        <f>IFERROR(VLOOKUP(C211,timetables,2,FALSE)&amp;" "&amp;VLOOKUP(C211,timetables,3,FALSE)&amp;" B","")</f>
        <v>Pole Vault U15 Boys B</v>
      </c>
      <c r="L211" s="102"/>
      <c r="R211" s="66" t="s">
        <v>53</v>
      </c>
      <c r="S211" s="66" t="s">
        <v>54</v>
      </c>
    </row>
    <row r="212" spans="1:22" x14ac:dyDescent="0.35">
      <c r="A212" s="105">
        <f>IFERROR(VLOOKUP(C211,standards,3,FALSE),"-")</f>
        <v>2</v>
      </c>
      <c r="B212" s="419">
        <v>1</v>
      </c>
      <c r="C212" s="79"/>
      <c r="D212" s="45" t="s">
        <v>177</v>
      </c>
      <c r="E212" s="45" t="s">
        <v>118</v>
      </c>
      <c r="F212" s="47" t="s">
        <v>174</v>
      </c>
      <c r="G212" s="47" t="s">
        <v>175</v>
      </c>
      <c r="H212" s="45" t="s">
        <v>176</v>
      </c>
      <c r="I212" s="148" t="s">
        <v>1003</v>
      </c>
      <c r="J212" s="47"/>
      <c r="K212" s="45" t="s">
        <v>177</v>
      </c>
      <c r="L212" s="45" t="s">
        <v>118</v>
      </c>
      <c r="M212" s="47" t="s">
        <v>174</v>
      </c>
      <c r="N212" s="47" t="s">
        <v>175</v>
      </c>
      <c r="O212" s="45" t="s">
        <v>176</v>
      </c>
      <c r="P212" s="148" t="s">
        <v>1003</v>
      </c>
    </row>
    <row r="213" spans="1:22" x14ac:dyDescent="0.35">
      <c r="A213" s="105">
        <f>IFERROR(VLOOKUP(C211,standards,4,FALSE),"-")</f>
        <v>2.2000000000000002</v>
      </c>
      <c r="B213" s="419">
        <v>2</v>
      </c>
      <c r="C213" s="66">
        <f>IFERROR(VLOOKUP(C211,Height!A:B,2,FALSE),"")</f>
        <v>123</v>
      </c>
      <c r="D213" s="104">
        <f ca="1">IFERROR(INDIRECT(CONCATENATE("Height!$d",C213)),"")</f>
        <v>1</v>
      </c>
      <c r="E213" s="104">
        <f ca="1">IFERROR(INDIRECT(CONCATENATE("Height!$E",C213)),"")</f>
        <v>1</v>
      </c>
      <c r="F213" s="286" t="str">
        <f ca="1">IFERROR(VLOOKUP($C211&amp;E213,downloads!$A$1:$E$1000,2,FALSE),"")</f>
        <v>Isaac PICKERING</v>
      </c>
      <c r="G213" s="64" t="str">
        <f t="shared" ref="G213:G220" ca="1" si="38">IFERROR(VLOOKUP(E213,teamlookup,5,FALSE),"")</f>
        <v>C&amp;N</v>
      </c>
      <c r="H213" s="109">
        <f ca="1">IFERROR(INDIRECT(CONCATENATE("Height!$H",C213)),"")</f>
        <v>2.2999999999999998</v>
      </c>
      <c r="I213" s="147">
        <f ca="1">IFERROR(IF(OR(H213="",H213=0,H213&lt;A212),"",VLOOKUP(H213,A212:B220,2,TRUE)),9)</f>
        <v>2</v>
      </c>
      <c r="J213" s="67"/>
      <c r="K213" s="104" t="str">
        <f ca="1">IFERROR(INDIRECT(CONCATENATE("Height!$j",C213)),"")</f>
        <v/>
      </c>
      <c r="L213" s="104" t="str">
        <f ca="1">IFERROR(INDIRECT(CONCATENATE("Height!$L",C213)),"")</f>
        <v/>
      </c>
      <c r="M213" s="286" t="str">
        <f ca="1">IFERROR(VLOOKUP($C211&amp;L213,downloads!$A$1:$E$1000,2,FALSE),"")</f>
        <v/>
      </c>
      <c r="N213" s="64" t="str">
        <f t="shared" ref="N213:N220" ca="1" si="39">IFERROR(VLOOKUP(L213,teamlookup,5,FALSE),"")</f>
        <v/>
      </c>
      <c r="O213" s="109">
        <f ca="1">IFERROR(INDIRECT(CONCATENATE("Height!$Z",C213)),"")</f>
        <v>0</v>
      </c>
      <c r="P213" s="147" t="str">
        <f ca="1">IFERROR(IF(OR(O213="",O213=0,O213&lt;A212),"",VLOOKUP(O213,A212:B220,2,TRUE)),9)</f>
        <v/>
      </c>
      <c r="R213" s="66">
        <f ca="1">IFERROR(IF(OR(E213=0,E213="",H213=0,H213="",H213="X"),0,VLOOKUP(D213,INDIRECT(MatchDay!$W$2),2,FALSE)),"")</f>
        <v>10</v>
      </c>
      <c r="S213" s="66">
        <f ca="1">IFERROR(IF(OR(L213=0,L213="",O213=0,O213="",O213="X"),0,VLOOKUP(K213,INDIRECT(MatchDay!$W$2),3,FALSE)),"")</f>
        <v>0</v>
      </c>
      <c r="T213" s="168">
        <f ca="1">COUNTIF(E213,"&gt;0")</f>
        <v>1</v>
      </c>
      <c r="U213" s="66">
        <f ca="1">IFERROR(IF(E213&gt;88,1,0),0)</f>
        <v>0</v>
      </c>
    </row>
    <row r="214" spans="1:22" x14ac:dyDescent="0.35">
      <c r="A214" s="105">
        <f>IFERROR(VLOOKUP(C211,standards,5,FALSE),"-")</f>
        <v>2.4</v>
      </c>
      <c r="B214" s="419">
        <v>3</v>
      </c>
      <c r="C214" s="103"/>
      <c r="D214" s="104" t="str">
        <f ca="1">IFERROR(INDIRECT(CONCATENATE("Height!$d",C213+1)),"")</f>
        <v/>
      </c>
      <c r="E214" s="104" t="str">
        <f ca="1">IFERROR(INDIRECT(CONCATENATE("Height!$E",C213+1)),"")</f>
        <v/>
      </c>
      <c r="F214" s="286" t="str">
        <f ca="1">IFERROR(VLOOKUP($C211&amp;E214,downloads!$A$1:$E$1000,2,FALSE),"")</f>
        <v/>
      </c>
      <c r="G214" s="64" t="str">
        <f t="shared" ca="1" si="38"/>
        <v/>
      </c>
      <c r="H214" s="109">
        <f ca="1">IFERROR(INDIRECT(CONCATENATE("Height!$H",C213+1)),"")</f>
        <v>0</v>
      </c>
      <c r="I214" s="147" t="str">
        <f ca="1">IFERROR(IF(OR(H214="",H214=0,H214&lt;A212),"",VLOOKUP(H214,A212:B220,2,TRUE)),9)</f>
        <v/>
      </c>
      <c r="J214" s="67"/>
      <c r="K214" s="104" t="str">
        <f ca="1">IFERROR(INDIRECT(CONCATENATE("Height!$j",C213+1)),"")</f>
        <v/>
      </c>
      <c r="L214" s="104" t="str">
        <f ca="1">IFERROR(INDIRECT(CONCATENATE("Height!$L",C213+1)),"")</f>
        <v/>
      </c>
      <c r="M214" s="286" t="str">
        <f ca="1">IFERROR(VLOOKUP($C211&amp;L214,downloads!$A$1:$E$1000,2,FALSE),"")</f>
        <v/>
      </c>
      <c r="N214" s="64" t="str">
        <f t="shared" ca="1" si="39"/>
        <v/>
      </c>
      <c r="O214" s="109">
        <f ca="1">IFERROR(INDIRECT(CONCATENATE("Height!$Z",C213+1)),"")</f>
        <v>0</v>
      </c>
      <c r="P214" s="147" t="str">
        <f ca="1">IFERROR(IF(OR(O214="",O214=0,O214&lt;A212),"",VLOOKUP(O214,A212:B220,2,TRUE)),9)</f>
        <v/>
      </c>
      <c r="R214" s="66">
        <f ca="1">IFERROR(IF(OR(E214=0,E214="",H214=0,H214="",H214="X"),0,VLOOKUP(D214,INDIRECT(MatchDay!$W$2),2,FALSE)),"")</f>
        <v>0</v>
      </c>
      <c r="S214" s="66">
        <f ca="1">IFERROR(IF(OR(L214=0,L214="",O214=0,O214="",O214="X"),0,VLOOKUP(K214,INDIRECT(MatchDay!$W$2),3,FALSE)),"")</f>
        <v>0</v>
      </c>
    </row>
    <row r="215" spans="1:22" x14ac:dyDescent="0.35">
      <c r="A215" s="105">
        <f>IFERROR(VLOOKUP(C211,standards,6,FALSE),"-")</f>
        <v>2.6</v>
      </c>
      <c r="B215" s="419">
        <v>4</v>
      </c>
      <c r="C215" s="105"/>
      <c r="D215" s="104" t="str">
        <f ca="1">IFERROR(INDIRECT(CONCATENATE("Height!$d",C213+2)),"")</f>
        <v/>
      </c>
      <c r="E215" s="104" t="str">
        <f ca="1">IFERROR(INDIRECT(CONCATENATE("Height!$E",C213+2)),"")</f>
        <v/>
      </c>
      <c r="F215" s="286" t="str">
        <f ca="1">IFERROR(VLOOKUP($C211&amp;E215,downloads!$A$1:$E$1000,2,FALSE),"")</f>
        <v/>
      </c>
      <c r="G215" s="64" t="str">
        <f t="shared" ca="1" si="38"/>
        <v/>
      </c>
      <c r="H215" s="109">
        <f ca="1">IFERROR(INDIRECT(CONCATENATE("Height!$H",C213+2)),"")</f>
        <v>0</v>
      </c>
      <c r="I215" s="147" t="str">
        <f ca="1">IFERROR(IF(OR(H215="",H215=0,H215&lt;A212),"",VLOOKUP(H215,A212:B220,2,TRUE)),9)</f>
        <v/>
      </c>
      <c r="J215" s="67"/>
      <c r="K215" s="104" t="str">
        <f ca="1">IFERROR(INDIRECT(CONCATENATE("Height!$j",C213+2)),"")</f>
        <v/>
      </c>
      <c r="L215" s="104" t="str">
        <f ca="1">IFERROR(INDIRECT(CONCATENATE("Height!$L",C213+2)),"")</f>
        <v/>
      </c>
      <c r="M215" s="286" t="str">
        <f ca="1">IFERROR(VLOOKUP($C211&amp;L215,downloads!$A$1:$E$1000,2,FALSE),"")</f>
        <v/>
      </c>
      <c r="N215" s="64" t="str">
        <f t="shared" ca="1" si="39"/>
        <v/>
      </c>
      <c r="O215" s="109">
        <f ca="1">IFERROR(INDIRECT(CONCATENATE("Height!$Z",C213+2)),"")</f>
        <v>0</v>
      </c>
      <c r="P215" s="147" t="str">
        <f ca="1">IFERROR(IF(OR(O215="",O215=0,O215&lt;A212),"",VLOOKUP(O215,A212:B220,2,TRUE)),9)</f>
        <v/>
      </c>
      <c r="R215" s="66">
        <f ca="1">IFERROR(IF(OR(E215=0,E215="",H215=0,H215="",H215="X"),0,VLOOKUP(D215,INDIRECT(MatchDay!$W$2),2,FALSE)),"")</f>
        <v>0</v>
      </c>
      <c r="S215" s="66">
        <f ca="1">IFERROR(IF(OR(L215=0,L215="",O215=0,O215="",O215="X"),0,VLOOKUP(K215,INDIRECT(MatchDay!$W$2),3,FALSE)),"")</f>
        <v>0</v>
      </c>
      <c r="V215" s="64">
        <v>3</v>
      </c>
    </row>
    <row r="216" spans="1:22" x14ac:dyDescent="0.35">
      <c r="A216" s="105">
        <f>IFERROR(VLOOKUP(C211,standards,7,FALSE),"-")</f>
        <v>2.8</v>
      </c>
      <c r="B216" s="419">
        <v>5</v>
      </c>
      <c r="C216" s="105"/>
      <c r="D216" s="104" t="str">
        <f ca="1">IFERROR(INDIRECT(CONCATENATE("Height!$d",C213+3)),"")</f>
        <v/>
      </c>
      <c r="E216" s="104" t="str">
        <f ca="1">IFERROR(INDIRECT(CONCATENATE("Height!$E",C213+3)),"")</f>
        <v/>
      </c>
      <c r="F216" s="286" t="str">
        <f ca="1">IFERROR(VLOOKUP($C211&amp;E216,downloads!$A$1:$E$1000,2,FALSE),"")</f>
        <v/>
      </c>
      <c r="G216" s="64" t="str">
        <f t="shared" ca="1" si="38"/>
        <v/>
      </c>
      <c r="H216" s="109">
        <f ca="1">IFERROR(INDIRECT(CONCATENATE("Height!$H",C213+3)),"")</f>
        <v>0</v>
      </c>
      <c r="I216" s="147" t="str">
        <f ca="1">IFERROR(IF(OR(H216="",H216=0,H216&lt;A212),"",VLOOKUP(H216,A212:B220,2,TRUE)),9)</f>
        <v/>
      </c>
      <c r="J216" s="67"/>
      <c r="K216" s="104" t="str">
        <f ca="1">IFERROR(INDIRECT(CONCATENATE("Height!$j",C213+3)),"")</f>
        <v/>
      </c>
      <c r="L216" s="104" t="str">
        <f ca="1">IFERROR(INDIRECT(CONCATENATE("Height!$L",C213+3)),"")</f>
        <v/>
      </c>
      <c r="M216" s="286" t="str">
        <f ca="1">IFERROR(VLOOKUP($C211&amp;L216,downloads!$A$1:$E$1000,2,FALSE),"")</f>
        <v/>
      </c>
      <c r="N216" s="64" t="str">
        <f t="shared" ca="1" si="39"/>
        <v/>
      </c>
      <c r="O216" s="109">
        <f ca="1">IFERROR(INDIRECT(CONCATENATE("Height!$Z",C213+3)),"")</f>
        <v>0</v>
      </c>
      <c r="P216" s="147" t="str">
        <f ca="1">IFERROR(IF(OR(O216="",O216=0,O216&lt;A212),"",VLOOKUP(O216,A212:B220,2,TRUE)),9)</f>
        <v/>
      </c>
      <c r="R216" s="66">
        <f ca="1">IFERROR(IF(OR(E216=0,E216="",H216=0,H216="",H216="X"),0,VLOOKUP(D216,INDIRECT(MatchDay!$W$2),2,FALSE)),"")</f>
        <v>0</v>
      </c>
      <c r="S216" s="66">
        <f ca="1">IFERROR(IF(OR(L216=0,L216="",O216=0,O216="",O216="X"),0,VLOOKUP(K216,INDIRECT(MatchDay!$W$2),3,FALSE)),"")</f>
        <v>0</v>
      </c>
      <c r="V216" s="64">
        <v>4</v>
      </c>
    </row>
    <row r="217" spans="1:22" x14ac:dyDescent="0.35">
      <c r="A217" s="105">
        <f>IFERROR(VLOOKUP(C211,standards,8,FALSE),"-")</f>
        <v>3</v>
      </c>
      <c r="B217" s="419">
        <v>6</v>
      </c>
      <c r="C217" s="105"/>
      <c r="D217" s="104" t="str">
        <f ca="1">IFERROR(INDIRECT(CONCATENATE("Height!$d",C213+4)),"")</f>
        <v/>
      </c>
      <c r="E217" s="104" t="str">
        <f ca="1">IFERROR(INDIRECT(CONCATENATE("Height!$E",C213+4)),"")</f>
        <v/>
      </c>
      <c r="F217" s="286" t="str">
        <f ca="1">IFERROR(VLOOKUP($C211&amp;E217,downloads!$A$1:$E$1000,2,FALSE),"")</f>
        <v/>
      </c>
      <c r="G217" s="64" t="str">
        <f t="shared" ca="1" si="38"/>
        <v/>
      </c>
      <c r="H217" s="109">
        <f ca="1">IFERROR(INDIRECT(CONCATENATE("Height!$H",C213+4)),"")</f>
        <v>0</v>
      </c>
      <c r="I217" s="147" t="str">
        <f ca="1">IFERROR(IF(OR(H217="",H217=0,H217&lt;A212),"",VLOOKUP(H217,A212:B220,2,TRUE)),9)</f>
        <v/>
      </c>
      <c r="J217" s="67"/>
      <c r="K217" s="104" t="str">
        <f ca="1">IFERROR(INDIRECT(CONCATENATE("Height!$j",C213+4)),"")</f>
        <v/>
      </c>
      <c r="L217" s="104" t="str">
        <f ca="1">IFERROR(INDIRECT(CONCATENATE("Height!$L",C213+4)),"")</f>
        <v/>
      </c>
      <c r="M217" s="286" t="str">
        <f ca="1">IFERROR(VLOOKUP($C211&amp;L217,downloads!$A$1:$E$1000,2,FALSE),"")</f>
        <v/>
      </c>
      <c r="N217" s="64" t="str">
        <f t="shared" ca="1" si="39"/>
        <v/>
      </c>
      <c r="O217" s="109">
        <f ca="1">IFERROR(INDIRECT(CONCATENATE("Height!$Z",C213+4)),"")</f>
        <v>0</v>
      </c>
      <c r="P217" s="147" t="str">
        <f ca="1">IFERROR(IF(OR(O217="",O217=0,O217&lt;A212),"",VLOOKUP(O217,A212:B220,2,TRUE)),9)</f>
        <v/>
      </c>
      <c r="R217" s="66">
        <f ca="1">IFERROR(IF(OR(E217=0,E217="",H217=0,H217="",H217="X"),0,VLOOKUP(D217,INDIRECT(MatchDay!$W$2),2,FALSE)),"")</f>
        <v>0</v>
      </c>
      <c r="S217" s="66">
        <f ca="1">IFERROR(IF(OR(L217=0,L217="",O217=0,O217="",O217="X"),0,VLOOKUP(K217,INDIRECT(MatchDay!$W$2),3,FALSE)),"")</f>
        <v>0</v>
      </c>
      <c r="V217" s="64">
        <v>5</v>
      </c>
    </row>
    <row r="218" spans="1:22" x14ac:dyDescent="0.35">
      <c r="A218" s="105">
        <f>IFERROR(VLOOKUP(C211,standards,9,FALSE),"-")</f>
        <v>3.2</v>
      </c>
      <c r="B218" s="419">
        <v>7</v>
      </c>
      <c r="C218" s="105"/>
      <c r="D218" s="104" t="str">
        <f ca="1">IFERROR(INDIRECT(CONCATENATE("Height!$d",C213+5)),"")</f>
        <v/>
      </c>
      <c r="E218" s="104" t="str">
        <f ca="1">IFERROR(INDIRECT(CONCATENATE("Height!$E",C213+5)),"")</f>
        <v/>
      </c>
      <c r="F218" s="286" t="str">
        <f ca="1">IFERROR(VLOOKUP($C211&amp;E218,downloads!$A$1:$E$1000,2,FALSE),"")</f>
        <v/>
      </c>
      <c r="G218" s="64" t="str">
        <f t="shared" ca="1" si="38"/>
        <v/>
      </c>
      <c r="H218" s="109">
        <f ca="1">IFERROR(INDIRECT(CONCATENATE("Height!$H",C213+5)),"")</f>
        <v>0</v>
      </c>
      <c r="I218" s="147" t="str">
        <f ca="1">IFERROR(IF(OR(H218="",H218=0,H218&lt;A212),"",VLOOKUP(H218,A212:B220,2,TRUE)),9)</f>
        <v/>
      </c>
      <c r="J218" s="67"/>
      <c r="K218" s="104" t="str">
        <f ca="1">IFERROR(INDIRECT(CONCATENATE("Height!$j",C213+5)),"")</f>
        <v/>
      </c>
      <c r="L218" s="104" t="str">
        <f ca="1">IFERROR(INDIRECT(CONCATENATE("Height!$L",C213+5)),"")</f>
        <v/>
      </c>
      <c r="M218" s="286" t="str">
        <f ca="1">IFERROR(VLOOKUP($C211&amp;L218,downloads!$A$1:$E$1000,2,FALSE),"")</f>
        <v/>
      </c>
      <c r="N218" s="64" t="str">
        <f t="shared" ca="1" si="39"/>
        <v/>
      </c>
      <c r="O218" s="109">
        <f ca="1">IFERROR(INDIRECT(CONCATENATE("Height!$Z",C213+5)),"")</f>
        <v>0</v>
      </c>
      <c r="P218" s="147" t="str">
        <f ca="1">IFERROR(IF(OR(O218="",O218=0,O218&lt;A212),"",VLOOKUP(O218,A212:B220,2,TRUE)),9)</f>
        <v/>
      </c>
      <c r="R218" s="66">
        <f ca="1">IFERROR(IF(OR(E218=0,E218="",H218=0,H218="",H218="X"),0,VLOOKUP(D218,INDIRECT(MatchDay!$W$2),2,FALSE)),"")</f>
        <v>0</v>
      </c>
      <c r="S218" s="66">
        <f ca="1">IFERROR(IF(OR(L218=0,L218="",O218=0,O218="",O218="X"),0,VLOOKUP(K218,INDIRECT(MatchDay!$W$2),3,FALSE)),"")</f>
        <v>0</v>
      </c>
      <c r="V218" s="64">
        <v>6</v>
      </c>
    </row>
    <row r="219" spans="1:22" x14ac:dyDescent="0.35">
      <c r="A219" s="105">
        <f>IFERROR(VLOOKUP(C211,standards,10,FALSE),"-")</f>
        <v>3.4</v>
      </c>
      <c r="B219" s="419">
        <v>8</v>
      </c>
      <c r="C219" s="103" t="s">
        <v>151</v>
      </c>
      <c r="D219" s="104" t="str">
        <f ca="1">IFERROR(INDIRECT(CONCATENATE("Height!$d",C213+6)),"")</f>
        <v/>
      </c>
      <c r="E219" s="104" t="str">
        <f ca="1">IFERROR(INDIRECT(CONCATENATE("Height!$E",C213+6)),"")</f>
        <v/>
      </c>
      <c r="F219" s="286" t="str">
        <f ca="1">IFERROR(VLOOKUP($C211&amp;E219,downloads!$A$1:$E$1000,2,FALSE),"")</f>
        <v/>
      </c>
      <c r="G219" s="64" t="str">
        <f t="shared" ca="1" si="38"/>
        <v/>
      </c>
      <c r="H219" s="109">
        <f ca="1">IFERROR(INDIRECT(CONCATENATE("Height!$H",C213+6)),"")</f>
        <v>0</v>
      </c>
      <c r="I219" s="147" t="str">
        <f ca="1">IFERROR(IF(OR(H219="",H219=0,H219&lt;A212),"",VLOOKUP(H219,A212:B220,2,TRUE)),9)</f>
        <v/>
      </c>
      <c r="J219" s="67"/>
      <c r="K219" s="104" t="str">
        <f ca="1">IFERROR(INDIRECT(CONCATENATE("Height!$j",C213+6)),"")</f>
        <v/>
      </c>
      <c r="L219" s="104" t="str">
        <f ca="1">IFERROR(INDIRECT(CONCATENATE("Height!$L",C213+6)),"")</f>
        <v/>
      </c>
      <c r="M219" s="286" t="str">
        <f ca="1">IFERROR(VLOOKUP($C211&amp;L219,downloads!$A$1:$E$1000,2,FALSE),"")</f>
        <v/>
      </c>
      <c r="N219" s="64" t="str">
        <f t="shared" ca="1" si="39"/>
        <v/>
      </c>
      <c r="O219" s="109">
        <f ca="1">IFERROR(INDIRECT(CONCATENATE("Height!$Z",C213+6)),"")</f>
        <v>0</v>
      </c>
      <c r="P219" s="147" t="str">
        <f ca="1">IFERROR(IF(OR(O219="",O219=0,O219&lt;A212),"",VLOOKUP(O219,A212:B220,2,TRUE)),9)</f>
        <v/>
      </c>
      <c r="R219" s="66">
        <f ca="1">IFERROR(IF(OR(E219=0,E219="",H219=0,H219="",H219="X"),0,VLOOKUP(D219,INDIRECT(MatchDay!$W$2),2,FALSE)),"")</f>
        <v>0</v>
      </c>
      <c r="S219" s="66">
        <f ca="1">IFERROR(IF(OR(L219=0,L219="",O219=0,O219="",O219="X"),0,VLOOKUP(K219,INDIRECT(MatchDay!$W$2),3,FALSE)),"")</f>
        <v>0</v>
      </c>
    </row>
    <row r="220" spans="1:22" x14ac:dyDescent="0.35">
      <c r="A220" s="105">
        <f>IFERROR(VLOOKUP(C211,standards,11,FALSE),"-")</f>
        <v>3.6</v>
      </c>
      <c r="B220" s="419">
        <v>9</v>
      </c>
      <c r="C220" s="103">
        <f>IFERROR(VLOOKUP(C211,records,5,FALSE),"")</f>
        <v>4.32</v>
      </c>
      <c r="D220" s="104" t="str">
        <f ca="1">IFERROR(INDIRECT(CONCATENATE("Height!$d",C213+7)),"")</f>
        <v/>
      </c>
      <c r="E220" s="104" t="str">
        <f ca="1">IFERROR(INDIRECT(CONCATENATE("Height!$E",C213+7)),"")</f>
        <v/>
      </c>
      <c r="F220" s="286" t="str">
        <f ca="1">IFERROR(VLOOKUP($C211&amp;E220,downloads!$A$1:$E$1000,2,FALSE),"")</f>
        <v/>
      </c>
      <c r="G220" s="64" t="str">
        <f t="shared" ca="1" si="38"/>
        <v/>
      </c>
      <c r="H220" s="109">
        <f ca="1">IFERROR(INDIRECT(CONCATENATE("Height!$H",C213+7)),"")</f>
        <v>0</v>
      </c>
      <c r="I220" s="147" t="str">
        <f ca="1">IFERROR(IF(OR(H220="",H220=0,H220&lt;A212),"",VLOOKUP(H220,A212:B220,2,TRUE)),9)</f>
        <v/>
      </c>
      <c r="J220" s="67"/>
      <c r="K220" s="104" t="str">
        <f ca="1">IFERROR(INDIRECT(CONCATENATE("Height!$j",C213+7)),"")</f>
        <v/>
      </c>
      <c r="L220" s="104" t="str">
        <f ca="1">IFERROR(INDIRECT(CONCATENATE("Height!$L",C213+7)),"")</f>
        <v/>
      </c>
      <c r="M220" s="286" t="str">
        <f ca="1">IFERROR(VLOOKUP($C211&amp;L220,downloads!$A$1:$E$1000,2,FALSE),"")</f>
        <v/>
      </c>
      <c r="N220" s="64" t="str">
        <f t="shared" ca="1" si="39"/>
        <v/>
      </c>
      <c r="O220" s="109">
        <f ca="1">IFERROR(INDIRECT(CONCATENATE("Height!$Z",C213+7)),"")</f>
        <v>0</v>
      </c>
      <c r="P220" s="147" t="str">
        <f ca="1">IFERROR(IF(OR(O220="",O220=0,O220&lt;A212),"",VLOOKUP(O220,A212:B220,2,TRUE)),9)</f>
        <v/>
      </c>
      <c r="R220" s="66">
        <f ca="1">IFERROR(IF(OR(E220=0,E220="",H220=0,H220="",H220="X"),0,VLOOKUP(D220,INDIRECT(MatchDay!$W$2),2,FALSE)),"")</f>
        <v>0</v>
      </c>
      <c r="S220" s="66">
        <f ca="1">IFERROR(IF(OR(L220=0,L220="",O220=0,O220="",O220="X"),0,VLOOKUP(K220,INDIRECT(MatchDay!$W$2),3,FALSE)),"")</f>
        <v>0</v>
      </c>
    </row>
    <row r="222" spans="1:22" x14ac:dyDescent="0.35">
      <c r="C222" s="98" t="s">
        <v>187</v>
      </c>
      <c r="D222" s="99" t="str">
        <f>IFERROR(VLOOKUP(C222,timetables,2,FALSE)&amp;" "&amp;VLOOKUP(C222,timetables,3,FALSE)&amp;" A","")</f>
        <v>Pole Vault U15 Girls A</v>
      </c>
      <c r="E222" s="99"/>
      <c r="H222" s="108" t="str">
        <f ca="1">IFERROR(IF(OR(H224=0,H224="",H224="X"),"",IF(H224&gt;C231,"REC",IF(H224=C231,"=Rec",""))),"")</f>
        <v/>
      </c>
      <c r="I222" s="147" t="str">
        <f ca="1">IFERROR(IF(OR(H224=0,H224="",H224="X"),"",IF(H224&gt;C231,"REC",IF(H224=C231,"=Rec",""))),"")</f>
        <v/>
      </c>
      <c r="K222" s="101" t="str">
        <f>IFERROR(VLOOKUP(C222,timetables,2,FALSE)&amp;" "&amp;VLOOKUP(C222,timetables,3,FALSE)&amp;" B","")</f>
        <v>Pole Vault U15 Girls B</v>
      </c>
      <c r="L222" s="102"/>
      <c r="R222" s="66" t="s">
        <v>53</v>
      </c>
      <c r="S222" s="66" t="s">
        <v>54</v>
      </c>
    </row>
    <row r="223" spans="1:22" x14ac:dyDescent="0.35">
      <c r="A223" s="105">
        <f>IFERROR(VLOOKUP(C222,standards,3,FALSE),"-")</f>
        <v>1</v>
      </c>
      <c r="B223" s="419">
        <v>1</v>
      </c>
      <c r="C223" s="79"/>
      <c r="D223" s="45" t="s">
        <v>177</v>
      </c>
      <c r="E223" s="45" t="s">
        <v>118</v>
      </c>
      <c r="F223" s="47" t="s">
        <v>174</v>
      </c>
      <c r="G223" s="47" t="s">
        <v>175</v>
      </c>
      <c r="H223" s="45" t="s">
        <v>176</v>
      </c>
      <c r="I223" s="148" t="s">
        <v>1003</v>
      </c>
      <c r="J223" s="47"/>
      <c r="K223" s="45" t="s">
        <v>177</v>
      </c>
      <c r="L223" s="45" t="s">
        <v>118</v>
      </c>
      <c r="M223" s="47" t="s">
        <v>174</v>
      </c>
      <c r="N223" s="47" t="s">
        <v>175</v>
      </c>
      <c r="O223" s="45" t="s">
        <v>176</v>
      </c>
      <c r="P223" s="148" t="s">
        <v>1003</v>
      </c>
    </row>
    <row r="224" spans="1:22" x14ac:dyDescent="0.35">
      <c r="A224" s="105">
        <f>IFERROR(VLOOKUP(C222,standards,4,FALSE),"-")</f>
        <v>1.2</v>
      </c>
      <c r="B224" s="419">
        <v>2</v>
      </c>
      <c r="C224" s="66">
        <f>IFERROR(VLOOKUP(C222,Height!A:B,2,FALSE),"")</f>
        <v>155</v>
      </c>
      <c r="D224" s="104">
        <f ca="1">IFERROR(INDIRECT(CONCATENATE("Height!$d",C224)),"")</f>
        <v>1</v>
      </c>
      <c r="E224" s="104">
        <f ca="1">IFERROR(INDIRECT(CONCATENATE("Height!$E",C224)),"")</f>
        <v>7</v>
      </c>
      <c r="F224" s="286" t="str">
        <f ca="1">IFERROR(VLOOKUP($C222&amp;E224,downloads!$A$1:$E$1000,2,FALSE),"")</f>
        <v>Claudia BERRY</v>
      </c>
      <c r="G224" s="64" t="str">
        <f t="shared" ref="G224:G231" ca="1" si="40">IFERROR(VLOOKUP(E224,teamlookup,5,FALSE),"")</f>
        <v>Wigan</v>
      </c>
      <c r="H224" s="109">
        <f ca="1">IFERROR(INDIRECT(CONCATENATE("Height!$H",C224)),"")</f>
        <v>2.6</v>
      </c>
      <c r="I224" s="147">
        <f ca="1">IFERROR(IF(OR(H224="",H224=0,H224&lt;A223),"",VLOOKUP(H224,A223:B231,2,TRUE)),9)</f>
        <v>8</v>
      </c>
      <c r="J224" s="67"/>
      <c r="K224" s="104">
        <f ca="1">IFERROR(INDIRECT(CONCATENATE("Height!$j",C224)),"")</f>
        <v>1</v>
      </c>
      <c r="L224" s="104">
        <f ca="1">IFERROR(INDIRECT(CONCATENATE("Height!$L",C224)),"")</f>
        <v>77</v>
      </c>
      <c r="M224" s="286" t="str">
        <f ca="1">IFERROR(VLOOKUP($C222&amp;L224,downloads!$A$1:$E$1000,2,FALSE),"")</f>
        <v>Lucy STRETTON</v>
      </c>
      <c r="N224" s="64" t="str">
        <f t="shared" ref="N224:N231" ca="1" si="41">IFERROR(VLOOKUP(L224,teamlookup,5,FALSE),"")</f>
        <v>Wigan</v>
      </c>
      <c r="O224" s="109">
        <f ca="1">IFERROR(INDIRECT(CONCATENATE("Height!$Z",C224)),"")</f>
        <v>2</v>
      </c>
      <c r="P224" s="147">
        <f ca="1">IFERROR(IF(OR(O224="",O224=0,O224&lt;A223),"",VLOOKUP(O224,A223:B231,2,TRUE)),9)</f>
        <v>6</v>
      </c>
      <c r="R224" s="66">
        <f ca="1">IFERROR(IF(OR(E224=0,E224="",H224=0,H224="",H224="X"),0,VLOOKUP(D224,INDIRECT(MatchDay!$W$2),2,FALSE)),"")</f>
        <v>10</v>
      </c>
      <c r="S224" s="66">
        <f ca="1">IFERROR(IF(OR(L224=0,L224="",O224=0,O224="",O224="X"),0,VLOOKUP(K224,INDIRECT(MatchDay!$W$2),3,FALSE)),"")</f>
        <v>8</v>
      </c>
      <c r="T224" s="168">
        <f ca="1">COUNTIF(E224,"&gt;0")</f>
        <v>1</v>
      </c>
      <c r="U224" s="66">
        <f ca="1">IFERROR(IF(E224&gt;88,1,0),0)</f>
        <v>0</v>
      </c>
    </row>
    <row r="225" spans="1:22" x14ac:dyDescent="0.35">
      <c r="A225" s="105">
        <f>IFERROR(VLOOKUP(C222,standards,5,FALSE),"-")</f>
        <v>1.4</v>
      </c>
      <c r="B225" s="419">
        <v>3</v>
      </c>
      <c r="C225" s="103"/>
      <c r="D225" s="104" t="str">
        <f ca="1">IFERROR(INDIRECT(CONCATENATE("Height!$d",C224+1)),"")</f>
        <v/>
      </c>
      <c r="E225" s="104" t="str">
        <f ca="1">IFERROR(INDIRECT(CONCATENATE("Height!$E",C224+1)),"")</f>
        <v/>
      </c>
      <c r="F225" s="286" t="str">
        <f ca="1">IFERROR(VLOOKUP($C222&amp;E225,downloads!$A$1:$E$1000,2,FALSE),"")</f>
        <v/>
      </c>
      <c r="G225" s="64" t="str">
        <f t="shared" ca="1" si="40"/>
        <v/>
      </c>
      <c r="H225" s="109">
        <f ca="1">IFERROR(INDIRECT(CONCATENATE("Height!$H",C224+1)),"")</f>
        <v>0</v>
      </c>
      <c r="I225" s="147" t="str">
        <f ca="1">IFERROR(IF(OR(H225="",H225=0,H225&lt;A223),"",VLOOKUP(H225,A223:B231,2,TRUE)),9)</f>
        <v/>
      </c>
      <c r="J225" s="67"/>
      <c r="K225" s="104" t="str">
        <f ca="1">IFERROR(INDIRECT(CONCATENATE("Height!$j",C224+1)),"")</f>
        <v/>
      </c>
      <c r="L225" s="104" t="str">
        <f ca="1">IFERROR(INDIRECT(CONCATENATE("Height!$L",C224+1)),"")</f>
        <v/>
      </c>
      <c r="M225" s="286" t="str">
        <f ca="1">IFERROR(VLOOKUP($C222&amp;L225,downloads!$A$1:$E$1000,2,FALSE),"")</f>
        <v/>
      </c>
      <c r="N225" s="64" t="str">
        <f t="shared" ca="1" si="41"/>
        <v/>
      </c>
      <c r="O225" s="109">
        <f ca="1">IFERROR(INDIRECT(CONCATENATE("Height!$Z",C224+1)),"")</f>
        <v>0</v>
      </c>
      <c r="P225" s="147" t="str">
        <f ca="1">IFERROR(IF(OR(O225="",O225=0,O225&lt;A223),"",VLOOKUP(O225,A223:B231,2,TRUE)),9)</f>
        <v/>
      </c>
      <c r="R225" s="66">
        <f ca="1">IFERROR(IF(OR(E225=0,E225="",H225=0,H225="",H225="X"),0,VLOOKUP(D225,INDIRECT(MatchDay!$W$2),2,FALSE)),"")</f>
        <v>0</v>
      </c>
      <c r="S225" s="66">
        <f ca="1">IFERROR(IF(OR(L225=0,L225="",O225=0,O225="",O225="X"),0,VLOOKUP(K225,INDIRECT(MatchDay!$W$2),3,FALSE)),"")</f>
        <v>0</v>
      </c>
    </row>
    <row r="226" spans="1:22" x14ac:dyDescent="0.35">
      <c r="A226" s="105">
        <f>IFERROR(VLOOKUP(C222,standards,6,FALSE),"-")</f>
        <v>1.6</v>
      </c>
      <c r="B226" s="419">
        <v>4</v>
      </c>
      <c r="C226" s="105"/>
      <c r="D226" s="104" t="str">
        <f ca="1">IFERROR(INDIRECT(CONCATENATE("Height!$d",C224+2)),"")</f>
        <v/>
      </c>
      <c r="E226" s="104" t="str">
        <f ca="1">IFERROR(INDIRECT(CONCATENATE("Height!$E",C224+2)),"")</f>
        <v/>
      </c>
      <c r="F226" s="286" t="str">
        <f ca="1">IFERROR(VLOOKUP($C222&amp;E226,downloads!$A$1:$E$1000,2,FALSE),"")</f>
        <v/>
      </c>
      <c r="G226" s="64" t="str">
        <f t="shared" ca="1" si="40"/>
        <v/>
      </c>
      <c r="H226" s="109">
        <f ca="1">IFERROR(INDIRECT(CONCATENATE("Height!$H",C224+2)),"")</f>
        <v>0</v>
      </c>
      <c r="I226" s="147" t="str">
        <f ca="1">IFERROR(IF(OR(H226="",H226=0,H226&lt;A223),"",VLOOKUP(H226,A223:B231,2,TRUE)),9)</f>
        <v/>
      </c>
      <c r="J226" s="67"/>
      <c r="K226" s="104" t="str">
        <f ca="1">IFERROR(INDIRECT(CONCATENATE("Height!$j",C224+2)),"")</f>
        <v/>
      </c>
      <c r="L226" s="104" t="str">
        <f ca="1">IFERROR(INDIRECT(CONCATENATE("Height!$L",C224+2)),"")</f>
        <v/>
      </c>
      <c r="M226" s="286" t="str">
        <f ca="1">IFERROR(VLOOKUP($C222&amp;L226,downloads!$A$1:$E$1000,2,FALSE),"")</f>
        <v/>
      </c>
      <c r="N226" s="64" t="str">
        <f t="shared" ca="1" si="41"/>
        <v/>
      </c>
      <c r="O226" s="109">
        <f ca="1">IFERROR(INDIRECT(CONCATENATE("Height!$Z",C224+2)),"")</f>
        <v>0</v>
      </c>
      <c r="P226" s="147" t="str">
        <f ca="1">IFERROR(IF(OR(O226="",O226=0,O226&lt;A223),"",VLOOKUP(O226,A223:B231,2,TRUE)),9)</f>
        <v/>
      </c>
      <c r="R226" s="66">
        <f ca="1">IFERROR(IF(OR(E226=0,E226="",H226=0,H226="",H226="X"),0,VLOOKUP(D226,INDIRECT(MatchDay!$W$2),2,FALSE)),"")</f>
        <v>0</v>
      </c>
      <c r="S226" s="66">
        <f ca="1">IFERROR(IF(OR(L226=0,L226="",O226=0,O226="",O226="X"),0,VLOOKUP(K226,INDIRECT(MatchDay!$W$2),3,FALSE)),"")</f>
        <v>0</v>
      </c>
      <c r="V226" s="64">
        <v>3</v>
      </c>
    </row>
    <row r="227" spans="1:22" x14ac:dyDescent="0.35">
      <c r="A227" s="105">
        <f>IFERROR(VLOOKUP(C222,standards,7,FALSE),"-")</f>
        <v>1.8</v>
      </c>
      <c r="B227" s="419">
        <v>5</v>
      </c>
      <c r="C227" s="105"/>
      <c r="D227" s="104" t="str">
        <f ca="1">IFERROR(INDIRECT(CONCATENATE("Height!$d",C224+3)),"")</f>
        <v/>
      </c>
      <c r="E227" s="104" t="str">
        <f ca="1">IFERROR(INDIRECT(CONCATENATE("Height!$E",C224+3)),"")</f>
        <v/>
      </c>
      <c r="F227" s="286" t="str">
        <f ca="1">IFERROR(VLOOKUP($C222&amp;E227,downloads!$A$1:$E$1000,2,FALSE),"")</f>
        <v/>
      </c>
      <c r="G227" s="64" t="str">
        <f t="shared" ca="1" si="40"/>
        <v/>
      </c>
      <c r="H227" s="109">
        <f ca="1">IFERROR(INDIRECT(CONCATENATE("Height!$H",C224+3)),"")</f>
        <v>0</v>
      </c>
      <c r="I227" s="147" t="str">
        <f ca="1">IFERROR(IF(OR(H227="",H227=0,H227&lt;A223),"",VLOOKUP(H227,A223:B231,2,TRUE)),9)</f>
        <v/>
      </c>
      <c r="J227" s="67"/>
      <c r="K227" s="104" t="str">
        <f ca="1">IFERROR(INDIRECT(CONCATENATE("Height!$j",C224+3)),"")</f>
        <v/>
      </c>
      <c r="L227" s="104" t="str">
        <f ca="1">IFERROR(INDIRECT(CONCATENATE("Height!$L",C224+3)),"")</f>
        <v/>
      </c>
      <c r="M227" s="286" t="str">
        <f ca="1">IFERROR(VLOOKUP($C222&amp;L227,downloads!$A$1:$E$1000,2,FALSE),"")</f>
        <v/>
      </c>
      <c r="N227" s="64" t="str">
        <f t="shared" ca="1" si="41"/>
        <v/>
      </c>
      <c r="O227" s="109">
        <f ca="1">IFERROR(INDIRECT(CONCATENATE("Height!$Z",C224+3)),"")</f>
        <v>0</v>
      </c>
      <c r="P227" s="147" t="str">
        <f ca="1">IFERROR(IF(OR(O227="",O227=0,O227&lt;A223),"",VLOOKUP(O227,A223:B231,2,TRUE)),9)</f>
        <v/>
      </c>
      <c r="R227" s="66">
        <f ca="1">IFERROR(IF(OR(E227=0,E227="",H227=0,H227="",H227="X"),0,VLOOKUP(D227,INDIRECT(MatchDay!$W$2),2,FALSE)),"")</f>
        <v>0</v>
      </c>
      <c r="S227" s="66">
        <f ca="1">IFERROR(IF(OR(L227=0,L227="",O227=0,O227="",O227="X"),0,VLOOKUP(K227,INDIRECT(MatchDay!$W$2),3,FALSE)),"")</f>
        <v>0</v>
      </c>
      <c r="V227" s="64">
        <v>4</v>
      </c>
    </row>
    <row r="228" spans="1:22" x14ac:dyDescent="0.35">
      <c r="A228" s="105">
        <f>IFERROR(VLOOKUP(C222,standards,8,FALSE),"-")</f>
        <v>2</v>
      </c>
      <c r="B228" s="419">
        <v>6</v>
      </c>
      <c r="C228" s="105"/>
      <c r="D228" s="104" t="str">
        <f ca="1">IFERROR(INDIRECT(CONCATENATE("Height!$d",C224+4)),"")</f>
        <v/>
      </c>
      <c r="E228" s="104" t="str">
        <f ca="1">IFERROR(INDIRECT(CONCATENATE("Height!$E",C224+4)),"")</f>
        <v/>
      </c>
      <c r="F228" s="286" t="str">
        <f ca="1">IFERROR(VLOOKUP($C222&amp;E228,downloads!$A$1:$E$1000,2,FALSE),"")</f>
        <v/>
      </c>
      <c r="G228" s="64" t="str">
        <f t="shared" ca="1" si="40"/>
        <v/>
      </c>
      <c r="H228" s="109">
        <f ca="1">IFERROR(INDIRECT(CONCATENATE("Height!$H",C224+4)),"")</f>
        <v>0</v>
      </c>
      <c r="I228" s="147" t="str">
        <f ca="1">IFERROR(IF(OR(H228="",H228=0,H228&lt;A223),"",VLOOKUP(H228,A223:B231,2,TRUE)),9)</f>
        <v/>
      </c>
      <c r="J228" s="67"/>
      <c r="K228" s="104" t="str">
        <f ca="1">IFERROR(INDIRECT(CONCATENATE("Height!$j",C224+4)),"")</f>
        <v/>
      </c>
      <c r="L228" s="104" t="str">
        <f ca="1">IFERROR(INDIRECT(CONCATENATE("Height!$L",C224+4)),"")</f>
        <v/>
      </c>
      <c r="M228" s="286" t="str">
        <f ca="1">IFERROR(VLOOKUP($C222&amp;L228,downloads!$A$1:$E$1000,2,FALSE),"")</f>
        <v/>
      </c>
      <c r="N228" s="64" t="str">
        <f t="shared" ca="1" si="41"/>
        <v/>
      </c>
      <c r="O228" s="109">
        <f ca="1">IFERROR(INDIRECT(CONCATENATE("Height!$Z",C224+4)),"")</f>
        <v>0</v>
      </c>
      <c r="P228" s="147" t="str">
        <f ca="1">IFERROR(IF(OR(O228="",O228=0,O228&lt;A223),"",VLOOKUP(O228,A223:B231,2,TRUE)),9)</f>
        <v/>
      </c>
      <c r="R228" s="66">
        <f ca="1">IFERROR(IF(OR(E228=0,E228="",H228=0,H228="",H228="X"),0,VLOOKUP(D228,INDIRECT(MatchDay!$W$2),2,FALSE)),"")</f>
        <v>0</v>
      </c>
      <c r="S228" s="66">
        <f ca="1">IFERROR(IF(OR(L228=0,L228="",O228=0,O228="",O228="X"),0,VLOOKUP(K228,INDIRECT(MatchDay!$W$2),3,FALSE)),"")</f>
        <v>0</v>
      </c>
      <c r="V228" s="64">
        <v>5</v>
      </c>
    </row>
    <row r="229" spans="1:22" x14ac:dyDescent="0.35">
      <c r="A229" s="105">
        <f>IFERROR(VLOOKUP(C222,standards,9,FALSE),"-")</f>
        <v>2.25</v>
      </c>
      <c r="B229" s="419">
        <v>7</v>
      </c>
      <c r="C229" s="105"/>
      <c r="D229" s="104" t="str">
        <f ca="1">IFERROR(INDIRECT(CONCATENATE("Height!$d",C224+5)),"")</f>
        <v/>
      </c>
      <c r="E229" s="104" t="str">
        <f ca="1">IFERROR(INDIRECT(CONCATENATE("Height!$E",C224+5)),"")</f>
        <v/>
      </c>
      <c r="F229" s="286" t="str">
        <f ca="1">IFERROR(VLOOKUP($C222&amp;E229,downloads!$A$1:$E$1000,2,FALSE),"")</f>
        <v/>
      </c>
      <c r="G229" s="64" t="str">
        <f t="shared" ca="1" si="40"/>
        <v/>
      </c>
      <c r="H229" s="109">
        <f ca="1">IFERROR(INDIRECT(CONCATENATE("Height!$H",C224+5)),"")</f>
        <v>0</v>
      </c>
      <c r="I229" s="147" t="str">
        <f ca="1">IFERROR(IF(OR(H229="",H229=0,H229&lt;A223),"",VLOOKUP(H229,A223:B231,2,TRUE)),9)</f>
        <v/>
      </c>
      <c r="J229" s="67"/>
      <c r="K229" s="104" t="str">
        <f ca="1">IFERROR(INDIRECT(CONCATENATE("Height!$j",C224+5)),"")</f>
        <v/>
      </c>
      <c r="L229" s="104" t="str">
        <f ca="1">IFERROR(INDIRECT(CONCATENATE("Height!$L",C224+5)),"")</f>
        <v/>
      </c>
      <c r="M229" s="286" t="str">
        <f ca="1">IFERROR(VLOOKUP($C222&amp;L229,downloads!$A$1:$E$1000,2,FALSE),"")</f>
        <v/>
      </c>
      <c r="N229" s="64" t="str">
        <f t="shared" ca="1" si="41"/>
        <v/>
      </c>
      <c r="O229" s="109">
        <f ca="1">IFERROR(INDIRECT(CONCATENATE("Height!$Z",C224+5)),"")</f>
        <v>0</v>
      </c>
      <c r="P229" s="147" t="str">
        <f ca="1">IFERROR(IF(OR(O229="",O229=0,O229&lt;A223),"",VLOOKUP(O229,A223:B231,2,TRUE)),9)</f>
        <v/>
      </c>
      <c r="R229" s="66">
        <f ca="1">IFERROR(IF(OR(E229=0,E229="",H229=0,H229="",H229="X"),0,VLOOKUP(D229,INDIRECT(MatchDay!$W$2),2,FALSE)),"")</f>
        <v>0</v>
      </c>
      <c r="S229" s="66">
        <f ca="1">IFERROR(IF(OR(L229=0,L229="",O229=0,O229="",O229="X"),0,VLOOKUP(K229,INDIRECT(MatchDay!$W$2),3,FALSE)),"")</f>
        <v>0</v>
      </c>
      <c r="V229" s="64">
        <v>6</v>
      </c>
    </row>
    <row r="230" spans="1:22" x14ac:dyDescent="0.35">
      <c r="A230" s="105">
        <f>IFERROR(VLOOKUP(C222,standards,10,FALSE),"-")</f>
        <v>2.5</v>
      </c>
      <c r="B230" s="419">
        <v>8</v>
      </c>
      <c r="C230" s="103" t="s">
        <v>151</v>
      </c>
      <c r="D230" s="104" t="str">
        <f ca="1">IFERROR(INDIRECT(CONCATENATE("Height!$d",C224+6)),"")</f>
        <v/>
      </c>
      <c r="E230" s="104" t="str">
        <f ca="1">IFERROR(INDIRECT(CONCATENATE("Height!$E",C224+6)),"")</f>
        <v/>
      </c>
      <c r="F230" s="286" t="str">
        <f ca="1">IFERROR(VLOOKUP($C222&amp;E230,downloads!$A$1:$E$1000,2,FALSE),"")</f>
        <v/>
      </c>
      <c r="G230" s="64" t="str">
        <f t="shared" ca="1" si="40"/>
        <v/>
      </c>
      <c r="H230" s="109">
        <f ca="1">IFERROR(INDIRECT(CONCATENATE("Height!$H",C224+6)),"")</f>
        <v>0</v>
      </c>
      <c r="I230" s="147" t="str">
        <f ca="1">IFERROR(IF(OR(H230="",H230=0,H230&lt;A223),"",VLOOKUP(H230,A223:B231,2,TRUE)),9)</f>
        <v/>
      </c>
      <c r="J230" s="67"/>
      <c r="K230" s="104" t="str">
        <f ca="1">IFERROR(INDIRECT(CONCATENATE("Height!$j",C224+6)),"")</f>
        <v/>
      </c>
      <c r="L230" s="104" t="str">
        <f ca="1">IFERROR(INDIRECT(CONCATENATE("Height!$L",C224+6)),"")</f>
        <v/>
      </c>
      <c r="M230" s="286" t="str">
        <f ca="1">IFERROR(VLOOKUP($C222&amp;L230,downloads!$A$1:$E$1000,2,FALSE),"")</f>
        <v/>
      </c>
      <c r="N230" s="64" t="str">
        <f t="shared" ca="1" si="41"/>
        <v/>
      </c>
      <c r="O230" s="109">
        <f ca="1">IFERROR(INDIRECT(CONCATENATE("Height!$Z",C224+6)),"")</f>
        <v>0</v>
      </c>
      <c r="P230" s="147" t="str">
        <f ca="1">IFERROR(IF(OR(O230="",O230=0,O230&lt;A223),"",VLOOKUP(O230,A223:B231,2,TRUE)),9)</f>
        <v/>
      </c>
      <c r="R230" s="66">
        <f ca="1">IFERROR(IF(OR(E230=0,E230="",H230=0,H230="",H230="X"),0,VLOOKUP(D230,INDIRECT(MatchDay!$W$2),2,FALSE)),"")</f>
        <v>0</v>
      </c>
      <c r="S230" s="66">
        <f ca="1">IFERROR(IF(OR(L230=0,L230="",O230=0,O230="",O230="X"),0,VLOOKUP(K230,INDIRECT(MatchDay!$W$2),3,FALSE)),"")</f>
        <v>0</v>
      </c>
    </row>
    <row r="231" spans="1:22" x14ac:dyDescent="0.35">
      <c r="A231" s="105">
        <f>IFERROR(VLOOKUP(C222,standards,11,FALSE),"-")</f>
        <v>2.75</v>
      </c>
      <c r="B231" s="419">
        <v>9</v>
      </c>
      <c r="C231" s="103">
        <f>IFERROR(VLOOKUP(C222,records,5,FALSE),"")</f>
        <v>3.43</v>
      </c>
      <c r="D231" s="104" t="str">
        <f ca="1">IFERROR(INDIRECT(CONCATENATE("Height!$d",C224+7)),"")</f>
        <v/>
      </c>
      <c r="E231" s="104" t="str">
        <f ca="1">IFERROR(INDIRECT(CONCATENATE("Height!$E",C224+7)),"")</f>
        <v/>
      </c>
      <c r="F231" s="286" t="str">
        <f ca="1">IFERROR(VLOOKUP($C222&amp;E231,downloads!$A$1:$E$1000,2,FALSE),"")</f>
        <v/>
      </c>
      <c r="G231" s="64" t="str">
        <f t="shared" ca="1" si="40"/>
        <v/>
      </c>
      <c r="H231" s="109">
        <f ca="1">IFERROR(INDIRECT(CONCATENATE("Height!$H",C224+7)),"")</f>
        <v>0</v>
      </c>
      <c r="I231" s="147" t="str">
        <f ca="1">IFERROR(IF(OR(H231="",H231=0,H231&lt;A223),"",VLOOKUP(H231,A223:B231,2,TRUE)),9)</f>
        <v/>
      </c>
      <c r="J231" s="67"/>
      <c r="K231" s="104" t="str">
        <f ca="1">IFERROR(INDIRECT(CONCATENATE("Height!$j",C224+7)),"")</f>
        <v/>
      </c>
      <c r="L231" s="104" t="str">
        <f ca="1">IFERROR(INDIRECT(CONCATENATE("Height!$L",C224+7)),"")</f>
        <v/>
      </c>
      <c r="M231" s="286" t="str">
        <f ca="1">IFERROR(VLOOKUP($C222&amp;L231,downloads!$A$1:$E$1000,2,FALSE),"")</f>
        <v/>
      </c>
      <c r="N231" s="64" t="str">
        <f t="shared" ca="1" si="41"/>
        <v/>
      </c>
      <c r="O231" s="109">
        <f ca="1">IFERROR(INDIRECT(CONCATENATE("Height!$Z",C224+7)),"")</f>
        <v>0</v>
      </c>
      <c r="P231" s="147" t="str">
        <f ca="1">IFERROR(IF(OR(O231="",O231=0,O231&lt;A223),"",VLOOKUP(O231,A223:B231,2,TRUE)),9)</f>
        <v/>
      </c>
      <c r="R231" s="66">
        <f ca="1">IFERROR(IF(OR(E231=0,E231="",H231=0,H231="",H231="X"),0,VLOOKUP(D231,INDIRECT(MatchDay!$W$2),2,FALSE)),"")</f>
        <v>0</v>
      </c>
      <c r="S231" s="66">
        <f ca="1">IFERROR(IF(OR(L231=0,L231="",O231=0,O231="",O231="X"),0,VLOOKUP(K231,INDIRECT(MatchDay!$W$2),3,FALSE)),"")</f>
        <v>0</v>
      </c>
    </row>
    <row r="233" spans="1:22" x14ac:dyDescent="0.35">
      <c r="C233" s="98" t="s">
        <v>188</v>
      </c>
      <c r="D233" s="99" t="str">
        <f>IFERROR(VLOOKUP(C233,timetables,2,FALSE)&amp;" "&amp;VLOOKUP(C233,timetables,3,FALSE)&amp;" A","")</f>
        <v>High Jump U15 Boys A</v>
      </c>
      <c r="E233" s="99"/>
      <c r="H233" s="108" t="str">
        <f ca="1">IFERROR(IF(OR(H235=0,H235="",H235="X"),"",IF(H235&gt;C242,"REC",IF(H235=C242,"=Rec",""))),"")</f>
        <v/>
      </c>
      <c r="I233" s="147" t="str">
        <f ca="1">IFERROR(IF(OR(H235=0,H235="",H235="X"),"",IF(H235&gt;C242,"REC",IF(H235=C242,"=Rec",""))),"")</f>
        <v/>
      </c>
      <c r="K233" s="101" t="str">
        <f>IFERROR(VLOOKUP(C233,timetables,2,FALSE)&amp;" "&amp;VLOOKUP(C233,timetables,3,FALSE)&amp;" B","")</f>
        <v>High Jump U15 Boys B</v>
      </c>
      <c r="L233" s="102"/>
      <c r="R233" s="66" t="s">
        <v>53</v>
      </c>
      <c r="S233" s="66" t="s">
        <v>54</v>
      </c>
    </row>
    <row r="234" spans="1:22" x14ac:dyDescent="0.35">
      <c r="A234" s="105">
        <f>IFERROR(VLOOKUP(C233,standards,3,FALSE),"-")</f>
        <v>1.25</v>
      </c>
      <c r="B234" s="419">
        <v>1</v>
      </c>
      <c r="C234" s="79"/>
      <c r="D234" s="45" t="s">
        <v>177</v>
      </c>
      <c r="E234" s="45" t="s">
        <v>118</v>
      </c>
      <c r="F234" s="47" t="s">
        <v>174</v>
      </c>
      <c r="G234" s="47" t="s">
        <v>175</v>
      </c>
      <c r="H234" s="45" t="s">
        <v>176</v>
      </c>
      <c r="I234" s="148" t="s">
        <v>1003</v>
      </c>
      <c r="J234" s="47"/>
      <c r="K234" s="45" t="s">
        <v>177</v>
      </c>
      <c r="L234" s="45" t="s">
        <v>118</v>
      </c>
      <c r="M234" s="47" t="s">
        <v>174</v>
      </c>
      <c r="N234" s="47" t="s">
        <v>175</v>
      </c>
      <c r="O234" s="45" t="s">
        <v>176</v>
      </c>
      <c r="P234" s="148" t="s">
        <v>1003</v>
      </c>
    </row>
    <row r="235" spans="1:22" x14ac:dyDescent="0.35">
      <c r="A235" s="105">
        <f>IFERROR(VLOOKUP(C233,standards,4,FALSE),"-")</f>
        <v>1.3</v>
      </c>
      <c r="B235" s="419">
        <v>2</v>
      </c>
      <c r="C235" s="66">
        <f>IFERROR(VLOOKUP(C233,Height!A:B,2,FALSE),"")</f>
        <v>187</v>
      </c>
      <c r="D235" s="104">
        <f ca="1">IFERROR(INDIRECT(CONCATENATE("Height!$d",C235)),"")</f>
        <v>1</v>
      </c>
      <c r="E235" s="104">
        <f ca="1">IFERROR(INDIRECT(CONCATENATE("Height!$E",C235)),"")</f>
        <v>6</v>
      </c>
      <c r="F235" s="286" t="str">
        <f ca="1">IFERROR(VLOOKUP($C233&amp;E235,downloads!$A$1:$E$1000,2,FALSE),"")</f>
        <v>Jacob HARWOOD-BRETNALL</v>
      </c>
      <c r="G235" s="64" t="str">
        <f t="shared" ref="G235:G241" ca="1" si="42">IFERROR(VLOOKUP(E235,teamlookup,5,FALSE),"")</f>
        <v>Stock</v>
      </c>
      <c r="H235" s="109">
        <f ca="1">IFERROR(INDIRECT(CONCATENATE("Height!$H",C235)),"")</f>
        <v>1.5</v>
      </c>
      <c r="I235" s="147">
        <f ca="1">IFERROR(IF(OR(H235="",H235=0,H235&lt;A234),"",VLOOKUP(H235,A234:B242,2,TRUE)),9)</f>
        <v>6</v>
      </c>
      <c r="J235" s="67"/>
      <c r="K235" s="104">
        <f ca="1">IFERROR(INDIRECT(CONCATENATE("Height!$j",C235)),"")</f>
        <v>1</v>
      </c>
      <c r="L235" s="104">
        <f ca="1">IFERROR(INDIRECT(CONCATENATE("Height!$L",C235)),"")</f>
        <v>44</v>
      </c>
      <c r="M235" s="286" t="str">
        <f ca="1">IFERROR(VLOOKUP($C233&amp;L235,downloads!$A$1:$E$1000,2,FALSE),"")</f>
        <v>Tristan LAMPRECHT</v>
      </c>
      <c r="N235" s="64" t="str">
        <f t="shared" ref="N235:N242" ca="1" si="43">IFERROR(VLOOKUP(L235,teamlookup,5,FALSE),"")</f>
        <v>Macc</v>
      </c>
      <c r="O235" s="109">
        <f ca="1">IFERROR(INDIRECT(CONCATENATE("Height!$Z",C235)),"")</f>
        <v>1.4</v>
      </c>
      <c r="P235" s="147">
        <f ca="1">IFERROR(IF(OR(O235="",O235=0,O235&lt;A234),"",VLOOKUP(O235,A234:B242,2,TRUE)),9)</f>
        <v>4</v>
      </c>
      <c r="R235" s="66">
        <f ca="1">IFERROR(IF(OR(E235=0,E235="",H235=0,H235="",H235="X"),0,VLOOKUP(D235,INDIRECT(MatchDay!$W$2),2,FALSE)),"")</f>
        <v>10</v>
      </c>
      <c r="S235" s="66">
        <f ca="1">IFERROR(IF(OR(L235=0,L235="",O235=0,O235="",O235="X"),0,VLOOKUP(K235,INDIRECT(MatchDay!$W$2),3,FALSE)),"")</f>
        <v>8</v>
      </c>
      <c r="T235" s="168">
        <f ca="1">COUNTIF(E235,"&gt;0")</f>
        <v>1</v>
      </c>
      <c r="U235" s="66">
        <f ca="1">IFERROR(IF(E235&gt;88,1,0),0)</f>
        <v>0</v>
      </c>
    </row>
    <row r="236" spans="1:22" x14ac:dyDescent="0.35">
      <c r="A236" s="105">
        <f>IFERROR(VLOOKUP(C233,standards,5,FALSE),"-")</f>
        <v>1.35</v>
      </c>
      <c r="B236" s="419">
        <v>3</v>
      </c>
      <c r="C236" s="103"/>
      <c r="D236" s="104">
        <f ca="1">IFERROR(INDIRECT(CONCATENATE("Height!$d",C235+1)),"")</f>
        <v>2</v>
      </c>
      <c r="E236" s="104">
        <f ca="1">IFERROR(INDIRECT(CONCATENATE("Height!$E",C235+1)),"")</f>
        <v>3</v>
      </c>
      <c r="F236" s="286" t="str">
        <f ca="1">IFERROR(VLOOKUP($C233&amp;E236,downloads!$A$1:$E$1000,2,FALSE),"")</f>
        <v>Hugo JAMES</v>
      </c>
      <c r="G236" s="64" t="str">
        <f t="shared" ca="1" si="42"/>
        <v>Leigh</v>
      </c>
      <c r="H236" s="109">
        <f ca="1">IFERROR(INDIRECT(CONCATENATE("Height!$H",C235+1)),"")</f>
        <v>1.45</v>
      </c>
      <c r="I236" s="147">
        <f ca="1">IFERROR(IF(OR(H236="",H236=0,H236&lt;A234),"",VLOOKUP(H236,A234:B242,2,TRUE)),9)</f>
        <v>5</v>
      </c>
      <c r="J236" s="67"/>
      <c r="K236" s="104">
        <f ca="1">IFERROR(INDIRECT(CONCATENATE("Height!$j",C235+1)),"")</f>
        <v>2</v>
      </c>
      <c r="L236" s="104">
        <f ca="1">IFERROR(INDIRECT(CONCATENATE("Height!$L",C235+1)),"")</f>
        <v>66</v>
      </c>
      <c r="M236" s="286" t="str">
        <f ca="1">IFERROR(VLOOKUP($C233&amp;L236,downloads!$A$1:$E$1000,2,FALSE),"")</f>
        <v>Campbell JOHNSON</v>
      </c>
      <c r="N236" s="64" t="str">
        <f t="shared" ca="1" si="43"/>
        <v>Stock</v>
      </c>
      <c r="O236" s="109">
        <f ca="1">IFERROR(INDIRECT(CONCATENATE("Height!$Z",C235+1)),"")</f>
        <v>1.35</v>
      </c>
      <c r="P236" s="147">
        <f ca="1">IFERROR(IF(OR(O236="",O236=0,O236&lt;A234),"",VLOOKUP(O236,A234:B242,2,TRUE)),9)</f>
        <v>3</v>
      </c>
      <c r="R236" s="66">
        <f ca="1">IFERROR(IF(OR(E236=0,E236="",H236=0,H236="",H236="X"),0,VLOOKUP(D236,INDIRECT(MatchDay!$W$2),2,FALSE)),"")</f>
        <v>8</v>
      </c>
      <c r="S236" s="66">
        <f ca="1">IFERROR(IF(OR(L236=0,L236="",O236=0,O236="",O236="X"),0,VLOOKUP(K236,INDIRECT(MatchDay!$W$2),3,FALSE)),"")</f>
        <v>6</v>
      </c>
    </row>
    <row r="237" spans="1:22" x14ac:dyDescent="0.35">
      <c r="A237" s="105">
        <f>IFERROR(VLOOKUP(C233,standards,6,FALSE),"-")</f>
        <v>1.4</v>
      </c>
      <c r="B237" s="419">
        <v>4</v>
      </c>
      <c r="C237" s="105"/>
      <c r="D237" s="104">
        <f ca="1">IFERROR(INDIRECT(CONCATENATE("Height!$d",C235+2)),"")</f>
        <v>3</v>
      </c>
      <c r="E237" s="104">
        <f ca="1">IFERROR(INDIRECT(CONCATENATE("Height!$E",C235+2)),"")</f>
        <v>4</v>
      </c>
      <c r="F237" s="286" t="str">
        <f ca="1">IFERROR(VLOOKUP($C233&amp;E237,downloads!$A$1:$E$1000,2,FALSE),"")</f>
        <v>Will HAMMOND</v>
      </c>
      <c r="G237" s="64" t="str">
        <f t="shared" ca="1" si="42"/>
        <v>Macc</v>
      </c>
      <c r="H237" s="109">
        <f ca="1">IFERROR(INDIRECT(CONCATENATE("Height!$H",C235+2)),"")</f>
        <v>1.4</v>
      </c>
      <c r="I237" s="147">
        <f ca="1">IFERROR(IF(OR(H237="",H237=0,H237&lt;A234),"",VLOOKUP(H237,A234:B242,2,TRUE)),9)</f>
        <v>4</v>
      </c>
      <c r="J237" s="67"/>
      <c r="K237" s="104">
        <f ca="1">IFERROR(INDIRECT(CONCATENATE("Height!$j",C235+2)),"")</f>
        <v>3</v>
      </c>
      <c r="L237" s="104">
        <f ca="1">IFERROR(INDIRECT(CONCATENATE("Height!$L",C235+2)),"")</f>
        <v>11</v>
      </c>
      <c r="M237" s="286" t="str">
        <f ca="1">IFERROR(VLOOKUP($C233&amp;L237,downloads!$A$1:$E$1000,2,FALSE),"")</f>
        <v>Sam FIRMAN</v>
      </c>
      <c r="N237" s="64" t="str">
        <f t="shared" ca="1" si="43"/>
        <v>C&amp;N</v>
      </c>
      <c r="O237" s="109">
        <f ca="1">IFERROR(INDIRECT(CONCATENATE("Height!$Z",C235+2)),"")</f>
        <v>1.25</v>
      </c>
      <c r="P237" s="147">
        <f ca="1">IFERROR(IF(OR(O237="",O237=0,O237&lt;A234),"",VLOOKUP(O237,A234:B242,2,TRUE)),9)</f>
        <v>1</v>
      </c>
      <c r="R237" s="66">
        <f ca="1">IFERROR(IF(OR(E237=0,E237="",H237=0,H237="",H237="X"),0,VLOOKUP(D237,INDIRECT(MatchDay!$W$2),2,FALSE)),"")</f>
        <v>7</v>
      </c>
      <c r="S237" s="66">
        <f ca="1">IFERROR(IF(OR(L237=0,L237="",O237=0,O237="",O237="X"),0,VLOOKUP(K237,INDIRECT(MatchDay!$W$2),3,FALSE)),"")</f>
        <v>5</v>
      </c>
      <c r="V237" s="64">
        <v>3</v>
      </c>
    </row>
    <row r="238" spans="1:22" x14ac:dyDescent="0.35">
      <c r="A238" s="105">
        <f>IFERROR(VLOOKUP(C233,standards,7,FALSE),"-")</f>
        <v>1.45</v>
      </c>
      <c r="B238" s="419">
        <v>5</v>
      </c>
      <c r="C238" s="105"/>
      <c r="D238" s="104">
        <f ca="1">IFERROR(INDIRECT(CONCATENATE("Height!$d",C235+3)),"")</f>
        <v>4</v>
      </c>
      <c r="E238" s="104">
        <f ca="1">IFERROR(INDIRECT(CONCATENATE("Height!$E",C235+3)),"")</f>
        <v>1</v>
      </c>
      <c r="F238" s="286" t="str">
        <f ca="1">IFERROR(VLOOKUP($C233&amp;E238,downloads!$A$1:$E$1000,2,FALSE),"")</f>
        <v>William CATTELL</v>
      </c>
      <c r="G238" s="64" t="str">
        <f t="shared" ca="1" si="42"/>
        <v>C&amp;N</v>
      </c>
      <c r="H238" s="109">
        <f ca="1">IFERROR(INDIRECT(CONCATENATE("Height!$H",C235+3)),"")</f>
        <v>1.3</v>
      </c>
      <c r="I238" s="147">
        <f ca="1">IFERROR(IF(OR(H238="",H238=0,H238&lt;A234),"",VLOOKUP(H238,A234:B242,2,TRUE)),9)</f>
        <v>2</v>
      </c>
      <c r="J238" s="67"/>
      <c r="K238" s="104" t="str">
        <f ca="1">IFERROR(INDIRECT(CONCATENATE("Height!$j",C235+3)),"")</f>
        <v/>
      </c>
      <c r="L238" s="104" t="str">
        <f ca="1">IFERROR(INDIRECT(CONCATENATE("Height!$L",C235+3)),"")</f>
        <v/>
      </c>
      <c r="M238" s="286" t="str">
        <f ca="1">IFERROR(VLOOKUP($C233&amp;L238,downloads!$A$1:$E$1000,2,FALSE),"")</f>
        <v/>
      </c>
      <c r="N238" s="64" t="str">
        <f t="shared" ca="1" si="43"/>
        <v/>
      </c>
      <c r="O238" s="109">
        <f ca="1">IFERROR(INDIRECT(CONCATENATE("Height!$Z",C235+3)),"")</f>
        <v>0</v>
      </c>
      <c r="P238" s="147" t="str">
        <f ca="1">IFERROR(IF(OR(O238="",O238=0,O238&lt;A234),"",VLOOKUP(O238,A234:B242,2,TRUE)),9)</f>
        <v/>
      </c>
      <c r="R238" s="66">
        <f ca="1">IFERROR(IF(OR(E238=0,E238="",H238=0,H238="",H238="X"),0,VLOOKUP(D238,INDIRECT(MatchDay!$W$2),2,FALSE)),"")</f>
        <v>6</v>
      </c>
      <c r="S238" s="66">
        <f ca="1">IFERROR(IF(OR(L238=0,L238="",O238=0,O238="",O238="X"),0,VLOOKUP(K238,INDIRECT(MatchDay!$W$2),3,FALSE)),"")</f>
        <v>0</v>
      </c>
      <c r="V238" s="64">
        <v>4</v>
      </c>
    </row>
    <row r="239" spans="1:22" x14ac:dyDescent="0.35">
      <c r="A239" s="105">
        <f>IFERROR(VLOOKUP(C233,standards,8,FALSE),"-")</f>
        <v>1.5</v>
      </c>
      <c r="B239" s="419">
        <v>6</v>
      </c>
      <c r="C239" s="105"/>
      <c r="D239" s="104" t="str">
        <f ca="1">IFERROR(INDIRECT(CONCATENATE("Height!$d",C235+4)),"")</f>
        <v/>
      </c>
      <c r="E239" s="104" t="str">
        <f ca="1">IFERROR(INDIRECT(CONCATENATE("Height!$E",C235+4)),"")</f>
        <v/>
      </c>
      <c r="F239" s="286" t="str">
        <f ca="1">IFERROR(VLOOKUP($C233&amp;E239,downloads!$A$1:$E$1000,2,FALSE),"")</f>
        <v/>
      </c>
      <c r="G239" s="64" t="str">
        <f t="shared" ca="1" si="42"/>
        <v/>
      </c>
      <c r="H239" s="109">
        <f ca="1">IFERROR(INDIRECT(CONCATENATE("Height!$H",C235+4)),"")</f>
        <v>0</v>
      </c>
      <c r="I239" s="147" t="str">
        <f ca="1">IFERROR(IF(OR(H239="",H239=0,H239&lt;A234),"",VLOOKUP(H239,A234:B242,2,TRUE)),9)</f>
        <v/>
      </c>
      <c r="J239" s="67"/>
      <c r="K239" s="104" t="str">
        <f ca="1">IFERROR(INDIRECT(CONCATENATE("Height!$j",C235+4)),"")</f>
        <v/>
      </c>
      <c r="L239" s="104" t="str">
        <f ca="1">IFERROR(INDIRECT(CONCATENATE("Height!$L",C235+4)),"")</f>
        <v/>
      </c>
      <c r="M239" s="286" t="str">
        <f ca="1">IFERROR(VLOOKUP($C233&amp;L239,downloads!$A$1:$E$1000,2,FALSE),"")</f>
        <v/>
      </c>
      <c r="N239" s="64" t="str">
        <f t="shared" ca="1" si="43"/>
        <v/>
      </c>
      <c r="O239" s="109">
        <f ca="1">IFERROR(INDIRECT(CONCATENATE("Height!$Z",C235+4)),"")</f>
        <v>0</v>
      </c>
      <c r="P239" s="147" t="str">
        <f ca="1">IFERROR(IF(OR(O239="",O239=0,O239&lt;A234),"",VLOOKUP(O239,A234:B242,2,TRUE)),9)</f>
        <v/>
      </c>
      <c r="R239" s="66">
        <f ca="1">IFERROR(IF(OR(E239=0,E239="",H239=0,H239="",H239="X"),0,VLOOKUP(D239,INDIRECT(MatchDay!$W$2),2,FALSE)),"")</f>
        <v>0</v>
      </c>
      <c r="S239" s="66">
        <f ca="1">IFERROR(IF(OR(L239=0,L239="",O239=0,O239="",O239="X"),0,VLOOKUP(K239,INDIRECT(MatchDay!$W$2),3,FALSE)),"")</f>
        <v>0</v>
      </c>
      <c r="V239" s="64">
        <v>5</v>
      </c>
    </row>
    <row r="240" spans="1:22" x14ac:dyDescent="0.35">
      <c r="A240" s="105">
        <f>IFERROR(VLOOKUP(C233,standards,9,FALSE),"-")</f>
        <v>1.55</v>
      </c>
      <c r="B240" s="419">
        <v>7</v>
      </c>
      <c r="C240" s="105"/>
      <c r="D240" s="104" t="str">
        <f ca="1">IFERROR(INDIRECT(CONCATENATE("Height!$d",C235+5)),"")</f>
        <v/>
      </c>
      <c r="E240" s="104" t="str">
        <f ca="1">IFERROR(INDIRECT(CONCATENATE("Height!$E",C235+5)),"")</f>
        <v/>
      </c>
      <c r="F240" s="286" t="str">
        <f ca="1">IFERROR(VLOOKUP($C233&amp;E240,downloads!$A$1:$E$1000,2,FALSE),"")</f>
        <v/>
      </c>
      <c r="G240" s="64" t="str">
        <f t="shared" ca="1" si="42"/>
        <v/>
      </c>
      <c r="H240" s="109">
        <f ca="1">IFERROR(INDIRECT(CONCATENATE("Height!$H",C235+5)),"")</f>
        <v>0</v>
      </c>
      <c r="I240" s="147" t="str">
        <f ca="1">IFERROR(IF(OR(H240="",H240=0,H240&lt;A234),"",VLOOKUP(H240,A234:B242,2,TRUE)),9)</f>
        <v/>
      </c>
      <c r="J240" s="67"/>
      <c r="K240" s="104" t="str">
        <f ca="1">IFERROR(INDIRECT(CONCATENATE("Height!$j",C235+5)),"")</f>
        <v/>
      </c>
      <c r="L240" s="104" t="str">
        <f ca="1">IFERROR(INDIRECT(CONCATENATE("Height!$L",C235+5)),"")</f>
        <v/>
      </c>
      <c r="M240" s="286" t="str">
        <f ca="1">IFERROR(VLOOKUP($C233&amp;L240,downloads!$A$1:$E$1000,2,FALSE),"")</f>
        <v/>
      </c>
      <c r="N240" s="64" t="str">
        <f t="shared" ca="1" si="43"/>
        <v/>
      </c>
      <c r="O240" s="109">
        <f ca="1">IFERROR(INDIRECT(CONCATENATE("Height!$Z",C235+5)),"")</f>
        <v>0</v>
      </c>
      <c r="P240" s="147" t="str">
        <f ca="1">IFERROR(IF(OR(O240="",O240=0,O240&lt;A234),"",VLOOKUP(O240,A234:B242,2,TRUE)),9)</f>
        <v/>
      </c>
      <c r="R240" s="66">
        <f ca="1">IFERROR(IF(OR(E240=0,E240="",H240=0,H240="",H240="X"),0,VLOOKUP(D240,INDIRECT(MatchDay!$W$2),2,FALSE)),"")</f>
        <v>0</v>
      </c>
      <c r="S240" s="66">
        <f ca="1">IFERROR(IF(OR(L240=0,L240="",O240=0,O240="",O240="X"),0,VLOOKUP(K240,INDIRECT(MatchDay!$W$2),3,FALSE)),"")</f>
        <v>0</v>
      </c>
      <c r="V240" s="64">
        <v>6</v>
      </c>
    </row>
    <row r="241" spans="1:19" x14ac:dyDescent="0.35">
      <c r="A241" s="105">
        <f>IFERROR(VLOOKUP(C233,standards,10,FALSE),"-")</f>
        <v>1.61</v>
      </c>
      <c r="B241" s="419">
        <v>8</v>
      </c>
      <c r="C241" s="103" t="s">
        <v>151</v>
      </c>
      <c r="D241" s="104" t="str">
        <f ca="1">IFERROR(INDIRECT(CONCATENATE("Height!$d",C235+6)),"")</f>
        <v/>
      </c>
      <c r="E241" s="104" t="str">
        <f ca="1">IFERROR(INDIRECT(CONCATENATE("Height!$E",C235+6)),"")</f>
        <v/>
      </c>
      <c r="F241" s="286" t="str">
        <f ca="1">IFERROR(VLOOKUP($C233&amp;E241,downloads!$A$1:$E$1000,2,FALSE),"")</f>
        <v/>
      </c>
      <c r="G241" s="64" t="str">
        <f t="shared" ca="1" si="42"/>
        <v/>
      </c>
      <c r="H241" s="109">
        <f ca="1">IFERROR(INDIRECT(CONCATENATE("Height!$H",C235+6)),"")</f>
        <v>0</v>
      </c>
      <c r="I241" s="147" t="str">
        <f ca="1">IFERROR(IF(OR(H241="",H241=0,H241&lt;A234),"",VLOOKUP(H241,A234:B242,2,TRUE)),9)</f>
        <v/>
      </c>
      <c r="J241" s="67"/>
      <c r="K241" s="104" t="str">
        <f ca="1">IFERROR(INDIRECT(CONCATENATE("Height!$j",C235+6)),"")</f>
        <v/>
      </c>
      <c r="L241" s="104" t="str">
        <f ca="1">IFERROR(INDIRECT(CONCATENATE("Height!$L",C235+6)),"")</f>
        <v/>
      </c>
      <c r="M241" s="286" t="str">
        <f ca="1">IFERROR(VLOOKUP($C233&amp;L241,downloads!$A$1:$E$1000,2,FALSE),"")</f>
        <v/>
      </c>
      <c r="N241" s="64" t="str">
        <f t="shared" ca="1" si="43"/>
        <v/>
      </c>
      <c r="O241" s="109">
        <f ca="1">IFERROR(INDIRECT(CONCATENATE("Height!$Z",C235+6)),"")</f>
        <v>0</v>
      </c>
      <c r="P241" s="147" t="str">
        <f ca="1">IFERROR(IF(OR(O241="",O241=0,O241&lt;A234),"",VLOOKUP(O241,A234:B242,2,TRUE)),9)</f>
        <v/>
      </c>
      <c r="R241" s="66">
        <f ca="1">IFERROR(IF(OR(E241=0,E241="",H241=0,H241="",H241="X"),0,VLOOKUP(D241,INDIRECT(MatchDay!$W$2),2,FALSE)),"")</f>
        <v>0</v>
      </c>
      <c r="S241" s="66">
        <f ca="1">IFERROR(IF(OR(L241=0,L241="",O241=0,O241="",O241="X"),0,VLOOKUP(K241,INDIRECT(MatchDay!$W$2),3,FALSE)),"")</f>
        <v>0</v>
      </c>
    </row>
    <row r="242" spans="1:19" x14ac:dyDescent="0.35">
      <c r="A242" s="105">
        <f>IFERROR(VLOOKUP(C233,standards,11,FALSE),"-")</f>
        <v>1.67</v>
      </c>
      <c r="B242" s="419">
        <v>9</v>
      </c>
      <c r="C242" s="103">
        <f>IFERROR(VLOOKUP(C233,records,5,FALSE),"")</f>
        <v>1.93</v>
      </c>
      <c r="D242" s="104" t="str">
        <f ca="1">IFERROR(INDIRECT(CONCATENATE("Height!$d",C235+7)),"")</f>
        <v/>
      </c>
      <c r="E242" s="104" t="str">
        <f ca="1">IFERROR(INDIRECT(CONCATENATE("Height!$E",C235+7)),"")</f>
        <v/>
      </c>
      <c r="F242" s="286" t="str">
        <f ca="1">IFERROR(VLOOKUP($C233&amp;E242,downloads!$A$1:$E$1000,2,FALSE),"")</f>
        <v/>
      </c>
      <c r="G242" s="64" t="str">
        <f t="shared" ref="G242" ca="1" si="44">IFERROR(VLOOKUP(E242,teamlookup,5,FALSE),"")</f>
        <v/>
      </c>
      <c r="H242" s="109">
        <f ca="1">IFERROR(INDIRECT(CONCATENATE("Height!$H",C235+7)),"")</f>
        <v>0</v>
      </c>
      <c r="I242" s="147" t="str">
        <f ca="1">IFERROR(IF(OR(H242="",H242=0,H242&lt;A234),"",VLOOKUP(H242,A234:B242,2,TRUE)),9)</f>
        <v/>
      </c>
      <c r="J242" s="67"/>
      <c r="K242" s="104" t="str">
        <f ca="1">IFERROR(INDIRECT(CONCATENATE("Height!$j",C235+7)),"")</f>
        <v/>
      </c>
      <c r="L242" s="104" t="str">
        <f ca="1">IFERROR(INDIRECT(CONCATENATE("Height!$L",C235+7)),"")</f>
        <v/>
      </c>
      <c r="M242" s="286" t="str">
        <f ca="1">IFERROR(VLOOKUP($C233&amp;L242,downloads!$A$1:$E$1000,2,FALSE),"")</f>
        <v/>
      </c>
      <c r="N242" s="64" t="str">
        <f t="shared" ca="1" si="43"/>
        <v/>
      </c>
      <c r="O242" s="109">
        <f ca="1">IFERROR(INDIRECT(CONCATENATE("Height!$Z",C235+7)),"")</f>
        <v>0</v>
      </c>
      <c r="P242" s="147" t="str">
        <f ca="1">IFERROR(IF(OR(O242="",O242=0,O242&lt;A234),"",VLOOKUP(O242,A234:B242,2,TRUE)),9)</f>
        <v/>
      </c>
      <c r="R242" s="66">
        <f ca="1">IFERROR(IF(OR(E242=0,E242="",H242=0,H242="",H242="X"),0,VLOOKUP(D242,INDIRECT(MatchDay!$W$2),2,FALSE)),"")</f>
        <v>0</v>
      </c>
      <c r="S242" s="66">
        <f ca="1">IFERROR(IF(OR(L242=0,L242="",O242=0,O242="",O242="X"),0,VLOOKUP(K242,INDIRECT(MatchDay!$W$2),3,FALSE)),"")</f>
        <v>0</v>
      </c>
    </row>
  </sheetData>
  <sheetProtection algorithmName="SHA-512" hashValue="OA+bFEWmhcnn7x6xT4GaH60TPGdvFggew/k+cAv50L5qrvU0hGKWQMngnuCrYHeTD6a72j5xv8PI263lF/bG1Q==" saltValue="6aTMoExXdO23NRT9zlw9RA==" spinCount="100000" sheet="1" objects="1" scenarios="1" formatCells="0" formatColumns="0" formatRows="0" sort="0" autoFilter="0"/>
  <autoFilter ref="D1:D242" xr:uid="{00000000-0009-0000-0000-00000E000000}"/>
  <mergeCells count="1">
    <mergeCell ref="N1:O1"/>
  </mergeCells>
  <printOptions horizontalCentered="1"/>
  <pageMargins left="0.31496062992125984" right="0.31496062992125984" top="0.98425196850393704" bottom="0.74803149606299213" header="0.31496062992125984" footer="0.31496062992125984"/>
  <pageSetup paperSize="9" scale="98" orientation="portrait" r:id="rId1"/>
  <headerFooter>
    <oddHeader>&amp;L&amp;G&amp;CUK ATHLETICS :: YOUTH DEVELOPMENT LEAGUE 2023&amp;R&amp;"+,Regular"&amp;U&amp;A</oddHeader>
    <oddFooter>&amp;L&amp;9&amp;D &amp;T&amp;C&amp;G&amp;R&amp;9Page &amp;P of &amp;N</oddFooter>
  </headerFooter>
  <rowBreaks count="5" manualBreakCount="5">
    <brk id="45" min="3" max="15" man="1"/>
    <brk id="89" min="3" max="15" man="1"/>
    <brk id="133" min="3" max="15" man="1"/>
    <brk id="177" min="3" max="15" man="1"/>
    <brk id="221" min="3" max="15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1"/>
  <dimension ref="A1:I127"/>
  <sheetViews>
    <sheetView topLeftCell="A103" workbookViewId="0">
      <selection activeCell="I122" sqref="I122"/>
    </sheetView>
  </sheetViews>
  <sheetFormatPr defaultColWidth="8.7109375" defaultRowHeight="15" x14ac:dyDescent="0.3"/>
  <cols>
    <col min="1" max="1" width="8.7109375" style="59"/>
    <col min="2" max="2" width="8.7109375" style="62"/>
    <col min="3" max="4" width="8.7109375" style="63"/>
    <col min="5" max="16384" width="8.7109375" style="59"/>
  </cols>
  <sheetData>
    <row r="1" spans="1:9" x14ac:dyDescent="0.3">
      <c r="B1" s="60">
        <v>5</v>
      </c>
      <c r="C1" s="61" t="s">
        <v>53</v>
      </c>
      <c r="D1" s="61" t="s">
        <v>54</v>
      </c>
      <c r="H1" s="62" t="s">
        <v>55</v>
      </c>
      <c r="I1" s="62"/>
    </row>
    <row r="2" spans="1:9" x14ac:dyDescent="0.3">
      <c r="A2" s="59">
        <v>1</v>
      </c>
      <c r="B2" s="62">
        <v>1</v>
      </c>
      <c r="C2" s="63">
        <v>8</v>
      </c>
      <c r="D2" s="63">
        <v>6</v>
      </c>
      <c r="H2" s="62">
        <v>3</v>
      </c>
      <c r="I2" s="62">
        <v>4</v>
      </c>
    </row>
    <row r="3" spans="1:9" x14ac:dyDescent="0.3">
      <c r="A3" s="59">
        <v>1</v>
      </c>
      <c r="B3" s="62">
        <v>2</v>
      </c>
      <c r="C3" s="63">
        <v>6</v>
      </c>
      <c r="D3" s="63">
        <v>4</v>
      </c>
      <c r="H3" s="62">
        <v>4</v>
      </c>
      <c r="I3" s="62">
        <v>3</v>
      </c>
    </row>
    <row r="4" spans="1:9" x14ac:dyDescent="0.3">
      <c r="A4" s="59">
        <v>1</v>
      </c>
      <c r="B4" s="62">
        <v>3</v>
      </c>
      <c r="C4" s="63">
        <v>5</v>
      </c>
      <c r="D4" s="63">
        <v>3</v>
      </c>
      <c r="H4" s="62">
        <v>5</v>
      </c>
      <c r="I4" s="62">
        <v>2</v>
      </c>
    </row>
    <row r="5" spans="1:9" x14ac:dyDescent="0.3">
      <c r="A5" s="59">
        <v>1</v>
      </c>
      <c r="B5" s="62">
        <v>4</v>
      </c>
      <c r="C5" s="63">
        <v>4</v>
      </c>
      <c r="D5" s="63">
        <v>2</v>
      </c>
      <c r="H5" s="62">
        <v>6</v>
      </c>
      <c r="I5" s="62">
        <v>1</v>
      </c>
    </row>
    <row r="6" spans="1:9" x14ac:dyDescent="0.3">
      <c r="A6" s="59">
        <v>1</v>
      </c>
      <c r="B6" s="62">
        <v>5</v>
      </c>
      <c r="C6" s="63">
        <v>3</v>
      </c>
      <c r="D6" s="63">
        <v>1</v>
      </c>
    </row>
    <row r="7" spans="1:9" x14ac:dyDescent="0.3">
      <c r="A7" s="59">
        <f>IFERROR(LEN(B7)-SEARCH("=",B7)+2,0)</f>
        <v>2</v>
      </c>
      <c r="B7" s="62" t="s">
        <v>196</v>
      </c>
      <c r="C7" s="63">
        <f>SUM(C$2:C3)/$A7</f>
        <v>7</v>
      </c>
      <c r="D7" s="63">
        <f>SUM(D$2:D3)/$A7</f>
        <v>5</v>
      </c>
      <c r="H7" s="62">
        <v>2</v>
      </c>
      <c r="I7" s="62">
        <v>1</v>
      </c>
    </row>
    <row r="8" spans="1:9" x14ac:dyDescent="0.3">
      <c r="A8" s="59">
        <f t="shared" ref="A8:A16" si="0">IFERROR(LEN(B8)-SEARCH("=",B8)+2,0)</f>
        <v>3</v>
      </c>
      <c r="B8" s="62" t="s">
        <v>197</v>
      </c>
      <c r="C8" s="63">
        <f>SUM(C$2:C4)/$A8</f>
        <v>6.333333333333333</v>
      </c>
      <c r="D8" s="63">
        <f>SUM(D$2:D4)/$A8</f>
        <v>4.333333333333333</v>
      </c>
      <c r="H8" s="62">
        <v>3</v>
      </c>
      <c r="I8" s="62">
        <v>2</v>
      </c>
    </row>
    <row r="9" spans="1:9" x14ac:dyDescent="0.3">
      <c r="A9" s="59">
        <f t="shared" si="0"/>
        <v>4</v>
      </c>
      <c r="B9" s="62" t="s">
        <v>198</v>
      </c>
      <c r="C9" s="63">
        <f>SUM(C$2:C5)/$A9</f>
        <v>5.75</v>
      </c>
      <c r="D9" s="63">
        <f>SUM(D$2:D5)/$A9</f>
        <v>3.75</v>
      </c>
      <c r="H9" s="62">
        <v>4</v>
      </c>
      <c r="I9" s="62">
        <v>3</v>
      </c>
    </row>
    <row r="10" spans="1:9" x14ac:dyDescent="0.3">
      <c r="A10" s="59">
        <f t="shared" si="0"/>
        <v>5</v>
      </c>
      <c r="B10" s="62" t="s">
        <v>199</v>
      </c>
      <c r="C10" s="63">
        <f>SUM(C$2:C6)/$A10</f>
        <v>5.2</v>
      </c>
      <c r="D10" s="63">
        <f>SUM(D$2:D6)/$A10</f>
        <v>3.2</v>
      </c>
      <c r="H10" s="62">
        <v>5</v>
      </c>
      <c r="I10" s="62">
        <v>4</v>
      </c>
    </row>
    <row r="11" spans="1:9" x14ac:dyDescent="0.3">
      <c r="A11" s="59">
        <f t="shared" si="0"/>
        <v>2</v>
      </c>
      <c r="B11" s="62" t="s">
        <v>220</v>
      </c>
      <c r="C11" s="63">
        <f>SUM(C$3:C4)/$A11</f>
        <v>5.5</v>
      </c>
      <c r="D11" s="63">
        <f>SUM(D$3:D4)/$A11</f>
        <v>3.5</v>
      </c>
      <c r="H11" s="62"/>
    </row>
    <row r="12" spans="1:9" x14ac:dyDescent="0.3">
      <c r="A12" s="59">
        <f t="shared" si="0"/>
        <v>3</v>
      </c>
      <c r="B12" s="62" t="s">
        <v>221</v>
      </c>
      <c r="C12" s="63">
        <f>SUM(C$3:C5)/$A12</f>
        <v>5</v>
      </c>
      <c r="D12" s="63">
        <f>SUM(D$3:D5)/$A12</f>
        <v>3</v>
      </c>
    </row>
    <row r="13" spans="1:9" x14ac:dyDescent="0.3">
      <c r="A13" s="59">
        <f t="shared" si="0"/>
        <v>4</v>
      </c>
      <c r="B13" s="62" t="s">
        <v>222</v>
      </c>
      <c r="C13" s="63">
        <f>SUM(C$3:C6)/$A13</f>
        <v>4.5</v>
      </c>
      <c r="D13" s="63">
        <f>SUM(D$3:D6)/$A13</f>
        <v>2.5</v>
      </c>
    </row>
    <row r="14" spans="1:9" x14ac:dyDescent="0.3">
      <c r="A14" s="59">
        <f t="shared" si="0"/>
        <v>2</v>
      </c>
      <c r="B14" s="62" t="s">
        <v>223</v>
      </c>
      <c r="C14" s="63">
        <f>SUM(C$4:C5)/$A14</f>
        <v>4.5</v>
      </c>
      <c r="D14" s="63">
        <f>SUM(D$4:D5)/$A14</f>
        <v>2.5</v>
      </c>
    </row>
    <row r="15" spans="1:9" x14ac:dyDescent="0.3">
      <c r="A15" s="59">
        <f t="shared" si="0"/>
        <v>3</v>
      </c>
      <c r="B15" s="62" t="s">
        <v>224</v>
      </c>
      <c r="C15" s="63">
        <f>SUM(C$4:C6)/$A15</f>
        <v>4</v>
      </c>
      <c r="D15" s="63">
        <f>SUM(D$4:D6)/$A15</f>
        <v>2</v>
      </c>
    </row>
    <row r="16" spans="1:9" x14ac:dyDescent="0.3">
      <c r="A16" s="59">
        <f t="shared" si="0"/>
        <v>2</v>
      </c>
      <c r="B16" s="62" t="s">
        <v>225</v>
      </c>
      <c r="C16" s="63">
        <f>SUM(C$5:C6)/$A16</f>
        <v>3.5</v>
      </c>
      <c r="D16" s="63">
        <f>SUM(D$5:D6)/$A16</f>
        <v>1.5</v>
      </c>
    </row>
    <row r="18" spans="1:4" x14ac:dyDescent="0.3">
      <c r="B18" s="60">
        <v>6</v>
      </c>
      <c r="C18" s="61" t="s">
        <v>53</v>
      </c>
      <c r="D18" s="61" t="s">
        <v>54</v>
      </c>
    </row>
    <row r="19" spans="1:4" x14ac:dyDescent="0.3">
      <c r="A19" s="59">
        <v>1</v>
      </c>
      <c r="B19" s="62">
        <v>1</v>
      </c>
      <c r="C19" s="63">
        <v>9</v>
      </c>
      <c r="D19" s="63">
        <v>7</v>
      </c>
    </row>
    <row r="20" spans="1:4" x14ac:dyDescent="0.3">
      <c r="A20" s="59">
        <v>1</v>
      </c>
      <c r="B20" s="62">
        <v>2</v>
      </c>
      <c r="C20" s="63">
        <v>7</v>
      </c>
      <c r="D20" s="63">
        <v>5</v>
      </c>
    </row>
    <row r="21" spans="1:4" x14ac:dyDescent="0.3">
      <c r="A21" s="59">
        <v>1</v>
      </c>
      <c r="B21" s="62">
        <v>3</v>
      </c>
      <c r="C21" s="63">
        <v>6</v>
      </c>
      <c r="D21" s="63">
        <v>4</v>
      </c>
    </row>
    <row r="22" spans="1:4" x14ac:dyDescent="0.3">
      <c r="A22" s="59">
        <v>1</v>
      </c>
      <c r="B22" s="62">
        <v>4</v>
      </c>
      <c r="C22" s="63">
        <v>5</v>
      </c>
      <c r="D22" s="63">
        <v>3</v>
      </c>
    </row>
    <row r="23" spans="1:4" x14ac:dyDescent="0.3">
      <c r="A23" s="59">
        <v>1</v>
      </c>
      <c r="B23" s="62">
        <v>5</v>
      </c>
      <c r="C23" s="63">
        <v>4</v>
      </c>
      <c r="D23" s="63">
        <v>2</v>
      </c>
    </row>
    <row r="24" spans="1:4" x14ac:dyDescent="0.3">
      <c r="A24" s="59">
        <v>1</v>
      </c>
      <c r="B24" s="62">
        <v>6</v>
      </c>
      <c r="C24" s="63">
        <v>3</v>
      </c>
      <c r="D24" s="63">
        <v>1</v>
      </c>
    </row>
    <row r="25" spans="1:4" x14ac:dyDescent="0.3">
      <c r="A25" s="59">
        <f>IFERROR(LEN(B25)-SEARCH("=",B25)+2,0)</f>
        <v>2</v>
      </c>
      <c r="B25" s="62" t="s">
        <v>196</v>
      </c>
      <c r="C25" s="63">
        <f>SUM(C$19:C20)/$A25</f>
        <v>8</v>
      </c>
      <c r="D25" s="63">
        <f>SUM(D$19:D20)/$A25</f>
        <v>6</v>
      </c>
    </row>
    <row r="26" spans="1:4" x14ac:dyDescent="0.3">
      <c r="A26" s="59">
        <f t="shared" ref="A26:A39" si="1">IFERROR(LEN(B26)-SEARCH("=",B26)+2,0)</f>
        <v>3</v>
      </c>
      <c r="B26" s="62" t="s">
        <v>197</v>
      </c>
      <c r="C26" s="63">
        <f>SUM(C$19:C21)/$A26</f>
        <v>7.333333333333333</v>
      </c>
      <c r="D26" s="63">
        <f>SUM(D$19:D21)/$A26</f>
        <v>5.333333333333333</v>
      </c>
    </row>
    <row r="27" spans="1:4" x14ac:dyDescent="0.3">
      <c r="A27" s="59">
        <f t="shared" si="1"/>
        <v>4</v>
      </c>
      <c r="B27" s="62" t="s">
        <v>198</v>
      </c>
      <c r="C27" s="63">
        <f>SUM(C$19:C22)/$A27</f>
        <v>6.75</v>
      </c>
      <c r="D27" s="63">
        <f>SUM(D$19:D22)/$A27</f>
        <v>4.75</v>
      </c>
    </row>
    <row r="28" spans="1:4" x14ac:dyDescent="0.3">
      <c r="A28" s="59">
        <f t="shared" si="1"/>
        <v>5</v>
      </c>
      <c r="B28" s="62" t="s">
        <v>199</v>
      </c>
      <c r="C28" s="63">
        <f>SUM(C$19:C23)/$A28</f>
        <v>6.2</v>
      </c>
      <c r="D28" s="63">
        <f>SUM(D$19:D23)/$A28</f>
        <v>4.2</v>
      </c>
    </row>
    <row r="29" spans="1:4" x14ac:dyDescent="0.3">
      <c r="A29" s="59">
        <f t="shared" si="1"/>
        <v>6</v>
      </c>
      <c r="B29" s="62" t="s">
        <v>226</v>
      </c>
      <c r="C29" s="63">
        <f>SUM(C$19:C24)/$A29</f>
        <v>5.666666666666667</v>
      </c>
      <c r="D29" s="63">
        <f>SUM(D$19:D24)/$A29</f>
        <v>3.6666666666666665</v>
      </c>
    </row>
    <row r="30" spans="1:4" x14ac:dyDescent="0.3">
      <c r="A30" s="59">
        <f t="shared" si="1"/>
        <v>2</v>
      </c>
      <c r="B30" s="62" t="s">
        <v>220</v>
      </c>
      <c r="C30" s="63">
        <f>SUM(C$20:C21)/$A30</f>
        <v>6.5</v>
      </c>
      <c r="D30" s="63">
        <f>SUM(D$20:D21)/$A30</f>
        <v>4.5</v>
      </c>
    </row>
    <row r="31" spans="1:4" x14ac:dyDescent="0.3">
      <c r="A31" s="59">
        <f t="shared" si="1"/>
        <v>3</v>
      </c>
      <c r="B31" s="62" t="s">
        <v>221</v>
      </c>
      <c r="C31" s="63">
        <f>SUM(C$20:C22)/$A31</f>
        <v>6</v>
      </c>
      <c r="D31" s="63">
        <f>SUM(D$20:D22)/$A31</f>
        <v>4</v>
      </c>
    </row>
    <row r="32" spans="1:4" x14ac:dyDescent="0.3">
      <c r="A32" s="59">
        <f t="shared" si="1"/>
        <v>4</v>
      </c>
      <c r="B32" s="62" t="s">
        <v>222</v>
      </c>
      <c r="C32" s="63">
        <f>SUM(C$20:C23)/$A32</f>
        <v>5.5</v>
      </c>
      <c r="D32" s="63">
        <f>SUM(D$20:D23)/$A32</f>
        <v>3.5</v>
      </c>
    </row>
    <row r="33" spans="1:4" x14ac:dyDescent="0.3">
      <c r="A33" s="59">
        <f t="shared" si="1"/>
        <v>5</v>
      </c>
      <c r="B33" s="62" t="s">
        <v>227</v>
      </c>
      <c r="C33" s="63">
        <f>SUM(C$20:C24)/$A33</f>
        <v>5</v>
      </c>
      <c r="D33" s="63">
        <f>SUM(D$20:D24)/$A33</f>
        <v>3</v>
      </c>
    </row>
    <row r="34" spans="1:4" x14ac:dyDescent="0.3">
      <c r="A34" s="59">
        <f t="shared" si="1"/>
        <v>2</v>
      </c>
      <c r="B34" s="62" t="s">
        <v>223</v>
      </c>
      <c r="C34" s="63">
        <f>SUM(C$21:C22)/$A34</f>
        <v>5.5</v>
      </c>
      <c r="D34" s="63">
        <f>SUM(D$21:D22)/$A34</f>
        <v>3.5</v>
      </c>
    </row>
    <row r="35" spans="1:4" x14ac:dyDescent="0.3">
      <c r="A35" s="59">
        <f t="shared" si="1"/>
        <v>3</v>
      </c>
      <c r="B35" s="62" t="s">
        <v>224</v>
      </c>
      <c r="C35" s="63">
        <f>SUM(C$21:C23)/$A35</f>
        <v>5</v>
      </c>
      <c r="D35" s="63">
        <f>SUM(D$21:D23)/$A35</f>
        <v>3</v>
      </c>
    </row>
    <row r="36" spans="1:4" x14ac:dyDescent="0.3">
      <c r="A36" s="59">
        <f t="shared" si="1"/>
        <v>4</v>
      </c>
      <c r="B36" s="62" t="s">
        <v>228</v>
      </c>
      <c r="C36" s="63">
        <f>SUM(C$21:C24)/$A36</f>
        <v>4.5</v>
      </c>
      <c r="D36" s="63">
        <f>SUM(D$21:D24)/$A36</f>
        <v>2.5</v>
      </c>
    </row>
    <row r="37" spans="1:4" x14ac:dyDescent="0.3">
      <c r="A37" s="59">
        <f t="shared" si="1"/>
        <v>2</v>
      </c>
      <c r="B37" s="62" t="s">
        <v>225</v>
      </c>
      <c r="C37" s="63">
        <f>SUM(C$22:C23)/$A37</f>
        <v>4.5</v>
      </c>
      <c r="D37" s="63">
        <f>SUM(D$22:D23)/$A37</f>
        <v>2.5</v>
      </c>
    </row>
    <row r="38" spans="1:4" x14ac:dyDescent="0.3">
      <c r="A38" s="59">
        <f t="shared" si="1"/>
        <v>3</v>
      </c>
      <c r="B38" s="62" t="s">
        <v>229</v>
      </c>
      <c r="C38" s="63">
        <f>SUM(C$22:C24)/$A38</f>
        <v>4</v>
      </c>
      <c r="D38" s="63">
        <f>SUM(D$22:D24)/$A38</f>
        <v>2</v>
      </c>
    </row>
    <row r="39" spans="1:4" x14ac:dyDescent="0.3">
      <c r="A39" s="59">
        <f t="shared" si="1"/>
        <v>2</v>
      </c>
      <c r="B39" s="62" t="s">
        <v>230</v>
      </c>
      <c r="C39" s="63">
        <f>SUM(C$23:C24)/$A39</f>
        <v>3.5</v>
      </c>
      <c r="D39" s="63">
        <f>SUM(D$23:D24)/$A39</f>
        <v>1.5</v>
      </c>
    </row>
    <row r="41" spans="1:4" x14ac:dyDescent="0.3">
      <c r="B41" s="60">
        <v>7</v>
      </c>
      <c r="C41" s="61" t="s">
        <v>53</v>
      </c>
      <c r="D41" s="61" t="s">
        <v>54</v>
      </c>
    </row>
    <row r="42" spans="1:4" x14ac:dyDescent="0.3">
      <c r="A42" s="59">
        <v>1</v>
      </c>
      <c r="B42" s="62">
        <v>1</v>
      </c>
      <c r="C42" s="63">
        <v>10</v>
      </c>
      <c r="D42" s="63">
        <v>8</v>
      </c>
    </row>
    <row r="43" spans="1:4" x14ac:dyDescent="0.3">
      <c r="A43" s="59">
        <v>1</v>
      </c>
      <c r="B43" s="62">
        <v>2</v>
      </c>
      <c r="C43" s="63">
        <v>8</v>
      </c>
      <c r="D43" s="63">
        <v>6</v>
      </c>
    </row>
    <row r="44" spans="1:4" x14ac:dyDescent="0.3">
      <c r="A44" s="59">
        <v>1</v>
      </c>
      <c r="B44" s="62">
        <v>3</v>
      </c>
      <c r="C44" s="63">
        <v>7</v>
      </c>
      <c r="D44" s="63">
        <v>5</v>
      </c>
    </row>
    <row r="45" spans="1:4" x14ac:dyDescent="0.3">
      <c r="A45" s="59">
        <v>1</v>
      </c>
      <c r="B45" s="62">
        <v>4</v>
      </c>
      <c r="C45" s="63">
        <v>6</v>
      </c>
      <c r="D45" s="63">
        <v>4</v>
      </c>
    </row>
    <row r="46" spans="1:4" x14ac:dyDescent="0.3">
      <c r="A46" s="59">
        <v>1</v>
      </c>
      <c r="B46" s="62">
        <v>5</v>
      </c>
      <c r="C46" s="63">
        <v>5</v>
      </c>
      <c r="D46" s="63">
        <v>3</v>
      </c>
    </row>
    <row r="47" spans="1:4" x14ac:dyDescent="0.3">
      <c r="A47" s="59">
        <v>1</v>
      </c>
      <c r="B47" s="62">
        <v>6</v>
      </c>
      <c r="C47" s="63">
        <v>4</v>
      </c>
      <c r="D47" s="63">
        <v>2</v>
      </c>
    </row>
    <row r="48" spans="1:4" x14ac:dyDescent="0.3">
      <c r="A48" s="59">
        <v>1</v>
      </c>
      <c r="B48" s="62">
        <v>7</v>
      </c>
      <c r="C48" s="63">
        <v>3</v>
      </c>
      <c r="D48" s="63">
        <v>1</v>
      </c>
    </row>
    <row r="49" spans="1:4" x14ac:dyDescent="0.3">
      <c r="A49" s="59">
        <f>IFERROR(LEN(B49)-SEARCH("=",B49)+2,0)</f>
        <v>2</v>
      </c>
      <c r="B49" s="62" t="s">
        <v>196</v>
      </c>
      <c r="C49" s="63">
        <f>SUM(C$42:C43)/$A49</f>
        <v>9</v>
      </c>
      <c r="D49" s="63">
        <f>SUM(D$42:D43)/$A49</f>
        <v>7</v>
      </c>
    </row>
    <row r="50" spans="1:4" x14ac:dyDescent="0.3">
      <c r="A50" s="59">
        <f t="shared" ref="A50:A69" si="2">IFERROR(LEN(B50)-SEARCH("=",B50)+2,0)</f>
        <v>3</v>
      </c>
      <c r="B50" s="62" t="s">
        <v>197</v>
      </c>
      <c r="C50" s="63">
        <f>SUM(C$42:C44)/$A50</f>
        <v>8.3333333333333339</v>
      </c>
      <c r="D50" s="63">
        <f>SUM(D$42:D44)/$A50</f>
        <v>6.333333333333333</v>
      </c>
    </row>
    <row r="51" spans="1:4" x14ac:dyDescent="0.3">
      <c r="A51" s="59">
        <f t="shared" si="2"/>
        <v>4</v>
      </c>
      <c r="B51" s="62" t="s">
        <v>198</v>
      </c>
      <c r="C51" s="63">
        <f>SUM(C$42:C45)/$A51</f>
        <v>7.75</v>
      </c>
      <c r="D51" s="63">
        <f>SUM(D$42:D45)/$A51</f>
        <v>5.75</v>
      </c>
    </row>
    <row r="52" spans="1:4" x14ac:dyDescent="0.3">
      <c r="A52" s="59">
        <f t="shared" si="2"/>
        <v>5</v>
      </c>
      <c r="B52" s="62" t="s">
        <v>199</v>
      </c>
      <c r="C52" s="63">
        <f>SUM(C$42:C46)/$A52</f>
        <v>7.2</v>
      </c>
      <c r="D52" s="63">
        <f>SUM(D$42:D46)/$A52</f>
        <v>5.2</v>
      </c>
    </row>
    <row r="53" spans="1:4" x14ac:dyDescent="0.3">
      <c r="A53" s="59">
        <f t="shared" si="2"/>
        <v>6</v>
      </c>
      <c r="B53" s="62" t="s">
        <v>226</v>
      </c>
      <c r="C53" s="63">
        <f>SUM(C$42:C47)/$A53</f>
        <v>6.666666666666667</v>
      </c>
      <c r="D53" s="63">
        <f>SUM(D$42:D47)/$A53</f>
        <v>4.666666666666667</v>
      </c>
    </row>
    <row r="54" spans="1:4" x14ac:dyDescent="0.3">
      <c r="A54" s="59">
        <f t="shared" si="2"/>
        <v>7</v>
      </c>
      <c r="B54" s="62" t="s">
        <v>231</v>
      </c>
      <c r="C54" s="63">
        <f>SUM(C$42:C48)/$A54</f>
        <v>6.1428571428571432</v>
      </c>
      <c r="D54" s="63">
        <f>SUM(D$42:D48)/$A54</f>
        <v>4.1428571428571432</v>
      </c>
    </row>
    <row r="55" spans="1:4" x14ac:dyDescent="0.3">
      <c r="A55" s="59">
        <f t="shared" si="2"/>
        <v>2</v>
      </c>
      <c r="B55" s="62" t="s">
        <v>220</v>
      </c>
      <c r="C55" s="63">
        <f>SUM(C$43:C44)/$A55</f>
        <v>7.5</v>
      </c>
      <c r="D55" s="63">
        <f>SUM(D$43:D44)/$A55</f>
        <v>5.5</v>
      </c>
    </row>
    <row r="56" spans="1:4" x14ac:dyDescent="0.3">
      <c r="A56" s="59">
        <f t="shared" si="2"/>
        <v>3</v>
      </c>
      <c r="B56" s="62" t="s">
        <v>221</v>
      </c>
      <c r="C56" s="63">
        <f>SUM(C$43:C45)/$A56</f>
        <v>7</v>
      </c>
      <c r="D56" s="63">
        <f>SUM(D$43:D45)/$A56</f>
        <v>5</v>
      </c>
    </row>
    <row r="57" spans="1:4" x14ac:dyDescent="0.3">
      <c r="A57" s="59">
        <f t="shared" si="2"/>
        <v>4</v>
      </c>
      <c r="B57" s="62" t="s">
        <v>222</v>
      </c>
      <c r="C57" s="63">
        <f>SUM(C$43:C46)/$A57</f>
        <v>6.5</v>
      </c>
      <c r="D57" s="63">
        <f>SUM(D$43:D46)/$A57</f>
        <v>4.5</v>
      </c>
    </row>
    <row r="58" spans="1:4" x14ac:dyDescent="0.3">
      <c r="A58" s="59">
        <f t="shared" si="2"/>
        <v>5</v>
      </c>
      <c r="B58" s="62" t="s">
        <v>227</v>
      </c>
      <c r="C58" s="63">
        <f>SUM(C$43:C47)/$A58</f>
        <v>6</v>
      </c>
      <c r="D58" s="63">
        <f>SUM(D$43:D47)/$A58</f>
        <v>4</v>
      </c>
    </row>
    <row r="59" spans="1:4" x14ac:dyDescent="0.3">
      <c r="A59" s="59">
        <f t="shared" si="2"/>
        <v>6</v>
      </c>
      <c r="B59" s="62" t="s">
        <v>232</v>
      </c>
      <c r="C59" s="63">
        <f>SUM(C$43:C48)/$A59</f>
        <v>5.5</v>
      </c>
      <c r="D59" s="63">
        <f>SUM(D$43:D48)/$A59</f>
        <v>3.5</v>
      </c>
    </row>
    <row r="60" spans="1:4" x14ac:dyDescent="0.3">
      <c r="A60" s="59">
        <f t="shared" si="2"/>
        <v>2</v>
      </c>
      <c r="B60" s="62" t="s">
        <v>223</v>
      </c>
      <c r="C60" s="63">
        <f>SUM(C$44:C45)/$A60</f>
        <v>6.5</v>
      </c>
      <c r="D60" s="63">
        <f>SUM(D$44:D45)/$A60</f>
        <v>4.5</v>
      </c>
    </row>
    <row r="61" spans="1:4" x14ac:dyDescent="0.3">
      <c r="A61" s="59">
        <f t="shared" si="2"/>
        <v>3</v>
      </c>
      <c r="B61" s="62" t="s">
        <v>224</v>
      </c>
      <c r="C61" s="63">
        <f>SUM(C$44:C46)/$A61</f>
        <v>6</v>
      </c>
      <c r="D61" s="63">
        <f>SUM(D$44:D46)/$A61</f>
        <v>4</v>
      </c>
    </row>
    <row r="62" spans="1:4" x14ac:dyDescent="0.3">
      <c r="A62" s="59">
        <f t="shared" si="2"/>
        <v>4</v>
      </c>
      <c r="B62" s="62" t="s">
        <v>228</v>
      </c>
      <c r="C62" s="63">
        <f>SUM(C$44:C47)/$A62</f>
        <v>5.5</v>
      </c>
      <c r="D62" s="63">
        <f>SUM(D$44:D47)/$A62</f>
        <v>3.5</v>
      </c>
    </row>
    <row r="63" spans="1:4" x14ac:dyDescent="0.3">
      <c r="A63" s="59">
        <f t="shared" si="2"/>
        <v>5</v>
      </c>
      <c r="B63" s="62" t="s">
        <v>233</v>
      </c>
      <c r="C63" s="63">
        <f>SUM(C$44:C48)/$A63</f>
        <v>5</v>
      </c>
      <c r="D63" s="63">
        <f>SUM(D$44:D48)/$A63</f>
        <v>3</v>
      </c>
    </row>
    <row r="64" spans="1:4" x14ac:dyDescent="0.3">
      <c r="A64" s="59">
        <f t="shared" si="2"/>
        <v>2</v>
      </c>
      <c r="B64" s="62" t="s">
        <v>225</v>
      </c>
      <c r="C64" s="63">
        <f>SUM(C$45:C46)/$A64</f>
        <v>5.5</v>
      </c>
      <c r="D64" s="63">
        <f>SUM(D$45:D46)/$A64</f>
        <v>3.5</v>
      </c>
    </row>
    <row r="65" spans="1:4" x14ac:dyDescent="0.3">
      <c r="A65" s="59">
        <f t="shared" si="2"/>
        <v>3</v>
      </c>
      <c r="B65" s="62" t="s">
        <v>229</v>
      </c>
      <c r="C65" s="63">
        <f>SUM(C$45:C47)/$A65</f>
        <v>5</v>
      </c>
      <c r="D65" s="63">
        <f>SUM(D$45:D47)/$A65</f>
        <v>3</v>
      </c>
    </row>
    <row r="66" spans="1:4" x14ac:dyDescent="0.3">
      <c r="A66" s="59">
        <f t="shared" si="2"/>
        <v>4</v>
      </c>
      <c r="B66" s="62" t="s">
        <v>234</v>
      </c>
      <c r="C66" s="63">
        <f>SUM(C$45:C48)/$A66</f>
        <v>4.5</v>
      </c>
      <c r="D66" s="63">
        <f>SUM(D$45:D48)/$A66</f>
        <v>2.5</v>
      </c>
    </row>
    <row r="67" spans="1:4" x14ac:dyDescent="0.3">
      <c r="A67" s="59">
        <f t="shared" si="2"/>
        <v>2</v>
      </c>
      <c r="B67" s="62" t="s">
        <v>230</v>
      </c>
      <c r="C67" s="63">
        <f>SUM(C$46:C47)/$A67</f>
        <v>4.5</v>
      </c>
      <c r="D67" s="63">
        <f>SUM(D$46:D47)/$A67</f>
        <v>2.5</v>
      </c>
    </row>
    <row r="68" spans="1:4" x14ac:dyDescent="0.3">
      <c r="A68" s="59">
        <f>IFERROR(LEN(B68)-SEARCH("=",B68)+2,0)</f>
        <v>3</v>
      </c>
      <c r="B68" s="62" t="s">
        <v>235</v>
      </c>
      <c r="C68" s="63">
        <f>SUM(C$46:C48)/$A68</f>
        <v>4</v>
      </c>
      <c r="D68" s="63">
        <f>SUM(D$46:D48)/$A68</f>
        <v>2</v>
      </c>
    </row>
    <row r="69" spans="1:4" x14ac:dyDescent="0.3">
      <c r="A69" s="59">
        <f t="shared" si="2"/>
        <v>2</v>
      </c>
      <c r="B69" s="62" t="s">
        <v>236</v>
      </c>
      <c r="C69" s="63">
        <f>SUM(C$47:C48)/$A69</f>
        <v>3.5</v>
      </c>
      <c r="D69" s="63">
        <f>SUM(D$47:D48)/$A69</f>
        <v>1.5</v>
      </c>
    </row>
    <row r="71" spans="1:4" x14ac:dyDescent="0.3">
      <c r="B71" s="60">
        <v>8</v>
      </c>
      <c r="C71" s="61" t="s">
        <v>53</v>
      </c>
      <c r="D71" s="61" t="s">
        <v>54</v>
      </c>
    </row>
    <row r="72" spans="1:4" x14ac:dyDescent="0.3">
      <c r="A72" s="59">
        <v>1</v>
      </c>
      <c r="B72" s="62">
        <v>1</v>
      </c>
      <c r="C72" s="63">
        <v>11</v>
      </c>
      <c r="D72" s="63">
        <v>9</v>
      </c>
    </row>
    <row r="73" spans="1:4" x14ac:dyDescent="0.3">
      <c r="A73" s="59">
        <v>1</v>
      </c>
      <c r="B73" s="62">
        <v>2</v>
      </c>
      <c r="C73" s="63">
        <v>9</v>
      </c>
      <c r="D73" s="63">
        <v>7</v>
      </c>
    </row>
    <row r="74" spans="1:4" x14ac:dyDescent="0.3">
      <c r="A74" s="59">
        <v>1</v>
      </c>
      <c r="B74" s="62">
        <v>3</v>
      </c>
      <c r="C74" s="63">
        <v>8</v>
      </c>
      <c r="D74" s="63">
        <v>6</v>
      </c>
    </row>
    <row r="75" spans="1:4" x14ac:dyDescent="0.3">
      <c r="A75" s="59">
        <v>1</v>
      </c>
      <c r="B75" s="62">
        <v>4</v>
      </c>
      <c r="C75" s="63">
        <v>7</v>
      </c>
      <c r="D75" s="63">
        <v>5</v>
      </c>
    </row>
    <row r="76" spans="1:4" x14ac:dyDescent="0.3">
      <c r="A76" s="59">
        <v>1</v>
      </c>
      <c r="B76" s="62">
        <v>5</v>
      </c>
      <c r="C76" s="63">
        <v>6</v>
      </c>
      <c r="D76" s="63">
        <v>4</v>
      </c>
    </row>
    <row r="77" spans="1:4" x14ac:dyDescent="0.3">
      <c r="A77" s="59">
        <v>1</v>
      </c>
      <c r="B77" s="62">
        <v>6</v>
      </c>
      <c r="C77" s="63">
        <v>5</v>
      </c>
      <c r="D77" s="63">
        <v>3</v>
      </c>
    </row>
    <row r="78" spans="1:4" x14ac:dyDescent="0.3">
      <c r="A78" s="59">
        <v>1</v>
      </c>
      <c r="B78" s="62">
        <v>7</v>
      </c>
      <c r="C78" s="63">
        <v>4</v>
      </c>
      <c r="D78" s="63">
        <v>2</v>
      </c>
    </row>
    <row r="79" spans="1:4" x14ac:dyDescent="0.3">
      <c r="A79" s="59">
        <v>1</v>
      </c>
      <c r="B79" s="62">
        <v>8</v>
      </c>
      <c r="C79" s="63">
        <v>3</v>
      </c>
      <c r="D79" s="63">
        <v>1</v>
      </c>
    </row>
    <row r="80" spans="1:4" x14ac:dyDescent="0.3">
      <c r="A80" s="59">
        <f>IFERROR(LEN(B80)-SEARCH("=",B80)+2,0)</f>
        <v>2</v>
      </c>
      <c r="B80" s="62" t="s">
        <v>196</v>
      </c>
      <c r="C80" s="63">
        <f>SUM(C$72:C73)/$A80</f>
        <v>10</v>
      </c>
      <c r="D80" s="63">
        <f>SUM(D$72:D73)/$A80</f>
        <v>8</v>
      </c>
    </row>
    <row r="81" spans="1:4" x14ac:dyDescent="0.3">
      <c r="A81" s="59">
        <f t="shared" ref="A81:A107" si="3">IFERROR(LEN(B81)-SEARCH("=",B81)+2,0)</f>
        <v>3</v>
      </c>
      <c r="B81" s="62" t="s">
        <v>197</v>
      </c>
      <c r="C81" s="63">
        <f>SUM(C$72:C74)/$A81</f>
        <v>9.3333333333333339</v>
      </c>
      <c r="D81" s="63">
        <f>SUM(D$72:D74)/$A81</f>
        <v>7.333333333333333</v>
      </c>
    </row>
    <row r="82" spans="1:4" x14ac:dyDescent="0.3">
      <c r="A82" s="59">
        <f t="shared" si="3"/>
        <v>4</v>
      </c>
      <c r="B82" s="62" t="s">
        <v>198</v>
      </c>
      <c r="C82" s="63">
        <f>SUM(C$72:C75)/$A82</f>
        <v>8.75</v>
      </c>
      <c r="D82" s="63">
        <f>SUM(D$72:D75)/$A82</f>
        <v>6.75</v>
      </c>
    </row>
    <row r="83" spans="1:4" x14ac:dyDescent="0.3">
      <c r="A83" s="59">
        <f t="shared" si="3"/>
        <v>5</v>
      </c>
      <c r="B83" s="62" t="s">
        <v>199</v>
      </c>
      <c r="C83" s="63">
        <f>SUM(C$72:C76)/$A83</f>
        <v>8.1999999999999993</v>
      </c>
      <c r="D83" s="63">
        <f>SUM(D$72:D76)/$A83</f>
        <v>6.2</v>
      </c>
    </row>
    <row r="84" spans="1:4" x14ac:dyDescent="0.3">
      <c r="A84" s="59">
        <f t="shared" si="3"/>
        <v>6</v>
      </c>
      <c r="B84" s="62" t="s">
        <v>226</v>
      </c>
      <c r="C84" s="63">
        <f>SUM(C$72:C77)/$A84</f>
        <v>7.666666666666667</v>
      </c>
      <c r="D84" s="63">
        <f>SUM(D$72:D77)/$A84</f>
        <v>5.666666666666667</v>
      </c>
    </row>
    <row r="85" spans="1:4" x14ac:dyDescent="0.3">
      <c r="A85" s="59">
        <f t="shared" si="3"/>
        <v>7</v>
      </c>
      <c r="B85" s="62" t="s">
        <v>231</v>
      </c>
      <c r="C85" s="63">
        <f>SUM(C$72:C78)/$A85</f>
        <v>7.1428571428571432</v>
      </c>
      <c r="D85" s="63">
        <f>SUM(D$72:D78)/$A85</f>
        <v>5.1428571428571432</v>
      </c>
    </row>
    <row r="86" spans="1:4" x14ac:dyDescent="0.3">
      <c r="A86" s="59">
        <f t="shared" si="3"/>
        <v>8</v>
      </c>
      <c r="B86" s="62" t="s">
        <v>239</v>
      </c>
      <c r="C86" s="63">
        <f>SUM(C$72:C79)/$A86</f>
        <v>6.625</v>
      </c>
      <c r="D86" s="63">
        <f>SUM(D$72:D79)/$A86</f>
        <v>4.625</v>
      </c>
    </row>
    <row r="87" spans="1:4" x14ac:dyDescent="0.3">
      <c r="A87" s="59">
        <f t="shared" si="3"/>
        <v>2</v>
      </c>
      <c r="B87" s="62" t="s">
        <v>220</v>
      </c>
      <c r="C87" s="63">
        <f>SUM(C$73:C74)/$A87</f>
        <v>8.5</v>
      </c>
      <c r="D87" s="63">
        <f>SUM(D$73:D74)/$A87</f>
        <v>6.5</v>
      </c>
    </row>
    <row r="88" spans="1:4" x14ac:dyDescent="0.3">
      <c r="A88" s="59">
        <f t="shared" si="3"/>
        <v>3</v>
      </c>
      <c r="B88" s="62" t="s">
        <v>221</v>
      </c>
      <c r="C88" s="63">
        <f>SUM(C$73:C75)/$A88</f>
        <v>8</v>
      </c>
      <c r="D88" s="63">
        <f>SUM(D$73:D75)/$A88</f>
        <v>6</v>
      </c>
    </row>
    <row r="89" spans="1:4" x14ac:dyDescent="0.3">
      <c r="A89" s="59">
        <f t="shared" si="3"/>
        <v>4</v>
      </c>
      <c r="B89" s="62" t="s">
        <v>222</v>
      </c>
      <c r="C89" s="63">
        <f>SUM(C$73:C76)/$A89</f>
        <v>7.5</v>
      </c>
      <c r="D89" s="63">
        <f>SUM(D$73:D76)/$A89</f>
        <v>5.5</v>
      </c>
    </row>
    <row r="90" spans="1:4" x14ac:dyDescent="0.3">
      <c r="A90" s="59">
        <f t="shared" si="3"/>
        <v>5</v>
      </c>
      <c r="B90" s="62" t="s">
        <v>227</v>
      </c>
      <c r="C90" s="63">
        <f>SUM(C$73:C77)/$A90</f>
        <v>7</v>
      </c>
      <c r="D90" s="63">
        <f>SUM(D$73:D77)/$A90</f>
        <v>5</v>
      </c>
    </row>
    <row r="91" spans="1:4" x14ac:dyDescent="0.3">
      <c r="A91" s="59">
        <f t="shared" si="3"/>
        <v>6</v>
      </c>
      <c r="B91" s="62" t="s">
        <v>232</v>
      </c>
      <c r="C91" s="63">
        <f>SUM(C$73:C78)/$A91</f>
        <v>6.5</v>
      </c>
      <c r="D91" s="63">
        <f>SUM(D$73:D78)/$A91</f>
        <v>4.5</v>
      </c>
    </row>
    <row r="92" spans="1:4" x14ac:dyDescent="0.3">
      <c r="A92" s="59">
        <f t="shared" si="3"/>
        <v>7</v>
      </c>
      <c r="B92" s="62" t="s">
        <v>240</v>
      </c>
      <c r="C92" s="63">
        <f>SUM(C$73:C79)/$A92</f>
        <v>6</v>
      </c>
      <c r="D92" s="63">
        <f>SUM(D$73:D79)/$A92</f>
        <v>4</v>
      </c>
    </row>
    <row r="93" spans="1:4" x14ac:dyDescent="0.3">
      <c r="A93" s="59">
        <f t="shared" si="3"/>
        <v>2</v>
      </c>
      <c r="B93" s="62" t="s">
        <v>223</v>
      </c>
      <c r="C93" s="63">
        <f>SUM(C$74:C75)/$A93</f>
        <v>7.5</v>
      </c>
      <c r="D93" s="63">
        <f>SUM(D$74:D75)/$A93</f>
        <v>5.5</v>
      </c>
    </row>
    <row r="94" spans="1:4" x14ac:dyDescent="0.3">
      <c r="A94" s="59">
        <f t="shared" si="3"/>
        <v>3</v>
      </c>
      <c r="B94" s="62" t="s">
        <v>224</v>
      </c>
      <c r="C94" s="63">
        <f>SUM(C$74:C76)/$A94</f>
        <v>7</v>
      </c>
      <c r="D94" s="63">
        <f>SUM(D$74:D76)/$A94</f>
        <v>5</v>
      </c>
    </row>
    <row r="95" spans="1:4" x14ac:dyDescent="0.3">
      <c r="A95" s="59">
        <f t="shared" si="3"/>
        <v>4</v>
      </c>
      <c r="B95" s="62" t="s">
        <v>228</v>
      </c>
      <c r="C95" s="63">
        <f>SUM(C$74:C77)/$A95</f>
        <v>6.5</v>
      </c>
      <c r="D95" s="63">
        <f>SUM(D$74:D77)/$A95</f>
        <v>4.5</v>
      </c>
    </row>
    <row r="96" spans="1:4" x14ac:dyDescent="0.3">
      <c r="A96" s="59">
        <f t="shared" si="3"/>
        <v>5</v>
      </c>
      <c r="B96" s="62" t="s">
        <v>233</v>
      </c>
      <c r="C96" s="63">
        <f>SUM(C$74:C78)/$A96</f>
        <v>6</v>
      </c>
      <c r="D96" s="63">
        <f>SUM(D$74:D78)/$A96</f>
        <v>4</v>
      </c>
    </row>
    <row r="97" spans="1:4" x14ac:dyDescent="0.3">
      <c r="A97" s="59">
        <f t="shared" si="3"/>
        <v>6</v>
      </c>
      <c r="B97" s="62" t="s">
        <v>241</v>
      </c>
      <c r="C97" s="63">
        <f>SUM(C$74:C79)/$A97</f>
        <v>5.5</v>
      </c>
      <c r="D97" s="63">
        <f>SUM(D$74:D79)/$A97</f>
        <v>3.5</v>
      </c>
    </row>
    <row r="98" spans="1:4" x14ac:dyDescent="0.3">
      <c r="A98" s="59">
        <f t="shared" si="3"/>
        <v>2</v>
      </c>
      <c r="B98" s="62" t="s">
        <v>225</v>
      </c>
      <c r="C98" s="63">
        <f>SUM(C$75:C76)/$A98</f>
        <v>6.5</v>
      </c>
      <c r="D98" s="63">
        <f>SUM(D$75:D76)/$A98</f>
        <v>4.5</v>
      </c>
    </row>
    <row r="99" spans="1:4" x14ac:dyDescent="0.3">
      <c r="A99" s="59">
        <f t="shared" si="3"/>
        <v>3</v>
      </c>
      <c r="B99" s="62" t="s">
        <v>229</v>
      </c>
      <c r="C99" s="63">
        <f>SUM(C$75:C77)/$A99</f>
        <v>6</v>
      </c>
      <c r="D99" s="63">
        <f>SUM(D$75:D77)/$A99</f>
        <v>4</v>
      </c>
    </row>
    <row r="100" spans="1:4" x14ac:dyDescent="0.3">
      <c r="A100" s="59">
        <f t="shared" si="3"/>
        <v>4</v>
      </c>
      <c r="B100" s="62" t="s">
        <v>234</v>
      </c>
      <c r="C100" s="63">
        <f>SUM(C$75:C78)/$A100</f>
        <v>5.5</v>
      </c>
      <c r="D100" s="63">
        <f>SUM(D$75:D78)/$A100</f>
        <v>3.5</v>
      </c>
    </row>
    <row r="101" spans="1:4" x14ac:dyDescent="0.3">
      <c r="A101" s="59">
        <f t="shared" si="3"/>
        <v>5</v>
      </c>
      <c r="B101" s="62" t="s">
        <v>242</v>
      </c>
      <c r="C101" s="63">
        <f>SUM(C$75:C79)/$A101</f>
        <v>5</v>
      </c>
      <c r="D101" s="63">
        <f>SUM(D$75:D79)/$A101</f>
        <v>3</v>
      </c>
    </row>
    <row r="102" spans="1:4" x14ac:dyDescent="0.3">
      <c r="A102" s="59">
        <f t="shared" si="3"/>
        <v>2</v>
      </c>
      <c r="B102" s="62" t="s">
        <v>230</v>
      </c>
      <c r="C102" s="63">
        <f>SUM(C$76:C77)/$A102</f>
        <v>5.5</v>
      </c>
      <c r="D102" s="63">
        <f>SUM(D$76:D77)/$A102</f>
        <v>3.5</v>
      </c>
    </row>
    <row r="103" spans="1:4" x14ac:dyDescent="0.3">
      <c r="A103" s="59">
        <f t="shared" si="3"/>
        <v>3</v>
      </c>
      <c r="B103" s="62" t="s">
        <v>235</v>
      </c>
      <c r="C103" s="63">
        <f>SUM(C$76:C78)/$A103</f>
        <v>5</v>
      </c>
      <c r="D103" s="63">
        <f>SUM(D$76:D78)/$A103</f>
        <v>3</v>
      </c>
    </row>
    <row r="104" spans="1:4" x14ac:dyDescent="0.3">
      <c r="A104" s="59">
        <f t="shared" si="3"/>
        <v>4</v>
      </c>
      <c r="B104" s="62" t="s">
        <v>243</v>
      </c>
      <c r="C104" s="63">
        <f>SUM(C$76:C79)/$A104</f>
        <v>4.5</v>
      </c>
      <c r="D104" s="63">
        <f>SUM(D$76:D79)/$A104</f>
        <v>2.5</v>
      </c>
    </row>
    <row r="105" spans="1:4" x14ac:dyDescent="0.3">
      <c r="A105" s="59">
        <f t="shared" si="3"/>
        <v>2</v>
      </c>
      <c r="B105" s="62" t="s">
        <v>236</v>
      </c>
      <c r="C105" s="63">
        <f>SUM(C$77:C78)/$A105</f>
        <v>4.5</v>
      </c>
      <c r="D105" s="63">
        <f>SUM(D$77:D78)/$A105</f>
        <v>2.5</v>
      </c>
    </row>
    <row r="106" spans="1:4" x14ac:dyDescent="0.3">
      <c r="A106" s="59">
        <f t="shared" si="3"/>
        <v>3</v>
      </c>
      <c r="B106" s="62" t="s">
        <v>237</v>
      </c>
      <c r="C106" s="63">
        <f>SUM(C$77:C79)/$A106</f>
        <v>4</v>
      </c>
      <c r="D106" s="63">
        <f>SUM(D$77:D79)/$A106</f>
        <v>2</v>
      </c>
    </row>
    <row r="107" spans="1:4" x14ac:dyDescent="0.3">
      <c r="A107" s="59">
        <f t="shared" si="3"/>
        <v>2</v>
      </c>
      <c r="B107" s="62" t="s">
        <v>238</v>
      </c>
      <c r="C107" s="63">
        <f>SUM(C$78:C79)/$A107</f>
        <v>3.5</v>
      </c>
      <c r="D107" s="63">
        <f>SUM(D$78:D79)/$A107</f>
        <v>1.5</v>
      </c>
    </row>
    <row r="109" spans="1:4" x14ac:dyDescent="0.3">
      <c r="B109" s="60">
        <v>4</v>
      </c>
      <c r="C109" s="61" t="s">
        <v>53</v>
      </c>
      <c r="D109" s="61" t="s">
        <v>54</v>
      </c>
    </row>
    <row r="110" spans="1:4" x14ac:dyDescent="0.3">
      <c r="A110" s="59">
        <v>1</v>
      </c>
      <c r="B110" s="62">
        <v>1</v>
      </c>
      <c r="C110" s="63">
        <v>7</v>
      </c>
      <c r="D110" s="63">
        <v>5</v>
      </c>
    </row>
    <row r="111" spans="1:4" x14ac:dyDescent="0.3">
      <c r="A111" s="59">
        <v>1</v>
      </c>
      <c r="B111" s="62">
        <v>2</v>
      </c>
      <c r="C111" s="63">
        <f>C110-2</f>
        <v>5</v>
      </c>
      <c r="D111" s="63">
        <f>D110-2</f>
        <v>3</v>
      </c>
    </row>
    <row r="112" spans="1:4" x14ac:dyDescent="0.3">
      <c r="A112" s="59">
        <v>1</v>
      </c>
      <c r="B112" s="62">
        <v>3</v>
      </c>
      <c r="C112" s="63">
        <f>C111-1</f>
        <v>4</v>
      </c>
      <c r="D112" s="63">
        <f>D111-1</f>
        <v>2</v>
      </c>
    </row>
    <row r="113" spans="1:4" x14ac:dyDescent="0.3">
      <c r="A113" s="59">
        <v>1</v>
      </c>
      <c r="B113" s="62">
        <v>4</v>
      </c>
      <c r="C113" s="63">
        <f>C112-1</f>
        <v>3</v>
      </c>
      <c r="D113" s="63">
        <f>D112-1</f>
        <v>1</v>
      </c>
    </row>
    <row r="114" spans="1:4" x14ac:dyDescent="0.3">
      <c r="A114" s="59">
        <f>IFERROR(LEN(B114)-SEARCH("=",B114)+2,0)</f>
        <v>2</v>
      </c>
      <c r="B114" s="62" t="s">
        <v>196</v>
      </c>
      <c r="C114" s="63">
        <f>SUM(C$110:C111)/$A114</f>
        <v>6</v>
      </c>
      <c r="D114" s="63">
        <f>SUM(D$110:D111)/$A114</f>
        <v>4</v>
      </c>
    </row>
    <row r="115" spans="1:4" x14ac:dyDescent="0.3">
      <c r="A115" s="59">
        <f t="shared" ref="A115:A119" si="4">IFERROR(LEN(B115)-SEARCH("=",B115)+2,0)</f>
        <v>3</v>
      </c>
      <c r="B115" s="62" t="s">
        <v>197</v>
      </c>
      <c r="C115" s="63">
        <f>SUM(C$110:C112)/$A115</f>
        <v>5.333333333333333</v>
      </c>
      <c r="D115" s="63">
        <f>SUM(D$110:D112)/$A115</f>
        <v>3.3333333333333335</v>
      </c>
    </row>
    <row r="116" spans="1:4" x14ac:dyDescent="0.3">
      <c r="A116" s="59">
        <f t="shared" si="4"/>
        <v>4</v>
      </c>
      <c r="B116" s="62" t="s">
        <v>198</v>
      </c>
      <c r="C116" s="63">
        <f>SUM(C$110:C113)/$A116</f>
        <v>4.75</v>
      </c>
      <c r="D116" s="63">
        <f>SUM(D$110:D113)/$A116</f>
        <v>2.75</v>
      </c>
    </row>
    <row r="117" spans="1:4" x14ac:dyDescent="0.3">
      <c r="A117" s="59">
        <f t="shared" si="4"/>
        <v>2</v>
      </c>
      <c r="B117" s="62" t="s">
        <v>220</v>
      </c>
      <c r="C117" s="63">
        <f>SUM(C$111:C112)/$A117</f>
        <v>4.5</v>
      </c>
      <c r="D117" s="63">
        <f>SUM(D$111:D112)/$A117</f>
        <v>2.5</v>
      </c>
    </row>
    <row r="118" spans="1:4" x14ac:dyDescent="0.3">
      <c r="A118" s="59">
        <f t="shared" si="4"/>
        <v>3</v>
      </c>
      <c r="B118" s="62" t="s">
        <v>221</v>
      </c>
      <c r="C118" s="63">
        <f>SUM(C$111:C113)/$A118</f>
        <v>4</v>
      </c>
      <c r="D118" s="63">
        <f>SUM(D$111:D113)/$A118</f>
        <v>2</v>
      </c>
    </row>
    <row r="119" spans="1:4" x14ac:dyDescent="0.3">
      <c r="A119" s="59">
        <f t="shared" si="4"/>
        <v>2</v>
      </c>
      <c r="B119" s="62" t="s">
        <v>223</v>
      </c>
      <c r="C119" s="63">
        <f>SUM(C$112:C113)/$A119</f>
        <v>3.5</v>
      </c>
      <c r="D119" s="63">
        <f>SUM(D$112:D113)/$A119</f>
        <v>1.5</v>
      </c>
    </row>
    <row r="121" spans="1:4" x14ac:dyDescent="0.3">
      <c r="A121" s="380"/>
      <c r="B121" s="378">
        <v>3</v>
      </c>
      <c r="C121" s="379" t="s">
        <v>53</v>
      </c>
      <c r="D121" s="379" t="s">
        <v>54</v>
      </c>
    </row>
    <row r="122" spans="1:4" x14ac:dyDescent="0.3">
      <c r="A122" s="380">
        <v>1</v>
      </c>
      <c r="B122" s="381">
        <v>1</v>
      </c>
      <c r="C122" s="382">
        <v>6</v>
      </c>
      <c r="D122" s="382">
        <v>3</v>
      </c>
    </row>
    <row r="123" spans="1:4" x14ac:dyDescent="0.3">
      <c r="A123" s="380">
        <v>1</v>
      </c>
      <c r="B123" s="381">
        <v>2</v>
      </c>
      <c r="C123" s="382">
        <v>4</v>
      </c>
      <c r="D123" s="382">
        <v>2</v>
      </c>
    </row>
    <row r="124" spans="1:4" x14ac:dyDescent="0.3">
      <c r="A124" s="380">
        <v>1</v>
      </c>
      <c r="B124" s="381">
        <v>3</v>
      </c>
      <c r="C124" s="382">
        <v>2</v>
      </c>
      <c r="D124" s="382">
        <v>1</v>
      </c>
    </row>
    <row r="125" spans="1:4" x14ac:dyDescent="0.3">
      <c r="A125" s="380">
        <v>2</v>
      </c>
      <c r="B125" s="381" t="s">
        <v>196</v>
      </c>
      <c r="C125" s="382">
        <v>5</v>
      </c>
      <c r="D125" s="382">
        <v>0</v>
      </c>
    </row>
    <row r="126" spans="1:4" x14ac:dyDescent="0.3">
      <c r="A126" s="380">
        <v>3</v>
      </c>
      <c r="B126" s="381" t="s">
        <v>197</v>
      </c>
      <c r="C126" s="382">
        <v>4</v>
      </c>
      <c r="D126" s="382">
        <v>2</v>
      </c>
    </row>
    <row r="127" spans="1:4" x14ac:dyDescent="0.3">
      <c r="A127" s="380">
        <v>2</v>
      </c>
      <c r="B127" s="381" t="s">
        <v>220</v>
      </c>
      <c r="C127" s="382">
        <v>3</v>
      </c>
      <c r="D127" s="382">
        <v>1.5</v>
      </c>
    </row>
  </sheetData>
  <sheetProtection algorithmName="SHA-512" hashValue="vVlWdVNb8dC+Q/OvWBq4kR0oV3qtFaLh0sju4gSeUnOj70uNyzYtl1PowKNPVGm+ebmDcD4sL9G6EPYQPyttKQ==" saltValue="PDAnccUpNmxaoIwfnQ7s5A==" spinCount="100000" sheet="1" objects="1" scenarios="1" formatCells="0" formatColumns="0" formatRows="0" sort="0" autoFilter="0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3">
    <tabColor theme="9" tint="-0.249977111117893"/>
  </sheetPr>
  <dimension ref="A1:AG514"/>
  <sheetViews>
    <sheetView showZeros="0" view="pageBreakPreview" topLeftCell="D198" zoomScaleNormal="100" zoomScaleSheetLayoutView="100" workbookViewId="0">
      <selection activeCell="V32" sqref="V32:AB32"/>
    </sheetView>
  </sheetViews>
  <sheetFormatPr defaultColWidth="8.7109375" defaultRowHeight="15" x14ac:dyDescent="0.25"/>
  <cols>
    <col min="1" max="1" width="5.7109375" style="92" hidden="1" customWidth="1"/>
    <col min="2" max="2" width="5.7109375" style="93" hidden="1" customWidth="1"/>
    <col min="3" max="3" width="5.7109375" style="92" hidden="1" customWidth="1"/>
    <col min="4" max="4" width="4.7109375" style="92" customWidth="1"/>
    <col min="5" max="5" width="3.7109375" style="92" customWidth="1"/>
    <col min="6" max="6" width="22.7109375" style="92" customWidth="1"/>
    <col min="7" max="7" width="12.7109375" style="92" customWidth="1"/>
    <col min="8" max="8" width="4.7109375" style="92" customWidth="1"/>
    <col min="9" max="9" width="3.7109375" style="92" customWidth="1"/>
    <col min="10" max="10" width="4.7109375" style="92" customWidth="1"/>
    <col min="11" max="11" width="3.7109375" style="92" customWidth="1"/>
    <col min="12" max="12" width="4.7109375" style="92" customWidth="1"/>
    <col min="13" max="13" width="3.7109375" style="92" customWidth="1"/>
    <col min="14" max="14" width="4.7109375" style="92" customWidth="1"/>
    <col min="15" max="15" width="3.7109375" style="92" customWidth="1"/>
    <col min="16" max="17" width="4.7109375" style="92" customWidth="1"/>
    <col min="18" max="18" width="3.7109375" style="92" customWidth="1"/>
    <col min="19" max="19" width="4.7109375" style="92" customWidth="1"/>
    <col min="20" max="20" width="3.7109375" style="92" customWidth="1"/>
    <col min="21" max="21" width="4.7109375" style="92" customWidth="1"/>
    <col min="22" max="22" width="3.7109375" style="92" customWidth="1"/>
    <col min="23" max="23" width="4.7109375" style="92" customWidth="1"/>
    <col min="24" max="24" width="3.7109375" style="92" customWidth="1"/>
    <col min="25" max="28" width="4.7109375" style="92" customWidth="1"/>
    <col min="29" max="29" width="8.7109375" style="92" customWidth="1"/>
    <col min="30" max="33" width="8.7109375" style="92" hidden="1" customWidth="1"/>
    <col min="34" max="35" width="8.7109375" style="92" customWidth="1"/>
    <col min="36" max="16384" width="8.7109375" style="92"/>
  </cols>
  <sheetData>
    <row r="1" spans="1:33" hidden="1" x14ac:dyDescent="0.25"/>
    <row r="2" spans="1:33" hidden="1" x14ac:dyDescent="0.25"/>
    <row r="3" spans="1:33" s="4" customFormat="1" ht="21" x14ac:dyDescent="0.25">
      <c r="A3" s="2" t="str">
        <f>MatchDay!$U$6</f>
        <v>X</v>
      </c>
      <c r="B3" s="8"/>
      <c r="C3" s="3"/>
      <c r="D3" s="499" t="s">
        <v>143</v>
      </c>
      <c r="E3" s="500"/>
      <c r="F3" s="500"/>
      <c r="G3" s="500"/>
      <c r="H3" s="500"/>
      <c r="I3" s="500"/>
      <c r="J3" s="500"/>
      <c r="K3" s="501" t="s">
        <v>144</v>
      </c>
      <c r="L3" s="502"/>
      <c r="M3" s="502"/>
      <c r="N3" s="506"/>
      <c r="O3" s="503" t="str">
        <f>MatchDay!$C$2&amp;" "&amp;MatchDay!$C$3&amp;" "&amp;MatchDay!$C$4</f>
        <v>LOWER NORTH West 2</v>
      </c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5"/>
    </row>
    <row r="4" spans="1:33" s="4" customFormat="1" ht="15.75" customHeight="1" x14ac:dyDescent="0.25">
      <c r="A4" s="1" t="str">
        <f>IFERROR(IF(LEFT(MatchDay!$C$2,1)="L","L"&amp;A6,"U"&amp;A6),"")</f>
        <v>LFD01</v>
      </c>
      <c r="B4" s="10">
        <v>27</v>
      </c>
      <c r="C4" s="3"/>
      <c r="D4" s="466" t="s">
        <v>145</v>
      </c>
      <c r="E4" s="468"/>
      <c r="F4" s="467" t="str">
        <f>IFERROR(UPPER(VLOOKUP(A5,teamlookup,6,FALSE)),"")</f>
        <v/>
      </c>
      <c r="G4" s="468"/>
      <c r="H4" s="476" t="s">
        <v>149</v>
      </c>
      <c r="I4" s="480"/>
      <c r="J4" s="477"/>
      <c r="K4" s="466" t="str">
        <f>MatchDay!$C$8</f>
        <v>Macclesfield Leisure Centre</v>
      </c>
      <c r="L4" s="467"/>
      <c r="M4" s="467"/>
      <c r="N4" s="467"/>
      <c r="O4" s="467"/>
      <c r="P4" s="468"/>
      <c r="Q4" s="476" t="s">
        <v>119</v>
      </c>
      <c r="R4" s="477"/>
      <c r="S4" s="494">
        <f>MatchDay!$C$7</f>
        <v>45053</v>
      </c>
      <c r="T4" s="495"/>
      <c r="U4" s="495"/>
      <c r="V4" s="495"/>
      <c r="W4" s="495"/>
      <c r="X4" s="496"/>
      <c r="Y4" s="497" t="str">
        <f>IFERROR(IF(LEFT(A4,1)="L","",VLOOKUP(A4,EA!$A:$N,8,FALSE)),"")</f>
        <v/>
      </c>
      <c r="Z4" s="498"/>
      <c r="AA4" s="464" t="str">
        <f>IFERROR(IF(LEFT(A4,1)="L","",VLOOKUP(A4,standards,9,FALSE)),"")</f>
        <v/>
      </c>
      <c r="AB4" s="465"/>
      <c r="AC4" s="6"/>
      <c r="AD4" s="6"/>
    </row>
    <row r="5" spans="1:33" s="4" customFormat="1" ht="15.75" customHeight="1" x14ac:dyDescent="0.25">
      <c r="A5" s="5">
        <f>IFERROR(IF(A3=1,VLOOKUP(A4,judges,VLOOKUP(MatchDay!$U$2*10+MatchDay!$C$5,judgesp,5,FALSE),FALSE),VLOOKUP(Distance!A4,judges,VLOOKUP(MatchDay!$U$2*10+MatchDay!$C$5,judges2,5,FALSE),FALSE)),"")</f>
        <v>3</v>
      </c>
      <c r="B5" s="138"/>
      <c r="C5" s="3"/>
      <c r="D5" s="476" t="s">
        <v>120</v>
      </c>
      <c r="E5" s="477"/>
      <c r="F5" s="478" t="str">
        <f>IFERROR(VLOOKUP(A4,timetables,2,FALSE)&amp;" "&amp;VLOOKUP(A4,timetables,3,FALSE),"")</f>
        <v>Hammer U15 Boys</v>
      </c>
      <c r="G5" s="479"/>
      <c r="H5" s="476" t="s">
        <v>121</v>
      </c>
      <c r="I5" s="480"/>
      <c r="J5" s="477"/>
      <c r="K5" s="481">
        <f>IFERROR(IF(A3=1,VLOOKUP(A4,Timetables!$A:$G,6,FALSE),VLOOKUP(A4,Timetables!$A:$G,7,FALSE)),"")</f>
        <v>0.46875</v>
      </c>
      <c r="L5" s="481" t="e">
        <v>#N/A</v>
      </c>
      <c r="M5" s="476" t="s">
        <v>150</v>
      </c>
      <c r="N5" s="477"/>
      <c r="O5" s="482" t="str">
        <f>IFERROR(VLOOKUP(A4,records,3,FALSE)&amp;", "&amp;VLOOKUP(A4,records,4,FALSE)&amp;", "&amp;VLOOKUP(A4,records,5,FALSE)&amp;", "&amp;VLOOKUP(A4,records,6,FALSE)&amp;", "&amp;VLOOKUP(A4,records,7,FALSE)&amp;" "&amp;VLOOKUP(A4,records,8,FALSE),"")</f>
        <v/>
      </c>
      <c r="P5" s="482"/>
      <c r="Q5" s="482"/>
      <c r="R5" s="482"/>
      <c r="S5" s="482"/>
      <c r="T5" s="482"/>
      <c r="U5" s="482"/>
      <c r="V5" s="482"/>
      <c r="W5" s="482"/>
      <c r="X5" s="482"/>
      <c r="Y5" s="482"/>
      <c r="Z5" s="482"/>
      <c r="AA5" s="482"/>
      <c r="AB5" s="483"/>
    </row>
    <row r="6" spans="1:33" s="4" customFormat="1" ht="32.1" customHeight="1" x14ac:dyDescent="0.25">
      <c r="A6" s="5" t="s">
        <v>203</v>
      </c>
      <c r="B6" s="10" t="str">
        <f>IFERROR(VLOOKUP($A6,fdistance,2,FALSE),"")</f>
        <v>F</v>
      </c>
      <c r="C6" s="10">
        <f>IFERROR(VLOOKUP($A6,fdistance,3,FALSE),"")</f>
        <v>4</v>
      </c>
      <c r="D6" s="31" t="s">
        <v>122</v>
      </c>
      <c r="E6" s="13" t="s">
        <v>123</v>
      </c>
      <c r="F6" s="13" t="s">
        <v>124</v>
      </c>
      <c r="G6" s="14" t="s">
        <v>125</v>
      </c>
      <c r="H6" s="484" t="s">
        <v>126</v>
      </c>
      <c r="I6" s="485"/>
      <c r="J6" s="485" t="s">
        <v>127</v>
      </c>
      <c r="K6" s="485"/>
      <c r="L6" s="485" t="s">
        <v>128</v>
      </c>
      <c r="M6" s="485"/>
      <c r="N6" s="485" t="s">
        <v>129</v>
      </c>
      <c r="O6" s="485"/>
      <c r="P6" s="486" t="s">
        <v>130</v>
      </c>
      <c r="Q6" s="485" t="s">
        <v>131</v>
      </c>
      <c r="R6" s="485"/>
      <c r="S6" s="485" t="s">
        <v>132</v>
      </c>
      <c r="T6" s="485"/>
      <c r="U6" s="485" t="s">
        <v>133</v>
      </c>
      <c r="V6" s="485"/>
      <c r="W6" s="488" t="s">
        <v>134</v>
      </c>
      <c r="X6" s="489"/>
      <c r="Y6" s="490" t="s">
        <v>135</v>
      </c>
      <c r="Z6" s="492" t="s">
        <v>136</v>
      </c>
      <c r="AA6" s="493"/>
      <c r="AB6" s="484"/>
    </row>
    <row r="7" spans="1:33" s="4" customFormat="1" x14ac:dyDescent="0.3">
      <c r="A7" s="121">
        <f>IFERROR(SEARCH("U17",F5),0)</f>
        <v>0</v>
      </c>
      <c r="B7" s="7" t="s">
        <v>53</v>
      </c>
      <c r="C7" s="7" t="s">
        <v>54</v>
      </c>
      <c r="D7" s="56"/>
      <c r="E7" s="56"/>
      <c r="F7" s="15"/>
      <c r="G7" s="16"/>
      <c r="H7" s="468" t="s">
        <v>137</v>
      </c>
      <c r="I7" s="469"/>
      <c r="J7" s="469" t="s">
        <v>137</v>
      </c>
      <c r="K7" s="469"/>
      <c r="L7" s="469" t="s">
        <v>137</v>
      </c>
      <c r="M7" s="469"/>
      <c r="N7" s="469" t="s">
        <v>137</v>
      </c>
      <c r="O7" s="469"/>
      <c r="P7" s="487"/>
      <c r="Q7" s="469" t="s">
        <v>137</v>
      </c>
      <c r="R7" s="469"/>
      <c r="S7" s="469" t="s">
        <v>137</v>
      </c>
      <c r="T7" s="469"/>
      <c r="U7" s="469" t="s">
        <v>137</v>
      </c>
      <c r="V7" s="469"/>
      <c r="W7" s="469" t="s">
        <v>137</v>
      </c>
      <c r="X7" s="466"/>
      <c r="Y7" s="491"/>
      <c r="Z7" s="55"/>
      <c r="AA7" s="55" t="s">
        <v>53</v>
      </c>
      <c r="AB7" s="55" t="s">
        <v>54</v>
      </c>
    </row>
    <row r="8" spans="1:33" s="4" customFormat="1" ht="16.149999999999999" customHeight="1" x14ac:dyDescent="0.35">
      <c r="A8" s="8">
        <f>IFERROR(IF(D8&gt;MatchDay!$U$2,"-",VLOOKUP(A4,timetables,MatchDay!$U$4,FALSE)),0)</f>
        <v>5</v>
      </c>
      <c r="B8" s="7" t="str">
        <f ca="1">AA8</f>
        <v/>
      </c>
      <c r="C8" s="7" t="str">
        <f ca="1">AB8</f>
        <v/>
      </c>
      <c r="D8" s="56">
        <v>1</v>
      </c>
      <c r="E8" s="17">
        <f>A8</f>
        <v>5</v>
      </c>
      <c r="F8" s="319" t="str">
        <f>IFERROR(VLOOKUP($A4&amp;E8,downloads!$A$1:$E$1000,2,FALSE),"")</f>
        <v/>
      </c>
      <c r="G8" s="18" t="str">
        <f t="shared" ref="G8:G23" si="0">IFERROR(VLOOKUP(E8,teamlookup,5,FALSE),"-")</f>
        <v>Menai</v>
      </c>
      <c r="H8" s="464">
        <f ca="1">IFERROR(INDIRECT(CONCATENATE("'Distance Input'!"&amp;B6&amp;C6)),"")</f>
        <v>0</v>
      </c>
      <c r="I8" s="465"/>
      <c r="J8" s="464">
        <v>0</v>
      </c>
      <c r="K8" s="465"/>
      <c r="L8" s="464">
        <v>0</v>
      </c>
      <c r="M8" s="465"/>
      <c r="N8" s="470">
        <f ca="1">H8</f>
        <v>0</v>
      </c>
      <c r="O8" s="471"/>
      <c r="P8" s="55">
        <v>0</v>
      </c>
      <c r="Q8" s="472">
        <v>0</v>
      </c>
      <c r="R8" s="472"/>
      <c r="S8" s="472">
        <v>0</v>
      </c>
      <c r="T8" s="472"/>
      <c r="U8" s="472">
        <v>0</v>
      </c>
      <c r="V8" s="472"/>
      <c r="W8" s="464">
        <f ca="1">N8</f>
        <v>0</v>
      </c>
      <c r="X8" s="465"/>
      <c r="Y8" s="55">
        <f ca="1">IF(OR(W8="",W8=0),0,IF(W8="X",MatchDay!$U$2+MatchDay!$U$2+1-COUNTIF(Distance!W8:W8,"X"),RANK(W8,$W8:$X23,0)))</f>
        <v>0</v>
      </c>
      <c r="Z8" s="19">
        <f ca="1">IFERROR(IF(Y8=0,0,IF(OR(VLOOKUP(AG8,E16:Y23,21,FALSE)=0,Y8&lt;=VLOOKUP(AG8,E16:Y23,21,FALSE)),"A","B")),"")</f>
        <v>0</v>
      </c>
      <c r="AA8" s="19" t="str">
        <f ca="1">IFERROR(IF(Z8="B","",RANK(AD8,AD8:AD23,1)),"")</f>
        <v/>
      </c>
      <c r="AB8" s="19" t="str">
        <f ca="1">IFERROR(IF(Z8="A","",RANK(AE8,AE8:AE23,1)),"")</f>
        <v/>
      </c>
      <c r="AC8" s="8"/>
      <c r="AD8" s="9" t="str">
        <f ca="1">IF(OR(W8=0,Y8=0,Z8="B"),"",Y8)</f>
        <v/>
      </c>
      <c r="AE8" s="9" t="str">
        <f ca="1">IF(OR(W8=0,Y8=0,Z8="A"),"",Y8)</f>
        <v/>
      </c>
      <c r="AF8" s="9" t="s">
        <v>138</v>
      </c>
      <c r="AG8" s="4">
        <f>IFERROR(IF(A7=0,E8*11,E8&amp;E8),"")</f>
        <v>55</v>
      </c>
    </row>
    <row r="9" spans="1:33" s="4" customFormat="1" ht="16.149999999999999" customHeight="1" x14ac:dyDescent="0.35">
      <c r="A9" s="8">
        <f>IFERROR(IF(D9&gt;MatchDay!$U$2,"-",VLOOKUP(A4,timetables,MatchDay!$U$4+1,FALSE)),0)</f>
        <v>7</v>
      </c>
      <c r="B9" s="7" t="str">
        <f t="shared" ref="B9:B23" ca="1" si="1">AA9</f>
        <v/>
      </c>
      <c r="C9" s="7" t="str">
        <f t="shared" ref="C9:C23" ca="1" si="2">AB9</f>
        <v/>
      </c>
      <c r="D9" s="55">
        <v>2</v>
      </c>
      <c r="E9" s="17">
        <f t="shared" ref="E9:E23" si="3">A9</f>
        <v>7</v>
      </c>
      <c r="F9" s="319" t="str">
        <f>IFERROR(VLOOKUP($A4&amp;E9,downloads!$A$1:$E$1000,2,FALSE),"")</f>
        <v/>
      </c>
      <c r="G9" s="18" t="str">
        <f t="shared" si="0"/>
        <v>Wigan</v>
      </c>
      <c r="H9" s="464">
        <f ca="1">IFERROR(INDIRECT(CONCATENATE("'Distance Input'!"&amp;B6&amp;C6+1)),"")</f>
        <v>0</v>
      </c>
      <c r="I9" s="465"/>
      <c r="J9" s="464">
        <v>0</v>
      </c>
      <c r="K9" s="465"/>
      <c r="L9" s="464">
        <v>0</v>
      </c>
      <c r="M9" s="465"/>
      <c r="N9" s="470">
        <f t="shared" ref="N9:N23" ca="1" si="4">H9</f>
        <v>0</v>
      </c>
      <c r="O9" s="471"/>
      <c r="P9" s="55">
        <v>0</v>
      </c>
      <c r="Q9" s="472">
        <v>0</v>
      </c>
      <c r="R9" s="472"/>
      <c r="S9" s="472">
        <v>0</v>
      </c>
      <c r="T9" s="472"/>
      <c r="U9" s="472">
        <v>0</v>
      </c>
      <c r="V9" s="472"/>
      <c r="W9" s="464">
        <f t="shared" ref="W9:W23" ca="1" si="5">N9</f>
        <v>0</v>
      </c>
      <c r="X9" s="465"/>
      <c r="Y9" s="55">
        <f ca="1">IF(OR(W9="",W9=0),0,IF(W9="X",MatchDay!$U$2+MatchDay!$U$2+1-COUNTIF(Distance!W8:W9,"X"),RANK(W9,$W8:$X23,0)))</f>
        <v>0</v>
      </c>
      <c r="Z9" s="19">
        <f ca="1">IFERROR(IF(Y9=0,0,IF(OR(VLOOKUP(AG9,E16:Y23,21,FALSE)=0,Y9&lt;=VLOOKUP(AG9,E16:Y23,21,FALSE)),"A","B")),"")</f>
        <v>0</v>
      </c>
      <c r="AA9" s="19" t="str">
        <f ca="1">IFERROR(IF(Z9="B","",RANK(AD9,AD8:AD23,1)),"")</f>
        <v/>
      </c>
      <c r="AB9" s="19" t="str">
        <f ca="1">IFERROR(IF(Z9="A","",RANK(AE9,AE8:AE23,1)),"")</f>
        <v/>
      </c>
      <c r="AC9" s="8"/>
      <c r="AD9" s="9" t="str">
        <f t="shared" ref="AD9:AD23" ca="1" si="6">IF(OR(W9=0,Y9=0,Z9="B"),"",Y9)</f>
        <v/>
      </c>
      <c r="AE9" s="9" t="str">
        <f t="shared" ref="AE9:AE23" ca="1" si="7">IF(OR(W9=0,Y9=0,Z9="A"),"",Y9)</f>
        <v/>
      </c>
      <c r="AF9" s="9" t="s">
        <v>138</v>
      </c>
      <c r="AG9" s="4">
        <f>IFERROR(IF(A7=0,E9*11,E9&amp;E9),"")</f>
        <v>77</v>
      </c>
    </row>
    <row r="10" spans="1:33" s="4" customFormat="1" ht="16.149999999999999" customHeight="1" x14ac:dyDescent="0.35">
      <c r="A10" s="8">
        <f>IFERROR(IF(D10&gt;MatchDay!$U$2,"-",VLOOKUP(A4,timetables,MatchDay!$U$4+2,FALSE)),0)</f>
        <v>6</v>
      </c>
      <c r="B10" s="7">
        <f t="shared" ca="1" si="1"/>
        <v>1</v>
      </c>
      <c r="C10" s="7" t="str">
        <f t="shared" ca="1" si="2"/>
        <v/>
      </c>
      <c r="D10" s="55">
        <v>3</v>
      </c>
      <c r="E10" s="17">
        <f t="shared" si="3"/>
        <v>6</v>
      </c>
      <c r="F10" s="319" t="str">
        <f>IFERROR(VLOOKUP($A4&amp;E10,downloads!$A$1:$E$1000,2,FALSE),"")</f>
        <v>Jacob HARWOOD-BRETNALL</v>
      </c>
      <c r="G10" s="18" t="str">
        <f t="shared" si="0"/>
        <v>Stock</v>
      </c>
      <c r="H10" s="464">
        <f ca="1">IFERROR(INDIRECT(CONCATENATE("'Distance Input'!"&amp;B6&amp;C6+2)),"")</f>
        <v>20.73</v>
      </c>
      <c r="I10" s="465"/>
      <c r="J10" s="464">
        <v>0</v>
      </c>
      <c r="K10" s="465"/>
      <c r="L10" s="464">
        <v>0</v>
      </c>
      <c r="M10" s="465"/>
      <c r="N10" s="470">
        <f t="shared" ca="1" si="4"/>
        <v>20.73</v>
      </c>
      <c r="O10" s="471"/>
      <c r="P10" s="55">
        <v>0</v>
      </c>
      <c r="Q10" s="472">
        <v>0</v>
      </c>
      <c r="R10" s="472"/>
      <c r="S10" s="472">
        <v>0</v>
      </c>
      <c r="T10" s="472"/>
      <c r="U10" s="472">
        <v>0</v>
      </c>
      <c r="V10" s="472"/>
      <c r="W10" s="464">
        <f t="shared" ca="1" si="5"/>
        <v>20.73</v>
      </c>
      <c r="X10" s="465"/>
      <c r="Y10" s="55">
        <f ca="1">IF(OR(W10="",W10=0),0,IF(W10="X",MatchDay!$U$2+MatchDay!$U$2+1-COUNTIF(Distance!W8:W10,"X"),RANK(W10,$W8:$X23,0)))</f>
        <v>1</v>
      </c>
      <c r="Z10" s="19" t="str">
        <f ca="1">IFERROR(IF(Y10=0,0,IF(OR(VLOOKUP(AG10,E16:Y23,21,FALSE)=0,Y10&lt;=VLOOKUP(AG10,E16:Y23,21,FALSE)),"A","B")),"")</f>
        <v>A</v>
      </c>
      <c r="AA10" s="19">
        <f ca="1">IFERROR(IF(Z10="B","",RANK(AD10,AD8:AD23,1)),"")</f>
        <v>1</v>
      </c>
      <c r="AB10" s="19" t="str">
        <f ca="1">IFERROR(IF(Z10="A","",RANK(AE10,AE8:AE23,1)),"")</f>
        <v/>
      </c>
      <c r="AD10" s="9">
        <f t="shared" ca="1" si="6"/>
        <v>1</v>
      </c>
      <c r="AE10" s="9" t="str">
        <f t="shared" ca="1" si="7"/>
        <v/>
      </c>
      <c r="AF10" s="9" t="s">
        <v>138</v>
      </c>
      <c r="AG10" s="4">
        <f>IFERROR(IF(A7=0,E10*11,E10&amp;E10),"")</f>
        <v>66</v>
      </c>
    </row>
    <row r="11" spans="1:33" s="4" customFormat="1" ht="16.149999999999999" customHeight="1" x14ac:dyDescent="0.35">
      <c r="A11" s="8">
        <f>IFERROR(IF(D11&gt;MatchDay!$U$2,"-",VLOOKUP(A4,timetables,MatchDay!$U$4+3,FALSE)),0)</f>
        <v>4</v>
      </c>
      <c r="B11" s="7" t="str">
        <f t="shared" ca="1" si="1"/>
        <v/>
      </c>
      <c r="C11" s="7" t="str">
        <f t="shared" ca="1" si="2"/>
        <v/>
      </c>
      <c r="D11" s="55">
        <v>4</v>
      </c>
      <c r="E11" s="17">
        <f t="shared" si="3"/>
        <v>4</v>
      </c>
      <c r="F11" s="319" t="str">
        <f>IFERROR(VLOOKUP($A4&amp;E11,downloads!$A$1:$E$1000,2,FALSE),"")</f>
        <v/>
      </c>
      <c r="G11" s="18" t="str">
        <f t="shared" si="0"/>
        <v>Macc</v>
      </c>
      <c r="H11" s="464">
        <f ca="1">IFERROR(INDIRECT(CONCATENATE("'Distance Input'!"&amp;B6&amp;C6+3)),"")</f>
        <v>0</v>
      </c>
      <c r="I11" s="465"/>
      <c r="J11" s="464">
        <v>0</v>
      </c>
      <c r="K11" s="465"/>
      <c r="L11" s="464">
        <v>0</v>
      </c>
      <c r="M11" s="465"/>
      <c r="N11" s="470">
        <f t="shared" ca="1" si="4"/>
        <v>0</v>
      </c>
      <c r="O11" s="471"/>
      <c r="P11" s="55">
        <v>0</v>
      </c>
      <c r="Q11" s="472">
        <v>0</v>
      </c>
      <c r="R11" s="472"/>
      <c r="S11" s="472">
        <v>0</v>
      </c>
      <c r="T11" s="472"/>
      <c r="U11" s="472">
        <v>0</v>
      </c>
      <c r="V11" s="472"/>
      <c r="W11" s="464">
        <f t="shared" ca="1" si="5"/>
        <v>0</v>
      </c>
      <c r="X11" s="465"/>
      <c r="Y11" s="55">
        <f ca="1">IF(OR(W11="",W11=0),0,IF(W11="X",MatchDay!$U$2+MatchDay!$U$2+1-COUNTIF(Distance!W8:W11,"X"),RANK(W11,$W8:$X23,0)))</f>
        <v>0</v>
      </c>
      <c r="Z11" s="19">
        <f ca="1">IFERROR(IF(Y11=0,0,IF(OR(VLOOKUP(AG11,E16:Y23,21,FALSE)=0,Y11&lt;=VLOOKUP(AG11,E16:Y23,21,FALSE)),"A","B")),"")</f>
        <v>0</v>
      </c>
      <c r="AA11" s="19" t="str">
        <f ca="1">IFERROR(IF(Z11="B","",RANK(AD11,AD8:AD23,1)),"")</f>
        <v/>
      </c>
      <c r="AB11" s="19" t="str">
        <f ca="1">IFERROR(IF(Z11="A","",RANK(AE11,AE8:AE23,1)),"")</f>
        <v/>
      </c>
      <c r="AD11" s="9" t="str">
        <f t="shared" ca="1" si="6"/>
        <v/>
      </c>
      <c r="AE11" s="9" t="str">
        <f t="shared" ca="1" si="7"/>
        <v/>
      </c>
      <c r="AF11" s="9" t="s">
        <v>138</v>
      </c>
      <c r="AG11" s="4">
        <f>IFERROR(IF(A7=0,E11*11,E11&amp;E11),"")</f>
        <v>44</v>
      </c>
    </row>
    <row r="12" spans="1:33" s="4" customFormat="1" ht="16.149999999999999" customHeight="1" x14ac:dyDescent="0.35">
      <c r="A12" s="8">
        <f>IFERROR(IF(D12&gt;MatchDay!$U$2,"-",VLOOKUP(A4,timetables,MatchDay!$U$4+4,FALSE)),0)</f>
        <v>2</v>
      </c>
      <c r="B12" s="7" t="str">
        <f t="shared" ca="1" si="1"/>
        <v/>
      </c>
      <c r="C12" s="7" t="str">
        <f t="shared" ca="1" si="2"/>
        <v/>
      </c>
      <c r="D12" s="55">
        <v>5</v>
      </c>
      <c r="E12" s="17">
        <f t="shared" si="3"/>
        <v>2</v>
      </c>
      <c r="F12" s="319" t="str">
        <f>IFERROR(VLOOKUP($A4&amp;E12,downloads!$A$1:$E$1000,2,FALSE),"")</f>
        <v/>
      </c>
      <c r="G12" s="18" t="str">
        <f t="shared" si="0"/>
        <v>ECHT</v>
      </c>
      <c r="H12" s="464">
        <f ca="1">IFERROR(INDIRECT(CONCATENATE("'Distance Input'!"&amp;B6&amp;C6+4)),"")</f>
        <v>0</v>
      </c>
      <c r="I12" s="465"/>
      <c r="J12" s="464">
        <v>0</v>
      </c>
      <c r="K12" s="465"/>
      <c r="L12" s="464">
        <v>0</v>
      </c>
      <c r="M12" s="465"/>
      <c r="N12" s="470">
        <f t="shared" ca="1" si="4"/>
        <v>0</v>
      </c>
      <c r="O12" s="471"/>
      <c r="P12" s="55">
        <v>0</v>
      </c>
      <c r="Q12" s="472">
        <v>0</v>
      </c>
      <c r="R12" s="472"/>
      <c r="S12" s="472">
        <v>0</v>
      </c>
      <c r="T12" s="472"/>
      <c r="U12" s="472">
        <v>0</v>
      </c>
      <c r="V12" s="472"/>
      <c r="W12" s="464">
        <f t="shared" ca="1" si="5"/>
        <v>0</v>
      </c>
      <c r="X12" s="465"/>
      <c r="Y12" s="55">
        <f ca="1">IF(OR(W12="",W12=0),0,IF(W12="X",MatchDay!$U$2+MatchDay!$U$2+1-COUNTIF(Distance!W8:W12,"X"),RANK(W12,$W8:$X23,0)))</f>
        <v>0</v>
      </c>
      <c r="Z12" s="19">
        <f ca="1">IFERROR(IF(Y12=0,0,IF(OR(VLOOKUP(AG12,E16:Y23,21,FALSE)=0,Y12&lt;=VLOOKUP(AG12,E16:Y23,21,FALSE)),"A","B")),"")</f>
        <v>0</v>
      </c>
      <c r="AA12" s="19" t="str">
        <f ca="1">IFERROR(IF(Z12="B","",RANK(AD12,AD8:AD23,1)),"")</f>
        <v/>
      </c>
      <c r="AB12" s="19" t="str">
        <f ca="1">IFERROR(IF(Z12="A","",RANK(AE12,AE8:AE23,1)),"")</f>
        <v/>
      </c>
      <c r="AD12" s="9" t="str">
        <f t="shared" ca="1" si="6"/>
        <v/>
      </c>
      <c r="AE12" s="9" t="str">
        <f t="shared" ca="1" si="7"/>
        <v/>
      </c>
      <c r="AF12" s="9" t="s">
        <v>138</v>
      </c>
      <c r="AG12" s="4">
        <f>IFERROR(IF(A7=0,E12*11,E12&amp;E12),"")</f>
        <v>22</v>
      </c>
    </row>
    <row r="13" spans="1:33" s="4" customFormat="1" ht="16.149999999999999" customHeight="1" x14ac:dyDescent="0.35">
      <c r="A13" s="8">
        <f>IFERROR(IF(D13&gt;MatchDay!$U$2,"-",VLOOKUP(A4,timetables,MatchDay!$U$4+5,FALSE)),0)</f>
        <v>1</v>
      </c>
      <c r="B13" s="7" t="str">
        <f t="shared" ca="1" si="1"/>
        <v/>
      </c>
      <c r="C13" s="7" t="str">
        <f t="shared" ca="1" si="2"/>
        <v/>
      </c>
      <c r="D13" s="55">
        <v>6</v>
      </c>
      <c r="E13" s="17">
        <f t="shared" si="3"/>
        <v>1</v>
      </c>
      <c r="F13" s="319" t="str">
        <f>IFERROR(VLOOKUP($A4&amp;E13,downloads!$A$1:$E$1000,2,FALSE),"")</f>
        <v/>
      </c>
      <c r="G13" s="18" t="str">
        <f t="shared" si="0"/>
        <v>C&amp;N</v>
      </c>
      <c r="H13" s="464">
        <f ca="1">IFERROR(INDIRECT(CONCATENATE("'Distance Input'!"&amp;B6&amp;C6+5)),"")</f>
        <v>0</v>
      </c>
      <c r="I13" s="465"/>
      <c r="J13" s="464">
        <v>0</v>
      </c>
      <c r="K13" s="465"/>
      <c r="L13" s="464">
        <v>0</v>
      </c>
      <c r="M13" s="465"/>
      <c r="N13" s="470">
        <f t="shared" ca="1" si="4"/>
        <v>0</v>
      </c>
      <c r="O13" s="471"/>
      <c r="P13" s="55">
        <v>0</v>
      </c>
      <c r="Q13" s="472">
        <v>0</v>
      </c>
      <c r="R13" s="472"/>
      <c r="S13" s="472">
        <v>0</v>
      </c>
      <c r="T13" s="472"/>
      <c r="U13" s="472">
        <v>0</v>
      </c>
      <c r="V13" s="472"/>
      <c r="W13" s="464">
        <f t="shared" ca="1" si="5"/>
        <v>0</v>
      </c>
      <c r="X13" s="465"/>
      <c r="Y13" s="55">
        <f ca="1">IF(OR(W13="",W13=0),0,IF(W13="X",MatchDay!$U$2+MatchDay!$U$2+1-COUNTIF(Distance!W8:W13,"X"),RANK(W13,$W8:$X23,0)))</f>
        <v>0</v>
      </c>
      <c r="Z13" s="19">
        <f ca="1">IFERROR(IF(Y13=0,0,IF(OR(VLOOKUP(AG13,E16:Y23,21,FALSE)=0,Y13&lt;=VLOOKUP(AG13,E16:Y23,21,FALSE)),"A","B")),"")</f>
        <v>0</v>
      </c>
      <c r="AA13" s="19" t="str">
        <f ca="1">IFERROR(IF(Z13="B","",RANK(AD13,AD8:AD23,1)),"")</f>
        <v/>
      </c>
      <c r="AB13" s="19" t="str">
        <f ca="1">IFERROR(IF(Z13="A","",RANK(AE13,AE8:AE23,1)),"")</f>
        <v/>
      </c>
      <c r="AD13" s="9" t="str">
        <f t="shared" ca="1" si="6"/>
        <v/>
      </c>
      <c r="AE13" s="9" t="str">
        <f t="shared" ca="1" si="7"/>
        <v/>
      </c>
      <c r="AF13" s="9" t="s">
        <v>138</v>
      </c>
      <c r="AG13" s="4">
        <f>IFERROR(IF(A7=0,E13*11,E13&amp;E13),"")</f>
        <v>11</v>
      </c>
    </row>
    <row r="14" spans="1:33" s="4" customFormat="1" ht="16.149999999999999" customHeight="1" x14ac:dyDescent="0.35">
      <c r="A14" s="8">
        <f>IFERROR(IF(D14&gt;MatchDay!$U$2,"-",VLOOKUP(A4,timetables,MatchDay!$U$4+6,FALSE)),0)</f>
        <v>3</v>
      </c>
      <c r="B14" s="7" t="str">
        <f t="shared" ca="1" si="1"/>
        <v/>
      </c>
      <c r="C14" s="7" t="str">
        <f t="shared" ca="1" si="2"/>
        <v/>
      </c>
      <c r="D14" s="55">
        <v>7</v>
      </c>
      <c r="E14" s="17">
        <f t="shared" si="3"/>
        <v>3</v>
      </c>
      <c r="F14" s="319" t="str">
        <f>IFERROR(VLOOKUP($A4&amp;E14,downloads!$A$1:$E$1000,2,FALSE),"")</f>
        <v/>
      </c>
      <c r="G14" s="18" t="str">
        <f t="shared" si="0"/>
        <v>Leigh</v>
      </c>
      <c r="H14" s="464">
        <f ca="1">IFERROR(INDIRECT(CONCATENATE("'Distance Input'!"&amp;B6&amp;C6+6)),"")</f>
        <v>0</v>
      </c>
      <c r="I14" s="465"/>
      <c r="J14" s="464">
        <v>0</v>
      </c>
      <c r="K14" s="465"/>
      <c r="L14" s="464">
        <v>0</v>
      </c>
      <c r="M14" s="465"/>
      <c r="N14" s="470">
        <f t="shared" ca="1" si="4"/>
        <v>0</v>
      </c>
      <c r="O14" s="471"/>
      <c r="P14" s="55">
        <v>0</v>
      </c>
      <c r="Q14" s="472">
        <v>0</v>
      </c>
      <c r="R14" s="472"/>
      <c r="S14" s="472">
        <v>0</v>
      </c>
      <c r="T14" s="472"/>
      <c r="U14" s="472">
        <v>0</v>
      </c>
      <c r="V14" s="472"/>
      <c r="W14" s="464">
        <f t="shared" ca="1" si="5"/>
        <v>0</v>
      </c>
      <c r="X14" s="465"/>
      <c r="Y14" s="55">
        <f ca="1">IF(OR(W14="",W14=0),0,IF(W14="X",MatchDay!$U$2+MatchDay!$U$2+1-COUNTIF(Distance!W8:W14,"X"),RANK(W14,$W8:$X23,0)))</f>
        <v>0</v>
      </c>
      <c r="Z14" s="19">
        <f ca="1">IFERROR(IF(Y14=0,0,IF(OR(VLOOKUP(AG14,E16:Y23,21,FALSE)=0,Y14&lt;=VLOOKUP(AG14,E16:Y23,21,FALSE)),"A","B")),"")</f>
        <v>0</v>
      </c>
      <c r="AA14" s="19" t="str">
        <f ca="1">IFERROR(IF(Z14="B","",RANK(AD14,AD8:AD23,1)),"")</f>
        <v/>
      </c>
      <c r="AB14" s="19" t="str">
        <f ca="1">IFERROR(IF(Z14="A","",RANK(AE14,AE8:AE23,1)),"")</f>
        <v/>
      </c>
      <c r="AD14" s="9" t="str">
        <f t="shared" ca="1" si="6"/>
        <v/>
      </c>
      <c r="AE14" s="9" t="str">
        <f t="shared" ca="1" si="7"/>
        <v/>
      </c>
      <c r="AF14" s="9" t="s">
        <v>138</v>
      </c>
      <c r="AG14" s="4">
        <f>IFERROR(IF(A7=0,E14*11,E14&amp;E14),"")</f>
        <v>33</v>
      </c>
    </row>
    <row r="15" spans="1:33" s="4" customFormat="1" ht="16.149999999999999" customHeight="1" x14ac:dyDescent="0.35">
      <c r="A15" s="8" t="str">
        <f>IFERROR(IF(D15&gt;MatchDay!$U$2,"-",VLOOKUP(A4,timetables,MatchDay!$U$4+7,FALSE)),0)</f>
        <v>-</v>
      </c>
      <c r="B15" s="7" t="str">
        <f t="shared" ca="1" si="1"/>
        <v/>
      </c>
      <c r="C15" s="7" t="str">
        <f t="shared" ca="1" si="2"/>
        <v/>
      </c>
      <c r="D15" s="55">
        <v>8</v>
      </c>
      <c r="E15" s="17" t="str">
        <f t="shared" si="3"/>
        <v>-</v>
      </c>
      <c r="F15" s="319" t="str">
        <f>IFERROR(VLOOKUP($A4&amp;E15,downloads!$A$1:$E$1000,2,FALSE),"")</f>
        <v/>
      </c>
      <c r="G15" s="18" t="str">
        <f t="shared" si="0"/>
        <v/>
      </c>
      <c r="H15" s="464">
        <f ca="1">IFERROR(INDIRECT(CONCATENATE("'Distance Input'!"&amp;B6&amp;C6+7)),"")</f>
        <v>0</v>
      </c>
      <c r="I15" s="465"/>
      <c r="J15" s="464">
        <v>0</v>
      </c>
      <c r="K15" s="465"/>
      <c r="L15" s="464">
        <v>0</v>
      </c>
      <c r="M15" s="465"/>
      <c r="N15" s="470">
        <f t="shared" ca="1" si="4"/>
        <v>0</v>
      </c>
      <c r="O15" s="471"/>
      <c r="P15" s="55">
        <v>0</v>
      </c>
      <c r="Q15" s="472">
        <v>0</v>
      </c>
      <c r="R15" s="472"/>
      <c r="S15" s="472">
        <v>0</v>
      </c>
      <c r="T15" s="472"/>
      <c r="U15" s="472">
        <v>0</v>
      </c>
      <c r="V15" s="472"/>
      <c r="W15" s="464">
        <f t="shared" ca="1" si="5"/>
        <v>0</v>
      </c>
      <c r="X15" s="465"/>
      <c r="Y15" s="55">
        <f ca="1">IF(OR(W15="",W15=0),0,IF(W15="X",MatchDay!$U$2+MatchDay!$U$2+1-COUNTIF(Distance!W8:W15,"X"),RANK(W15,$W8:$X23,0)))</f>
        <v>0</v>
      </c>
      <c r="Z15" s="19">
        <f ca="1">IFERROR(IF(Y15=0,0,IF(OR(VLOOKUP(AG15,E16:Y23,21,FALSE)=0,Y15&lt;=VLOOKUP(AG15,E16:Y23,21,FALSE)),"A","B")),"")</f>
        <v>0</v>
      </c>
      <c r="AA15" s="19" t="str">
        <f ca="1">IFERROR(IF(Z15="B","",RANK(AD15,AD8:AD23,1)),"")</f>
        <v/>
      </c>
      <c r="AB15" s="19" t="str">
        <f ca="1">IFERROR(IF(Z15="A","",RANK(AE15,AE8:AE23,1)),"")</f>
        <v/>
      </c>
      <c r="AD15" s="9" t="str">
        <f t="shared" ca="1" si="6"/>
        <v/>
      </c>
      <c r="AE15" s="9" t="str">
        <f t="shared" ca="1" si="7"/>
        <v/>
      </c>
      <c r="AF15" s="9" t="s">
        <v>138</v>
      </c>
      <c r="AG15" s="4" t="str">
        <f>IFERROR(IF(A7=0,E15*11,E15&amp;E15),"")</f>
        <v/>
      </c>
    </row>
    <row r="16" spans="1:33" s="4" customFormat="1" ht="16.149999999999999" customHeight="1" x14ac:dyDescent="0.35">
      <c r="A16" s="8">
        <f>IFERROR(IF(A7=0,A8*11,A8&amp;A8),"-")</f>
        <v>55</v>
      </c>
      <c r="B16" s="7" t="str">
        <f t="shared" ca="1" si="1"/>
        <v/>
      </c>
      <c r="C16" s="7" t="str">
        <f t="shared" ca="1" si="2"/>
        <v/>
      </c>
      <c r="D16" s="55">
        <v>9</v>
      </c>
      <c r="E16" s="17">
        <f t="shared" si="3"/>
        <v>55</v>
      </c>
      <c r="F16" s="319" t="str">
        <f>IFERROR(VLOOKUP($A4&amp;E16,downloads!$A$1:$E$1000,2,FALSE),"")</f>
        <v/>
      </c>
      <c r="G16" s="18" t="str">
        <f t="shared" si="0"/>
        <v>Menai</v>
      </c>
      <c r="H16" s="464">
        <f ca="1">IFERROR(INDIRECT(CONCATENATE("'Distance Input'!"&amp;B6&amp;C6+8)),"")</f>
        <v>0</v>
      </c>
      <c r="I16" s="465"/>
      <c r="J16" s="464">
        <v>0</v>
      </c>
      <c r="K16" s="465"/>
      <c r="L16" s="464">
        <v>0</v>
      </c>
      <c r="M16" s="465"/>
      <c r="N16" s="470">
        <f t="shared" ca="1" si="4"/>
        <v>0</v>
      </c>
      <c r="O16" s="471"/>
      <c r="P16" s="55">
        <v>0</v>
      </c>
      <c r="Q16" s="472">
        <v>0</v>
      </c>
      <c r="R16" s="472"/>
      <c r="S16" s="472">
        <v>0</v>
      </c>
      <c r="T16" s="472"/>
      <c r="U16" s="472">
        <v>0</v>
      </c>
      <c r="V16" s="472"/>
      <c r="W16" s="464">
        <f t="shared" ca="1" si="5"/>
        <v>0</v>
      </c>
      <c r="X16" s="465"/>
      <c r="Y16" s="55">
        <f ca="1">IF(OR(W16="",W16=0),0,IF(W16="X",MatchDay!$U$2+MatchDay!$U$2+1-COUNTIF(Distance!W8:W16,"X"),RANK(W16,$W8:$X23,0)))</f>
        <v>0</v>
      </c>
      <c r="Z16" s="19">
        <f ca="1">IFERROR(IF(Y16=0,0,IF(VLOOKUP(AG16,E8:Y15,21,FALSE)=0,"A",IF(Y16&gt;=VLOOKUP(AG16,E8:Y15,21,FALSE),"B","A"))),"")</f>
        <v>0</v>
      </c>
      <c r="AA16" s="19" t="str">
        <f ca="1">IFERROR(IF(Z16="B","",RANK(AD16,AD8:AD23,1)),"")</f>
        <v/>
      </c>
      <c r="AB16" s="19" t="str">
        <f ca="1">IFERROR(IF(Z16="A","",RANK(AE16,AE8:AE23,1)),"")</f>
        <v/>
      </c>
      <c r="AD16" s="9" t="str">
        <f t="shared" ca="1" si="6"/>
        <v/>
      </c>
      <c r="AE16" s="9" t="str">
        <f t="shared" ca="1" si="7"/>
        <v/>
      </c>
      <c r="AF16" s="9" t="s">
        <v>138</v>
      </c>
      <c r="AG16" s="4">
        <f>IFERROR(IF(A7=0,E16/11,LEFT(E16,1)),"")</f>
        <v>5</v>
      </c>
    </row>
    <row r="17" spans="1:33" s="4" customFormat="1" ht="16.149999999999999" customHeight="1" x14ac:dyDescent="0.35">
      <c r="A17" s="8">
        <f>IFERROR(IF(A7=0,A9*11,A9&amp;A9),"-")</f>
        <v>77</v>
      </c>
      <c r="B17" s="7" t="str">
        <f t="shared" ca="1" si="1"/>
        <v/>
      </c>
      <c r="C17" s="7" t="str">
        <f t="shared" ca="1" si="2"/>
        <v/>
      </c>
      <c r="D17" s="55">
        <v>10</v>
      </c>
      <c r="E17" s="17">
        <f t="shared" si="3"/>
        <v>77</v>
      </c>
      <c r="F17" s="319" t="str">
        <f>IFERROR(VLOOKUP($A4&amp;E17,downloads!$A$1:$E$1000,2,FALSE),"")</f>
        <v/>
      </c>
      <c r="G17" s="18" t="str">
        <f t="shared" si="0"/>
        <v>Wigan</v>
      </c>
      <c r="H17" s="464">
        <f ca="1">IFERROR(INDIRECT(CONCATENATE("'Distance Input'!"&amp;B6&amp;C6+9)),"")</f>
        <v>0</v>
      </c>
      <c r="I17" s="465"/>
      <c r="J17" s="464">
        <v>0</v>
      </c>
      <c r="K17" s="465"/>
      <c r="L17" s="464">
        <v>0</v>
      </c>
      <c r="M17" s="465"/>
      <c r="N17" s="470">
        <f t="shared" ca="1" si="4"/>
        <v>0</v>
      </c>
      <c r="O17" s="471"/>
      <c r="P17" s="55">
        <v>0</v>
      </c>
      <c r="Q17" s="472">
        <v>0</v>
      </c>
      <c r="R17" s="472"/>
      <c r="S17" s="472">
        <v>0</v>
      </c>
      <c r="T17" s="472"/>
      <c r="U17" s="472">
        <v>0</v>
      </c>
      <c r="V17" s="472"/>
      <c r="W17" s="464">
        <f t="shared" ca="1" si="5"/>
        <v>0</v>
      </c>
      <c r="X17" s="465"/>
      <c r="Y17" s="55">
        <f ca="1">IF(OR(W17="",W17=0),0,IF(W17="X",MatchDay!$U$2+MatchDay!$U$2+1-COUNTIF(Distance!W8:W17,"X"),RANK(W17,$W8:$X23,0)))</f>
        <v>0</v>
      </c>
      <c r="Z17" s="19">
        <f ca="1">IFERROR(IF(Y17=0,0,IF(VLOOKUP(AG17,E8:Y15,21,FALSE)=0,"A",IF(Y17&gt;=VLOOKUP(AG17,E8:Y15,21,FALSE),"B","A"))),"")</f>
        <v>0</v>
      </c>
      <c r="AA17" s="19" t="str">
        <f ca="1">IFERROR(IF(Z17="B","",RANK(AD17,AD8:AD23,1)),"")</f>
        <v/>
      </c>
      <c r="AB17" s="19" t="str">
        <f ca="1">IFERROR(IF(Z17="A","",RANK(AE17,AE8:AE23,1)),"")</f>
        <v/>
      </c>
      <c r="AD17" s="9" t="str">
        <f t="shared" ca="1" si="6"/>
        <v/>
      </c>
      <c r="AE17" s="9" t="str">
        <f t="shared" ca="1" si="7"/>
        <v/>
      </c>
      <c r="AF17" s="9" t="s">
        <v>138</v>
      </c>
      <c r="AG17" s="4">
        <f>IFERROR(IF(A7=0,E17/11,LEFT(E17,1)),"")</f>
        <v>7</v>
      </c>
    </row>
    <row r="18" spans="1:33" s="4" customFormat="1" ht="16.149999999999999" customHeight="1" x14ac:dyDescent="0.35">
      <c r="A18" s="8">
        <f>IFERROR(IF(A7=0,A10*11,A10&amp;A10),"-")</f>
        <v>66</v>
      </c>
      <c r="B18" s="7" t="str">
        <f t="shared" ca="1" si="1"/>
        <v/>
      </c>
      <c r="C18" s="7" t="str">
        <f t="shared" ca="1" si="2"/>
        <v/>
      </c>
      <c r="D18" s="55">
        <v>11</v>
      </c>
      <c r="E18" s="17">
        <f t="shared" si="3"/>
        <v>66</v>
      </c>
      <c r="F18" s="319" t="str">
        <f>IFERROR(VLOOKUP($A4&amp;E18,downloads!$A$1:$E$1000,2,FALSE),"")</f>
        <v/>
      </c>
      <c r="G18" s="18" t="str">
        <f t="shared" si="0"/>
        <v>Stock</v>
      </c>
      <c r="H18" s="464">
        <f ca="1">IFERROR(INDIRECT(CONCATENATE("'Distance Input'!"&amp;B6&amp;C6+10)),"")</f>
        <v>0</v>
      </c>
      <c r="I18" s="465"/>
      <c r="J18" s="464">
        <v>0</v>
      </c>
      <c r="K18" s="465"/>
      <c r="L18" s="464">
        <v>0</v>
      </c>
      <c r="M18" s="465"/>
      <c r="N18" s="470">
        <f t="shared" ca="1" si="4"/>
        <v>0</v>
      </c>
      <c r="O18" s="471"/>
      <c r="P18" s="55">
        <v>0</v>
      </c>
      <c r="Q18" s="472">
        <v>0</v>
      </c>
      <c r="R18" s="472"/>
      <c r="S18" s="472">
        <v>0</v>
      </c>
      <c r="T18" s="472"/>
      <c r="U18" s="472">
        <v>0</v>
      </c>
      <c r="V18" s="472"/>
      <c r="W18" s="464">
        <f t="shared" ca="1" si="5"/>
        <v>0</v>
      </c>
      <c r="X18" s="465"/>
      <c r="Y18" s="55">
        <f ca="1">IF(OR(W18="",W18=0),0,IF(W18="X",MatchDay!$U$2+MatchDay!$U$2+1-COUNTIF(Distance!W8:W18,"X"),RANK(W18,$W8:$X23,0)))</f>
        <v>0</v>
      </c>
      <c r="Z18" s="19">
        <f ca="1">IFERROR(IF(Y18=0,0,IF(VLOOKUP(AG18,E8:Y15,21,FALSE)=0,"A",IF(Y18&gt;=VLOOKUP(AG18,E8:Y15,21,FALSE),"B","A"))),"")</f>
        <v>0</v>
      </c>
      <c r="AA18" s="19" t="str">
        <f ca="1">IFERROR(IF(Z18="B","",RANK(AD18,AD8:AD23,1)),"")</f>
        <v/>
      </c>
      <c r="AB18" s="19" t="str">
        <f ca="1">IFERROR(IF(Z18="A","",RANK(AE18,AE8:AE23,1)),"")</f>
        <v/>
      </c>
      <c r="AD18" s="9" t="str">
        <f t="shared" ca="1" si="6"/>
        <v/>
      </c>
      <c r="AE18" s="9" t="str">
        <f t="shared" ca="1" si="7"/>
        <v/>
      </c>
      <c r="AF18" s="9" t="s">
        <v>138</v>
      </c>
      <c r="AG18" s="4">
        <f>IFERROR(IF(A7=0,E18/11,LEFT(E18,1)),"")</f>
        <v>6</v>
      </c>
    </row>
    <row r="19" spans="1:33" s="4" customFormat="1" ht="16.149999999999999" customHeight="1" x14ac:dyDescent="0.35">
      <c r="A19" s="8">
        <f>IFERROR(IF(A7=0,A11*11,A11&amp;A11),"-")</f>
        <v>44</v>
      </c>
      <c r="B19" s="7" t="str">
        <f t="shared" ca="1" si="1"/>
        <v/>
      </c>
      <c r="C19" s="7" t="str">
        <f t="shared" ca="1" si="2"/>
        <v/>
      </c>
      <c r="D19" s="55">
        <v>12</v>
      </c>
      <c r="E19" s="17">
        <f t="shared" si="3"/>
        <v>44</v>
      </c>
      <c r="F19" s="319" t="str">
        <f>IFERROR(VLOOKUP($A4&amp;E19,downloads!$A$1:$E$1000,2,FALSE),"")</f>
        <v/>
      </c>
      <c r="G19" s="18" t="str">
        <f t="shared" si="0"/>
        <v>Macc</v>
      </c>
      <c r="H19" s="464">
        <f ca="1">IFERROR(INDIRECT(CONCATENATE("'Distance Input'!"&amp;B6&amp;C6+11)),"")</f>
        <v>0</v>
      </c>
      <c r="I19" s="465"/>
      <c r="J19" s="464">
        <v>0</v>
      </c>
      <c r="K19" s="465"/>
      <c r="L19" s="464">
        <v>0</v>
      </c>
      <c r="M19" s="465"/>
      <c r="N19" s="470">
        <f t="shared" ca="1" si="4"/>
        <v>0</v>
      </c>
      <c r="O19" s="471"/>
      <c r="P19" s="55">
        <v>0</v>
      </c>
      <c r="Q19" s="472">
        <v>0</v>
      </c>
      <c r="R19" s="472"/>
      <c r="S19" s="472">
        <v>0</v>
      </c>
      <c r="T19" s="472"/>
      <c r="U19" s="472">
        <v>0</v>
      </c>
      <c r="V19" s="472"/>
      <c r="W19" s="464">
        <f t="shared" ca="1" si="5"/>
        <v>0</v>
      </c>
      <c r="X19" s="465"/>
      <c r="Y19" s="55">
        <f ca="1">IF(OR(W19="",W19=0),0,IF(W19="X",MatchDay!$U$2+MatchDay!$U$2+1-COUNTIF(Distance!W8:W19,"X"),RANK(W19,$W8:$X23,0)))</f>
        <v>0</v>
      </c>
      <c r="Z19" s="19">
        <f ca="1">IFERROR(IF(Y19=0,0,IF(VLOOKUP(AG19,E8:Y15,21,FALSE)=0,"A",IF(Y19&gt;=VLOOKUP(AG19,E8:Y15,21,FALSE),"B","A"))),"")</f>
        <v>0</v>
      </c>
      <c r="AA19" s="19" t="str">
        <f ca="1">IFERROR(IF(Z19="B","",RANK(AD19,AD8:AD23,1)),"")</f>
        <v/>
      </c>
      <c r="AB19" s="19" t="str">
        <f ca="1">IFERROR(IF(Z19="A","",RANK(AE19,AE8:AE23,1)),"")</f>
        <v/>
      </c>
      <c r="AD19" s="9" t="str">
        <f t="shared" ca="1" si="6"/>
        <v/>
      </c>
      <c r="AE19" s="9" t="str">
        <f t="shared" ca="1" si="7"/>
        <v/>
      </c>
      <c r="AF19" s="9" t="s">
        <v>138</v>
      </c>
      <c r="AG19" s="4">
        <f>IFERROR(IF(A7=0,E19/11,LEFT(E19,1)),"")</f>
        <v>4</v>
      </c>
    </row>
    <row r="20" spans="1:33" s="4" customFormat="1" ht="16.149999999999999" customHeight="1" x14ac:dyDescent="0.35">
      <c r="A20" s="8">
        <f>IFERROR(IF(A7=0,A12*11,A12&amp;A12),"-")</f>
        <v>22</v>
      </c>
      <c r="B20" s="7" t="str">
        <f t="shared" ca="1" si="1"/>
        <v/>
      </c>
      <c r="C20" s="7" t="str">
        <f t="shared" ca="1" si="2"/>
        <v/>
      </c>
      <c r="D20" s="55">
        <v>13</v>
      </c>
      <c r="E20" s="17">
        <f t="shared" si="3"/>
        <v>22</v>
      </c>
      <c r="F20" s="319" t="str">
        <f>IFERROR(VLOOKUP($A4&amp;E20,downloads!$A$1:$E$1000,2,FALSE),"")</f>
        <v/>
      </c>
      <c r="G20" s="18" t="str">
        <f t="shared" si="0"/>
        <v>ECHT</v>
      </c>
      <c r="H20" s="464">
        <f ca="1">IFERROR(INDIRECT(CONCATENATE("'Distance Input'!"&amp;B6&amp;C6+12)),"")</f>
        <v>0</v>
      </c>
      <c r="I20" s="465"/>
      <c r="J20" s="464">
        <v>0</v>
      </c>
      <c r="K20" s="465"/>
      <c r="L20" s="464">
        <v>0</v>
      </c>
      <c r="M20" s="465"/>
      <c r="N20" s="470">
        <f t="shared" ca="1" si="4"/>
        <v>0</v>
      </c>
      <c r="O20" s="471"/>
      <c r="P20" s="55">
        <v>0</v>
      </c>
      <c r="Q20" s="472">
        <v>0</v>
      </c>
      <c r="R20" s="472"/>
      <c r="S20" s="472">
        <v>0</v>
      </c>
      <c r="T20" s="472"/>
      <c r="U20" s="472">
        <v>0</v>
      </c>
      <c r="V20" s="472"/>
      <c r="W20" s="464">
        <f t="shared" ca="1" si="5"/>
        <v>0</v>
      </c>
      <c r="X20" s="465"/>
      <c r="Y20" s="55">
        <f ca="1">IF(OR(W20="",W20=0),0,IF(W20="X",MatchDay!$U$2+MatchDay!$U$2+1-COUNTIF(Distance!W8:W20,"X"),RANK(W20,$W8:$X23,0)))</f>
        <v>0</v>
      </c>
      <c r="Z20" s="19">
        <f ca="1">IFERROR(IF(Y20=0,0,IF(VLOOKUP(AG20,E8:Y15,21,FALSE)=0,"A",IF(Y20&gt;=VLOOKUP(AG20,E8:Y15,21,FALSE),"B","A"))),"")</f>
        <v>0</v>
      </c>
      <c r="AA20" s="19" t="str">
        <f ca="1">IFERROR(IF(Z20="B","",RANK(AD20,AD8:AD23,1)),"")</f>
        <v/>
      </c>
      <c r="AB20" s="19" t="str">
        <f ca="1">IFERROR(IF(Z20="A","",RANK(AE20,AE8:AE23,1)),"")</f>
        <v/>
      </c>
      <c r="AD20" s="9" t="str">
        <f t="shared" ca="1" si="6"/>
        <v/>
      </c>
      <c r="AE20" s="9" t="str">
        <f t="shared" ca="1" si="7"/>
        <v/>
      </c>
      <c r="AF20" s="9" t="s">
        <v>138</v>
      </c>
      <c r="AG20" s="4">
        <f>IFERROR(IF(A7=0,E20/11,LEFT(E20,1)),"")</f>
        <v>2</v>
      </c>
    </row>
    <row r="21" spans="1:33" s="4" customFormat="1" ht="16.149999999999999" customHeight="1" x14ac:dyDescent="0.35">
      <c r="A21" s="8">
        <f>IFERROR(IF(A7=0,A13*11,A13&amp;A13),"-")</f>
        <v>11</v>
      </c>
      <c r="B21" s="7" t="str">
        <f t="shared" ca="1" si="1"/>
        <v/>
      </c>
      <c r="C21" s="7" t="str">
        <f t="shared" ca="1" si="2"/>
        <v/>
      </c>
      <c r="D21" s="55">
        <v>14</v>
      </c>
      <c r="E21" s="17">
        <f t="shared" si="3"/>
        <v>11</v>
      </c>
      <c r="F21" s="319" t="str">
        <f>IFERROR(VLOOKUP($A4&amp;E21,downloads!$A$1:$E$1000,2,FALSE),"")</f>
        <v/>
      </c>
      <c r="G21" s="18" t="str">
        <f t="shared" si="0"/>
        <v>C&amp;N</v>
      </c>
      <c r="H21" s="464">
        <f ca="1">IFERROR(INDIRECT(CONCATENATE("'Distance Input'!"&amp;B6&amp;C6+13)),"")</f>
        <v>0</v>
      </c>
      <c r="I21" s="465"/>
      <c r="J21" s="464">
        <v>0</v>
      </c>
      <c r="K21" s="465"/>
      <c r="L21" s="464">
        <v>0</v>
      </c>
      <c r="M21" s="465"/>
      <c r="N21" s="470">
        <f t="shared" ca="1" si="4"/>
        <v>0</v>
      </c>
      <c r="O21" s="471"/>
      <c r="P21" s="55">
        <v>0</v>
      </c>
      <c r="Q21" s="472">
        <v>0</v>
      </c>
      <c r="R21" s="472"/>
      <c r="S21" s="472">
        <v>0</v>
      </c>
      <c r="T21" s="472"/>
      <c r="U21" s="472">
        <v>0</v>
      </c>
      <c r="V21" s="472"/>
      <c r="W21" s="464">
        <f t="shared" ca="1" si="5"/>
        <v>0</v>
      </c>
      <c r="X21" s="465"/>
      <c r="Y21" s="55">
        <f ca="1">IF(OR(W21="",W21=0),0,IF(W21="X",MatchDay!$U$2+MatchDay!$U$2+1-COUNTIF(Distance!W8:W21,"X"),RANK(W21,$W8:$X23,0)))</f>
        <v>0</v>
      </c>
      <c r="Z21" s="19">
        <f ca="1">IFERROR(IF(Y21=0,0,IF(VLOOKUP(AG21,E8:Y15,21,FALSE)=0,"A",IF(Y21&gt;=VLOOKUP(AG21,E8:Y15,21,FALSE),"B","A"))),"")</f>
        <v>0</v>
      </c>
      <c r="AA21" s="19" t="str">
        <f ca="1">IFERROR(IF(Z21="B","",RANK(AD21,AD8:AD23,1)),"")</f>
        <v/>
      </c>
      <c r="AB21" s="19" t="str">
        <f ca="1">IFERROR(IF(Z21="A","",RANK(AE21,AE8:AE23,1)),"")</f>
        <v/>
      </c>
      <c r="AD21" s="9" t="str">
        <f t="shared" ca="1" si="6"/>
        <v/>
      </c>
      <c r="AE21" s="9" t="str">
        <f t="shared" ca="1" si="7"/>
        <v/>
      </c>
      <c r="AF21" s="9" t="s">
        <v>138</v>
      </c>
      <c r="AG21" s="4">
        <f>IFERROR(IF(A7=0,E21/11,LEFT(E21,1)),"")</f>
        <v>1</v>
      </c>
    </row>
    <row r="22" spans="1:33" s="4" customFormat="1" ht="16.149999999999999" customHeight="1" x14ac:dyDescent="0.35">
      <c r="A22" s="8">
        <f>IFERROR(IF(A7=0,A14*11,A14&amp;A14),"-")</f>
        <v>33</v>
      </c>
      <c r="B22" s="7" t="str">
        <f t="shared" ca="1" si="1"/>
        <v/>
      </c>
      <c r="C22" s="7" t="str">
        <f t="shared" ca="1" si="2"/>
        <v/>
      </c>
      <c r="D22" s="55">
        <v>15</v>
      </c>
      <c r="E22" s="17">
        <f t="shared" si="3"/>
        <v>33</v>
      </c>
      <c r="F22" s="319" t="str">
        <f>IFERROR(VLOOKUP($A4&amp;E22,downloads!$A$1:$E$1000,2,FALSE),"")</f>
        <v/>
      </c>
      <c r="G22" s="18" t="str">
        <f t="shared" si="0"/>
        <v>Leigh</v>
      </c>
      <c r="H22" s="464">
        <f ca="1">IFERROR(INDIRECT(CONCATENATE("'Distance Input'!"&amp;B6&amp;C6+14)),"")</f>
        <v>0</v>
      </c>
      <c r="I22" s="465"/>
      <c r="J22" s="464">
        <v>0</v>
      </c>
      <c r="K22" s="465"/>
      <c r="L22" s="464">
        <v>0</v>
      </c>
      <c r="M22" s="465"/>
      <c r="N22" s="470">
        <f t="shared" ca="1" si="4"/>
        <v>0</v>
      </c>
      <c r="O22" s="471"/>
      <c r="P22" s="55">
        <v>0</v>
      </c>
      <c r="Q22" s="472">
        <v>0</v>
      </c>
      <c r="R22" s="472"/>
      <c r="S22" s="472">
        <v>0</v>
      </c>
      <c r="T22" s="472"/>
      <c r="U22" s="472">
        <v>0</v>
      </c>
      <c r="V22" s="472"/>
      <c r="W22" s="464">
        <f t="shared" ca="1" si="5"/>
        <v>0</v>
      </c>
      <c r="X22" s="465"/>
      <c r="Y22" s="55">
        <f ca="1">IF(OR(W22="",W22=0),0,IF(W22="X",MatchDay!$U$2+MatchDay!$U$2+1-COUNTIF(Distance!W8:W22,"X"),RANK(W22,$W8:$X23,0)))</f>
        <v>0</v>
      </c>
      <c r="Z22" s="19">
        <f ca="1">IFERROR(IF(Y22=0,0,IF(VLOOKUP(AG22,E8:Y15,21,FALSE)=0,"A",IF(Y22&gt;=VLOOKUP(AG22,E8:Y15,21,FALSE),"B","A"))),"")</f>
        <v>0</v>
      </c>
      <c r="AA22" s="19" t="str">
        <f ca="1">IFERROR(IF(Z22="B","",RANK(AD22,AD8:AD23,1)),"")</f>
        <v/>
      </c>
      <c r="AB22" s="19" t="str">
        <f ca="1">IFERROR(IF(Z22="A","",RANK(AE22,AE8:AE23,1)),"")</f>
        <v/>
      </c>
      <c r="AD22" s="9" t="str">
        <f t="shared" ca="1" si="6"/>
        <v/>
      </c>
      <c r="AE22" s="9" t="str">
        <f t="shared" ca="1" si="7"/>
        <v/>
      </c>
      <c r="AF22" s="9" t="s">
        <v>138</v>
      </c>
      <c r="AG22" s="4">
        <f>IFERROR(IF(A7=0,E22/11,LEFT(E22,1)),"")</f>
        <v>3</v>
      </c>
    </row>
    <row r="23" spans="1:33" s="4" customFormat="1" ht="16.149999999999999" customHeight="1" x14ac:dyDescent="0.35">
      <c r="A23" s="8" t="str">
        <f>IFERROR(IF(A7=0,A15*11,A15&amp;A15),"-")</f>
        <v>-</v>
      </c>
      <c r="B23" s="7" t="str">
        <f t="shared" ca="1" si="1"/>
        <v/>
      </c>
      <c r="C23" s="7" t="str">
        <f t="shared" ca="1" si="2"/>
        <v/>
      </c>
      <c r="D23" s="55">
        <v>16</v>
      </c>
      <c r="E23" s="17" t="str">
        <f t="shared" si="3"/>
        <v>-</v>
      </c>
      <c r="F23" s="319" t="str">
        <f>IFERROR(VLOOKUP($A4&amp;E23,downloads!$A$1:$E$1000,2,FALSE),"")</f>
        <v/>
      </c>
      <c r="G23" s="18" t="str">
        <f t="shared" si="0"/>
        <v/>
      </c>
      <c r="H23" s="464">
        <f ca="1">IFERROR(INDIRECT(CONCATENATE("'Distance Input'!"&amp;B6&amp;C6+15)),"")</f>
        <v>0</v>
      </c>
      <c r="I23" s="465"/>
      <c r="J23" s="464">
        <v>0</v>
      </c>
      <c r="K23" s="465"/>
      <c r="L23" s="464">
        <v>0</v>
      </c>
      <c r="M23" s="465"/>
      <c r="N23" s="470">
        <f t="shared" ca="1" si="4"/>
        <v>0</v>
      </c>
      <c r="O23" s="471"/>
      <c r="P23" s="55">
        <v>0</v>
      </c>
      <c r="Q23" s="472">
        <v>0</v>
      </c>
      <c r="R23" s="472"/>
      <c r="S23" s="472">
        <v>0</v>
      </c>
      <c r="T23" s="472"/>
      <c r="U23" s="472">
        <v>0</v>
      </c>
      <c r="V23" s="472"/>
      <c r="W23" s="464">
        <f t="shared" ca="1" si="5"/>
        <v>0</v>
      </c>
      <c r="X23" s="465"/>
      <c r="Y23" s="55">
        <f ca="1">IF(OR(W23="",W23=0),0,IF(W23="X",MatchDay!$U$2+MatchDay!$U$2+1-COUNTIF(Distance!W8:W23,"X"),RANK(W23,$W8:$X23,0)))</f>
        <v>0</v>
      </c>
      <c r="Z23" s="19">
        <f ca="1">IFERROR(IF(Y23=0,0,IF(VLOOKUP(AG23,E8:Y15,21,FALSE)=0,"A",IF(Y23&gt;=VLOOKUP(AG23,E8:Y15,21,FALSE),"B","A"))),"")</f>
        <v>0</v>
      </c>
      <c r="AA23" s="19" t="str">
        <f ca="1">IFERROR(IF(Z23="B","",RANK(AD23,AD8:AD23,1)),"")</f>
        <v/>
      </c>
      <c r="AB23" s="19" t="str">
        <f ca="1">IFERROR(IF(Z23="A","",RANK(AE23,AE8:AE23,1)),"")</f>
        <v/>
      </c>
      <c r="AD23" s="9" t="str">
        <f t="shared" ca="1" si="6"/>
        <v/>
      </c>
      <c r="AE23" s="9" t="str">
        <f t="shared" ca="1" si="7"/>
        <v/>
      </c>
      <c r="AF23" s="9" t="s">
        <v>138</v>
      </c>
      <c r="AG23" s="4" t="str">
        <f>IFERROR(IF(A7=0,E23/11,LEFT(E23,1)),"")</f>
        <v/>
      </c>
    </row>
    <row r="24" spans="1:33" s="4" customFormat="1" x14ac:dyDescent="0.25">
      <c r="A24" s="8"/>
      <c r="B24" s="10"/>
      <c r="C24" s="3"/>
      <c r="D24" s="20"/>
      <c r="E24" s="20"/>
      <c r="F24" s="21"/>
      <c r="G24" s="21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2"/>
    </row>
    <row r="25" spans="1:33" s="4" customFormat="1" x14ac:dyDescent="0.25">
      <c r="A25" s="8"/>
      <c r="B25" s="10"/>
      <c r="C25" s="3"/>
      <c r="D25" s="469" t="s">
        <v>139</v>
      </c>
      <c r="E25" s="473"/>
      <c r="F25" s="473"/>
      <c r="G25" s="473"/>
      <c r="H25" s="473"/>
      <c r="I25" s="473"/>
      <c r="J25" s="466" t="s">
        <v>140</v>
      </c>
      <c r="K25" s="474"/>
      <c r="L25" s="474"/>
      <c r="M25" s="474"/>
      <c r="N25" s="474"/>
      <c r="O25" s="474"/>
      <c r="P25" s="474"/>
      <c r="Q25" s="474"/>
      <c r="R25" s="474"/>
      <c r="S25" s="474"/>
      <c r="T25" s="474"/>
      <c r="U25" s="475"/>
      <c r="V25" s="466" t="s">
        <v>1136</v>
      </c>
      <c r="W25" s="467"/>
      <c r="X25" s="467"/>
      <c r="Y25" s="467"/>
      <c r="Z25" s="467"/>
      <c r="AA25" s="467"/>
      <c r="AB25" s="468"/>
    </row>
    <row r="26" spans="1:33" s="4" customFormat="1" x14ac:dyDescent="0.25">
      <c r="A26" s="8" t="s">
        <v>55</v>
      </c>
      <c r="B26" s="10"/>
      <c r="C26" s="3"/>
      <c r="D26" s="12"/>
      <c r="E26" s="55" t="s">
        <v>141</v>
      </c>
      <c r="F26" s="55" t="s">
        <v>124</v>
      </c>
      <c r="G26" s="55" t="s">
        <v>125</v>
      </c>
      <c r="H26" s="469" t="s">
        <v>142</v>
      </c>
      <c r="I26" s="469"/>
      <c r="J26" s="23"/>
      <c r="K26" s="54" t="s">
        <v>141</v>
      </c>
      <c r="L26" s="466" t="s">
        <v>124</v>
      </c>
      <c r="M26" s="467"/>
      <c r="N26" s="467"/>
      <c r="O26" s="468"/>
      <c r="P26" s="466" t="s">
        <v>125</v>
      </c>
      <c r="Q26" s="467"/>
      <c r="R26" s="467"/>
      <c r="S26" s="468"/>
      <c r="T26" s="466" t="s">
        <v>142</v>
      </c>
      <c r="U26" s="468"/>
      <c r="V26" s="24"/>
      <c r="W26" s="25"/>
      <c r="X26" s="25"/>
      <c r="Y26" s="25"/>
      <c r="Z26" s="25"/>
      <c r="AA26" s="25"/>
      <c r="AB26" s="26"/>
    </row>
    <row r="27" spans="1:33" s="4" customFormat="1" ht="16.149999999999999" customHeight="1" x14ac:dyDescent="0.25">
      <c r="A27" s="11">
        <f>IFERROR(VLOOKUP(A4,standards,3,FALSE),"-")</f>
        <v>18</v>
      </c>
      <c r="B27" s="10">
        <v>1</v>
      </c>
      <c r="C27" s="3"/>
      <c r="D27" s="55">
        <v>1</v>
      </c>
      <c r="E27" s="19">
        <f ca="1">IFERROR(IF(OR(H8=98,H8=99),H8,VLOOKUP(B27,B8:E23,4,FALSE)),0)</f>
        <v>6</v>
      </c>
      <c r="F27" s="27" t="str">
        <f ca="1">IFERROR(VLOOKUP(E27,$E8:$F23,2,FALSE),"")</f>
        <v>Jacob HARWOOD-BRETNALL</v>
      </c>
      <c r="G27" s="18" t="str">
        <f t="shared" ref="G27:G34" ca="1" si="8">IFERROR(VLOOKUP(E27,teamlookup,5,FALSE),"-")</f>
        <v>Stock</v>
      </c>
      <c r="H27" s="459">
        <f ca="1">IFERROR(VLOOKUP(E27,E8:X23,19,FALSE),"")</f>
        <v>20.73</v>
      </c>
      <c r="I27" s="460"/>
      <c r="J27" s="55">
        <v>1</v>
      </c>
      <c r="K27" s="55" t="str">
        <f ca="1">IFERROR(VLOOKUP(B27,C8:X23,3,FALSE),"")</f>
        <v/>
      </c>
      <c r="L27" s="461" t="str">
        <f ca="1">IFERROR(VLOOKUP(K27,$E8:$F23,2,FALSE),"")</f>
        <v/>
      </c>
      <c r="M27" s="462"/>
      <c r="N27" s="462"/>
      <c r="O27" s="463"/>
      <c r="P27" s="461" t="str">
        <f t="shared" ref="P27:P34" ca="1" si="9">IFERROR(VLOOKUP(K27,teamlookup,5,FALSE),"-")</f>
        <v>-</v>
      </c>
      <c r="Q27" s="462"/>
      <c r="R27" s="462"/>
      <c r="S27" s="463"/>
      <c r="T27" s="464" t="str">
        <f ca="1">IFERROR(VLOOKUP(K27,E8:X23,19,FALSE),"")</f>
        <v/>
      </c>
      <c r="U27" s="465"/>
      <c r="V27" s="28"/>
      <c r="W27" s="29"/>
      <c r="X27" s="29"/>
      <c r="Y27" s="29"/>
      <c r="Z27" s="29"/>
      <c r="AA27" s="29"/>
      <c r="AB27" s="30"/>
    </row>
    <row r="28" spans="1:33" s="4" customFormat="1" ht="16.149999999999999" customHeight="1" x14ac:dyDescent="0.25">
      <c r="A28" s="11">
        <f>IFERROR(VLOOKUP(A4,standards,4,FALSE),"-")</f>
        <v>21</v>
      </c>
      <c r="B28" s="10">
        <v>2</v>
      </c>
      <c r="C28" s="3"/>
      <c r="D28" s="55">
        <v>2</v>
      </c>
      <c r="E28" s="19" t="str">
        <f ca="1">IFERROR(VLOOKUP(B28,B8:E23,4,FALSE),"")</f>
        <v/>
      </c>
      <c r="F28" s="27" t="str">
        <f ca="1">IFERROR(VLOOKUP(E28,$E8:$F23,2,FALSE),"")</f>
        <v/>
      </c>
      <c r="G28" s="18" t="str">
        <f t="shared" ca="1" si="8"/>
        <v>-</v>
      </c>
      <c r="H28" s="459" t="str">
        <f ca="1">IFERROR(VLOOKUP(E28,E8:X23,19,FALSE),"")</f>
        <v/>
      </c>
      <c r="I28" s="460"/>
      <c r="J28" s="55">
        <v>2</v>
      </c>
      <c r="K28" s="55" t="str">
        <f ca="1">IFERROR(VLOOKUP(B28,C8:X23,3,FALSE),"")</f>
        <v/>
      </c>
      <c r="L28" s="461" t="str">
        <f ca="1">IFERROR(VLOOKUP(K28,$E8:$F23,2,FALSE),"")</f>
        <v/>
      </c>
      <c r="M28" s="462"/>
      <c r="N28" s="462"/>
      <c r="O28" s="463"/>
      <c r="P28" s="461" t="str">
        <f t="shared" ca="1" si="9"/>
        <v>-</v>
      </c>
      <c r="Q28" s="462"/>
      <c r="R28" s="462"/>
      <c r="S28" s="463"/>
      <c r="T28" s="464" t="str">
        <f ca="1">IFERROR(VLOOKUP(K28,E8:X23,19,FALSE),"")</f>
        <v/>
      </c>
      <c r="U28" s="465"/>
      <c r="V28" s="24"/>
      <c r="W28" s="25"/>
      <c r="X28" s="25"/>
      <c r="Y28" s="25"/>
      <c r="Z28" s="25"/>
      <c r="AA28" s="25"/>
      <c r="AB28" s="26"/>
    </row>
    <row r="29" spans="1:33" s="4" customFormat="1" ht="16.149999999999999" customHeight="1" x14ac:dyDescent="0.25">
      <c r="A29" s="11">
        <f>IFERROR(VLOOKUP(A4,standards,5,FALSE),"-")</f>
        <v>24</v>
      </c>
      <c r="B29" s="10">
        <v>3</v>
      </c>
      <c r="C29" s="3"/>
      <c r="D29" s="55">
        <v>3</v>
      </c>
      <c r="E29" s="19" t="str">
        <f ca="1">IFERROR(VLOOKUP(B29,B8:E23,4,FALSE),"")</f>
        <v/>
      </c>
      <c r="F29" s="27" t="str">
        <f ca="1">IFERROR(VLOOKUP(E29,$E8:$F23,2,FALSE),"")</f>
        <v/>
      </c>
      <c r="G29" s="18" t="str">
        <f t="shared" ca="1" si="8"/>
        <v>-</v>
      </c>
      <c r="H29" s="459" t="str">
        <f ca="1">IFERROR(VLOOKUP(E29,E8:X23,19,FALSE),"")</f>
        <v/>
      </c>
      <c r="I29" s="460"/>
      <c r="J29" s="55">
        <v>3</v>
      </c>
      <c r="K29" s="55" t="str">
        <f ca="1">IFERROR(VLOOKUP(B29,C8:X23,3,FALSE),"")</f>
        <v/>
      </c>
      <c r="L29" s="461" t="str">
        <f ca="1">IFERROR(VLOOKUP(K29,$E8:$F23,2,FALSE),"")</f>
        <v/>
      </c>
      <c r="M29" s="462"/>
      <c r="N29" s="462"/>
      <c r="O29" s="463"/>
      <c r="P29" s="461" t="str">
        <f t="shared" ca="1" si="9"/>
        <v>-</v>
      </c>
      <c r="Q29" s="462"/>
      <c r="R29" s="462"/>
      <c r="S29" s="463"/>
      <c r="T29" s="464" t="str">
        <f ca="1">IFERROR(VLOOKUP(K29,E8:X23,19,FALSE),"")</f>
        <v/>
      </c>
      <c r="U29" s="465"/>
      <c r="V29" s="28"/>
      <c r="W29" s="29"/>
      <c r="X29" s="29"/>
      <c r="Y29" s="29"/>
      <c r="Z29" s="29"/>
      <c r="AA29" s="29"/>
      <c r="AB29" s="30"/>
    </row>
    <row r="30" spans="1:33" s="4" customFormat="1" ht="16.149999999999999" customHeight="1" x14ac:dyDescent="0.25">
      <c r="A30" s="11">
        <f>IFERROR(VLOOKUP(A4,EA!A:K,6,FALSE),"-")</f>
        <v>27</v>
      </c>
      <c r="B30" s="10">
        <v>4</v>
      </c>
      <c r="C30" s="3"/>
      <c r="D30" s="55">
        <v>4</v>
      </c>
      <c r="E30" s="19" t="str">
        <f ca="1">IFERROR(VLOOKUP(B30,B8:E23,4,FALSE),"")</f>
        <v/>
      </c>
      <c r="F30" s="27" t="str">
        <f ca="1">IFERROR(VLOOKUP(E30,$E8:$F23,2,FALSE),"")</f>
        <v/>
      </c>
      <c r="G30" s="18" t="str">
        <f t="shared" ca="1" si="8"/>
        <v>-</v>
      </c>
      <c r="H30" s="459" t="str">
        <f ca="1">IFERROR(VLOOKUP(E30,E8:X23,19,FALSE),"")</f>
        <v/>
      </c>
      <c r="I30" s="460"/>
      <c r="J30" s="55">
        <v>4</v>
      </c>
      <c r="K30" s="55" t="str">
        <f ca="1">IFERROR(VLOOKUP(B30,C8:X23,3,FALSE),"")</f>
        <v/>
      </c>
      <c r="L30" s="461" t="str">
        <f ca="1">IFERROR(VLOOKUP(K30,$E8:$F23,2,FALSE),"")</f>
        <v/>
      </c>
      <c r="M30" s="462"/>
      <c r="N30" s="462"/>
      <c r="O30" s="463"/>
      <c r="P30" s="461" t="str">
        <f t="shared" ca="1" si="9"/>
        <v>-</v>
      </c>
      <c r="Q30" s="462"/>
      <c r="R30" s="462"/>
      <c r="S30" s="463"/>
      <c r="T30" s="464" t="str">
        <f ca="1">IFERROR(VLOOKUP(K30,E8:X23,19,FALSE),"")</f>
        <v/>
      </c>
      <c r="U30" s="465"/>
      <c r="V30" s="24"/>
      <c r="W30" s="25"/>
      <c r="X30" s="25"/>
      <c r="Y30" s="25"/>
      <c r="Z30" s="25"/>
      <c r="AA30" s="25"/>
      <c r="AB30" s="26"/>
    </row>
    <row r="31" spans="1:33" s="4" customFormat="1" ht="16.149999999999999" customHeight="1" x14ac:dyDescent="0.25">
      <c r="A31" s="8"/>
      <c r="B31" s="10">
        <v>5</v>
      </c>
      <c r="C31" s="3"/>
      <c r="D31" s="55">
        <v>5</v>
      </c>
      <c r="E31" s="19" t="str">
        <f ca="1">IFERROR(VLOOKUP(B31,B8:E23,4,FALSE),"")</f>
        <v/>
      </c>
      <c r="F31" s="27" t="str">
        <f ca="1">IFERROR(VLOOKUP(E31,$E8:$F23,2,FALSE),"")</f>
        <v/>
      </c>
      <c r="G31" s="18" t="str">
        <f t="shared" ca="1" si="8"/>
        <v>-</v>
      </c>
      <c r="H31" s="459" t="str">
        <f ca="1">IFERROR(VLOOKUP(E31,E8:X23,19,FALSE),"")</f>
        <v/>
      </c>
      <c r="I31" s="460"/>
      <c r="J31" s="55">
        <v>5</v>
      </c>
      <c r="K31" s="55" t="str">
        <f ca="1">IFERROR(VLOOKUP(B31,C8:X23,3,FALSE),"")</f>
        <v/>
      </c>
      <c r="L31" s="461" t="str">
        <f ca="1">IFERROR(VLOOKUP(K31,$E8:$F23,2,FALSE),"")</f>
        <v/>
      </c>
      <c r="M31" s="462"/>
      <c r="N31" s="462"/>
      <c r="O31" s="463"/>
      <c r="P31" s="461" t="str">
        <f t="shared" ca="1" si="9"/>
        <v>-</v>
      </c>
      <c r="Q31" s="462"/>
      <c r="R31" s="462"/>
      <c r="S31" s="463"/>
      <c r="T31" s="464" t="str">
        <f ca="1">IFERROR(VLOOKUP(K31,E8:X23,19,FALSE),"")</f>
        <v/>
      </c>
      <c r="U31" s="465"/>
      <c r="V31" s="28"/>
      <c r="W31" s="29"/>
      <c r="X31" s="29"/>
      <c r="Y31" s="29"/>
      <c r="Z31" s="29"/>
      <c r="AA31" s="29"/>
      <c r="AB31" s="30"/>
    </row>
    <row r="32" spans="1:33" s="4" customFormat="1" ht="16.149999999999999" customHeight="1" x14ac:dyDescent="0.25">
      <c r="A32" s="8" t="s">
        <v>151</v>
      </c>
      <c r="B32" s="10">
        <v>6</v>
      </c>
      <c r="C32" s="3"/>
      <c r="D32" s="55">
        <v>6</v>
      </c>
      <c r="E32" s="19" t="str">
        <f ca="1">IFERROR(VLOOKUP(B32,B8:E23,4,FALSE),"")</f>
        <v/>
      </c>
      <c r="F32" s="27" t="str">
        <f ca="1">IFERROR(VLOOKUP(E32,$E8:$F23,2,FALSE),"")</f>
        <v/>
      </c>
      <c r="G32" s="18" t="str">
        <f t="shared" ca="1" si="8"/>
        <v>-</v>
      </c>
      <c r="H32" s="459" t="str">
        <f ca="1">IFERROR(VLOOKUP(E32,E8:X23,19,FALSE),"")</f>
        <v/>
      </c>
      <c r="I32" s="460"/>
      <c r="J32" s="55">
        <v>6</v>
      </c>
      <c r="K32" s="55" t="str">
        <f ca="1">IFERROR(VLOOKUP(B32,C8:X23,3,FALSE),"")</f>
        <v/>
      </c>
      <c r="L32" s="461" t="str">
        <f ca="1">IFERROR(VLOOKUP(K32,$E8:$F23,2,FALSE),"")</f>
        <v/>
      </c>
      <c r="M32" s="462"/>
      <c r="N32" s="462"/>
      <c r="O32" s="463"/>
      <c r="P32" s="461" t="str">
        <f t="shared" ca="1" si="9"/>
        <v>-</v>
      </c>
      <c r="Q32" s="462"/>
      <c r="R32" s="462"/>
      <c r="S32" s="463"/>
      <c r="T32" s="464" t="str">
        <f ca="1">IFERROR(VLOOKUP(K32,E8:X23,19,FALSE),"")</f>
        <v/>
      </c>
      <c r="U32" s="465"/>
      <c r="V32" s="466" t="s">
        <v>1135</v>
      </c>
      <c r="W32" s="467"/>
      <c r="X32" s="467"/>
      <c r="Y32" s="467"/>
      <c r="Z32" s="467"/>
      <c r="AA32" s="467"/>
      <c r="AB32" s="468"/>
    </row>
    <row r="33" spans="1:33" s="4" customFormat="1" ht="16.149999999999999" customHeight="1" x14ac:dyDescent="0.25">
      <c r="A33" s="8">
        <f>IFERROR(VLOOKUP(A4,records,5,FALSE),"")</f>
        <v>59.79</v>
      </c>
      <c r="B33" s="10">
        <v>7</v>
      </c>
      <c r="C33" s="3"/>
      <c r="D33" s="55">
        <v>7</v>
      </c>
      <c r="E33" s="19" t="str">
        <f ca="1">IFERROR(VLOOKUP(B33,B8:E23,4,FALSE),"")</f>
        <v/>
      </c>
      <c r="F33" s="27" t="str">
        <f ca="1">IFERROR(VLOOKUP(E33,$E8:$F23,2,FALSE),"")</f>
        <v/>
      </c>
      <c r="G33" s="18" t="str">
        <f t="shared" ca="1" si="8"/>
        <v>-</v>
      </c>
      <c r="H33" s="459" t="str">
        <f ca="1">IFERROR(VLOOKUP(E33,E8:X23,19,FALSE),"")</f>
        <v/>
      </c>
      <c r="I33" s="460"/>
      <c r="J33" s="55">
        <v>7</v>
      </c>
      <c r="K33" s="55" t="str">
        <f ca="1">IFERROR(VLOOKUP(B33,C8:X23,3,FALSE),"")</f>
        <v/>
      </c>
      <c r="L33" s="461" t="str">
        <f ca="1">IFERROR(VLOOKUP(K33,$E8:$F23,2,FALSE),"")</f>
        <v/>
      </c>
      <c r="M33" s="462"/>
      <c r="N33" s="462"/>
      <c r="O33" s="463"/>
      <c r="P33" s="461" t="str">
        <f t="shared" ca="1" si="9"/>
        <v>-</v>
      </c>
      <c r="Q33" s="462"/>
      <c r="R33" s="462"/>
      <c r="S33" s="463"/>
      <c r="T33" s="464" t="str">
        <f ca="1">IFERROR(VLOOKUP(K33,E8:X23,19,FALSE),"")</f>
        <v/>
      </c>
      <c r="U33" s="465"/>
      <c r="V33" s="24"/>
      <c r="W33" s="25"/>
      <c r="X33" s="25"/>
      <c r="Y33" s="25"/>
      <c r="Z33" s="25"/>
      <c r="AA33" s="25"/>
      <c r="AB33" s="26"/>
    </row>
    <row r="34" spans="1:33" s="4" customFormat="1" ht="16.149999999999999" customHeight="1" x14ac:dyDescent="0.25">
      <c r="A34" s="8"/>
      <c r="B34" s="10">
        <v>8</v>
      </c>
      <c r="C34" s="3"/>
      <c r="D34" s="55">
        <v>8</v>
      </c>
      <c r="E34" s="19" t="str">
        <f ca="1">IFERROR(VLOOKUP(B34,B8:E23,4,FALSE),"")</f>
        <v/>
      </c>
      <c r="F34" s="27" t="str">
        <f ca="1">IFERROR(VLOOKUP(E34,$E8:$F23,2,FALSE),"")</f>
        <v/>
      </c>
      <c r="G34" s="18" t="str">
        <f t="shared" ca="1" si="8"/>
        <v>-</v>
      </c>
      <c r="H34" s="459" t="str">
        <f ca="1">IFERROR(VLOOKUP(E34,E8:X23,19,FALSE),"")</f>
        <v/>
      </c>
      <c r="I34" s="460"/>
      <c r="J34" s="55">
        <v>8</v>
      </c>
      <c r="K34" s="55" t="str">
        <f ca="1">IFERROR(VLOOKUP(B34,C8:X23,3,FALSE),"")</f>
        <v/>
      </c>
      <c r="L34" s="461" t="str">
        <f ca="1">IFERROR(VLOOKUP(K34,$E8:$F23,2,FALSE),"")</f>
        <v/>
      </c>
      <c r="M34" s="462"/>
      <c r="N34" s="462"/>
      <c r="O34" s="463"/>
      <c r="P34" s="461" t="str">
        <f t="shared" ca="1" si="9"/>
        <v>-</v>
      </c>
      <c r="Q34" s="462"/>
      <c r="R34" s="462"/>
      <c r="S34" s="463"/>
      <c r="T34" s="464" t="str">
        <f ca="1">IFERROR(VLOOKUP(K34,E8:X23,19,FALSE),"")</f>
        <v/>
      </c>
      <c r="U34" s="465"/>
      <c r="V34" s="28"/>
      <c r="W34" s="29"/>
      <c r="X34" s="29"/>
      <c r="Y34" s="29"/>
      <c r="Z34" s="29"/>
      <c r="AA34" s="29"/>
      <c r="AB34" s="30"/>
    </row>
    <row r="35" spans="1:33" s="4" customFormat="1" ht="21" x14ac:dyDescent="0.25">
      <c r="A35" s="2" t="str">
        <f>MatchDay!$U$6</f>
        <v>X</v>
      </c>
      <c r="B35" s="8"/>
      <c r="C35" s="3"/>
      <c r="D35" s="499" t="s">
        <v>143</v>
      </c>
      <c r="E35" s="500"/>
      <c r="F35" s="500"/>
      <c r="G35" s="500"/>
      <c r="H35" s="500"/>
      <c r="I35" s="500"/>
      <c r="J35" s="500"/>
      <c r="K35" s="501" t="s">
        <v>144</v>
      </c>
      <c r="L35" s="502"/>
      <c r="M35" s="502"/>
      <c r="N35" s="502"/>
      <c r="O35" s="503" t="str">
        <f>MatchDay!$C$2&amp;" "&amp;MatchDay!$C$3&amp;" "&amp;MatchDay!$C$4</f>
        <v>LOWER NORTH West 2</v>
      </c>
      <c r="P35" s="504"/>
      <c r="Q35" s="504"/>
      <c r="R35" s="504"/>
      <c r="S35" s="504"/>
      <c r="T35" s="504"/>
      <c r="U35" s="504"/>
      <c r="V35" s="504"/>
      <c r="W35" s="504"/>
      <c r="X35" s="504"/>
      <c r="Y35" s="504"/>
      <c r="Z35" s="504"/>
      <c r="AA35" s="504"/>
      <c r="AB35" s="505"/>
    </row>
    <row r="36" spans="1:33" s="4" customFormat="1" ht="15.75" customHeight="1" x14ac:dyDescent="0.25">
      <c r="A36" s="1" t="str">
        <f>IFERROR(IF(LEFT(MatchDay!$C$2,1)="L","L"&amp;A38,"U"&amp;A38),"")</f>
        <v>LFD02</v>
      </c>
      <c r="B36" s="10">
        <v>59</v>
      </c>
      <c r="C36" s="3"/>
      <c r="D36" s="466" t="s">
        <v>145</v>
      </c>
      <c r="E36" s="468"/>
      <c r="F36" s="467" t="str">
        <f>IFERROR(UPPER(VLOOKUP(A37,teamlookup,6,FALSE)),"")</f>
        <v/>
      </c>
      <c r="G36" s="468"/>
      <c r="H36" s="476" t="s">
        <v>149</v>
      </c>
      <c r="I36" s="480"/>
      <c r="J36" s="477"/>
      <c r="K36" s="466" t="str">
        <f>MatchDay!$C$8</f>
        <v>Macclesfield Leisure Centre</v>
      </c>
      <c r="L36" s="467"/>
      <c r="M36" s="467"/>
      <c r="N36" s="467"/>
      <c r="O36" s="467"/>
      <c r="P36" s="468"/>
      <c r="Q36" s="476" t="s">
        <v>119</v>
      </c>
      <c r="R36" s="477"/>
      <c r="S36" s="494">
        <f>MatchDay!$C$7</f>
        <v>45053</v>
      </c>
      <c r="T36" s="495"/>
      <c r="U36" s="495"/>
      <c r="V36" s="495"/>
      <c r="W36" s="495"/>
      <c r="X36" s="496"/>
      <c r="Y36" s="497" t="str">
        <f>IFERROR(IF(LEFT(A36,1)="L","",VLOOKUP(A36,EA!$A:$N,8,FALSE)),"")</f>
        <v/>
      </c>
      <c r="Z36" s="498"/>
      <c r="AA36" s="464" t="str">
        <f>IFERROR(IF(LEFT(A36,1)="L","",VLOOKUP(A36,standards,9,FALSE)),"")</f>
        <v/>
      </c>
      <c r="AB36" s="465"/>
      <c r="AC36" s="6"/>
      <c r="AD36" s="6"/>
    </row>
    <row r="37" spans="1:33" s="4" customFormat="1" ht="15.75" customHeight="1" x14ac:dyDescent="0.25">
      <c r="A37" s="5">
        <f>IFERROR(IF(A35=1,VLOOKUP(A36,judges,VLOOKUP(MatchDay!$U$2*10+MatchDay!$C$5,judgesp,5,FALSE),FALSE),VLOOKUP(Distance!A36,judges,VLOOKUP(MatchDay!$U$2*10+MatchDay!$C$5,judges2,5,FALSE),FALSE)),"")</f>
        <v>3</v>
      </c>
      <c r="B37" s="138"/>
      <c r="C37" s="3"/>
      <c r="D37" s="476" t="s">
        <v>120</v>
      </c>
      <c r="E37" s="477"/>
      <c r="F37" s="478" t="str">
        <f>IFERROR(VLOOKUP(A36,timetables,2,FALSE)&amp;" "&amp;VLOOKUP(A36,timetables,3,FALSE),"")</f>
        <v>Hammer U15 Girls</v>
      </c>
      <c r="G37" s="479"/>
      <c r="H37" s="476" t="s">
        <v>121</v>
      </c>
      <c r="I37" s="480"/>
      <c r="J37" s="477"/>
      <c r="K37" s="481">
        <f>IFERROR(IF(A35=1,VLOOKUP(A36,Timetables!$A:$G,6,FALSE),VLOOKUP(A36,Timetables!$A:$G,7,FALSE)),"")</f>
        <v>0.46875</v>
      </c>
      <c r="L37" s="481" t="e">
        <v>#N/A</v>
      </c>
      <c r="M37" s="476" t="s">
        <v>150</v>
      </c>
      <c r="N37" s="477"/>
      <c r="O37" s="482" t="str">
        <f>IFERROR(VLOOKUP(A36,records,3,FALSE)&amp;", "&amp;VLOOKUP(A36,records,4,FALSE)&amp;", "&amp;VLOOKUP(A36,records,5,FALSE)&amp;", "&amp;VLOOKUP(A36,records,6,FALSE)&amp;", "&amp;VLOOKUP(A36,records,7,FALSE)&amp;" "&amp;VLOOKUP(A36,records,8,FALSE),"")</f>
        <v/>
      </c>
      <c r="P37" s="482"/>
      <c r="Q37" s="482"/>
      <c r="R37" s="482"/>
      <c r="S37" s="482"/>
      <c r="T37" s="482"/>
      <c r="U37" s="482"/>
      <c r="V37" s="482"/>
      <c r="W37" s="482"/>
      <c r="X37" s="482"/>
      <c r="Y37" s="482"/>
      <c r="Z37" s="482"/>
      <c r="AA37" s="482"/>
      <c r="AB37" s="483"/>
    </row>
    <row r="38" spans="1:33" s="4" customFormat="1" ht="32.1" customHeight="1" x14ac:dyDescent="0.25">
      <c r="A38" s="5" t="s">
        <v>204</v>
      </c>
      <c r="B38" s="10" t="str">
        <f>IFERROR(VLOOKUP($A38,fdistance,2,FALSE),"")</f>
        <v>M</v>
      </c>
      <c r="C38" s="10">
        <f>IFERROR(VLOOKUP($A38,fdistance,3,FALSE),"")</f>
        <v>4</v>
      </c>
      <c r="D38" s="31" t="s">
        <v>122</v>
      </c>
      <c r="E38" s="13" t="s">
        <v>123</v>
      </c>
      <c r="F38" s="13" t="s">
        <v>124</v>
      </c>
      <c r="G38" s="14" t="s">
        <v>125</v>
      </c>
      <c r="H38" s="484" t="s">
        <v>126</v>
      </c>
      <c r="I38" s="485"/>
      <c r="J38" s="485" t="s">
        <v>127</v>
      </c>
      <c r="K38" s="485"/>
      <c r="L38" s="485" t="s">
        <v>128</v>
      </c>
      <c r="M38" s="485"/>
      <c r="N38" s="485" t="s">
        <v>129</v>
      </c>
      <c r="O38" s="485"/>
      <c r="P38" s="486" t="s">
        <v>130</v>
      </c>
      <c r="Q38" s="485" t="s">
        <v>131</v>
      </c>
      <c r="R38" s="485"/>
      <c r="S38" s="485" t="s">
        <v>132</v>
      </c>
      <c r="T38" s="485"/>
      <c r="U38" s="485" t="s">
        <v>133</v>
      </c>
      <c r="V38" s="485"/>
      <c r="W38" s="488" t="s">
        <v>134</v>
      </c>
      <c r="X38" s="489"/>
      <c r="Y38" s="490" t="s">
        <v>135</v>
      </c>
      <c r="Z38" s="492" t="s">
        <v>136</v>
      </c>
      <c r="AA38" s="493"/>
      <c r="AB38" s="484"/>
    </row>
    <row r="39" spans="1:33" s="4" customFormat="1" x14ac:dyDescent="0.3">
      <c r="A39" s="121">
        <f>IFERROR(SEARCH("U17",F37),0)</f>
        <v>0</v>
      </c>
      <c r="B39" s="7" t="s">
        <v>53</v>
      </c>
      <c r="C39" s="7" t="s">
        <v>54</v>
      </c>
      <c r="D39" s="56"/>
      <c r="E39" s="56"/>
      <c r="F39" s="15"/>
      <c r="G39" s="16"/>
      <c r="H39" s="468" t="s">
        <v>137</v>
      </c>
      <c r="I39" s="469"/>
      <c r="J39" s="469" t="s">
        <v>137</v>
      </c>
      <c r="K39" s="469"/>
      <c r="L39" s="469" t="s">
        <v>137</v>
      </c>
      <c r="M39" s="469"/>
      <c r="N39" s="469" t="s">
        <v>137</v>
      </c>
      <c r="O39" s="469"/>
      <c r="P39" s="487"/>
      <c r="Q39" s="469" t="s">
        <v>137</v>
      </c>
      <c r="R39" s="469"/>
      <c r="S39" s="469" t="s">
        <v>137</v>
      </c>
      <c r="T39" s="469"/>
      <c r="U39" s="469" t="s">
        <v>137</v>
      </c>
      <c r="V39" s="469"/>
      <c r="W39" s="469" t="s">
        <v>137</v>
      </c>
      <c r="X39" s="466"/>
      <c r="Y39" s="491"/>
      <c r="Z39" s="55"/>
      <c r="AA39" s="55" t="s">
        <v>53</v>
      </c>
      <c r="AB39" s="55" t="s">
        <v>54</v>
      </c>
    </row>
    <row r="40" spans="1:33" s="4" customFormat="1" ht="16.149999999999999" customHeight="1" x14ac:dyDescent="0.35">
      <c r="A40" s="8">
        <f>IFERROR(IF(D40&gt;MatchDay!$U$2,"-",VLOOKUP(A36,timetables,MatchDay!$U$4,FALSE)),0)</f>
        <v>5</v>
      </c>
      <c r="B40" s="7" t="str">
        <f ca="1">AA40</f>
        <v/>
      </c>
      <c r="C40" s="7" t="str">
        <f ca="1">AB40</f>
        <v/>
      </c>
      <c r="D40" s="56">
        <v>1</v>
      </c>
      <c r="E40" s="17">
        <f>A40</f>
        <v>5</v>
      </c>
      <c r="F40" s="319" t="str">
        <f>IFERROR(VLOOKUP($A36&amp;E40,downloads!$A$1:$E$1000,2,FALSE),"")</f>
        <v/>
      </c>
      <c r="G40" s="18" t="str">
        <f t="shared" ref="G40:G55" si="10">IFERROR(VLOOKUP(E40,teamlookup,5,FALSE),"-")</f>
        <v>Menai</v>
      </c>
      <c r="H40" s="464">
        <f ca="1">IFERROR(INDIRECT(CONCATENATE("'Distance Input'!"&amp;B38&amp;C38)),"")</f>
        <v>0</v>
      </c>
      <c r="I40" s="465"/>
      <c r="J40" s="464">
        <v>0</v>
      </c>
      <c r="K40" s="465"/>
      <c r="L40" s="464">
        <v>0</v>
      </c>
      <c r="M40" s="465"/>
      <c r="N40" s="470">
        <f ca="1">H40</f>
        <v>0</v>
      </c>
      <c r="O40" s="471"/>
      <c r="P40" s="55">
        <v>0</v>
      </c>
      <c r="Q40" s="472">
        <v>0</v>
      </c>
      <c r="R40" s="472"/>
      <c r="S40" s="472">
        <v>0</v>
      </c>
      <c r="T40" s="472"/>
      <c r="U40" s="472">
        <v>0</v>
      </c>
      <c r="V40" s="472"/>
      <c r="W40" s="464">
        <f ca="1">N40</f>
        <v>0</v>
      </c>
      <c r="X40" s="465"/>
      <c r="Y40" s="55">
        <f ca="1">IF(OR(W40="",W40=0),0,IF(W40="X",MatchDay!$U$2+MatchDay!$U$2+1-COUNTIF(Distance!W40:W40,"X"),RANK(W40,$W40:$X55,0)))</f>
        <v>0</v>
      </c>
      <c r="Z40" s="19">
        <f ca="1">IFERROR(IF(Y40=0,0,IF(OR(VLOOKUP(AG40,E48:Y55,21,FALSE)=0,Y40&lt;=VLOOKUP(AG40,E48:Y55,21,FALSE)),"A","B")),"")</f>
        <v>0</v>
      </c>
      <c r="AA40" s="19" t="str">
        <f ca="1">IFERROR(IF(Z40="B","",RANK(AD40,AD40:AD55,1)),"")</f>
        <v/>
      </c>
      <c r="AB40" s="19" t="str">
        <f ca="1">IFERROR(IF(Z40="A","",RANK(AE40,AE40:AE55,1)),"")</f>
        <v/>
      </c>
      <c r="AC40" s="8"/>
      <c r="AD40" s="9" t="str">
        <f ca="1">IF(OR(W40=0,Y40=0,Z40="B"),"",Y40)</f>
        <v/>
      </c>
      <c r="AE40" s="9" t="str">
        <f ca="1">IF(OR(W40=0,Y40=0,Z40="A"),"",Y40)</f>
        <v/>
      </c>
      <c r="AF40" s="9" t="s">
        <v>138</v>
      </c>
      <c r="AG40" s="4">
        <f>IFERROR(IF(A39=0,E40*11,E40&amp;E40),"")</f>
        <v>55</v>
      </c>
    </row>
    <row r="41" spans="1:33" s="4" customFormat="1" ht="16.149999999999999" customHeight="1" x14ac:dyDescent="0.35">
      <c r="A41" s="8">
        <f>IFERROR(IF(D41&gt;MatchDay!$U$2,"-",VLOOKUP(A36,timetables,MatchDay!$U$4+1,FALSE)),0)</f>
        <v>7</v>
      </c>
      <c r="B41" s="7" t="str">
        <f t="shared" ref="B41:B55" ca="1" si="11">AA41</f>
        <v/>
      </c>
      <c r="C41" s="7" t="str">
        <f t="shared" ref="C41:C55" ca="1" si="12">AB41</f>
        <v/>
      </c>
      <c r="D41" s="55">
        <v>2</v>
      </c>
      <c r="E41" s="17">
        <f t="shared" ref="E41:E55" si="13">A41</f>
        <v>7</v>
      </c>
      <c r="F41" s="319" t="str">
        <f>IFERROR(VLOOKUP($A36&amp;E41,downloads!$A$1:$E$1000,2,FALSE),"")</f>
        <v/>
      </c>
      <c r="G41" s="18" t="str">
        <f t="shared" si="10"/>
        <v>Wigan</v>
      </c>
      <c r="H41" s="464">
        <f ca="1">IFERROR(INDIRECT(CONCATENATE("'Distance Input'!"&amp;B38&amp;C38+1)),"")</f>
        <v>0</v>
      </c>
      <c r="I41" s="465"/>
      <c r="J41" s="464">
        <v>0</v>
      </c>
      <c r="K41" s="465"/>
      <c r="L41" s="464">
        <v>0</v>
      </c>
      <c r="M41" s="465"/>
      <c r="N41" s="470">
        <f t="shared" ref="N41:N55" ca="1" si="14">H41</f>
        <v>0</v>
      </c>
      <c r="O41" s="471"/>
      <c r="P41" s="55">
        <v>0</v>
      </c>
      <c r="Q41" s="472">
        <v>0</v>
      </c>
      <c r="R41" s="472"/>
      <c r="S41" s="472">
        <v>0</v>
      </c>
      <c r="T41" s="472"/>
      <c r="U41" s="472">
        <v>0</v>
      </c>
      <c r="V41" s="472"/>
      <c r="W41" s="464">
        <f t="shared" ref="W41:W55" ca="1" si="15">N41</f>
        <v>0</v>
      </c>
      <c r="X41" s="465"/>
      <c r="Y41" s="55">
        <f ca="1">IF(OR(W41="",W41=0),0,IF(W41="X",MatchDay!$U$2+MatchDay!$U$2+1-COUNTIF(Distance!W40:W41,"X"),RANK(W41,$W40:$X55,0)))</f>
        <v>0</v>
      </c>
      <c r="Z41" s="19">
        <f ca="1">IFERROR(IF(Y41=0,0,IF(OR(VLOOKUP(AG41,E48:Y55,21,FALSE)=0,Y41&lt;=VLOOKUP(AG41,E48:Y55,21,FALSE)),"A","B")),"")</f>
        <v>0</v>
      </c>
      <c r="AA41" s="19" t="str">
        <f ca="1">IFERROR(IF(Z41="B","",RANK(AD41,AD40:AD55,1)),"")</f>
        <v/>
      </c>
      <c r="AB41" s="19" t="str">
        <f ca="1">IFERROR(IF(Z41="A","",RANK(AE41,AE40:AE55,1)),"")</f>
        <v/>
      </c>
      <c r="AC41" s="8"/>
      <c r="AD41" s="9" t="str">
        <f t="shared" ref="AD41:AD55" ca="1" si="16">IF(OR(W41=0,Y41=0,Z41="B"),"",Y41)</f>
        <v/>
      </c>
      <c r="AE41" s="9" t="str">
        <f t="shared" ref="AE41:AE55" ca="1" si="17">IF(OR(W41=0,Y41=0,Z41="A"),"",Y41)</f>
        <v/>
      </c>
      <c r="AF41" s="9" t="s">
        <v>138</v>
      </c>
      <c r="AG41" s="4">
        <f>IFERROR(IF(A39=0,E41*11,E41&amp;E41),"")</f>
        <v>77</v>
      </c>
    </row>
    <row r="42" spans="1:33" s="4" customFormat="1" ht="16.149999999999999" customHeight="1" x14ac:dyDescent="0.35">
      <c r="A42" s="8">
        <f>IFERROR(IF(D42&gt;MatchDay!$U$2,"-",VLOOKUP(A36,timetables,MatchDay!$U$4+2,FALSE)),0)</f>
        <v>6</v>
      </c>
      <c r="B42" s="7">
        <f t="shared" ca="1" si="11"/>
        <v>1</v>
      </c>
      <c r="C42" s="7" t="str">
        <f t="shared" ca="1" si="12"/>
        <v/>
      </c>
      <c r="D42" s="55">
        <v>3</v>
      </c>
      <c r="E42" s="17">
        <f t="shared" si="13"/>
        <v>6</v>
      </c>
      <c r="F42" s="319" t="str">
        <f>IFERROR(VLOOKUP($A36&amp;E42,downloads!$A$1:$E$1000,2,FALSE),"")</f>
        <v>Lucy JONES</v>
      </c>
      <c r="G42" s="18" t="str">
        <f t="shared" si="10"/>
        <v>Stock</v>
      </c>
      <c r="H42" s="464">
        <f ca="1">IFERROR(INDIRECT(CONCATENATE("'Distance Input'!"&amp;B38&amp;C38+2)),"")</f>
        <v>15.23</v>
      </c>
      <c r="I42" s="465"/>
      <c r="J42" s="464">
        <v>0</v>
      </c>
      <c r="K42" s="465"/>
      <c r="L42" s="464">
        <v>0</v>
      </c>
      <c r="M42" s="465"/>
      <c r="N42" s="470">
        <f t="shared" ca="1" si="14"/>
        <v>15.23</v>
      </c>
      <c r="O42" s="471"/>
      <c r="P42" s="55">
        <v>0</v>
      </c>
      <c r="Q42" s="472">
        <v>0</v>
      </c>
      <c r="R42" s="472"/>
      <c r="S42" s="472">
        <v>0</v>
      </c>
      <c r="T42" s="472"/>
      <c r="U42" s="472">
        <v>0</v>
      </c>
      <c r="V42" s="472"/>
      <c r="W42" s="464">
        <f t="shared" ca="1" si="15"/>
        <v>15.23</v>
      </c>
      <c r="X42" s="465"/>
      <c r="Y42" s="55">
        <f ca="1">IF(OR(W42="",W42=0),0,IF(W42="X",MatchDay!$U$2+MatchDay!$U$2+1-COUNTIF(Distance!W40:W42,"X"),RANK(W42,$W40:$X55,0)))</f>
        <v>1</v>
      </c>
      <c r="Z42" s="19" t="str">
        <f ca="1">IFERROR(IF(Y42=0,0,IF(OR(VLOOKUP(AG42,E48:Y55,21,FALSE)=0,Y42&lt;=VLOOKUP(AG42,E48:Y55,21,FALSE)),"A","B")),"")</f>
        <v>A</v>
      </c>
      <c r="AA42" s="19">
        <f ca="1">IFERROR(IF(Z42="B","",RANK(AD42,AD40:AD55,1)),"")</f>
        <v>1</v>
      </c>
      <c r="AB42" s="19" t="str">
        <f ca="1">IFERROR(IF(Z42="A","",RANK(AE42,AE40:AE55,1)),"")</f>
        <v/>
      </c>
      <c r="AD42" s="9">
        <f t="shared" ca="1" si="16"/>
        <v>1</v>
      </c>
      <c r="AE42" s="9" t="str">
        <f t="shared" ca="1" si="17"/>
        <v/>
      </c>
      <c r="AF42" s="9" t="s">
        <v>138</v>
      </c>
      <c r="AG42" s="4">
        <f>IFERROR(IF(A39=0,E42*11,E42&amp;E42),"")</f>
        <v>66</v>
      </c>
    </row>
    <row r="43" spans="1:33" s="4" customFormat="1" ht="16.149999999999999" customHeight="1" x14ac:dyDescent="0.35">
      <c r="A43" s="8">
        <f>IFERROR(IF(D43&gt;MatchDay!$U$2,"-",VLOOKUP(A36,timetables,MatchDay!$U$4+3,FALSE)),0)</f>
        <v>4</v>
      </c>
      <c r="B43" s="7" t="str">
        <f t="shared" ca="1" si="11"/>
        <v/>
      </c>
      <c r="C43" s="7" t="str">
        <f t="shared" ca="1" si="12"/>
        <v/>
      </c>
      <c r="D43" s="55">
        <v>4</v>
      </c>
      <c r="E43" s="17">
        <f t="shared" si="13"/>
        <v>4</v>
      </c>
      <c r="F43" s="319" t="str">
        <f>IFERROR(VLOOKUP($A36&amp;E43,downloads!$A$1:$E$1000,2,FALSE),"")</f>
        <v/>
      </c>
      <c r="G43" s="18" t="str">
        <f t="shared" si="10"/>
        <v>Macc</v>
      </c>
      <c r="H43" s="464">
        <f ca="1">IFERROR(INDIRECT(CONCATENATE("'Distance Input'!"&amp;B38&amp;C38+3)),"")</f>
        <v>0</v>
      </c>
      <c r="I43" s="465"/>
      <c r="J43" s="464">
        <v>0</v>
      </c>
      <c r="K43" s="465"/>
      <c r="L43" s="464">
        <v>0</v>
      </c>
      <c r="M43" s="465"/>
      <c r="N43" s="470">
        <f t="shared" ca="1" si="14"/>
        <v>0</v>
      </c>
      <c r="O43" s="471"/>
      <c r="P43" s="55">
        <v>0</v>
      </c>
      <c r="Q43" s="472">
        <v>0</v>
      </c>
      <c r="R43" s="472"/>
      <c r="S43" s="472">
        <v>0</v>
      </c>
      <c r="T43" s="472"/>
      <c r="U43" s="472">
        <v>0</v>
      </c>
      <c r="V43" s="472"/>
      <c r="W43" s="464">
        <f t="shared" ca="1" si="15"/>
        <v>0</v>
      </c>
      <c r="X43" s="465"/>
      <c r="Y43" s="55">
        <f ca="1">IF(OR(W43="",W43=0),0,IF(W43="X",MatchDay!$U$2+MatchDay!$U$2+1-COUNTIF(Distance!W40:W43,"X"),RANK(W43,$W40:$X55,0)))</f>
        <v>0</v>
      </c>
      <c r="Z43" s="19">
        <f ca="1">IFERROR(IF(Y43=0,0,IF(OR(VLOOKUP(AG43,E48:Y55,21,FALSE)=0,Y43&lt;=VLOOKUP(AG43,E48:Y55,21,FALSE)),"A","B")),"")</f>
        <v>0</v>
      </c>
      <c r="AA43" s="19" t="str">
        <f ca="1">IFERROR(IF(Z43="B","",RANK(AD43,AD40:AD55,1)),"")</f>
        <v/>
      </c>
      <c r="AB43" s="19" t="str">
        <f ca="1">IFERROR(IF(Z43="A","",RANK(AE43,AE40:AE55,1)),"")</f>
        <v/>
      </c>
      <c r="AD43" s="9" t="str">
        <f t="shared" ca="1" si="16"/>
        <v/>
      </c>
      <c r="AE43" s="9" t="str">
        <f t="shared" ca="1" si="17"/>
        <v/>
      </c>
      <c r="AF43" s="9" t="s">
        <v>138</v>
      </c>
      <c r="AG43" s="4">
        <f>IFERROR(IF(A39=0,E43*11,E43&amp;E43),"")</f>
        <v>44</v>
      </c>
    </row>
    <row r="44" spans="1:33" s="4" customFormat="1" ht="16.149999999999999" customHeight="1" x14ac:dyDescent="0.35">
      <c r="A44" s="8">
        <f>IFERROR(IF(D44&gt;MatchDay!$U$2,"-",VLOOKUP(A36,timetables,MatchDay!$U$4+4,FALSE)),0)</f>
        <v>2</v>
      </c>
      <c r="B44" s="7" t="str">
        <f t="shared" ca="1" si="11"/>
        <v/>
      </c>
      <c r="C44" s="7" t="str">
        <f t="shared" ca="1" si="12"/>
        <v/>
      </c>
      <c r="D44" s="55">
        <v>5</v>
      </c>
      <c r="E44" s="17">
        <f t="shared" si="13"/>
        <v>2</v>
      </c>
      <c r="F44" s="319" t="str">
        <f>IFERROR(VLOOKUP($A36&amp;E44,downloads!$A$1:$E$1000,2,FALSE),"")</f>
        <v/>
      </c>
      <c r="G44" s="18" t="str">
        <f t="shared" si="10"/>
        <v>ECHT</v>
      </c>
      <c r="H44" s="464">
        <f ca="1">IFERROR(INDIRECT(CONCATENATE("'Distance Input'!"&amp;B38&amp;C38+4)),"")</f>
        <v>0</v>
      </c>
      <c r="I44" s="465"/>
      <c r="J44" s="464">
        <v>0</v>
      </c>
      <c r="K44" s="465"/>
      <c r="L44" s="464">
        <v>0</v>
      </c>
      <c r="M44" s="465"/>
      <c r="N44" s="470">
        <f t="shared" ca="1" si="14"/>
        <v>0</v>
      </c>
      <c r="O44" s="471"/>
      <c r="P44" s="55">
        <v>0</v>
      </c>
      <c r="Q44" s="472">
        <v>0</v>
      </c>
      <c r="R44" s="472"/>
      <c r="S44" s="472">
        <v>0</v>
      </c>
      <c r="T44" s="472"/>
      <c r="U44" s="472">
        <v>0</v>
      </c>
      <c r="V44" s="472"/>
      <c r="W44" s="464">
        <f t="shared" ca="1" si="15"/>
        <v>0</v>
      </c>
      <c r="X44" s="465"/>
      <c r="Y44" s="55">
        <f ca="1">IF(OR(W44="",W44=0),0,IF(W44="X",MatchDay!$U$2+MatchDay!$U$2+1-COUNTIF(Distance!W40:W44,"X"),RANK(W44,$W40:$X55,0)))</f>
        <v>0</v>
      </c>
      <c r="Z44" s="19">
        <f ca="1">IFERROR(IF(Y44=0,0,IF(OR(VLOOKUP(AG44,E48:Y55,21,FALSE)=0,Y44&lt;=VLOOKUP(AG44,E48:Y55,21,FALSE)),"A","B")),"")</f>
        <v>0</v>
      </c>
      <c r="AA44" s="19" t="str">
        <f ca="1">IFERROR(IF(Z44="B","",RANK(AD44,AD40:AD55,1)),"")</f>
        <v/>
      </c>
      <c r="AB44" s="19" t="str">
        <f ca="1">IFERROR(IF(Z44="A","",RANK(AE44,AE40:AE55,1)),"")</f>
        <v/>
      </c>
      <c r="AD44" s="9" t="str">
        <f t="shared" ca="1" si="16"/>
        <v/>
      </c>
      <c r="AE44" s="9" t="str">
        <f t="shared" ca="1" si="17"/>
        <v/>
      </c>
      <c r="AF44" s="9" t="s">
        <v>138</v>
      </c>
      <c r="AG44" s="4">
        <f>IFERROR(IF(A39=0,E44*11,E44&amp;E44),"")</f>
        <v>22</v>
      </c>
    </row>
    <row r="45" spans="1:33" s="4" customFormat="1" ht="16.149999999999999" customHeight="1" x14ac:dyDescent="0.35">
      <c r="A45" s="8">
        <f>IFERROR(IF(D45&gt;MatchDay!$U$2,"-",VLOOKUP(A36,timetables,MatchDay!$U$4+5,FALSE)),0)</f>
        <v>1</v>
      </c>
      <c r="B45" s="7" t="str">
        <f t="shared" ca="1" si="11"/>
        <v/>
      </c>
      <c r="C45" s="7" t="str">
        <f t="shared" ca="1" si="12"/>
        <v/>
      </c>
      <c r="D45" s="55">
        <v>6</v>
      </c>
      <c r="E45" s="17">
        <f t="shared" si="13"/>
        <v>1</v>
      </c>
      <c r="F45" s="319" t="str">
        <f>IFERROR(VLOOKUP($A36&amp;E45,downloads!$A$1:$E$1000,2,FALSE),"")</f>
        <v/>
      </c>
      <c r="G45" s="18" t="str">
        <f t="shared" si="10"/>
        <v>C&amp;N</v>
      </c>
      <c r="H45" s="464">
        <f ca="1">IFERROR(INDIRECT(CONCATENATE("'Distance Input'!"&amp;B38&amp;C38+5)),"")</f>
        <v>0</v>
      </c>
      <c r="I45" s="465"/>
      <c r="J45" s="464">
        <v>0</v>
      </c>
      <c r="K45" s="465"/>
      <c r="L45" s="464">
        <v>0</v>
      </c>
      <c r="M45" s="465"/>
      <c r="N45" s="470">
        <f t="shared" ca="1" si="14"/>
        <v>0</v>
      </c>
      <c r="O45" s="471"/>
      <c r="P45" s="55">
        <v>0</v>
      </c>
      <c r="Q45" s="472">
        <v>0</v>
      </c>
      <c r="R45" s="472"/>
      <c r="S45" s="472">
        <v>0</v>
      </c>
      <c r="T45" s="472"/>
      <c r="U45" s="472">
        <v>0</v>
      </c>
      <c r="V45" s="472"/>
      <c r="W45" s="464">
        <f t="shared" ca="1" si="15"/>
        <v>0</v>
      </c>
      <c r="X45" s="465"/>
      <c r="Y45" s="55">
        <f ca="1">IF(OR(W45="",W45=0),0,IF(W45="X",MatchDay!$U$2+MatchDay!$U$2+1-COUNTIF(Distance!W40:W45,"X"),RANK(W45,$W40:$X55,0)))</f>
        <v>0</v>
      </c>
      <c r="Z45" s="19">
        <f ca="1">IFERROR(IF(Y45=0,0,IF(OR(VLOOKUP(AG45,E48:Y55,21,FALSE)=0,Y45&lt;=VLOOKUP(AG45,E48:Y55,21,FALSE)),"A","B")),"")</f>
        <v>0</v>
      </c>
      <c r="AA45" s="19" t="str">
        <f ca="1">IFERROR(IF(Z45="B","",RANK(AD45,AD40:AD55,1)),"")</f>
        <v/>
      </c>
      <c r="AB45" s="19" t="str">
        <f ca="1">IFERROR(IF(Z45="A","",RANK(AE45,AE40:AE55,1)),"")</f>
        <v/>
      </c>
      <c r="AD45" s="9" t="str">
        <f t="shared" ca="1" si="16"/>
        <v/>
      </c>
      <c r="AE45" s="9" t="str">
        <f t="shared" ca="1" si="17"/>
        <v/>
      </c>
      <c r="AF45" s="9" t="s">
        <v>138</v>
      </c>
      <c r="AG45" s="4">
        <f>IFERROR(IF(A39=0,E45*11,E45&amp;E45),"")</f>
        <v>11</v>
      </c>
    </row>
    <row r="46" spans="1:33" s="4" customFormat="1" ht="16.149999999999999" customHeight="1" x14ac:dyDescent="0.35">
      <c r="A46" s="8">
        <f>IFERROR(IF(D46&gt;MatchDay!$U$2,"-",VLOOKUP(A36,timetables,MatchDay!$U$4+6,FALSE)),0)</f>
        <v>3</v>
      </c>
      <c r="B46" s="7" t="str">
        <f t="shared" ca="1" si="11"/>
        <v/>
      </c>
      <c r="C46" s="7" t="str">
        <f t="shared" ca="1" si="12"/>
        <v/>
      </c>
      <c r="D46" s="55">
        <v>7</v>
      </c>
      <c r="E46" s="17">
        <f t="shared" si="13"/>
        <v>3</v>
      </c>
      <c r="F46" s="319" t="str">
        <f>IFERROR(VLOOKUP($A36&amp;E46,downloads!$A$1:$E$1000,2,FALSE),"")</f>
        <v/>
      </c>
      <c r="G46" s="18" t="str">
        <f t="shared" si="10"/>
        <v>Leigh</v>
      </c>
      <c r="H46" s="464">
        <f ca="1">IFERROR(INDIRECT(CONCATENATE("'Distance Input'!"&amp;B38&amp;C38+6)),"")</f>
        <v>0</v>
      </c>
      <c r="I46" s="465"/>
      <c r="J46" s="464">
        <v>0</v>
      </c>
      <c r="K46" s="465"/>
      <c r="L46" s="464">
        <v>0</v>
      </c>
      <c r="M46" s="465"/>
      <c r="N46" s="470">
        <f t="shared" ca="1" si="14"/>
        <v>0</v>
      </c>
      <c r="O46" s="471"/>
      <c r="P46" s="55">
        <v>0</v>
      </c>
      <c r="Q46" s="472">
        <v>0</v>
      </c>
      <c r="R46" s="472"/>
      <c r="S46" s="472">
        <v>0</v>
      </c>
      <c r="T46" s="472"/>
      <c r="U46" s="472">
        <v>0</v>
      </c>
      <c r="V46" s="472"/>
      <c r="W46" s="464">
        <f t="shared" ca="1" si="15"/>
        <v>0</v>
      </c>
      <c r="X46" s="465"/>
      <c r="Y46" s="55">
        <f ca="1">IF(OR(W46="",W46=0),0,IF(W46="X",MatchDay!$U$2+MatchDay!$U$2+1-COUNTIF(Distance!W40:W46,"X"),RANK(W46,$W40:$X55,0)))</f>
        <v>0</v>
      </c>
      <c r="Z46" s="19">
        <f ca="1">IFERROR(IF(Y46=0,0,IF(OR(VLOOKUP(AG46,E48:Y55,21,FALSE)=0,Y46&lt;=VLOOKUP(AG46,E48:Y55,21,FALSE)),"A","B")),"")</f>
        <v>0</v>
      </c>
      <c r="AA46" s="19" t="str">
        <f ca="1">IFERROR(IF(Z46="B","",RANK(AD46,AD40:AD55,1)),"")</f>
        <v/>
      </c>
      <c r="AB46" s="19" t="str">
        <f ca="1">IFERROR(IF(Z46="A","",RANK(AE46,AE40:AE55,1)),"")</f>
        <v/>
      </c>
      <c r="AD46" s="9" t="str">
        <f t="shared" ca="1" si="16"/>
        <v/>
      </c>
      <c r="AE46" s="9" t="str">
        <f t="shared" ca="1" si="17"/>
        <v/>
      </c>
      <c r="AF46" s="9" t="s">
        <v>138</v>
      </c>
      <c r="AG46" s="4">
        <f>IFERROR(IF(A39=0,E46*11,E46&amp;E46),"")</f>
        <v>33</v>
      </c>
    </row>
    <row r="47" spans="1:33" s="4" customFormat="1" ht="16.149999999999999" customHeight="1" x14ac:dyDescent="0.35">
      <c r="A47" s="8" t="str">
        <f>IFERROR(IF(D47&gt;MatchDay!$U$2,"-",VLOOKUP(A36,timetables,MatchDay!$U$4+7,FALSE)),0)</f>
        <v>-</v>
      </c>
      <c r="B47" s="7" t="str">
        <f t="shared" ca="1" si="11"/>
        <v/>
      </c>
      <c r="C47" s="7" t="str">
        <f t="shared" ca="1" si="12"/>
        <v/>
      </c>
      <c r="D47" s="55">
        <v>8</v>
      </c>
      <c r="E47" s="17" t="str">
        <f t="shared" si="13"/>
        <v>-</v>
      </c>
      <c r="F47" s="319" t="str">
        <f>IFERROR(VLOOKUP($A36&amp;E47,downloads!$A$1:$E$1000,2,FALSE),"")</f>
        <v/>
      </c>
      <c r="G47" s="18" t="str">
        <f t="shared" si="10"/>
        <v/>
      </c>
      <c r="H47" s="464">
        <f ca="1">IFERROR(INDIRECT(CONCATENATE("'Distance Input'!"&amp;B38&amp;C38+7)),"")</f>
        <v>0</v>
      </c>
      <c r="I47" s="465"/>
      <c r="J47" s="464">
        <v>0</v>
      </c>
      <c r="K47" s="465"/>
      <c r="L47" s="464">
        <v>0</v>
      </c>
      <c r="M47" s="465"/>
      <c r="N47" s="470">
        <f t="shared" ca="1" si="14"/>
        <v>0</v>
      </c>
      <c r="O47" s="471"/>
      <c r="P47" s="55">
        <v>0</v>
      </c>
      <c r="Q47" s="472">
        <v>0</v>
      </c>
      <c r="R47" s="472"/>
      <c r="S47" s="472">
        <v>0</v>
      </c>
      <c r="T47" s="472"/>
      <c r="U47" s="472">
        <v>0</v>
      </c>
      <c r="V47" s="472"/>
      <c r="W47" s="464">
        <f t="shared" ca="1" si="15"/>
        <v>0</v>
      </c>
      <c r="X47" s="465"/>
      <c r="Y47" s="55">
        <f ca="1">IF(OR(W47="",W47=0),0,IF(W47="X",MatchDay!$U$2+MatchDay!$U$2+1-COUNTIF(Distance!W40:W47,"X"),RANK(W47,$W40:$X55,0)))</f>
        <v>0</v>
      </c>
      <c r="Z47" s="19">
        <f ca="1">IFERROR(IF(Y47=0,0,IF(OR(VLOOKUP(AG47,E48:Y55,21,FALSE)=0,Y47&lt;=VLOOKUP(AG47,E48:Y55,21,FALSE)),"A","B")),"")</f>
        <v>0</v>
      </c>
      <c r="AA47" s="19" t="str">
        <f ca="1">IFERROR(IF(Z47="B","",RANK(AD47,AD40:AD55,1)),"")</f>
        <v/>
      </c>
      <c r="AB47" s="19" t="str">
        <f ca="1">IFERROR(IF(Z47="A","",RANK(AE47,AE40:AE55,1)),"")</f>
        <v/>
      </c>
      <c r="AD47" s="9" t="str">
        <f t="shared" ca="1" si="16"/>
        <v/>
      </c>
      <c r="AE47" s="9" t="str">
        <f t="shared" ca="1" si="17"/>
        <v/>
      </c>
      <c r="AF47" s="9" t="s">
        <v>138</v>
      </c>
      <c r="AG47" s="4" t="str">
        <f>IFERROR(IF(A39=0,E47*11,E47&amp;E47),"")</f>
        <v/>
      </c>
    </row>
    <row r="48" spans="1:33" s="4" customFormat="1" ht="16.149999999999999" customHeight="1" x14ac:dyDescent="0.35">
      <c r="A48" s="8">
        <f>IFERROR(IF(A39=0,A40*11,A40&amp;A40),"-")</f>
        <v>55</v>
      </c>
      <c r="B48" s="7" t="str">
        <f t="shared" ca="1" si="11"/>
        <v/>
      </c>
      <c r="C48" s="7" t="str">
        <f t="shared" ca="1" si="12"/>
        <v/>
      </c>
      <c r="D48" s="55">
        <v>9</v>
      </c>
      <c r="E48" s="17">
        <f t="shared" si="13"/>
        <v>55</v>
      </c>
      <c r="F48" s="319" t="str">
        <f>IFERROR(VLOOKUP($A36&amp;E48,downloads!$A$1:$E$1000,2,FALSE),"")</f>
        <v/>
      </c>
      <c r="G48" s="18" t="str">
        <f t="shared" si="10"/>
        <v>Menai</v>
      </c>
      <c r="H48" s="464">
        <f ca="1">IFERROR(INDIRECT(CONCATENATE("'Distance Input'!"&amp;B38&amp;C38+8)),"")</f>
        <v>0</v>
      </c>
      <c r="I48" s="465"/>
      <c r="J48" s="464">
        <v>0</v>
      </c>
      <c r="K48" s="465"/>
      <c r="L48" s="464">
        <v>0</v>
      </c>
      <c r="M48" s="465"/>
      <c r="N48" s="470">
        <f t="shared" ca="1" si="14"/>
        <v>0</v>
      </c>
      <c r="O48" s="471"/>
      <c r="P48" s="55">
        <v>0</v>
      </c>
      <c r="Q48" s="472">
        <v>0</v>
      </c>
      <c r="R48" s="472"/>
      <c r="S48" s="472">
        <v>0</v>
      </c>
      <c r="T48" s="472"/>
      <c r="U48" s="472">
        <v>0</v>
      </c>
      <c r="V48" s="472"/>
      <c r="W48" s="464">
        <f t="shared" ca="1" si="15"/>
        <v>0</v>
      </c>
      <c r="X48" s="465"/>
      <c r="Y48" s="55">
        <f ca="1">IF(OR(W48="",W48=0),0,IF(W48="X",MatchDay!$U$2+MatchDay!$U$2+1-COUNTIF(Distance!W40:W48,"X"),RANK(W48,$W40:$X55,0)))</f>
        <v>0</v>
      </c>
      <c r="Z48" s="19">
        <f ca="1">IFERROR(IF(Y48=0,0,IF(VLOOKUP(AG48,E40:Y47,21,FALSE)=0,"A",IF(Y48&gt;=VLOOKUP(AG48,E40:Y47,21,FALSE),"B","A"))),"")</f>
        <v>0</v>
      </c>
      <c r="AA48" s="19" t="str">
        <f ca="1">IFERROR(IF(Z48="B","",RANK(AD48,AD40:AD55,1)),"")</f>
        <v/>
      </c>
      <c r="AB48" s="19" t="str">
        <f ca="1">IFERROR(IF(Z48="A","",RANK(AE48,AE40:AE55,1)),"")</f>
        <v/>
      </c>
      <c r="AD48" s="9" t="str">
        <f t="shared" ca="1" si="16"/>
        <v/>
      </c>
      <c r="AE48" s="9" t="str">
        <f t="shared" ca="1" si="17"/>
        <v/>
      </c>
      <c r="AF48" s="9" t="s">
        <v>138</v>
      </c>
      <c r="AG48" s="4">
        <f>IFERROR(IF(A39=0,E48/11,LEFT(E48,1)),"")</f>
        <v>5</v>
      </c>
    </row>
    <row r="49" spans="1:33" s="4" customFormat="1" ht="16.149999999999999" customHeight="1" x14ac:dyDescent="0.35">
      <c r="A49" s="8">
        <f>IFERROR(IF(A39=0,A41*11,A41&amp;A41),"-")</f>
        <v>77</v>
      </c>
      <c r="B49" s="7" t="str">
        <f t="shared" ca="1" si="11"/>
        <v/>
      </c>
      <c r="C49" s="7" t="str">
        <f t="shared" ca="1" si="12"/>
        <v/>
      </c>
      <c r="D49" s="55">
        <v>10</v>
      </c>
      <c r="E49" s="17">
        <f t="shared" si="13"/>
        <v>77</v>
      </c>
      <c r="F49" s="319" t="str">
        <f>IFERROR(VLOOKUP($A36&amp;E49,downloads!$A$1:$E$1000,2,FALSE),"")</f>
        <v/>
      </c>
      <c r="G49" s="18" t="str">
        <f t="shared" si="10"/>
        <v>Wigan</v>
      </c>
      <c r="H49" s="464">
        <f ca="1">IFERROR(INDIRECT(CONCATENATE("'Distance Input'!"&amp;B38&amp;C38+9)),"")</f>
        <v>0</v>
      </c>
      <c r="I49" s="465"/>
      <c r="J49" s="464">
        <v>0</v>
      </c>
      <c r="K49" s="465"/>
      <c r="L49" s="464">
        <v>0</v>
      </c>
      <c r="M49" s="465"/>
      <c r="N49" s="470">
        <f t="shared" ca="1" si="14"/>
        <v>0</v>
      </c>
      <c r="O49" s="471"/>
      <c r="P49" s="55">
        <v>0</v>
      </c>
      <c r="Q49" s="472">
        <v>0</v>
      </c>
      <c r="R49" s="472"/>
      <c r="S49" s="472">
        <v>0</v>
      </c>
      <c r="T49" s="472"/>
      <c r="U49" s="472">
        <v>0</v>
      </c>
      <c r="V49" s="472"/>
      <c r="W49" s="464">
        <f t="shared" ca="1" si="15"/>
        <v>0</v>
      </c>
      <c r="X49" s="465"/>
      <c r="Y49" s="55">
        <f ca="1">IF(OR(W49="",W49=0),0,IF(W49="X",MatchDay!$U$2+MatchDay!$U$2+1-COUNTIF(Distance!W40:W49,"X"),RANK(W49,$W40:$X55,0)))</f>
        <v>0</v>
      </c>
      <c r="Z49" s="19">
        <f ca="1">IFERROR(IF(Y49=0,0,IF(VLOOKUP(AG49,E40:Y47,21,FALSE)=0,"A",IF(Y49&gt;=VLOOKUP(AG49,E40:Y47,21,FALSE),"B","A"))),"")</f>
        <v>0</v>
      </c>
      <c r="AA49" s="19" t="str">
        <f ca="1">IFERROR(IF(Z49="B","",RANK(AD49,AD40:AD55,1)),"")</f>
        <v/>
      </c>
      <c r="AB49" s="19" t="str">
        <f ca="1">IFERROR(IF(Z49="A","",RANK(AE49,AE40:AE55,1)),"")</f>
        <v/>
      </c>
      <c r="AD49" s="9" t="str">
        <f t="shared" ca="1" si="16"/>
        <v/>
      </c>
      <c r="AE49" s="9" t="str">
        <f t="shared" ca="1" si="17"/>
        <v/>
      </c>
      <c r="AF49" s="9" t="s">
        <v>138</v>
      </c>
      <c r="AG49" s="4">
        <f>IFERROR(IF(A39=0,E49/11,LEFT(E49,1)),"")</f>
        <v>7</v>
      </c>
    </row>
    <row r="50" spans="1:33" s="4" customFormat="1" ht="16.149999999999999" customHeight="1" x14ac:dyDescent="0.35">
      <c r="A50" s="8">
        <f>IFERROR(IF(A39=0,A42*11,A42&amp;A42),"-")</f>
        <v>66</v>
      </c>
      <c r="B50" s="7" t="str">
        <f t="shared" ca="1" si="11"/>
        <v/>
      </c>
      <c r="C50" s="7" t="str">
        <f t="shared" ca="1" si="12"/>
        <v/>
      </c>
      <c r="D50" s="55">
        <v>11</v>
      </c>
      <c r="E50" s="17">
        <f t="shared" si="13"/>
        <v>66</v>
      </c>
      <c r="F50" s="319" t="str">
        <f>IFERROR(VLOOKUP($A36&amp;E50,downloads!$A$1:$E$1000,2,FALSE),"")</f>
        <v/>
      </c>
      <c r="G50" s="18" t="str">
        <f t="shared" si="10"/>
        <v>Stock</v>
      </c>
      <c r="H50" s="464">
        <f ca="1">IFERROR(INDIRECT(CONCATENATE("'Distance Input'!"&amp;B38&amp;C38+10)),"")</f>
        <v>0</v>
      </c>
      <c r="I50" s="465"/>
      <c r="J50" s="464">
        <v>0</v>
      </c>
      <c r="K50" s="465"/>
      <c r="L50" s="464">
        <v>0</v>
      </c>
      <c r="M50" s="465"/>
      <c r="N50" s="470">
        <f t="shared" ca="1" si="14"/>
        <v>0</v>
      </c>
      <c r="O50" s="471"/>
      <c r="P50" s="55">
        <v>0</v>
      </c>
      <c r="Q50" s="472">
        <v>0</v>
      </c>
      <c r="R50" s="472"/>
      <c r="S50" s="472">
        <v>0</v>
      </c>
      <c r="T50" s="472"/>
      <c r="U50" s="472">
        <v>0</v>
      </c>
      <c r="V50" s="472"/>
      <c r="W50" s="464">
        <f t="shared" ca="1" si="15"/>
        <v>0</v>
      </c>
      <c r="X50" s="465"/>
      <c r="Y50" s="55">
        <f ca="1">IF(OR(W50="",W50=0),0,IF(W50="X",MatchDay!$U$2+MatchDay!$U$2+1-COUNTIF(Distance!W40:W50,"X"),RANK(W50,$W40:$X55,0)))</f>
        <v>0</v>
      </c>
      <c r="Z50" s="19">
        <f ca="1">IFERROR(IF(Y50=0,0,IF(VLOOKUP(AG50,E40:Y47,21,FALSE)=0,"A",IF(Y50&gt;=VLOOKUP(AG50,E40:Y47,21,FALSE),"B","A"))),"")</f>
        <v>0</v>
      </c>
      <c r="AA50" s="19" t="str">
        <f ca="1">IFERROR(IF(Z50="B","",RANK(AD50,AD40:AD55,1)),"")</f>
        <v/>
      </c>
      <c r="AB50" s="19" t="str">
        <f ca="1">IFERROR(IF(Z50="A","",RANK(AE50,AE40:AE55,1)),"")</f>
        <v/>
      </c>
      <c r="AD50" s="9" t="str">
        <f t="shared" ca="1" si="16"/>
        <v/>
      </c>
      <c r="AE50" s="9" t="str">
        <f t="shared" ca="1" si="17"/>
        <v/>
      </c>
      <c r="AF50" s="9" t="s">
        <v>138</v>
      </c>
      <c r="AG50" s="4">
        <f>IFERROR(IF(A39=0,E50/11,LEFT(E50,1)),"")</f>
        <v>6</v>
      </c>
    </row>
    <row r="51" spans="1:33" s="4" customFormat="1" ht="16.149999999999999" customHeight="1" x14ac:dyDescent="0.35">
      <c r="A51" s="8">
        <f>IFERROR(IF(A39=0,A43*11,A43&amp;A43),"-")</f>
        <v>44</v>
      </c>
      <c r="B51" s="7" t="str">
        <f t="shared" ca="1" si="11"/>
        <v/>
      </c>
      <c r="C51" s="7" t="str">
        <f t="shared" ca="1" si="12"/>
        <v/>
      </c>
      <c r="D51" s="55">
        <v>12</v>
      </c>
      <c r="E51" s="17">
        <f t="shared" si="13"/>
        <v>44</v>
      </c>
      <c r="F51" s="319" t="str">
        <f>IFERROR(VLOOKUP($A36&amp;E51,downloads!$A$1:$E$1000,2,FALSE),"")</f>
        <v/>
      </c>
      <c r="G51" s="18" t="str">
        <f t="shared" si="10"/>
        <v>Macc</v>
      </c>
      <c r="H51" s="464">
        <f ca="1">IFERROR(INDIRECT(CONCATENATE("'Distance Input'!"&amp;B38&amp;C38+11)),"")</f>
        <v>0</v>
      </c>
      <c r="I51" s="465"/>
      <c r="J51" s="464">
        <v>0</v>
      </c>
      <c r="K51" s="465"/>
      <c r="L51" s="464">
        <v>0</v>
      </c>
      <c r="M51" s="465"/>
      <c r="N51" s="470">
        <f t="shared" ca="1" si="14"/>
        <v>0</v>
      </c>
      <c r="O51" s="471"/>
      <c r="P51" s="55">
        <v>0</v>
      </c>
      <c r="Q51" s="472">
        <v>0</v>
      </c>
      <c r="R51" s="472"/>
      <c r="S51" s="472">
        <v>0</v>
      </c>
      <c r="T51" s="472"/>
      <c r="U51" s="472">
        <v>0</v>
      </c>
      <c r="V51" s="472"/>
      <c r="W51" s="464">
        <f t="shared" ca="1" si="15"/>
        <v>0</v>
      </c>
      <c r="X51" s="465"/>
      <c r="Y51" s="55">
        <f ca="1">IF(OR(W51="",W51=0),0,IF(W51="X",MatchDay!$U$2+MatchDay!$U$2+1-COUNTIF(Distance!W40:W51,"X"),RANK(W51,$W40:$X55,0)))</f>
        <v>0</v>
      </c>
      <c r="Z51" s="19">
        <f ca="1">IFERROR(IF(Y51=0,0,IF(VLOOKUP(AG51,E40:Y47,21,FALSE)=0,"A",IF(Y51&gt;=VLOOKUP(AG51,E40:Y47,21,FALSE),"B","A"))),"")</f>
        <v>0</v>
      </c>
      <c r="AA51" s="19" t="str">
        <f ca="1">IFERROR(IF(Z51="B","",RANK(AD51,AD40:AD55,1)),"")</f>
        <v/>
      </c>
      <c r="AB51" s="19" t="str">
        <f ca="1">IFERROR(IF(Z51="A","",RANK(AE51,AE40:AE55,1)),"")</f>
        <v/>
      </c>
      <c r="AD51" s="9" t="str">
        <f t="shared" ca="1" si="16"/>
        <v/>
      </c>
      <c r="AE51" s="9" t="str">
        <f t="shared" ca="1" si="17"/>
        <v/>
      </c>
      <c r="AF51" s="9" t="s">
        <v>138</v>
      </c>
      <c r="AG51" s="4">
        <f>IFERROR(IF(A39=0,E51/11,LEFT(E51,1)),"")</f>
        <v>4</v>
      </c>
    </row>
    <row r="52" spans="1:33" s="4" customFormat="1" ht="16.149999999999999" customHeight="1" x14ac:dyDescent="0.35">
      <c r="A52" s="8">
        <f>IFERROR(IF(A39=0,A44*11,A44&amp;A44),"-")</f>
        <v>22</v>
      </c>
      <c r="B52" s="7" t="str">
        <f t="shared" ca="1" si="11"/>
        <v/>
      </c>
      <c r="C52" s="7" t="str">
        <f t="shared" ca="1" si="12"/>
        <v/>
      </c>
      <c r="D52" s="55">
        <v>13</v>
      </c>
      <c r="E52" s="17">
        <f t="shared" si="13"/>
        <v>22</v>
      </c>
      <c r="F52" s="319" t="str">
        <f>IFERROR(VLOOKUP($A36&amp;E52,downloads!$A$1:$E$1000,2,FALSE),"")</f>
        <v/>
      </c>
      <c r="G52" s="18" t="str">
        <f t="shared" si="10"/>
        <v>ECHT</v>
      </c>
      <c r="H52" s="464">
        <f ca="1">IFERROR(INDIRECT(CONCATENATE("'Distance Input'!"&amp;B38&amp;C38+12)),"")</f>
        <v>0</v>
      </c>
      <c r="I52" s="465"/>
      <c r="J52" s="464">
        <v>0</v>
      </c>
      <c r="K52" s="465"/>
      <c r="L52" s="464">
        <v>0</v>
      </c>
      <c r="M52" s="465"/>
      <c r="N52" s="470">
        <f t="shared" ca="1" si="14"/>
        <v>0</v>
      </c>
      <c r="O52" s="471"/>
      <c r="P52" s="55">
        <v>0</v>
      </c>
      <c r="Q52" s="472">
        <v>0</v>
      </c>
      <c r="R52" s="472"/>
      <c r="S52" s="472">
        <v>0</v>
      </c>
      <c r="T52" s="472"/>
      <c r="U52" s="472">
        <v>0</v>
      </c>
      <c r="V52" s="472"/>
      <c r="W52" s="464">
        <f t="shared" ca="1" si="15"/>
        <v>0</v>
      </c>
      <c r="X52" s="465"/>
      <c r="Y52" s="55">
        <f ca="1">IF(OR(W52="",W52=0),0,IF(W52="X",MatchDay!$U$2+MatchDay!$U$2+1-COUNTIF(Distance!W40:W52,"X"),RANK(W52,$W40:$X55,0)))</f>
        <v>0</v>
      </c>
      <c r="Z52" s="19">
        <f ca="1">IFERROR(IF(Y52=0,0,IF(VLOOKUP(AG52,E40:Y47,21,FALSE)=0,"A",IF(Y52&gt;=VLOOKUP(AG52,E40:Y47,21,FALSE),"B","A"))),"")</f>
        <v>0</v>
      </c>
      <c r="AA52" s="19" t="str">
        <f ca="1">IFERROR(IF(Z52="B","",RANK(AD52,AD40:AD55,1)),"")</f>
        <v/>
      </c>
      <c r="AB52" s="19" t="str">
        <f ca="1">IFERROR(IF(Z52="A","",RANK(AE52,AE40:AE55,1)),"")</f>
        <v/>
      </c>
      <c r="AD52" s="9" t="str">
        <f t="shared" ca="1" si="16"/>
        <v/>
      </c>
      <c r="AE52" s="9" t="str">
        <f t="shared" ca="1" si="17"/>
        <v/>
      </c>
      <c r="AF52" s="9" t="s">
        <v>138</v>
      </c>
      <c r="AG52" s="4">
        <f>IFERROR(IF(A39=0,E52/11,LEFT(E52,1)),"")</f>
        <v>2</v>
      </c>
    </row>
    <row r="53" spans="1:33" s="4" customFormat="1" ht="16.149999999999999" customHeight="1" x14ac:dyDescent="0.35">
      <c r="A53" s="8">
        <f>IFERROR(IF(A39=0,A45*11,A45&amp;A45),"-")</f>
        <v>11</v>
      </c>
      <c r="B53" s="7" t="str">
        <f t="shared" ca="1" si="11"/>
        <v/>
      </c>
      <c r="C53" s="7" t="str">
        <f t="shared" ca="1" si="12"/>
        <v/>
      </c>
      <c r="D53" s="55">
        <v>14</v>
      </c>
      <c r="E53" s="17">
        <f t="shared" si="13"/>
        <v>11</v>
      </c>
      <c r="F53" s="319" t="str">
        <f>IFERROR(VLOOKUP($A36&amp;E53,downloads!$A$1:$E$1000,2,FALSE),"")</f>
        <v/>
      </c>
      <c r="G53" s="18" t="str">
        <f t="shared" si="10"/>
        <v>C&amp;N</v>
      </c>
      <c r="H53" s="464">
        <f ca="1">IFERROR(INDIRECT(CONCATENATE("'Distance Input'!"&amp;B38&amp;C38+13)),"")</f>
        <v>0</v>
      </c>
      <c r="I53" s="465"/>
      <c r="J53" s="464">
        <v>0</v>
      </c>
      <c r="K53" s="465"/>
      <c r="L53" s="464">
        <v>0</v>
      </c>
      <c r="M53" s="465"/>
      <c r="N53" s="470">
        <f t="shared" ca="1" si="14"/>
        <v>0</v>
      </c>
      <c r="O53" s="471"/>
      <c r="P53" s="55">
        <v>0</v>
      </c>
      <c r="Q53" s="472">
        <v>0</v>
      </c>
      <c r="R53" s="472"/>
      <c r="S53" s="472">
        <v>0</v>
      </c>
      <c r="T53" s="472"/>
      <c r="U53" s="472">
        <v>0</v>
      </c>
      <c r="V53" s="472"/>
      <c r="W53" s="464">
        <f t="shared" ca="1" si="15"/>
        <v>0</v>
      </c>
      <c r="X53" s="465"/>
      <c r="Y53" s="55">
        <f ca="1">IF(OR(W53="",W53=0),0,IF(W53="X",MatchDay!$U$2+MatchDay!$U$2+1-COUNTIF(Distance!W40:W53,"X"),RANK(W53,$W40:$X55,0)))</f>
        <v>0</v>
      </c>
      <c r="Z53" s="19">
        <f ca="1">IFERROR(IF(Y53=0,0,IF(VLOOKUP(AG53,E40:Y47,21,FALSE)=0,"A",IF(Y53&gt;=VLOOKUP(AG53,E40:Y47,21,FALSE),"B","A"))),"")</f>
        <v>0</v>
      </c>
      <c r="AA53" s="19" t="str">
        <f ca="1">IFERROR(IF(Z53="B","",RANK(AD53,AD40:AD55,1)),"")</f>
        <v/>
      </c>
      <c r="AB53" s="19" t="str">
        <f ca="1">IFERROR(IF(Z53="A","",RANK(AE53,AE40:AE55,1)),"")</f>
        <v/>
      </c>
      <c r="AD53" s="9" t="str">
        <f t="shared" ca="1" si="16"/>
        <v/>
      </c>
      <c r="AE53" s="9" t="str">
        <f t="shared" ca="1" si="17"/>
        <v/>
      </c>
      <c r="AF53" s="9" t="s">
        <v>138</v>
      </c>
      <c r="AG53" s="4">
        <f>IFERROR(IF(A39=0,E53/11,LEFT(E53,1)),"")</f>
        <v>1</v>
      </c>
    </row>
    <row r="54" spans="1:33" s="4" customFormat="1" ht="16.149999999999999" customHeight="1" x14ac:dyDescent="0.35">
      <c r="A54" s="8">
        <f>IFERROR(IF(A39=0,A46*11,A46&amp;A46),"-")</f>
        <v>33</v>
      </c>
      <c r="B54" s="7" t="str">
        <f t="shared" ca="1" si="11"/>
        <v/>
      </c>
      <c r="C54" s="7" t="str">
        <f t="shared" ca="1" si="12"/>
        <v/>
      </c>
      <c r="D54" s="55">
        <v>15</v>
      </c>
      <c r="E54" s="17">
        <f t="shared" si="13"/>
        <v>33</v>
      </c>
      <c r="F54" s="319" t="str">
        <f>IFERROR(VLOOKUP($A36&amp;E54,downloads!$A$1:$E$1000,2,FALSE),"")</f>
        <v/>
      </c>
      <c r="G54" s="18" t="str">
        <f t="shared" si="10"/>
        <v>Leigh</v>
      </c>
      <c r="H54" s="464">
        <f ca="1">IFERROR(INDIRECT(CONCATENATE("'Distance Input'!"&amp;B38&amp;C38+14)),"")</f>
        <v>0</v>
      </c>
      <c r="I54" s="465"/>
      <c r="J54" s="464">
        <v>0</v>
      </c>
      <c r="K54" s="465"/>
      <c r="L54" s="464">
        <v>0</v>
      </c>
      <c r="M54" s="465"/>
      <c r="N54" s="470">
        <f t="shared" ca="1" si="14"/>
        <v>0</v>
      </c>
      <c r="O54" s="471"/>
      <c r="P54" s="55">
        <v>0</v>
      </c>
      <c r="Q54" s="472">
        <v>0</v>
      </c>
      <c r="R54" s="472"/>
      <c r="S54" s="472">
        <v>0</v>
      </c>
      <c r="T54" s="472"/>
      <c r="U54" s="472">
        <v>0</v>
      </c>
      <c r="V54" s="472"/>
      <c r="W54" s="464">
        <f t="shared" ca="1" si="15"/>
        <v>0</v>
      </c>
      <c r="X54" s="465"/>
      <c r="Y54" s="55">
        <f ca="1">IF(OR(W54="",W54=0),0,IF(W54="X",MatchDay!$U$2+MatchDay!$U$2+1-COUNTIF(Distance!W40:W54,"X"),RANK(W54,$W40:$X55,0)))</f>
        <v>0</v>
      </c>
      <c r="Z54" s="19">
        <f ca="1">IFERROR(IF(Y54=0,0,IF(VLOOKUP(AG54,E40:Y47,21,FALSE)=0,"A",IF(Y54&gt;=VLOOKUP(AG54,E40:Y47,21,FALSE),"B","A"))),"")</f>
        <v>0</v>
      </c>
      <c r="AA54" s="19" t="str">
        <f ca="1">IFERROR(IF(Z54="B","",RANK(AD54,AD40:AD55,1)),"")</f>
        <v/>
      </c>
      <c r="AB54" s="19" t="str">
        <f ca="1">IFERROR(IF(Z54="A","",RANK(AE54,AE40:AE55,1)),"")</f>
        <v/>
      </c>
      <c r="AD54" s="9" t="str">
        <f t="shared" ca="1" si="16"/>
        <v/>
      </c>
      <c r="AE54" s="9" t="str">
        <f t="shared" ca="1" si="17"/>
        <v/>
      </c>
      <c r="AF54" s="9" t="s">
        <v>138</v>
      </c>
      <c r="AG54" s="4">
        <f>IFERROR(IF(A39=0,E54/11,LEFT(E54,1)),"")</f>
        <v>3</v>
      </c>
    </row>
    <row r="55" spans="1:33" s="4" customFormat="1" ht="16.149999999999999" customHeight="1" x14ac:dyDescent="0.35">
      <c r="A55" s="8" t="str">
        <f>IFERROR(IF(A39=0,A47*11,A47&amp;A47),"-")</f>
        <v>-</v>
      </c>
      <c r="B55" s="7" t="str">
        <f t="shared" ca="1" si="11"/>
        <v/>
      </c>
      <c r="C55" s="7" t="str">
        <f t="shared" ca="1" si="12"/>
        <v/>
      </c>
      <c r="D55" s="55">
        <v>16</v>
      </c>
      <c r="E55" s="17" t="str">
        <f t="shared" si="13"/>
        <v>-</v>
      </c>
      <c r="F55" s="319" t="str">
        <f>IFERROR(VLOOKUP($A36&amp;E55,downloads!$A$1:$E$1000,2,FALSE),"")</f>
        <v/>
      </c>
      <c r="G55" s="18" t="str">
        <f t="shared" si="10"/>
        <v/>
      </c>
      <c r="H55" s="464">
        <f ca="1">IFERROR(INDIRECT(CONCATENATE("'Distance Input'!"&amp;B38&amp;C38+15)),"")</f>
        <v>0</v>
      </c>
      <c r="I55" s="465"/>
      <c r="J55" s="464">
        <v>0</v>
      </c>
      <c r="K55" s="465"/>
      <c r="L55" s="464">
        <v>0</v>
      </c>
      <c r="M55" s="465"/>
      <c r="N55" s="470">
        <f t="shared" ca="1" si="14"/>
        <v>0</v>
      </c>
      <c r="O55" s="471"/>
      <c r="P55" s="55">
        <v>0</v>
      </c>
      <c r="Q55" s="472">
        <v>0</v>
      </c>
      <c r="R55" s="472"/>
      <c r="S55" s="472">
        <v>0</v>
      </c>
      <c r="T55" s="472"/>
      <c r="U55" s="472">
        <v>0</v>
      </c>
      <c r="V55" s="472"/>
      <c r="W55" s="464">
        <f t="shared" ca="1" si="15"/>
        <v>0</v>
      </c>
      <c r="X55" s="465"/>
      <c r="Y55" s="55">
        <f ca="1">IF(OR(W55="",W55=0),0,IF(W55="X",MatchDay!$U$2+MatchDay!$U$2+1-COUNTIF(Distance!W40:W55,"X"),RANK(W55,$W40:$X55,0)))</f>
        <v>0</v>
      </c>
      <c r="Z55" s="19">
        <f ca="1">IFERROR(IF(Y55=0,0,IF(VLOOKUP(AG55,E40:Y47,21,FALSE)=0,"A",IF(Y55&gt;=VLOOKUP(AG55,E40:Y47,21,FALSE),"B","A"))),"")</f>
        <v>0</v>
      </c>
      <c r="AA55" s="19" t="str">
        <f ca="1">IFERROR(IF(Z55="B","",RANK(AD55,AD40:AD55,1)),"")</f>
        <v/>
      </c>
      <c r="AB55" s="19" t="str">
        <f ca="1">IFERROR(IF(Z55="A","",RANK(AE55,AE40:AE55,1)),"")</f>
        <v/>
      </c>
      <c r="AD55" s="9" t="str">
        <f t="shared" ca="1" si="16"/>
        <v/>
      </c>
      <c r="AE55" s="9" t="str">
        <f t="shared" ca="1" si="17"/>
        <v/>
      </c>
      <c r="AF55" s="9" t="s">
        <v>138</v>
      </c>
      <c r="AG55" s="4" t="str">
        <f>IFERROR(IF(A39=0,E55/11,LEFT(E55,1)),"")</f>
        <v/>
      </c>
    </row>
    <row r="56" spans="1:33" s="4" customFormat="1" x14ac:dyDescent="0.25">
      <c r="A56" s="8"/>
      <c r="B56" s="10"/>
      <c r="C56" s="3"/>
      <c r="D56" s="20"/>
      <c r="E56" s="20"/>
      <c r="F56" s="21"/>
      <c r="G56" s="21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2"/>
    </row>
    <row r="57" spans="1:33" s="4" customFormat="1" x14ac:dyDescent="0.25">
      <c r="A57" s="8"/>
      <c r="B57" s="10"/>
      <c r="C57" s="3"/>
      <c r="D57" s="469" t="s">
        <v>139</v>
      </c>
      <c r="E57" s="473"/>
      <c r="F57" s="473"/>
      <c r="G57" s="473"/>
      <c r="H57" s="473"/>
      <c r="I57" s="473"/>
      <c r="J57" s="466" t="s">
        <v>140</v>
      </c>
      <c r="K57" s="474"/>
      <c r="L57" s="474"/>
      <c r="M57" s="474"/>
      <c r="N57" s="474"/>
      <c r="O57" s="474"/>
      <c r="P57" s="474"/>
      <c r="Q57" s="474"/>
      <c r="R57" s="474"/>
      <c r="S57" s="474"/>
      <c r="T57" s="474"/>
      <c r="U57" s="475"/>
      <c r="V57" s="466" t="s">
        <v>1136</v>
      </c>
      <c r="W57" s="467"/>
      <c r="X57" s="467"/>
      <c r="Y57" s="467"/>
      <c r="Z57" s="467"/>
      <c r="AA57" s="467"/>
      <c r="AB57" s="468"/>
    </row>
    <row r="58" spans="1:33" s="4" customFormat="1" x14ac:dyDescent="0.25">
      <c r="A58" s="8" t="s">
        <v>55</v>
      </c>
      <c r="B58" s="10"/>
      <c r="C58" s="3"/>
      <c r="D58" s="12"/>
      <c r="E58" s="55" t="s">
        <v>141</v>
      </c>
      <c r="F58" s="55" t="s">
        <v>124</v>
      </c>
      <c r="G58" s="55" t="s">
        <v>125</v>
      </c>
      <c r="H58" s="469" t="s">
        <v>142</v>
      </c>
      <c r="I58" s="469"/>
      <c r="J58" s="23"/>
      <c r="K58" s="54" t="s">
        <v>141</v>
      </c>
      <c r="L58" s="466" t="s">
        <v>124</v>
      </c>
      <c r="M58" s="467"/>
      <c r="N58" s="467"/>
      <c r="O58" s="468"/>
      <c r="P58" s="466" t="s">
        <v>125</v>
      </c>
      <c r="Q58" s="467"/>
      <c r="R58" s="467"/>
      <c r="S58" s="468"/>
      <c r="T58" s="466" t="s">
        <v>142</v>
      </c>
      <c r="U58" s="468"/>
      <c r="V58" s="24"/>
      <c r="W58" s="25"/>
      <c r="X58" s="25"/>
      <c r="Y58" s="25"/>
      <c r="Z58" s="25"/>
      <c r="AA58" s="25"/>
      <c r="AB58" s="26"/>
    </row>
    <row r="59" spans="1:33" s="4" customFormat="1" ht="16.149999999999999" customHeight="1" x14ac:dyDescent="0.25">
      <c r="A59" s="11">
        <f>IFERROR(VLOOKUP(A36,standards,3,FALSE),"-")</f>
        <v>15</v>
      </c>
      <c r="B59" s="10">
        <v>1</v>
      </c>
      <c r="C59" s="3"/>
      <c r="D59" s="55">
        <v>1</v>
      </c>
      <c r="E59" s="19">
        <f ca="1">IFERROR(IF(OR(H40=98,H40=99),H40,VLOOKUP(B59,B40:E55,4,FALSE)),0)</f>
        <v>6</v>
      </c>
      <c r="F59" s="27" t="str">
        <f ca="1">IFERROR(VLOOKUP(E59,$E40:$F55,2,FALSE),"")</f>
        <v>Lucy JONES</v>
      </c>
      <c r="G59" s="18" t="str">
        <f t="shared" ref="G59:G66" ca="1" si="18">IFERROR(VLOOKUP(E59,teamlookup,5,FALSE),"-")</f>
        <v>Stock</v>
      </c>
      <c r="H59" s="459">
        <f ca="1">IFERROR(VLOOKUP(E59,E40:X55,19,FALSE),"")</f>
        <v>15.23</v>
      </c>
      <c r="I59" s="460"/>
      <c r="J59" s="55">
        <v>1</v>
      </c>
      <c r="K59" s="55" t="str">
        <f ca="1">IFERROR(VLOOKUP(B59,C40:X55,3,FALSE),"")</f>
        <v/>
      </c>
      <c r="L59" s="461" t="str">
        <f ca="1">IFERROR(VLOOKUP(K59,$E40:$F55,2,FALSE),"")</f>
        <v/>
      </c>
      <c r="M59" s="462"/>
      <c r="N59" s="462"/>
      <c r="O59" s="463"/>
      <c r="P59" s="461" t="str">
        <f t="shared" ref="P59:P66" ca="1" si="19">IFERROR(VLOOKUP(K59,teamlookup,5,FALSE),"-")</f>
        <v>-</v>
      </c>
      <c r="Q59" s="462"/>
      <c r="R59" s="462"/>
      <c r="S59" s="463"/>
      <c r="T59" s="464" t="str">
        <f ca="1">IFERROR(VLOOKUP(K59,E40:X55,19,FALSE),"")</f>
        <v/>
      </c>
      <c r="U59" s="465"/>
      <c r="V59" s="28"/>
      <c r="W59" s="29"/>
      <c r="X59" s="29"/>
      <c r="Y59" s="29"/>
      <c r="Z59" s="29"/>
      <c r="AA59" s="29"/>
      <c r="AB59" s="30"/>
    </row>
    <row r="60" spans="1:33" s="4" customFormat="1" ht="16.149999999999999" customHeight="1" x14ac:dyDescent="0.25">
      <c r="A60" s="11">
        <f>IFERROR(VLOOKUP(A36,standards,4,FALSE),"-")</f>
        <v>18</v>
      </c>
      <c r="B60" s="10">
        <v>2</v>
      </c>
      <c r="C60" s="3"/>
      <c r="D60" s="55">
        <v>2</v>
      </c>
      <c r="E60" s="19" t="str">
        <f ca="1">IFERROR(VLOOKUP(B60,B40:E55,4,FALSE),"")</f>
        <v/>
      </c>
      <c r="F60" s="27" t="str">
        <f ca="1">IFERROR(VLOOKUP(E60,$E40:$F55,2,FALSE),"")</f>
        <v/>
      </c>
      <c r="G60" s="18" t="str">
        <f t="shared" ca="1" si="18"/>
        <v>-</v>
      </c>
      <c r="H60" s="459" t="str">
        <f ca="1">IFERROR(VLOOKUP(E60,E40:X55,19,FALSE),"")</f>
        <v/>
      </c>
      <c r="I60" s="460"/>
      <c r="J60" s="55">
        <v>2</v>
      </c>
      <c r="K60" s="55" t="str">
        <f ca="1">IFERROR(VLOOKUP(B60,C40:X55,3,FALSE),"")</f>
        <v/>
      </c>
      <c r="L60" s="461" t="str">
        <f ca="1">IFERROR(VLOOKUP(K60,$E40:$F55,2,FALSE),"")</f>
        <v/>
      </c>
      <c r="M60" s="462"/>
      <c r="N60" s="462"/>
      <c r="O60" s="463"/>
      <c r="P60" s="461" t="str">
        <f t="shared" ca="1" si="19"/>
        <v>-</v>
      </c>
      <c r="Q60" s="462"/>
      <c r="R60" s="462"/>
      <c r="S60" s="463"/>
      <c r="T60" s="464" t="str">
        <f ca="1">IFERROR(VLOOKUP(K60,E40:X55,19,FALSE),"")</f>
        <v/>
      </c>
      <c r="U60" s="465"/>
      <c r="V60" s="24"/>
      <c r="W60" s="25"/>
      <c r="X60" s="25"/>
      <c r="Y60" s="25"/>
      <c r="Z60" s="25"/>
      <c r="AA60" s="25"/>
      <c r="AB60" s="26"/>
    </row>
    <row r="61" spans="1:33" s="4" customFormat="1" ht="16.149999999999999" customHeight="1" x14ac:dyDescent="0.25">
      <c r="A61" s="11">
        <f>IFERROR(VLOOKUP(A36,standards,5,FALSE),"-")</f>
        <v>21</v>
      </c>
      <c r="B61" s="10">
        <v>3</v>
      </c>
      <c r="C61" s="3"/>
      <c r="D61" s="55">
        <v>3</v>
      </c>
      <c r="E61" s="19" t="str">
        <f ca="1">IFERROR(VLOOKUP(B61,B40:E55,4,FALSE),"")</f>
        <v/>
      </c>
      <c r="F61" s="27" t="str">
        <f ca="1">IFERROR(VLOOKUP(E61,$E40:$F55,2,FALSE),"")</f>
        <v/>
      </c>
      <c r="G61" s="18" t="str">
        <f t="shared" ca="1" si="18"/>
        <v>-</v>
      </c>
      <c r="H61" s="459" t="str">
        <f ca="1">IFERROR(VLOOKUP(E61,E40:X55,19,FALSE),"")</f>
        <v/>
      </c>
      <c r="I61" s="460"/>
      <c r="J61" s="55">
        <v>3</v>
      </c>
      <c r="K61" s="55" t="str">
        <f ca="1">IFERROR(VLOOKUP(B61,C40:X55,3,FALSE),"")</f>
        <v/>
      </c>
      <c r="L61" s="461" t="str">
        <f ca="1">IFERROR(VLOOKUP(K61,$E40:$F55,2,FALSE),"")</f>
        <v/>
      </c>
      <c r="M61" s="462"/>
      <c r="N61" s="462"/>
      <c r="O61" s="463"/>
      <c r="P61" s="461" t="str">
        <f t="shared" ca="1" si="19"/>
        <v>-</v>
      </c>
      <c r="Q61" s="462"/>
      <c r="R61" s="462"/>
      <c r="S61" s="463"/>
      <c r="T61" s="464" t="str">
        <f ca="1">IFERROR(VLOOKUP(K61,E40:X55,19,FALSE),"")</f>
        <v/>
      </c>
      <c r="U61" s="465"/>
      <c r="V61" s="28"/>
      <c r="W61" s="29"/>
      <c r="X61" s="29"/>
      <c r="Y61" s="29"/>
      <c r="Z61" s="29"/>
      <c r="AA61" s="29"/>
      <c r="AB61" s="30"/>
    </row>
    <row r="62" spans="1:33" s="4" customFormat="1" ht="16.149999999999999" customHeight="1" x14ac:dyDescent="0.25">
      <c r="A62" s="11">
        <f>IFERROR(VLOOKUP(A36,EA!A:K,6,FALSE),"-")</f>
        <v>24</v>
      </c>
      <c r="B62" s="10">
        <v>4</v>
      </c>
      <c r="C62" s="3"/>
      <c r="D62" s="55">
        <v>4</v>
      </c>
      <c r="E62" s="19" t="str">
        <f ca="1">IFERROR(VLOOKUP(B62,B40:E55,4,FALSE),"")</f>
        <v/>
      </c>
      <c r="F62" s="27" t="str">
        <f ca="1">IFERROR(VLOOKUP(E62,$E40:$F55,2,FALSE),"")</f>
        <v/>
      </c>
      <c r="G62" s="18" t="str">
        <f t="shared" ca="1" si="18"/>
        <v>-</v>
      </c>
      <c r="H62" s="459" t="str">
        <f ca="1">IFERROR(VLOOKUP(E62,E40:X55,19,FALSE),"")</f>
        <v/>
      </c>
      <c r="I62" s="460"/>
      <c r="J62" s="55">
        <v>4</v>
      </c>
      <c r="K62" s="55" t="str">
        <f ca="1">IFERROR(VLOOKUP(B62,C40:X55,3,FALSE),"")</f>
        <v/>
      </c>
      <c r="L62" s="461" t="str">
        <f ca="1">IFERROR(VLOOKUP(K62,$E40:$F55,2,FALSE),"")</f>
        <v/>
      </c>
      <c r="M62" s="462"/>
      <c r="N62" s="462"/>
      <c r="O62" s="463"/>
      <c r="P62" s="461" t="str">
        <f t="shared" ca="1" si="19"/>
        <v>-</v>
      </c>
      <c r="Q62" s="462"/>
      <c r="R62" s="462"/>
      <c r="S62" s="463"/>
      <c r="T62" s="464" t="str">
        <f ca="1">IFERROR(VLOOKUP(K62,E40:X55,19,FALSE),"")</f>
        <v/>
      </c>
      <c r="U62" s="465"/>
      <c r="V62" s="24"/>
      <c r="W62" s="25"/>
      <c r="X62" s="25"/>
      <c r="Y62" s="25"/>
      <c r="Z62" s="25"/>
      <c r="AA62" s="25"/>
      <c r="AB62" s="26"/>
    </row>
    <row r="63" spans="1:33" s="4" customFormat="1" ht="16.149999999999999" customHeight="1" x14ac:dyDescent="0.25">
      <c r="A63" s="8"/>
      <c r="B63" s="10">
        <v>5</v>
      </c>
      <c r="C63" s="3"/>
      <c r="D63" s="55">
        <v>5</v>
      </c>
      <c r="E63" s="19" t="str">
        <f ca="1">IFERROR(VLOOKUP(B63,B40:E55,4,FALSE),"")</f>
        <v/>
      </c>
      <c r="F63" s="27" t="str">
        <f ca="1">IFERROR(VLOOKUP(E63,$E40:$F55,2,FALSE),"")</f>
        <v/>
      </c>
      <c r="G63" s="18" t="str">
        <f t="shared" ca="1" si="18"/>
        <v>-</v>
      </c>
      <c r="H63" s="459" t="str">
        <f ca="1">IFERROR(VLOOKUP(E63,E40:X55,19,FALSE),"")</f>
        <v/>
      </c>
      <c r="I63" s="460"/>
      <c r="J63" s="55">
        <v>5</v>
      </c>
      <c r="K63" s="55" t="str">
        <f ca="1">IFERROR(VLOOKUP(B63,C40:X55,3,FALSE),"")</f>
        <v/>
      </c>
      <c r="L63" s="461" t="str">
        <f ca="1">IFERROR(VLOOKUP(K63,$E40:$F55,2,FALSE),"")</f>
        <v/>
      </c>
      <c r="M63" s="462"/>
      <c r="N63" s="462"/>
      <c r="O63" s="463"/>
      <c r="P63" s="461" t="str">
        <f t="shared" ca="1" si="19"/>
        <v>-</v>
      </c>
      <c r="Q63" s="462"/>
      <c r="R63" s="462"/>
      <c r="S63" s="463"/>
      <c r="T63" s="464" t="str">
        <f ca="1">IFERROR(VLOOKUP(K63,E40:X55,19,FALSE),"")</f>
        <v/>
      </c>
      <c r="U63" s="465"/>
      <c r="V63" s="28"/>
      <c r="W63" s="29"/>
      <c r="X63" s="29"/>
      <c r="Y63" s="29"/>
      <c r="Z63" s="29"/>
      <c r="AA63" s="29"/>
      <c r="AB63" s="30"/>
    </row>
    <row r="64" spans="1:33" s="4" customFormat="1" ht="16.149999999999999" customHeight="1" x14ac:dyDescent="0.25">
      <c r="A64" s="8" t="s">
        <v>151</v>
      </c>
      <c r="B64" s="10">
        <v>6</v>
      </c>
      <c r="C64" s="3"/>
      <c r="D64" s="55">
        <v>6</v>
      </c>
      <c r="E64" s="19" t="str">
        <f ca="1">IFERROR(VLOOKUP(B64,B40:E55,4,FALSE),"")</f>
        <v/>
      </c>
      <c r="F64" s="27" t="str">
        <f ca="1">IFERROR(VLOOKUP(E64,$E40:$F55,2,FALSE),"")</f>
        <v/>
      </c>
      <c r="G64" s="18" t="str">
        <f t="shared" ca="1" si="18"/>
        <v>-</v>
      </c>
      <c r="H64" s="459" t="str">
        <f ca="1">IFERROR(VLOOKUP(E64,E40:X55,19,FALSE),"")</f>
        <v/>
      </c>
      <c r="I64" s="460"/>
      <c r="J64" s="55">
        <v>6</v>
      </c>
      <c r="K64" s="55" t="str">
        <f ca="1">IFERROR(VLOOKUP(B64,C40:X55,3,FALSE),"")</f>
        <v/>
      </c>
      <c r="L64" s="461" t="str">
        <f ca="1">IFERROR(VLOOKUP(K64,$E40:$F55,2,FALSE),"")</f>
        <v/>
      </c>
      <c r="M64" s="462"/>
      <c r="N64" s="462"/>
      <c r="O64" s="463"/>
      <c r="P64" s="461" t="str">
        <f t="shared" ca="1" si="19"/>
        <v>-</v>
      </c>
      <c r="Q64" s="462"/>
      <c r="R64" s="462"/>
      <c r="S64" s="463"/>
      <c r="T64" s="464" t="str">
        <f ca="1">IFERROR(VLOOKUP(K64,E40:X55,19,FALSE),"")</f>
        <v/>
      </c>
      <c r="U64" s="465"/>
      <c r="V64" s="466" t="s">
        <v>1135</v>
      </c>
      <c r="W64" s="467"/>
      <c r="X64" s="467"/>
      <c r="Y64" s="467"/>
      <c r="Z64" s="467"/>
      <c r="AA64" s="467"/>
      <c r="AB64" s="468"/>
    </row>
    <row r="65" spans="1:33" s="4" customFormat="1" ht="16.149999999999999" customHeight="1" x14ac:dyDescent="0.25">
      <c r="A65" s="8">
        <f>IFERROR(VLOOKUP(A36,records,5,FALSE),"")</f>
        <v>55.15</v>
      </c>
      <c r="B65" s="10">
        <v>7</v>
      </c>
      <c r="C65" s="3"/>
      <c r="D65" s="55">
        <v>7</v>
      </c>
      <c r="E65" s="19" t="str">
        <f ca="1">IFERROR(VLOOKUP(B65,B40:E55,4,FALSE),"")</f>
        <v/>
      </c>
      <c r="F65" s="27" t="str">
        <f ca="1">IFERROR(VLOOKUP(E65,$E40:$F55,2,FALSE),"")</f>
        <v/>
      </c>
      <c r="G65" s="18" t="str">
        <f t="shared" ca="1" si="18"/>
        <v>-</v>
      </c>
      <c r="H65" s="459" t="str">
        <f ca="1">IFERROR(VLOOKUP(E65,E40:X55,19,FALSE),"")</f>
        <v/>
      </c>
      <c r="I65" s="460"/>
      <c r="J65" s="55">
        <v>7</v>
      </c>
      <c r="K65" s="55" t="str">
        <f ca="1">IFERROR(VLOOKUP(B65,C40:X55,3,FALSE),"")</f>
        <v/>
      </c>
      <c r="L65" s="461" t="str">
        <f ca="1">IFERROR(VLOOKUP(K65,$E40:$F55,2,FALSE),"")</f>
        <v/>
      </c>
      <c r="M65" s="462"/>
      <c r="N65" s="462"/>
      <c r="O65" s="463"/>
      <c r="P65" s="461" t="str">
        <f t="shared" ca="1" si="19"/>
        <v>-</v>
      </c>
      <c r="Q65" s="462"/>
      <c r="R65" s="462"/>
      <c r="S65" s="463"/>
      <c r="T65" s="464" t="str">
        <f ca="1">IFERROR(VLOOKUP(K65,E40:X55,19,FALSE),"")</f>
        <v/>
      </c>
      <c r="U65" s="465"/>
      <c r="V65" s="24"/>
      <c r="W65" s="25"/>
      <c r="X65" s="25"/>
      <c r="Y65" s="25"/>
      <c r="Z65" s="25"/>
      <c r="AA65" s="25"/>
      <c r="AB65" s="26"/>
    </row>
    <row r="66" spans="1:33" s="4" customFormat="1" ht="16.149999999999999" customHeight="1" x14ac:dyDescent="0.25">
      <c r="A66" s="8"/>
      <c r="B66" s="10">
        <v>8</v>
      </c>
      <c r="C66" s="3"/>
      <c r="D66" s="55">
        <v>8</v>
      </c>
      <c r="E66" s="19" t="str">
        <f ca="1">IFERROR(VLOOKUP(B66,B40:E55,4,FALSE),"")</f>
        <v/>
      </c>
      <c r="F66" s="27" t="str">
        <f ca="1">IFERROR(VLOOKUP(E66,$E40:$F55,2,FALSE),"")</f>
        <v/>
      </c>
      <c r="G66" s="18" t="str">
        <f t="shared" ca="1" si="18"/>
        <v>-</v>
      </c>
      <c r="H66" s="459" t="str">
        <f ca="1">IFERROR(VLOOKUP(E66,E40:X55,19,FALSE),"")</f>
        <v/>
      </c>
      <c r="I66" s="460"/>
      <c r="J66" s="55">
        <v>8</v>
      </c>
      <c r="K66" s="55" t="str">
        <f ca="1">IFERROR(VLOOKUP(B66,C40:X55,3,FALSE),"")</f>
        <v/>
      </c>
      <c r="L66" s="461" t="str">
        <f ca="1">IFERROR(VLOOKUP(K66,$E40:$F55,2,FALSE),"")</f>
        <v/>
      </c>
      <c r="M66" s="462"/>
      <c r="N66" s="462"/>
      <c r="O66" s="463"/>
      <c r="P66" s="461" t="str">
        <f t="shared" ca="1" si="19"/>
        <v>-</v>
      </c>
      <c r="Q66" s="462"/>
      <c r="R66" s="462"/>
      <c r="S66" s="463"/>
      <c r="T66" s="464" t="str">
        <f ca="1">IFERROR(VLOOKUP(K66,E40:X55,19,FALSE),"")</f>
        <v/>
      </c>
      <c r="U66" s="465"/>
      <c r="V66" s="28"/>
      <c r="W66" s="29"/>
      <c r="X66" s="29"/>
      <c r="Y66" s="29"/>
      <c r="Z66" s="29"/>
      <c r="AA66" s="29"/>
      <c r="AB66" s="30"/>
    </row>
    <row r="67" spans="1:33" s="4" customFormat="1" ht="21" x14ac:dyDescent="0.25">
      <c r="A67" s="2" t="str">
        <f>MatchDay!$U$6</f>
        <v>X</v>
      </c>
      <c r="B67" s="8"/>
      <c r="C67" s="3"/>
      <c r="D67" s="499" t="s">
        <v>143</v>
      </c>
      <c r="E67" s="500"/>
      <c r="F67" s="500"/>
      <c r="G67" s="500"/>
      <c r="H67" s="500"/>
      <c r="I67" s="500"/>
      <c r="J67" s="500"/>
      <c r="K67" s="501" t="s">
        <v>144</v>
      </c>
      <c r="L67" s="502"/>
      <c r="M67" s="502"/>
      <c r="N67" s="502"/>
      <c r="O67" s="503" t="str">
        <f>MatchDay!$C$2&amp;" "&amp;MatchDay!$C$3&amp;" "&amp;MatchDay!$C$4</f>
        <v>LOWER NORTH West 2</v>
      </c>
      <c r="P67" s="504"/>
      <c r="Q67" s="504"/>
      <c r="R67" s="504"/>
      <c r="S67" s="504"/>
      <c r="T67" s="504"/>
      <c r="U67" s="504"/>
      <c r="V67" s="504"/>
      <c r="W67" s="504"/>
      <c r="X67" s="504"/>
      <c r="Y67" s="504"/>
      <c r="Z67" s="504"/>
      <c r="AA67" s="504"/>
      <c r="AB67" s="505"/>
    </row>
    <row r="68" spans="1:33" s="4" customFormat="1" ht="15.75" customHeight="1" x14ac:dyDescent="0.25">
      <c r="A68" s="1" t="str">
        <f>IFERROR(IF(LEFT(MatchDay!$C$2,1)="L","L"&amp;A70,"U"&amp;A70),"")</f>
        <v>LFD03</v>
      </c>
      <c r="B68" s="10">
        <v>91</v>
      </c>
      <c r="C68" s="3"/>
      <c r="D68" s="466" t="s">
        <v>145</v>
      </c>
      <c r="E68" s="468"/>
      <c r="F68" s="467" t="str">
        <f>IFERROR(UPPER(VLOOKUP(A69,teamlookup,6,FALSE)),"")</f>
        <v/>
      </c>
      <c r="G68" s="468"/>
      <c r="H68" s="476" t="s">
        <v>149</v>
      </c>
      <c r="I68" s="480"/>
      <c r="J68" s="477"/>
      <c r="K68" s="466" t="str">
        <f>MatchDay!$C$8</f>
        <v>Macclesfield Leisure Centre</v>
      </c>
      <c r="L68" s="467"/>
      <c r="M68" s="467"/>
      <c r="N68" s="467"/>
      <c r="O68" s="467"/>
      <c r="P68" s="468"/>
      <c r="Q68" s="476" t="s">
        <v>119</v>
      </c>
      <c r="R68" s="477"/>
      <c r="S68" s="494">
        <f>MatchDay!$C$7</f>
        <v>45053</v>
      </c>
      <c r="T68" s="495"/>
      <c r="U68" s="495"/>
      <c r="V68" s="495"/>
      <c r="W68" s="495"/>
      <c r="X68" s="496"/>
      <c r="Y68" s="497" t="str">
        <f>IFERROR(IF(LEFT(A68,1)="L","",VLOOKUP(A68,EA!$A:$N,8,FALSE)),"")</f>
        <v/>
      </c>
      <c r="Z68" s="498"/>
      <c r="AA68" s="464" t="str">
        <f>IFERROR(IF(LEFT(A68,1)="L","",VLOOKUP(A68,standards,9,FALSE)),"")</f>
        <v/>
      </c>
      <c r="AB68" s="465"/>
      <c r="AC68" s="6"/>
      <c r="AD68" s="6"/>
    </row>
    <row r="69" spans="1:33" s="4" customFormat="1" ht="15.75" customHeight="1" x14ac:dyDescent="0.25">
      <c r="A69" s="5">
        <f>IFERROR(IF(A67=1,VLOOKUP(A68,judges,VLOOKUP(MatchDay!$U$2*10+MatchDay!$C$5,judgesp,5,FALSE),FALSE),VLOOKUP(Distance!A68,judges,VLOOKUP(MatchDay!$U$2*10+MatchDay!$C$5,judges2,5,FALSE),FALSE)),"")</f>
        <v>7</v>
      </c>
      <c r="B69" s="138"/>
      <c r="C69" s="3"/>
      <c r="D69" s="476" t="s">
        <v>120</v>
      </c>
      <c r="E69" s="477"/>
      <c r="F69" s="478" t="str">
        <f>IFERROR(VLOOKUP(A68,timetables,2,FALSE)&amp;" "&amp;VLOOKUP(A68,timetables,3,FALSE),"")</f>
        <v>Shot U13 Girls</v>
      </c>
      <c r="G69" s="479"/>
      <c r="H69" s="476" t="s">
        <v>121</v>
      </c>
      <c r="I69" s="480"/>
      <c r="J69" s="477"/>
      <c r="K69" s="481">
        <f>IFERROR(IF(A67=1,VLOOKUP(A68,Timetables!$A:$G,6,FALSE),VLOOKUP(A68,Timetables!$A:$G,7,FALSE)),"")</f>
        <v>0.48958333333333331</v>
      </c>
      <c r="L69" s="481" t="e">
        <v>#N/A</v>
      </c>
      <c r="M69" s="476" t="s">
        <v>150</v>
      </c>
      <c r="N69" s="477"/>
      <c r="O69" s="482" t="str">
        <f>IFERROR(VLOOKUP(A68,records,3,FALSE)&amp;", "&amp;VLOOKUP(A68,records,4,FALSE)&amp;", "&amp;VLOOKUP(A68,records,5,FALSE)&amp;", "&amp;VLOOKUP(A68,records,6,FALSE)&amp;", "&amp;VLOOKUP(A68,records,7,FALSE)&amp;" "&amp;VLOOKUP(A68,records,8,FALSE),"")</f>
        <v/>
      </c>
      <c r="P69" s="482"/>
      <c r="Q69" s="482"/>
      <c r="R69" s="482"/>
      <c r="S69" s="482"/>
      <c r="T69" s="482"/>
      <c r="U69" s="482"/>
      <c r="V69" s="482"/>
      <c r="W69" s="482"/>
      <c r="X69" s="482"/>
      <c r="Y69" s="482"/>
      <c r="Z69" s="482"/>
      <c r="AA69" s="482"/>
      <c r="AB69" s="483"/>
    </row>
    <row r="70" spans="1:33" s="4" customFormat="1" ht="32.1" customHeight="1" x14ac:dyDescent="0.25">
      <c r="A70" s="5" t="s">
        <v>205</v>
      </c>
      <c r="B70" s="10" t="str">
        <f>IFERROR(VLOOKUP($A70,fdistance,2,FALSE),"")</f>
        <v>F</v>
      </c>
      <c r="C70" s="10">
        <f>IFERROR(VLOOKUP($A70,fdistance,3,FALSE),"")</f>
        <v>23</v>
      </c>
      <c r="D70" s="31" t="s">
        <v>122</v>
      </c>
      <c r="E70" s="13" t="s">
        <v>123</v>
      </c>
      <c r="F70" s="13" t="s">
        <v>124</v>
      </c>
      <c r="G70" s="14" t="s">
        <v>125</v>
      </c>
      <c r="H70" s="484" t="s">
        <v>126</v>
      </c>
      <c r="I70" s="485"/>
      <c r="J70" s="485" t="s">
        <v>127</v>
      </c>
      <c r="K70" s="485"/>
      <c r="L70" s="485" t="s">
        <v>128</v>
      </c>
      <c r="M70" s="485"/>
      <c r="N70" s="485" t="s">
        <v>129</v>
      </c>
      <c r="O70" s="485"/>
      <c r="P70" s="486" t="s">
        <v>130</v>
      </c>
      <c r="Q70" s="485" t="s">
        <v>131</v>
      </c>
      <c r="R70" s="485"/>
      <c r="S70" s="485" t="s">
        <v>132</v>
      </c>
      <c r="T70" s="485"/>
      <c r="U70" s="485" t="s">
        <v>133</v>
      </c>
      <c r="V70" s="485"/>
      <c r="W70" s="488" t="s">
        <v>134</v>
      </c>
      <c r="X70" s="489"/>
      <c r="Y70" s="490" t="s">
        <v>135</v>
      </c>
      <c r="Z70" s="492" t="s">
        <v>136</v>
      </c>
      <c r="AA70" s="493"/>
      <c r="AB70" s="484"/>
    </row>
    <row r="71" spans="1:33" s="4" customFormat="1" x14ac:dyDescent="0.3">
      <c r="A71" s="121">
        <f>IFERROR(SEARCH("U17",F69),0)</f>
        <v>0</v>
      </c>
      <c r="B71" s="7" t="s">
        <v>53</v>
      </c>
      <c r="C71" s="7" t="s">
        <v>54</v>
      </c>
      <c r="D71" s="56"/>
      <c r="E71" s="56"/>
      <c r="F71" s="15"/>
      <c r="G71" s="16"/>
      <c r="H71" s="468" t="s">
        <v>137</v>
      </c>
      <c r="I71" s="469"/>
      <c r="J71" s="469" t="s">
        <v>137</v>
      </c>
      <c r="K71" s="469"/>
      <c r="L71" s="469" t="s">
        <v>137</v>
      </c>
      <c r="M71" s="469"/>
      <c r="N71" s="469" t="s">
        <v>137</v>
      </c>
      <c r="O71" s="469"/>
      <c r="P71" s="487"/>
      <c r="Q71" s="469" t="s">
        <v>137</v>
      </c>
      <c r="R71" s="469"/>
      <c r="S71" s="469" t="s">
        <v>137</v>
      </c>
      <c r="T71" s="469"/>
      <c r="U71" s="469" t="s">
        <v>137</v>
      </c>
      <c r="V71" s="469"/>
      <c r="W71" s="469" t="s">
        <v>137</v>
      </c>
      <c r="X71" s="466"/>
      <c r="Y71" s="491"/>
      <c r="Z71" s="55"/>
      <c r="AA71" s="55" t="s">
        <v>53</v>
      </c>
      <c r="AB71" s="55" t="s">
        <v>54</v>
      </c>
    </row>
    <row r="72" spans="1:33" s="4" customFormat="1" ht="16.149999999999999" customHeight="1" x14ac:dyDescent="0.35">
      <c r="A72" s="8">
        <f>IFERROR(IF(D72&gt;MatchDay!$U$2,"-",VLOOKUP(A68,timetables,MatchDay!$U$4,FALSE)),0)</f>
        <v>4</v>
      </c>
      <c r="B72" s="7" t="str">
        <f ca="1">AA72</f>
        <v/>
      </c>
      <c r="C72" s="7">
        <f ca="1">AB72</f>
        <v>3</v>
      </c>
      <c r="D72" s="56">
        <v>1</v>
      </c>
      <c r="E72" s="17">
        <f>A72</f>
        <v>4</v>
      </c>
      <c r="F72" s="319" t="str">
        <f>IFERROR(VLOOKUP($A68&amp;E72,downloads!$A$1:$E$1000,2,FALSE),"")</f>
        <v>Holly WALKER</v>
      </c>
      <c r="G72" s="18" t="str">
        <f t="shared" ref="G72:G87" si="20">IFERROR(VLOOKUP(E72,teamlookup,5,FALSE),"-")</f>
        <v>Macc</v>
      </c>
      <c r="H72" s="464">
        <f ca="1">IFERROR(INDIRECT(CONCATENATE("'Distance Input'!"&amp;B70&amp;C70)),"")</f>
        <v>4.4400000000000004</v>
      </c>
      <c r="I72" s="465"/>
      <c r="J72" s="464">
        <v>0</v>
      </c>
      <c r="K72" s="465"/>
      <c r="L72" s="464">
        <v>0</v>
      </c>
      <c r="M72" s="465"/>
      <c r="N72" s="470">
        <f ca="1">H72</f>
        <v>4.4400000000000004</v>
      </c>
      <c r="O72" s="471"/>
      <c r="P72" s="55">
        <v>0</v>
      </c>
      <c r="Q72" s="472">
        <v>0</v>
      </c>
      <c r="R72" s="472"/>
      <c r="S72" s="472">
        <v>0</v>
      </c>
      <c r="T72" s="472"/>
      <c r="U72" s="472">
        <v>0</v>
      </c>
      <c r="V72" s="472"/>
      <c r="W72" s="464">
        <f ca="1">N72</f>
        <v>4.4400000000000004</v>
      </c>
      <c r="X72" s="465"/>
      <c r="Y72" s="55">
        <f ca="1">IF(OR(W72="",W72=0),0,IF(W72="X",MatchDay!$U$2+MatchDay!$U$2+1-COUNTIF(Distance!W72:W72,"X"),RANK(W72,$W72:$X87,0)))</f>
        <v>9</v>
      </c>
      <c r="Z72" s="19" t="str">
        <f ca="1">IFERROR(IF(Y72=0,0,IF(OR(VLOOKUP(AG72,E80:Y87,21,FALSE)=0,Y72&lt;=VLOOKUP(AG72,E80:Y87,21,FALSE)),"A","B")),"")</f>
        <v>B</v>
      </c>
      <c r="AA72" s="19" t="str">
        <f ca="1">IFERROR(IF(Z72="B","",RANK(AD72,AD72:AD87,1)),"")</f>
        <v/>
      </c>
      <c r="AB72" s="19">
        <f ca="1">IFERROR(IF(Z72="A","",RANK(AE72,AE72:AE87,1)),"")</f>
        <v>3</v>
      </c>
      <c r="AC72" s="8"/>
      <c r="AD72" s="9" t="str">
        <f ca="1">IF(OR(W72=0,Y72=0,Z72="B"),"",Y72)</f>
        <v/>
      </c>
      <c r="AE72" s="9">
        <f ca="1">IF(OR(W72=0,Y72=0,Z72="A"),"",Y72)</f>
        <v>9</v>
      </c>
      <c r="AF72" s="9" t="s">
        <v>138</v>
      </c>
      <c r="AG72" s="4">
        <f>IFERROR(IF(A71=0,E72*11,E72&amp;E72),"")</f>
        <v>44</v>
      </c>
    </row>
    <row r="73" spans="1:33" s="4" customFormat="1" ht="16.149999999999999" customHeight="1" x14ac:dyDescent="0.35">
      <c r="A73" s="8">
        <f>IFERROR(IF(D73&gt;MatchDay!$U$2,"-",VLOOKUP(A68,timetables,MatchDay!$U$4+1,FALSE)),0)</f>
        <v>1</v>
      </c>
      <c r="B73" s="7" t="str">
        <f t="shared" ref="B73:B87" ca="1" si="21">AA73</f>
        <v/>
      </c>
      <c r="C73" s="7">
        <f t="shared" ref="C73:C87" ca="1" si="22">AB73</f>
        <v>5</v>
      </c>
      <c r="D73" s="55">
        <v>2</v>
      </c>
      <c r="E73" s="17">
        <f t="shared" ref="E73:E87" si="23">A73</f>
        <v>1</v>
      </c>
      <c r="F73" s="319" t="str">
        <f>IFERROR(VLOOKUP($A68&amp;E73,downloads!$A$1:$E$1000,2,FALSE),"")</f>
        <v>Freya HOWELLS</v>
      </c>
      <c r="G73" s="18" t="str">
        <f t="shared" si="20"/>
        <v>C&amp;N</v>
      </c>
      <c r="H73" s="464">
        <f ca="1">IFERROR(INDIRECT(CONCATENATE("'Distance Input'!"&amp;B70&amp;C70+1)),"")</f>
        <v>3.53</v>
      </c>
      <c r="I73" s="465"/>
      <c r="J73" s="464">
        <v>0</v>
      </c>
      <c r="K73" s="465"/>
      <c r="L73" s="464">
        <v>0</v>
      </c>
      <c r="M73" s="465"/>
      <c r="N73" s="470">
        <f t="shared" ref="N73:N87" ca="1" si="24">H73</f>
        <v>3.53</v>
      </c>
      <c r="O73" s="471"/>
      <c r="P73" s="55">
        <v>0</v>
      </c>
      <c r="Q73" s="472">
        <v>0</v>
      </c>
      <c r="R73" s="472"/>
      <c r="S73" s="472">
        <v>0</v>
      </c>
      <c r="T73" s="472"/>
      <c r="U73" s="472">
        <v>0</v>
      </c>
      <c r="V73" s="472"/>
      <c r="W73" s="464">
        <f t="shared" ref="W73:W87" ca="1" si="25">N73</f>
        <v>3.53</v>
      </c>
      <c r="X73" s="465"/>
      <c r="Y73" s="55">
        <f ca="1">IF(OR(W73="",W73=0),0,IF(W73="X",MatchDay!$U$2+MatchDay!$U$2+1-COUNTIF(Distance!W72:W73,"X"),RANK(W73,$W72:$X87,0)))</f>
        <v>12</v>
      </c>
      <c r="Z73" s="19" t="str">
        <f ca="1">IFERROR(IF(Y73=0,0,IF(OR(VLOOKUP(AG73,E80:Y87,21,FALSE)=0,Y73&lt;=VLOOKUP(AG73,E80:Y87,21,FALSE)),"A","B")),"")</f>
        <v>B</v>
      </c>
      <c r="AA73" s="19" t="str">
        <f ca="1">IFERROR(IF(Z73="B","",RANK(AD73,AD72:AD87,1)),"")</f>
        <v/>
      </c>
      <c r="AB73" s="19">
        <f ca="1">IFERROR(IF(Z73="A","",RANK(AE73,AE72:AE87,1)),"")</f>
        <v>5</v>
      </c>
      <c r="AC73" s="8"/>
      <c r="AD73" s="9" t="str">
        <f t="shared" ref="AD73:AD87" ca="1" si="26">IF(OR(W73=0,Y73=0,Z73="B"),"",Y73)</f>
        <v/>
      </c>
      <c r="AE73" s="9">
        <f t="shared" ref="AE73:AE87" ca="1" si="27">IF(OR(W73=0,Y73=0,Z73="A"),"",Y73)</f>
        <v>12</v>
      </c>
      <c r="AF73" s="9" t="s">
        <v>138</v>
      </c>
      <c r="AG73" s="4">
        <f>IFERROR(IF(A71=0,E73*11,E73&amp;E73),"")</f>
        <v>11</v>
      </c>
    </row>
    <row r="74" spans="1:33" s="4" customFormat="1" ht="16.149999999999999" customHeight="1" x14ac:dyDescent="0.35">
      <c r="A74" s="8">
        <f>IFERROR(IF(D74&gt;MatchDay!$U$2,"-",VLOOKUP(A68,timetables,MatchDay!$U$4+2,FALSE)),0)</f>
        <v>5</v>
      </c>
      <c r="B74" s="7">
        <f t="shared" ca="1" si="21"/>
        <v>2</v>
      </c>
      <c r="C74" s="7" t="str">
        <f t="shared" ca="1" si="22"/>
        <v/>
      </c>
      <c r="D74" s="55">
        <v>3</v>
      </c>
      <c r="E74" s="17">
        <f t="shared" si="23"/>
        <v>5</v>
      </c>
      <c r="F74" s="319" t="str">
        <f>IFERROR(VLOOKUP($A68&amp;E74,downloads!$A$1:$E$1000,2,FALSE),"")</f>
        <v>Martha BOWN</v>
      </c>
      <c r="G74" s="18" t="str">
        <f t="shared" si="20"/>
        <v>Menai</v>
      </c>
      <c r="H74" s="464">
        <f ca="1">IFERROR(INDIRECT(CONCATENATE("'Distance Input'!"&amp;B70&amp;C70+2)),"")</f>
        <v>5.73</v>
      </c>
      <c r="I74" s="465"/>
      <c r="J74" s="464">
        <v>0</v>
      </c>
      <c r="K74" s="465"/>
      <c r="L74" s="464">
        <v>0</v>
      </c>
      <c r="M74" s="465"/>
      <c r="N74" s="470">
        <f t="shared" ca="1" si="24"/>
        <v>5.73</v>
      </c>
      <c r="O74" s="471"/>
      <c r="P74" s="55">
        <v>0</v>
      </c>
      <c r="Q74" s="472">
        <v>0</v>
      </c>
      <c r="R74" s="472"/>
      <c r="S74" s="472">
        <v>0</v>
      </c>
      <c r="T74" s="472"/>
      <c r="U74" s="472">
        <v>0</v>
      </c>
      <c r="V74" s="472"/>
      <c r="W74" s="464">
        <f t="shared" ca="1" si="25"/>
        <v>5.73</v>
      </c>
      <c r="X74" s="465"/>
      <c r="Y74" s="55">
        <f ca="1">IF(OR(W74="",W74=0),0,IF(W74="X",MatchDay!$U$2+MatchDay!$U$2+1-COUNTIF(Distance!W72:W74,"X"),RANK(W74,$W72:$X87,0)))</f>
        <v>2</v>
      </c>
      <c r="Z74" s="19" t="str">
        <f ca="1">IFERROR(IF(Y74=0,0,IF(OR(VLOOKUP(AG74,E80:Y87,21,FALSE)=0,Y74&lt;=VLOOKUP(AG74,E80:Y87,21,FALSE)),"A","B")),"")</f>
        <v>A</v>
      </c>
      <c r="AA74" s="19">
        <f ca="1">IFERROR(IF(Z74="B","",RANK(AD74,AD72:AD87,1)),"")</f>
        <v>2</v>
      </c>
      <c r="AB74" s="19" t="str">
        <f ca="1">IFERROR(IF(Z74="A","",RANK(AE74,AE72:AE87,1)),"")</f>
        <v/>
      </c>
      <c r="AD74" s="9">
        <f t="shared" ca="1" si="26"/>
        <v>2</v>
      </c>
      <c r="AE74" s="9" t="str">
        <f t="shared" ca="1" si="27"/>
        <v/>
      </c>
      <c r="AF74" s="9" t="s">
        <v>138</v>
      </c>
      <c r="AG74" s="4">
        <f>IFERROR(IF(A71=0,E74*11,E74&amp;E74),"")</f>
        <v>55</v>
      </c>
    </row>
    <row r="75" spans="1:33" s="4" customFormat="1" ht="16.149999999999999" customHeight="1" x14ac:dyDescent="0.35">
      <c r="A75" s="8">
        <f>IFERROR(IF(D75&gt;MatchDay!$U$2,"-",VLOOKUP(A68,timetables,MatchDay!$U$4+3,FALSE)),0)</f>
        <v>7</v>
      </c>
      <c r="B75" s="7">
        <f t="shared" ca="1" si="21"/>
        <v>7</v>
      </c>
      <c r="C75" s="7" t="str">
        <f t="shared" ca="1" si="22"/>
        <v/>
      </c>
      <c r="D75" s="55">
        <v>4</v>
      </c>
      <c r="E75" s="17">
        <f t="shared" si="23"/>
        <v>7</v>
      </c>
      <c r="F75" s="319" t="str">
        <f>IFERROR(VLOOKUP($A68&amp;E75,downloads!$A$1:$E$1000,2,FALSE),"")</f>
        <v>Layla HALL</v>
      </c>
      <c r="G75" s="18" t="str">
        <f t="shared" si="20"/>
        <v>Wigan</v>
      </c>
      <c r="H75" s="464">
        <f ca="1">IFERROR(INDIRECT(CONCATENATE("'Distance Input'!"&amp;B70&amp;C70+3)),"")</f>
        <v>3.77</v>
      </c>
      <c r="I75" s="465"/>
      <c r="J75" s="464">
        <v>0</v>
      </c>
      <c r="K75" s="465"/>
      <c r="L75" s="464">
        <v>0</v>
      </c>
      <c r="M75" s="465"/>
      <c r="N75" s="470">
        <f t="shared" ca="1" si="24"/>
        <v>3.77</v>
      </c>
      <c r="O75" s="471"/>
      <c r="P75" s="55">
        <v>0</v>
      </c>
      <c r="Q75" s="472">
        <v>0</v>
      </c>
      <c r="R75" s="472"/>
      <c r="S75" s="472">
        <v>0</v>
      </c>
      <c r="T75" s="472"/>
      <c r="U75" s="472">
        <v>0</v>
      </c>
      <c r="V75" s="472"/>
      <c r="W75" s="464">
        <f t="shared" ca="1" si="25"/>
        <v>3.77</v>
      </c>
      <c r="X75" s="465"/>
      <c r="Y75" s="55">
        <f ca="1">IF(OR(W75="",W75=0),0,IF(W75="X",MatchDay!$U$2+MatchDay!$U$2+1-COUNTIF(Distance!W72:W75,"X"),RANK(W75,$W72:$X87,0)))</f>
        <v>11</v>
      </c>
      <c r="Z75" s="19" t="str">
        <f ca="1">IFERROR(IF(Y75=0,0,IF(OR(VLOOKUP(AG75,E80:Y87,21,FALSE)=0,Y75&lt;=VLOOKUP(AG75,E80:Y87,21,FALSE)),"A","B")),"")</f>
        <v>A</v>
      </c>
      <c r="AA75" s="19">
        <f ca="1">IFERROR(IF(Z75="B","",RANK(AD75,AD72:AD87,1)),"")</f>
        <v>7</v>
      </c>
      <c r="AB75" s="19" t="str">
        <f ca="1">IFERROR(IF(Z75="A","",RANK(AE75,AE72:AE87,1)),"")</f>
        <v/>
      </c>
      <c r="AD75" s="9">
        <f t="shared" ca="1" si="26"/>
        <v>11</v>
      </c>
      <c r="AE75" s="9" t="str">
        <f t="shared" ca="1" si="27"/>
        <v/>
      </c>
      <c r="AF75" s="9" t="s">
        <v>138</v>
      </c>
      <c r="AG75" s="4">
        <f>IFERROR(IF(A71=0,E75*11,E75&amp;E75),"")</f>
        <v>77</v>
      </c>
    </row>
    <row r="76" spans="1:33" s="4" customFormat="1" ht="16.149999999999999" customHeight="1" x14ac:dyDescent="0.35">
      <c r="A76" s="8">
        <f>IFERROR(IF(D76&gt;MatchDay!$U$2,"-",VLOOKUP(A68,timetables,MatchDay!$U$4+4,FALSE)),0)</f>
        <v>3</v>
      </c>
      <c r="B76" s="7">
        <f t="shared" ca="1" si="21"/>
        <v>4</v>
      </c>
      <c r="C76" s="7" t="str">
        <f t="shared" ca="1" si="22"/>
        <v/>
      </c>
      <c r="D76" s="55">
        <v>5</v>
      </c>
      <c r="E76" s="17">
        <f t="shared" si="23"/>
        <v>3</v>
      </c>
      <c r="F76" s="319" t="str">
        <f>IFERROR(VLOOKUP($A68&amp;E76,downloads!$A$1:$E$1000,2,FALSE),"")</f>
        <v>Emily ASHTON</v>
      </c>
      <c r="G76" s="18" t="str">
        <f t="shared" si="20"/>
        <v>Leigh</v>
      </c>
      <c r="H76" s="464">
        <f ca="1">IFERROR(INDIRECT(CONCATENATE("'Distance Input'!"&amp;B70&amp;C70+4)),"")</f>
        <v>5.31</v>
      </c>
      <c r="I76" s="465"/>
      <c r="J76" s="464">
        <v>0</v>
      </c>
      <c r="K76" s="465"/>
      <c r="L76" s="464">
        <v>0</v>
      </c>
      <c r="M76" s="465"/>
      <c r="N76" s="470">
        <f t="shared" ca="1" si="24"/>
        <v>5.31</v>
      </c>
      <c r="O76" s="471"/>
      <c r="P76" s="55">
        <v>0</v>
      </c>
      <c r="Q76" s="472">
        <v>0</v>
      </c>
      <c r="R76" s="472"/>
      <c r="S76" s="472">
        <v>0</v>
      </c>
      <c r="T76" s="472"/>
      <c r="U76" s="472">
        <v>0</v>
      </c>
      <c r="V76" s="472"/>
      <c r="W76" s="464">
        <f t="shared" ca="1" si="25"/>
        <v>5.31</v>
      </c>
      <c r="X76" s="465"/>
      <c r="Y76" s="55">
        <f ca="1">IF(OR(W76="",W76=0),0,IF(W76="X",MatchDay!$U$2+MatchDay!$U$2+1-COUNTIF(Distance!W72:W76,"X"),RANK(W76,$W72:$X87,0)))</f>
        <v>5</v>
      </c>
      <c r="Z76" s="19" t="str">
        <f ca="1">IFERROR(IF(Y76=0,0,IF(OR(VLOOKUP(AG76,E80:Y87,21,FALSE)=0,Y76&lt;=VLOOKUP(AG76,E80:Y87,21,FALSE)),"A","B")),"")</f>
        <v>A</v>
      </c>
      <c r="AA76" s="19">
        <f ca="1">IFERROR(IF(Z76="B","",RANK(AD76,AD72:AD87,1)),"")</f>
        <v>4</v>
      </c>
      <c r="AB76" s="19" t="str">
        <f ca="1">IFERROR(IF(Z76="A","",RANK(AE76,AE72:AE87,1)),"")</f>
        <v/>
      </c>
      <c r="AD76" s="9">
        <f t="shared" ca="1" si="26"/>
        <v>5</v>
      </c>
      <c r="AE76" s="9" t="str">
        <f t="shared" ca="1" si="27"/>
        <v/>
      </c>
      <c r="AF76" s="9" t="s">
        <v>138</v>
      </c>
      <c r="AG76" s="4">
        <f>IFERROR(IF(A71=0,E76*11,E76&amp;E76),"")</f>
        <v>33</v>
      </c>
    </row>
    <row r="77" spans="1:33" s="4" customFormat="1" ht="16.149999999999999" customHeight="1" x14ac:dyDescent="0.35">
      <c r="A77" s="8">
        <f>IFERROR(IF(D77&gt;MatchDay!$U$2,"-",VLOOKUP(A68,timetables,MatchDay!$U$4+5,FALSE)),0)</f>
        <v>6</v>
      </c>
      <c r="B77" s="7">
        <f t="shared" ca="1" si="21"/>
        <v>1</v>
      </c>
      <c r="C77" s="7" t="str">
        <f t="shared" ca="1" si="22"/>
        <v/>
      </c>
      <c r="D77" s="55">
        <v>6</v>
      </c>
      <c r="E77" s="17">
        <f t="shared" si="23"/>
        <v>6</v>
      </c>
      <c r="F77" s="319" t="str">
        <f>IFERROR(VLOOKUP($A68&amp;E77,downloads!$A$1:$E$1000,2,FALSE),"")</f>
        <v>Sophie LOW</v>
      </c>
      <c r="G77" s="18" t="str">
        <f t="shared" si="20"/>
        <v>Stock</v>
      </c>
      <c r="H77" s="464">
        <f ca="1">IFERROR(INDIRECT(CONCATENATE("'Distance Input'!"&amp;B70&amp;C70+5)),"")</f>
        <v>5.93</v>
      </c>
      <c r="I77" s="465"/>
      <c r="J77" s="464">
        <v>0</v>
      </c>
      <c r="K77" s="465"/>
      <c r="L77" s="464">
        <v>0</v>
      </c>
      <c r="M77" s="465"/>
      <c r="N77" s="470">
        <f t="shared" ca="1" si="24"/>
        <v>5.93</v>
      </c>
      <c r="O77" s="471"/>
      <c r="P77" s="55">
        <v>0</v>
      </c>
      <c r="Q77" s="472">
        <v>0</v>
      </c>
      <c r="R77" s="472"/>
      <c r="S77" s="472">
        <v>0</v>
      </c>
      <c r="T77" s="472"/>
      <c r="U77" s="472">
        <v>0</v>
      </c>
      <c r="V77" s="472"/>
      <c r="W77" s="464">
        <f t="shared" ca="1" si="25"/>
        <v>5.93</v>
      </c>
      <c r="X77" s="465"/>
      <c r="Y77" s="55">
        <f ca="1">IF(OR(W77="",W77=0),0,IF(W77="X",MatchDay!$U$2+MatchDay!$U$2+1-COUNTIF(Distance!W72:W77,"X"),RANK(W77,$W72:$X87,0)))</f>
        <v>1</v>
      </c>
      <c r="Z77" s="19" t="str">
        <f ca="1">IFERROR(IF(Y77=0,0,IF(OR(VLOOKUP(AG77,E80:Y87,21,FALSE)=0,Y77&lt;=VLOOKUP(AG77,E80:Y87,21,FALSE)),"A","B")),"")</f>
        <v>A</v>
      </c>
      <c r="AA77" s="19">
        <f ca="1">IFERROR(IF(Z77="B","",RANK(AD77,AD72:AD87,1)),"")</f>
        <v>1</v>
      </c>
      <c r="AB77" s="19" t="str">
        <f ca="1">IFERROR(IF(Z77="A","",RANK(AE77,AE72:AE87,1)),"")</f>
        <v/>
      </c>
      <c r="AD77" s="9">
        <f t="shared" ca="1" si="26"/>
        <v>1</v>
      </c>
      <c r="AE77" s="9" t="str">
        <f t="shared" ca="1" si="27"/>
        <v/>
      </c>
      <c r="AF77" s="9" t="s">
        <v>138</v>
      </c>
      <c r="AG77" s="4">
        <f>IFERROR(IF(A71=0,E77*11,E77&amp;E77),"")</f>
        <v>66</v>
      </c>
    </row>
    <row r="78" spans="1:33" s="4" customFormat="1" ht="16.149999999999999" customHeight="1" x14ac:dyDescent="0.35">
      <c r="A78" s="8">
        <f>IFERROR(IF(D78&gt;MatchDay!$U$2,"-",VLOOKUP(A68,timetables,MatchDay!$U$4+6,FALSE)),0)</f>
        <v>2</v>
      </c>
      <c r="B78" s="7">
        <f t="shared" ca="1" si="21"/>
        <v>3</v>
      </c>
      <c r="C78" s="7" t="str">
        <f t="shared" ca="1" si="22"/>
        <v/>
      </c>
      <c r="D78" s="55">
        <v>7</v>
      </c>
      <c r="E78" s="17">
        <f t="shared" si="23"/>
        <v>2</v>
      </c>
      <c r="F78" s="319" t="str">
        <f>IFERROR(VLOOKUP($A68&amp;E78,downloads!$A$1:$E$1000,2,FALSE),"")</f>
        <v>Imogen MCBURNIE</v>
      </c>
      <c r="G78" s="18" t="str">
        <f t="shared" si="20"/>
        <v>ECHT</v>
      </c>
      <c r="H78" s="464">
        <f ca="1">IFERROR(INDIRECT(CONCATENATE("'Distance Input'!"&amp;B70&amp;C70+6)),"")</f>
        <v>5.52</v>
      </c>
      <c r="I78" s="465"/>
      <c r="J78" s="464">
        <v>0</v>
      </c>
      <c r="K78" s="465"/>
      <c r="L78" s="464">
        <v>0</v>
      </c>
      <c r="M78" s="465"/>
      <c r="N78" s="470">
        <f t="shared" ca="1" si="24"/>
        <v>5.52</v>
      </c>
      <c r="O78" s="471"/>
      <c r="P78" s="55">
        <v>0</v>
      </c>
      <c r="Q78" s="472">
        <v>0</v>
      </c>
      <c r="R78" s="472"/>
      <c r="S78" s="472">
        <v>0</v>
      </c>
      <c r="T78" s="472"/>
      <c r="U78" s="472">
        <v>0</v>
      </c>
      <c r="V78" s="472"/>
      <c r="W78" s="464">
        <f t="shared" ca="1" si="25"/>
        <v>5.52</v>
      </c>
      <c r="X78" s="465"/>
      <c r="Y78" s="55">
        <f ca="1">IF(OR(W78="",W78=0),0,IF(W78="X",MatchDay!$U$2+MatchDay!$U$2+1-COUNTIF(Distance!W72:W78,"X"),RANK(W78,$W72:$X87,0)))</f>
        <v>3</v>
      </c>
      <c r="Z78" s="19" t="str">
        <f ca="1">IFERROR(IF(Y78=0,0,IF(OR(VLOOKUP(AG78,E80:Y87,21,FALSE)=0,Y78&lt;=VLOOKUP(AG78,E80:Y87,21,FALSE)),"A","B")),"")</f>
        <v>A</v>
      </c>
      <c r="AA78" s="19">
        <f ca="1">IFERROR(IF(Z78="B","",RANK(AD78,AD72:AD87,1)),"")</f>
        <v>3</v>
      </c>
      <c r="AB78" s="19" t="str">
        <f ca="1">IFERROR(IF(Z78="A","",RANK(AE78,AE72:AE87,1)),"")</f>
        <v/>
      </c>
      <c r="AD78" s="9">
        <f t="shared" ca="1" si="26"/>
        <v>3</v>
      </c>
      <c r="AE78" s="9" t="str">
        <f t="shared" ca="1" si="27"/>
        <v/>
      </c>
      <c r="AF78" s="9" t="s">
        <v>138</v>
      </c>
      <c r="AG78" s="4">
        <f>IFERROR(IF(A71=0,E78*11,E78&amp;E78),"")</f>
        <v>22</v>
      </c>
    </row>
    <row r="79" spans="1:33" s="4" customFormat="1" ht="16.149999999999999" customHeight="1" x14ac:dyDescent="0.35">
      <c r="A79" s="8" t="str">
        <f>IFERROR(IF(D79&gt;MatchDay!$U$2,"-",VLOOKUP(A68,timetables,MatchDay!$U$4+7,FALSE)),0)</f>
        <v>-</v>
      </c>
      <c r="B79" s="7" t="str">
        <f t="shared" ca="1" si="21"/>
        <v/>
      </c>
      <c r="C79" s="7" t="str">
        <f t="shared" ca="1" si="22"/>
        <v/>
      </c>
      <c r="D79" s="55">
        <v>8</v>
      </c>
      <c r="E79" s="17" t="str">
        <f t="shared" si="23"/>
        <v>-</v>
      </c>
      <c r="F79" s="319" t="str">
        <f>IFERROR(VLOOKUP($A68&amp;E79,downloads!$A$1:$E$1000,2,FALSE),"")</f>
        <v/>
      </c>
      <c r="G79" s="18" t="str">
        <f t="shared" si="20"/>
        <v/>
      </c>
      <c r="H79" s="464">
        <f ca="1">IFERROR(INDIRECT(CONCATENATE("'Distance Input'!"&amp;B70&amp;C70+7)),"")</f>
        <v>0</v>
      </c>
      <c r="I79" s="465"/>
      <c r="J79" s="464">
        <v>0</v>
      </c>
      <c r="K79" s="465"/>
      <c r="L79" s="464">
        <v>0</v>
      </c>
      <c r="M79" s="465"/>
      <c r="N79" s="470">
        <f t="shared" ca="1" si="24"/>
        <v>0</v>
      </c>
      <c r="O79" s="471"/>
      <c r="P79" s="55">
        <v>0</v>
      </c>
      <c r="Q79" s="472">
        <v>0</v>
      </c>
      <c r="R79" s="472"/>
      <c r="S79" s="472">
        <v>0</v>
      </c>
      <c r="T79" s="472"/>
      <c r="U79" s="472">
        <v>0</v>
      </c>
      <c r="V79" s="472"/>
      <c r="W79" s="464">
        <f t="shared" ca="1" si="25"/>
        <v>0</v>
      </c>
      <c r="X79" s="465"/>
      <c r="Y79" s="55">
        <f ca="1">IF(OR(W79="",W79=0),0,IF(W79="X",MatchDay!$U$2+MatchDay!$U$2+1-COUNTIF(Distance!W72:W79,"X"),RANK(W79,$W72:$X87,0)))</f>
        <v>0</v>
      </c>
      <c r="Z79" s="19">
        <f ca="1">IFERROR(IF(Y79=0,0,IF(OR(VLOOKUP(AG79,E80:Y87,21,FALSE)=0,Y79&lt;=VLOOKUP(AG79,E80:Y87,21,FALSE)),"A","B")),"")</f>
        <v>0</v>
      </c>
      <c r="AA79" s="19" t="str">
        <f ca="1">IFERROR(IF(Z79="B","",RANK(AD79,AD72:AD87,1)),"")</f>
        <v/>
      </c>
      <c r="AB79" s="19" t="str">
        <f ca="1">IFERROR(IF(Z79="A","",RANK(AE79,AE72:AE87,1)),"")</f>
        <v/>
      </c>
      <c r="AD79" s="9" t="str">
        <f t="shared" ca="1" si="26"/>
        <v/>
      </c>
      <c r="AE79" s="9" t="str">
        <f t="shared" ca="1" si="27"/>
        <v/>
      </c>
      <c r="AF79" s="9" t="s">
        <v>138</v>
      </c>
      <c r="AG79" s="4" t="str">
        <f>IFERROR(IF(A71=0,E79*11,E79&amp;E79),"")</f>
        <v/>
      </c>
    </row>
    <row r="80" spans="1:33" s="4" customFormat="1" ht="16.149999999999999" customHeight="1" x14ac:dyDescent="0.35">
      <c r="A80" s="8">
        <f>IFERROR(IF(A71=0,A72*11,A72&amp;A72),"-")</f>
        <v>44</v>
      </c>
      <c r="B80" s="7">
        <f t="shared" ca="1" si="21"/>
        <v>5</v>
      </c>
      <c r="C80" s="7" t="str">
        <f t="shared" ca="1" si="22"/>
        <v/>
      </c>
      <c r="D80" s="55">
        <v>9</v>
      </c>
      <c r="E80" s="17">
        <f t="shared" si="23"/>
        <v>44</v>
      </c>
      <c r="F80" s="319" t="str">
        <f>IFERROR(VLOOKUP($A68&amp;E80,downloads!$A$1:$E$1000,2,FALSE),"")</f>
        <v>Eve O'DONNELL</v>
      </c>
      <c r="G80" s="18" t="str">
        <f t="shared" si="20"/>
        <v>Macc</v>
      </c>
      <c r="H80" s="464">
        <f ca="1">IFERROR(INDIRECT(CONCATENATE("'Distance Input'!"&amp;B70&amp;C70+8)),"")</f>
        <v>5.09</v>
      </c>
      <c r="I80" s="465"/>
      <c r="J80" s="464">
        <v>0</v>
      </c>
      <c r="K80" s="465"/>
      <c r="L80" s="464">
        <v>0</v>
      </c>
      <c r="M80" s="465"/>
      <c r="N80" s="470">
        <f t="shared" ca="1" si="24"/>
        <v>5.09</v>
      </c>
      <c r="O80" s="471"/>
      <c r="P80" s="55">
        <v>0</v>
      </c>
      <c r="Q80" s="472">
        <v>0</v>
      </c>
      <c r="R80" s="472"/>
      <c r="S80" s="472">
        <v>0</v>
      </c>
      <c r="T80" s="472"/>
      <c r="U80" s="472">
        <v>0</v>
      </c>
      <c r="V80" s="472"/>
      <c r="W80" s="464">
        <f t="shared" ca="1" si="25"/>
        <v>5.09</v>
      </c>
      <c r="X80" s="465"/>
      <c r="Y80" s="55">
        <f ca="1">IF(OR(W80="",W80=0),0,IF(W80="X",MatchDay!$U$2+MatchDay!$U$2+1-COUNTIF(Distance!W72:W80,"X"),RANK(W80,$W72:$X87,0)))</f>
        <v>6</v>
      </c>
      <c r="Z80" s="19" t="str">
        <f ca="1">IFERROR(IF(Y80=0,0,IF(VLOOKUP(AG80,E72:Y79,21,FALSE)=0,"A",IF(Y80&gt;=VLOOKUP(AG80,E72:Y79,21,FALSE),"B","A"))),"")</f>
        <v>A</v>
      </c>
      <c r="AA80" s="19">
        <f ca="1">IFERROR(IF(Z80="B","",RANK(AD80,AD72:AD87,1)),"")</f>
        <v>5</v>
      </c>
      <c r="AB80" s="19" t="str">
        <f ca="1">IFERROR(IF(Z80="A","",RANK(AE80,AE72:AE87,1)),"")</f>
        <v/>
      </c>
      <c r="AD80" s="9">
        <f t="shared" ca="1" si="26"/>
        <v>6</v>
      </c>
      <c r="AE80" s="9" t="str">
        <f t="shared" ca="1" si="27"/>
        <v/>
      </c>
      <c r="AF80" s="9" t="s">
        <v>138</v>
      </c>
      <c r="AG80" s="4">
        <f>IFERROR(IF(A71=0,E80/11,LEFT(E80,1)),"")</f>
        <v>4</v>
      </c>
    </row>
    <row r="81" spans="1:33" s="4" customFormat="1" ht="16.149999999999999" customHeight="1" x14ac:dyDescent="0.35">
      <c r="A81" s="8">
        <f>IFERROR(IF(A71=0,A73*11,A73&amp;A73),"-")</f>
        <v>11</v>
      </c>
      <c r="B81" s="7">
        <f t="shared" ca="1" si="21"/>
        <v>6</v>
      </c>
      <c r="C81" s="7" t="str">
        <f t="shared" ca="1" si="22"/>
        <v/>
      </c>
      <c r="D81" s="55">
        <v>10</v>
      </c>
      <c r="E81" s="17">
        <f t="shared" si="23"/>
        <v>11</v>
      </c>
      <c r="F81" s="319" t="str">
        <f>IFERROR(VLOOKUP($A68&amp;E81,downloads!$A$1:$E$1000,2,FALSE),"")</f>
        <v>Malkia HENRY</v>
      </c>
      <c r="G81" s="18" t="str">
        <f t="shared" si="20"/>
        <v>C&amp;N</v>
      </c>
      <c r="H81" s="464">
        <f ca="1">IFERROR(INDIRECT(CONCATENATE("'Distance Input'!"&amp;B70&amp;C70+9)),"")</f>
        <v>4.8499999999999996</v>
      </c>
      <c r="I81" s="465"/>
      <c r="J81" s="464">
        <v>0</v>
      </c>
      <c r="K81" s="465"/>
      <c r="L81" s="464">
        <v>0</v>
      </c>
      <c r="M81" s="465"/>
      <c r="N81" s="470">
        <f t="shared" ca="1" si="24"/>
        <v>4.8499999999999996</v>
      </c>
      <c r="O81" s="471"/>
      <c r="P81" s="55">
        <v>0</v>
      </c>
      <c r="Q81" s="472">
        <v>0</v>
      </c>
      <c r="R81" s="472"/>
      <c r="S81" s="472">
        <v>0</v>
      </c>
      <c r="T81" s="472"/>
      <c r="U81" s="472">
        <v>0</v>
      </c>
      <c r="V81" s="472"/>
      <c r="W81" s="464">
        <f t="shared" ca="1" si="25"/>
        <v>4.8499999999999996</v>
      </c>
      <c r="X81" s="465"/>
      <c r="Y81" s="55">
        <f ca="1">IF(OR(W81="",W81=0),0,IF(W81="X",MatchDay!$U$2+MatchDay!$U$2+1-COUNTIF(Distance!W72:W81,"X"),RANK(W81,$W72:$X87,0)))</f>
        <v>8</v>
      </c>
      <c r="Z81" s="19" t="str">
        <f ca="1">IFERROR(IF(Y81=0,0,IF(VLOOKUP(AG81,E72:Y79,21,FALSE)=0,"A",IF(Y81&gt;=VLOOKUP(AG81,E72:Y79,21,FALSE),"B","A"))),"")</f>
        <v>A</v>
      </c>
      <c r="AA81" s="19">
        <f ca="1">IFERROR(IF(Z81="B","",RANK(AD81,AD72:AD87,1)),"")</f>
        <v>6</v>
      </c>
      <c r="AB81" s="19" t="str">
        <f ca="1">IFERROR(IF(Z81="A","",RANK(AE81,AE72:AE87,1)),"")</f>
        <v/>
      </c>
      <c r="AD81" s="9">
        <f t="shared" ca="1" si="26"/>
        <v>8</v>
      </c>
      <c r="AE81" s="9" t="str">
        <f t="shared" ca="1" si="27"/>
        <v/>
      </c>
      <c r="AF81" s="9" t="s">
        <v>138</v>
      </c>
      <c r="AG81" s="4">
        <f>IFERROR(IF(A71=0,E81/11,LEFT(E81,1)),"")</f>
        <v>1</v>
      </c>
    </row>
    <row r="82" spans="1:33" s="4" customFormat="1" ht="16.149999999999999" customHeight="1" x14ac:dyDescent="0.35">
      <c r="A82" s="8">
        <f>IFERROR(IF(A71=0,A74*11,A74&amp;A74),"-")</f>
        <v>55</v>
      </c>
      <c r="B82" s="7" t="str">
        <f t="shared" ca="1" si="21"/>
        <v/>
      </c>
      <c r="C82" s="7" t="str">
        <f t="shared" ca="1" si="22"/>
        <v/>
      </c>
      <c r="D82" s="55">
        <v>11</v>
      </c>
      <c r="E82" s="17">
        <f t="shared" si="23"/>
        <v>55</v>
      </c>
      <c r="F82" s="319" t="str">
        <f>IFERROR(VLOOKUP($A68&amp;E82,downloads!$A$1:$E$1000,2,FALSE),"")</f>
        <v/>
      </c>
      <c r="G82" s="18" t="str">
        <f t="shared" si="20"/>
        <v>Menai</v>
      </c>
      <c r="H82" s="464">
        <f ca="1">IFERROR(INDIRECT(CONCATENATE("'Distance Input'!"&amp;B70&amp;C70+10)),"")</f>
        <v>0</v>
      </c>
      <c r="I82" s="465"/>
      <c r="J82" s="464">
        <v>0</v>
      </c>
      <c r="K82" s="465"/>
      <c r="L82" s="464">
        <v>0</v>
      </c>
      <c r="M82" s="465"/>
      <c r="N82" s="470">
        <f t="shared" ca="1" si="24"/>
        <v>0</v>
      </c>
      <c r="O82" s="471"/>
      <c r="P82" s="55">
        <v>0</v>
      </c>
      <c r="Q82" s="472">
        <v>0</v>
      </c>
      <c r="R82" s="472"/>
      <c r="S82" s="472">
        <v>0</v>
      </c>
      <c r="T82" s="472"/>
      <c r="U82" s="472">
        <v>0</v>
      </c>
      <c r="V82" s="472"/>
      <c r="W82" s="464">
        <f t="shared" ca="1" si="25"/>
        <v>0</v>
      </c>
      <c r="X82" s="465"/>
      <c r="Y82" s="55">
        <f ca="1">IF(OR(W82="",W82=0),0,IF(W82="X",MatchDay!$U$2+MatchDay!$U$2+1-COUNTIF(Distance!W72:W82,"X"),RANK(W82,$W72:$X87,0)))</f>
        <v>0</v>
      </c>
      <c r="Z82" s="19">
        <f ca="1">IFERROR(IF(Y82=0,0,IF(VLOOKUP(AG82,E72:Y79,21,FALSE)=0,"A",IF(Y82&gt;=VLOOKUP(AG82,E72:Y79,21,FALSE),"B","A"))),"")</f>
        <v>0</v>
      </c>
      <c r="AA82" s="19" t="str">
        <f ca="1">IFERROR(IF(Z82="B","",RANK(AD82,AD72:AD87,1)),"")</f>
        <v/>
      </c>
      <c r="AB82" s="19" t="str">
        <f ca="1">IFERROR(IF(Z82="A","",RANK(AE82,AE72:AE87,1)),"")</f>
        <v/>
      </c>
      <c r="AD82" s="9" t="str">
        <f t="shared" ca="1" si="26"/>
        <v/>
      </c>
      <c r="AE82" s="9" t="str">
        <f t="shared" ca="1" si="27"/>
        <v/>
      </c>
      <c r="AF82" s="9" t="s">
        <v>138</v>
      </c>
      <c r="AG82" s="4">
        <f>IFERROR(IF(A71=0,E82/11,LEFT(E82,1)),"")</f>
        <v>5</v>
      </c>
    </row>
    <row r="83" spans="1:33" s="4" customFormat="1" ht="16.149999999999999" customHeight="1" x14ac:dyDescent="0.35">
      <c r="A83" s="8">
        <f>IFERROR(IF(A71=0,A75*11,A75&amp;A75),"-")</f>
        <v>77</v>
      </c>
      <c r="B83" s="7" t="str">
        <f t="shared" ca="1" si="21"/>
        <v/>
      </c>
      <c r="C83" s="7" t="str">
        <f t="shared" ca="1" si="22"/>
        <v/>
      </c>
      <c r="D83" s="55">
        <v>12</v>
      </c>
      <c r="E83" s="17">
        <f t="shared" si="23"/>
        <v>77</v>
      </c>
      <c r="F83" s="319" t="str">
        <f>IFERROR(VLOOKUP($A68&amp;E83,downloads!$A$1:$E$1000,2,FALSE),"")</f>
        <v>Maisie CADMAN</v>
      </c>
      <c r="G83" s="18" t="str">
        <f t="shared" si="20"/>
        <v>Wigan</v>
      </c>
      <c r="H83" s="464">
        <f ca="1">IFERROR(INDIRECT(CONCATENATE("'Distance Input'!"&amp;B70&amp;C70+11)),"")</f>
        <v>0</v>
      </c>
      <c r="I83" s="465"/>
      <c r="J83" s="464">
        <v>0</v>
      </c>
      <c r="K83" s="465"/>
      <c r="L83" s="464">
        <v>0</v>
      </c>
      <c r="M83" s="465"/>
      <c r="N83" s="470">
        <f t="shared" ca="1" si="24"/>
        <v>0</v>
      </c>
      <c r="O83" s="471"/>
      <c r="P83" s="55">
        <v>0</v>
      </c>
      <c r="Q83" s="472">
        <v>0</v>
      </c>
      <c r="R83" s="472"/>
      <c r="S83" s="472">
        <v>0</v>
      </c>
      <c r="T83" s="472"/>
      <c r="U83" s="472">
        <v>0</v>
      </c>
      <c r="V83" s="472"/>
      <c r="W83" s="464">
        <f t="shared" ca="1" si="25"/>
        <v>0</v>
      </c>
      <c r="X83" s="465"/>
      <c r="Y83" s="55">
        <f ca="1">IF(OR(W83="",W83=0),0,IF(W83="X",MatchDay!$U$2+MatchDay!$U$2+1-COUNTIF(Distance!W72:W83,"X"),RANK(W83,$W72:$X87,0)))</f>
        <v>0</v>
      </c>
      <c r="Z83" s="19">
        <f ca="1">IFERROR(IF(Y83=0,0,IF(VLOOKUP(AG83,E72:Y79,21,FALSE)=0,"A",IF(Y83&gt;=VLOOKUP(AG83,E72:Y79,21,FALSE),"B","A"))),"")</f>
        <v>0</v>
      </c>
      <c r="AA83" s="19" t="str">
        <f ca="1">IFERROR(IF(Z83="B","",RANK(AD83,AD72:AD87,1)),"")</f>
        <v/>
      </c>
      <c r="AB83" s="19" t="str">
        <f ca="1">IFERROR(IF(Z83="A","",RANK(AE83,AE72:AE87,1)),"")</f>
        <v/>
      </c>
      <c r="AD83" s="9" t="str">
        <f t="shared" ca="1" si="26"/>
        <v/>
      </c>
      <c r="AE83" s="9" t="str">
        <f t="shared" ca="1" si="27"/>
        <v/>
      </c>
      <c r="AF83" s="9" t="s">
        <v>138</v>
      </c>
      <c r="AG83" s="4">
        <f>IFERROR(IF(A71=0,E83/11,LEFT(E83,1)),"")</f>
        <v>7</v>
      </c>
    </row>
    <row r="84" spans="1:33" s="4" customFormat="1" ht="16.149999999999999" customHeight="1" x14ac:dyDescent="0.35">
      <c r="A84" s="8">
        <f>IFERROR(IF(A71=0,A76*11,A76&amp;A76),"-")</f>
        <v>33</v>
      </c>
      <c r="B84" s="7" t="str">
        <f t="shared" ca="1" si="21"/>
        <v/>
      </c>
      <c r="C84" s="7">
        <f t="shared" ca="1" si="22"/>
        <v>4</v>
      </c>
      <c r="D84" s="55">
        <v>13</v>
      </c>
      <c r="E84" s="17">
        <f t="shared" si="23"/>
        <v>33</v>
      </c>
      <c r="F84" s="319" t="str">
        <f>IFERROR(VLOOKUP($A68&amp;E84,downloads!$A$1:$E$1000,2,FALSE),"")</f>
        <v>Aniko BEHARRIE</v>
      </c>
      <c r="G84" s="18" t="str">
        <f t="shared" si="20"/>
        <v>Leigh</v>
      </c>
      <c r="H84" s="464">
        <f ca="1">IFERROR(INDIRECT(CONCATENATE("'Distance Input'!"&amp;B70&amp;C70+12)),"")</f>
        <v>4.3899999999999997</v>
      </c>
      <c r="I84" s="465"/>
      <c r="J84" s="464">
        <v>0</v>
      </c>
      <c r="K84" s="465"/>
      <c r="L84" s="464">
        <v>0</v>
      </c>
      <c r="M84" s="465"/>
      <c r="N84" s="470">
        <f t="shared" ca="1" si="24"/>
        <v>4.3899999999999997</v>
      </c>
      <c r="O84" s="471"/>
      <c r="P84" s="55">
        <v>0</v>
      </c>
      <c r="Q84" s="472">
        <v>0</v>
      </c>
      <c r="R84" s="472"/>
      <c r="S84" s="472">
        <v>0</v>
      </c>
      <c r="T84" s="472"/>
      <c r="U84" s="472">
        <v>0</v>
      </c>
      <c r="V84" s="472"/>
      <c r="W84" s="464">
        <f t="shared" ca="1" si="25"/>
        <v>4.3899999999999997</v>
      </c>
      <c r="X84" s="465"/>
      <c r="Y84" s="55">
        <f ca="1">IF(OR(W84="",W84=0),0,IF(W84="X",MatchDay!$U$2+MatchDay!$U$2+1-COUNTIF(Distance!W72:W84,"X"),RANK(W84,$W72:$X87,0)))</f>
        <v>10</v>
      </c>
      <c r="Z84" s="19" t="str">
        <f ca="1">IFERROR(IF(Y84=0,0,IF(VLOOKUP(AG84,E72:Y79,21,FALSE)=0,"A",IF(Y84&gt;=VLOOKUP(AG84,E72:Y79,21,FALSE),"B","A"))),"")</f>
        <v>B</v>
      </c>
      <c r="AA84" s="19" t="str">
        <f ca="1">IFERROR(IF(Z84="B","",RANK(AD84,AD72:AD87,1)),"")</f>
        <v/>
      </c>
      <c r="AB84" s="19">
        <f ca="1">IFERROR(IF(Z84="A","",RANK(AE84,AE72:AE87,1)),"")</f>
        <v>4</v>
      </c>
      <c r="AD84" s="9" t="str">
        <f t="shared" ca="1" si="26"/>
        <v/>
      </c>
      <c r="AE84" s="9">
        <f t="shared" ca="1" si="27"/>
        <v>10</v>
      </c>
      <c r="AF84" s="9" t="s">
        <v>138</v>
      </c>
      <c r="AG84" s="4">
        <f>IFERROR(IF(A71=0,E84/11,LEFT(E84,1)),"")</f>
        <v>3</v>
      </c>
    </row>
    <row r="85" spans="1:33" s="4" customFormat="1" ht="16.149999999999999" customHeight="1" x14ac:dyDescent="0.35">
      <c r="A85" s="8">
        <f>IFERROR(IF(A71=0,A77*11,A77&amp;A77),"-")</f>
        <v>66</v>
      </c>
      <c r="B85" s="7" t="str">
        <f t="shared" ca="1" si="21"/>
        <v/>
      </c>
      <c r="C85" s="7">
        <f t="shared" ca="1" si="22"/>
        <v>2</v>
      </c>
      <c r="D85" s="55">
        <v>14</v>
      </c>
      <c r="E85" s="17">
        <f t="shared" si="23"/>
        <v>66</v>
      </c>
      <c r="F85" s="319" t="str">
        <f>IFERROR(VLOOKUP($A68&amp;E85,downloads!$A$1:$E$1000,2,FALSE),"")</f>
        <v>Emily WALTON</v>
      </c>
      <c r="G85" s="18" t="str">
        <f t="shared" si="20"/>
        <v>Stock</v>
      </c>
      <c r="H85" s="464">
        <f ca="1">IFERROR(INDIRECT(CONCATENATE("'Distance Input'!"&amp;B70&amp;C70+13)),"")</f>
        <v>5.01</v>
      </c>
      <c r="I85" s="465"/>
      <c r="J85" s="464">
        <v>0</v>
      </c>
      <c r="K85" s="465"/>
      <c r="L85" s="464">
        <v>0</v>
      </c>
      <c r="M85" s="465"/>
      <c r="N85" s="470">
        <f t="shared" ca="1" si="24"/>
        <v>5.01</v>
      </c>
      <c r="O85" s="471"/>
      <c r="P85" s="55">
        <v>0</v>
      </c>
      <c r="Q85" s="472">
        <v>0</v>
      </c>
      <c r="R85" s="472"/>
      <c r="S85" s="472">
        <v>0</v>
      </c>
      <c r="T85" s="472"/>
      <c r="U85" s="472">
        <v>0</v>
      </c>
      <c r="V85" s="472"/>
      <c r="W85" s="464">
        <f t="shared" ca="1" si="25"/>
        <v>5.01</v>
      </c>
      <c r="X85" s="465"/>
      <c r="Y85" s="55">
        <f ca="1">IF(OR(W85="",W85=0),0,IF(W85="X",MatchDay!$U$2+MatchDay!$U$2+1-COUNTIF(Distance!W72:W85,"X"),RANK(W85,$W72:$X87,0)))</f>
        <v>7</v>
      </c>
      <c r="Z85" s="19" t="str">
        <f ca="1">IFERROR(IF(Y85=0,0,IF(VLOOKUP(AG85,E72:Y79,21,FALSE)=0,"A",IF(Y85&gt;=VLOOKUP(AG85,E72:Y79,21,FALSE),"B","A"))),"")</f>
        <v>B</v>
      </c>
      <c r="AA85" s="19" t="str">
        <f ca="1">IFERROR(IF(Z85="B","",RANK(AD85,AD72:AD87,1)),"")</f>
        <v/>
      </c>
      <c r="AB85" s="19">
        <f ca="1">IFERROR(IF(Z85="A","",RANK(AE85,AE72:AE87,1)),"")</f>
        <v>2</v>
      </c>
      <c r="AD85" s="9" t="str">
        <f t="shared" ca="1" si="26"/>
        <v/>
      </c>
      <c r="AE85" s="9">
        <f t="shared" ca="1" si="27"/>
        <v>7</v>
      </c>
      <c r="AF85" s="9" t="s">
        <v>138</v>
      </c>
      <c r="AG85" s="4">
        <f>IFERROR(IF(A71=0,E85/11,LEFT(E85,1)),"")</f>
        <v>6</v>
      </c>
    </row>
    <row r="86" spans="1:33" s="4" customFormat="1" ht="16.149999999999999" customHeight="1" x14ac:dyDescent="0.35">
      <c r="A86" s="8">
        <f>IFERROR(IF(A71=0,A78*11,A78&amp;A78),"-")</f>
        <v>22</v>
      </c>
      <c r="B86" s="7" t="str">
        <f t="shared" ca="1" si="21"/>
        <v/>
      </c>
      <c r="C86" s="7">
        <f t="shared" ca="1" si="22"/>
        <v>1</v>
      </c>
      <c r="D86" s="55">
        <v>15</v>
      </c>
      <c r="E86" s="17">
        <f t="shared" si="23"/>
        <v>22</v>
      </c>
      <c r="F86" s="319" t="str">
        <f>IFERROR(VLOOKUP($A68&amp;E86,downloads!$A$1:$E$1000,2,FALSE),"")</f>
        <v>Erin ROYLE</v>
      </c>
      <c r="G86" s="18" t="str">
        <f t="shared" si="20"/>
        <v>ECHT</v>
      </c>
      <c r="H86" s="464">
        <f ca="1">IFERROR(INDIRECT(CONCATENATE("'Distance Input'!"&amp;B70&amp;C70+14)),"")</f>
        <v>5.42</v>
      </c>
      <c r="I86" s="465"/>
      <c r="J86" s="464">
        <v>0</v>
      </c>
      <c r="K86" s="465"/>
      <c r="L86" s="464">
        <v>0</v>
      </c>
      <c r="M86" s="465"/>
      <c r="N86" s="470">
        <f t="shared" ca="1" si="24"/>
        <v>5.42</v>
      </c>
      <c r="O86" s="471"/>
      <c r="P86" s="55">
        <v>0</v>
      </c>
      <c r="Q86" s="472">
        <v>0</v>
      </c>
      <c r="R86" s="472"/>
      <c r="S86" s="472">
        <v>0</v>
      </c>
      <c r="T86" s="472"/>
      <c r="U86" s="472">
        <v>0</v>
      </c>
      <c r="V86" s="472"/>
      <c r="W86" s="464">
        <f t="shared" ca="1" si="25"/>
        <v>5.42</v>
      </c>
      <c r="X86" s="465"/>
      <c r="Y86" s="55">
        <f ca="1">IF(OR(W86="",W86=0),0,IF(W86="X",MatchDay!$U$2+MatchDay!$U$2+1-COUNTIF(Distance!W72:W86,"X"),RANK(W86,$W72:$X87,0)))</f>
        <v>4</v>
      </c>
      <c r="Z86" s="19" t="str">
        <f ca="1">IFERROR(IF(Y86=0,0,IF(VLOOKUP(AG86,E72:Y79,21,FALSE)=0,"A",IF(Y86&gt;=VLOOKUP(AG86,E72:Y79,21,FALSE),"B","A"))),"")</f>
        <v>B</v>
      </c>
      <c r="AA86" s="19" t="str">
        <f ca="1">IFERROR(IF(Z86="B","",RANK(AD86,AD72:AD87,1)),"")</f>
        <v/>
      </c>
      <c r="AB86" s="19">
        <f ca="1">IFERROR(IF(Z86="A","",RANK(AE86,AE72:AE87,1)),"")</f>
        <v>1</v>
      </c>
      <c r="AD86" s="9" t="str">
        <f t="shared" ca="1" si="26"/>
        <v/>
      </c>
      <c r="AE86" s="9">
        <f t="shared" ca="1" si="27"/>
        <v>4</v>
      </c>
      <c r="AF86" s="9" t="s">
        <v>138</v>
      </c>
      <c r="AG86" s="4">
        <f>IFERROR(IF(A71=0,E86/11,LEFT(E86,1)),"")</f>
        <v>2</v>
      </c>
    </row>
    <row r="87" spans="1:33" s="4" customFormat="1" ht="16.149999999999999" customHeight="1" x14ac:dyDescent="0.35">
      <c r="A87" s="8" t="str">
        <f>IFERROR(IF(A71=0,A79*11,A79&amp;A79),"-")</f>
        <v>-</v>
      </c>
      <c r="B87" s="7" t="str">
        <f t="shared" ca="1" si="21"/>
        <v/>
      </c>
      <c r="C87" s="7" t="str">
        <f t="shared" ca="1" si="22"/>
        <v/>
      </c>
      <c r="D87" s="55">
        <v>16</v>
      </c>
      <c r="E87" s="17" t="str">
        <f t="shared" si="23"/>
        <v>-</v>
      </c>
      <c r="F87" s="319" t="str">
        <f>IFERROR(VLOOKUP($A68&amp;E87,downloads!$A$1:$E$1000,2,FALSE),"")</f>
        <v/>
      </c>
      <c r="G87" s="18" t="str">
        <f t="shared" si="20"/>
        <v/>
      </c>
      <c r="H87" s="464">
        <f ca="1">IFERROR(INDIRECT(CONCATENATE("'Distance Input'!"&amp;B70&amp;C70+15)),"")</f>
        <v>0</v>
      </c>
      <c r="I87" s="465"/>
      <c r="J87" s="464">
        <v>0</v>
      </c>
      <c r="K87" s="465"/>
      <c r="L87" s="464">
        <v>0</v>
      </c>
      <c r="M87" s="465"/>
      <c r="N87" s="470">
        <f t="shared" ca="1" si="24"/>
        <v>0</v>
      </c>
      <c r="O87" s="471"/>
      <c r="P87" s="55">
        <v>0</v>
      </c>
      <c r="Q87" s="472">
        <v>0</v>
      </c>
      <c r="R87" s="472"/>
      <c r="S87" s="472">
        <v>0</v>
      </c>
      <c r="T87" s="472"/>
      <c r="U87" s="472">
        <v>0</v>
      </c>
      <c r="V87" s="472"/>
      <c r="W87" s="464">
        <f t="shared" ca="1" si="25"/>
        <v>0</v>
      </c>
      <c r="X87" s="465"/>
      <c r="Y87" s="55">
        <f ca="1">IF(OR(W87="",W87=0),0,IF(W87="X",MatchDay!$U$2+MatchDay!$U$2+1-COUNTIF(Distance!W72:W87,"X"),RANK(W87,$W72:$X87,0)))</f>
        <v>0</v>
      </c>
      <c r="Z87" s="19">
        <f ca="1">IFERROR(IF(Y87=0,0,IF(VLOOKUP(AG87,E72:Y79,21,FALSE)=0,"A",IF(Y87&gt;=VLOOKUP(AG87,E72:Y79,21,FALSE),"B","A"))),"")</f>
        <v>0</v>
      </c>
      <c r="AA87" s="19" t="str">
        <f ca="1">IFERROR(IF(Z87="B","",RANK(AD87,AD72:AD87,1)),"")</f>
        <v/>
      </c>
      <c r="AB87" s="19" t="str">
        <f ca="1">IFERROR(IF(Z87="A","",RANK(AE87,AE72:AE87,1)),"")</f>
        <v/>
      </c>
      <c r="AD87" s="9" t="str">
        <f t="shared" ca="1" si="26"/>
        <v/>
      </c>
      <c r="AE87" s="9" t="str">
        <f t="shared" ca="1" si="27"/>
        <v/>
      </c>
      <c r="AF87" s="9" t="s">
        <v>138</v>
      </c>
      <c r="AG87" s="4" t="str">
        <f>IFERROR(IF(A71=0,E87/11,LEFT(E87,1)),"")</f>
        <v/>
      </c>
    </row>
    <row r="88" spans="1:33" s="4" customFormat="1" x14ac:dyDescent="0.25">
      <c r="A88" s="8"/>
      <c r="B88" s="10"/>
      <c r="C88" s="3"/>
      <c r="D88" s="20"/>
      <c r="E88" s="20"/>
      <c r="F88" s="21"/>
      <c r="G88" s="21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2"/>
    </row>
    <row r="89" spans="1:33" s="4" customFormat="1" x14ac:dyDescent="0.25">
      <c r="A89" s="8"/>
      <c r="B89" s="10"/>
      <c r="C89" s="3"/>
      <c r="D89" s="469" t="s">
        <v>139</v>
      </c>
      <c r="E89" s="473"/>
      <c r="F89" s="473"/>
      <c r="G89" s="473"/>
      <c r="H89" s="473"/>
      <c r="I89" s="473"/>
      <c r="J89" s="466" t="s">
        <v>140</v>
      </c>
      <c r="K89" s="474"/>
      <c r="L89" s="474"/>
      <c r="M89" s="474"/>
      <c r="N89" s="474"/>
      <c r="O89" s="474"/>
      <c r="P89" s="474"/>
      <c r="Q89" s="474"/>
      <c r="R89" s="474"/>
      <c r="S89" s="474"/>
      <c r="T89" s="474"/>
      <c r="U89" s="475"/>
      <c r="V89" s="466" t="s">
        <v>1136</v>
      </c>
      <c r="W89" s="467"/>
      <c r="X89" s="467"/>
      <c r="Y89" s="467"/>
      <c r="Z89" s="467"/>
      <c r="AA89" s="467"/>
      <c r="AB89" s="468"/>
    </row>
    <row r="90" spans="1:33" s="4" customFormat="1" x14ac:dyDescent="0.25">
      <c r="A90" s="8" t="s">
        <v>55</v>
      </c>
      <c r="B90" s="10"/>
      <c r="C90" s="3"/>
      <c r="D90" s="12"/>
      <c r="E90" s="55" t="s">
        <v>141</v>
      </c>
      <c r="F90" s="55" t="s">
        <v>124</v>
      </c>
      <c r="G90" s="55" t="s">
        <v>125</v>
      </c>
      <c r="H90" s="469" t="s">
        <v>142</v>
      </c>
      <c r="I90" s="469"/>
      <c r="J90" s="23"/>
      <c r="K90" s="54" t="s">
        <v>141</v>
      </c>
      <c r="L90" s="466" t="s">
        <v>124</v>
      </c>
      <c r="M90" s="467"/>
      <c r="N90" s="467"/>
      <c r="O90" s="468"/>
      <c r="P90" s="466" t="s">
        <v>125</v>
      </c>
      <c r="Q90" s="467"/>
      <c r="R90" s="467"/>
      <c r="S90" s="468"/>
      <c r="T90" s="466" t="s">
        <v>142</v>
      </c>
      <c r="U90" s="468"/>
      <c r="V90" s="24"/>
      <c r="W90" s="25"/>
      <c r="X90" s="25"/>
      <c r="Y90" s="25"/>
      <c r="Z90" s="25"/>
      <c r="AA90" s="25"/>
      <c r="AB90" s="26"/>
    </row>
    <row r="91" spans="1:33" s="4" customFormat="1" ht="16.149999999999999" customHeight="1" x14ac:dyDescent="0.25">
      <c r="A91" s="11">
        <f>IFERROR(VLOOKUP(A68,standards,3,FALSE),"-")</f>
        <v>5</v>
      </c>
      <c r="B91" s="10">
        <v>1</v>
      </c>
      <c r="C91" s="3"/>
      <c r="D91" s="55">
        <v>1</v>
      </c>
      <c r="E91" s="19">
        <f ca="1">IFERROR(IF(OR(H72=98,H72=99),H72,VLOOKUP(B91,B72:E87,4,FALSE)),0)</f>
        <v>6</v>
      </c>
      <c r="F91" s="27" t="str">
        <f ca="1">IFERROR(VLOOKUP(E91,$E72:$F87,2,FALSE),"")</f>
        <v>Sophie LOW</v>
      </c>
      <c r="G91" s="18" t="str">
        <f t="shared" ref="G91:G98" ca="1" si="28">IFERROR(VLOOKUP(E91,teamlookup,5,FALSE),"-")</f>
        <v>Stock</v>
      </c>
      <c r="H91" s="459">
        <f ca="1">IFERROR(VLOOKUP(E91,E72:X87,19,FALSE),"")</f>
        <v>5.93</v>
      </c>
      <c r="I91" s="460"/>
      <c r="J91" s="55">
        <v>1</v>
      </c>
      <c r="K91" s="55">
        <f ca="1">IFERROR(VLOOKUP(B91,C72:X87,3,FALSE),"")</f>
        <v>22</v>
      </c>
      <c r="L91" s="461" t="str">
        <f ca="1">IFERROR(VLOOKUP(K91,$E72:$F87,2,FALSE),"")</f>
        <v>Erin ROYLE</v>
      </c>
      <c r="M91" s="462"/>
      <c r="N91" s="462"/>
      <c r="O91" s="463"/>
      <c r="P91" s="461" t="str">
        <f t="shared" ref="P91:P98" ca="1" si="29">IFERROR(VLOOKUP(K91,teamlookup,5,FALSE),"-")</f>
        <v>ECHT</v>
      </c>
      <c r="Q91" s="462"/>
      <c r="R91" s="462"/>
      <c r="S91" s="463"/>
      <c r="T91" s="464">
        <f ca="1">IFERROR(VLOOKUP(K91,E72:X87,19,FALSE),"")</f>
        <v>5.42</v>
      </c>
      <c r="U91" s="465"/>
      <c r="V91" s="28"/>
      <c r="W91" s="29"/>
      <c r="X91" s="29"/>
      <c r="Y91" s="29"/>
      <c r="Z91" s="29"/>
      <c r="AA91" s="29"/>
      <c r="AB91" s="30"/>
    </row>
    <row r="92" spans="1:33" s="4" customFormat="1" ht="16.149999999999999" customHeight="1" x14ac:dyDescent="0.25">
      <c r="A92" s="11">
        <f>IFERROR(VLOOKUP(A68,standards,4,FALSE),"-")</f>
        <v>5.5</v>
      </c>
      <c r="B92" s="10">
        <v>2</v>
      </c>
      <c r="C92" s="3"/>
      <c r="D92" s="55">
        <v>2</v>
      </c>
      <c r="E92" s="19">
        <f ca="1">IFERROR(VLOOKUP(B92,B72:E87,4,FALSE),"")</f>
        <v>5</v>
      </c>
      <c r="F92" s="27" t="str">
        <f ca="1">IFERROR(VLOOKUP(E92,$E72:$F87,2,FALSE),"")</f>
        <v>Martha BOWN</v>
      </c>
      <c r="G92" s="18" t="str">
        <f t="shared" ca="1" si="28"/>
        <v>Menai</v>
      </c>
      <c r="H92" s="459">
        <f ca="1">IFERROR(VLOOKUP(E92,E72:X87,19,FALSE),"")</f>
        <v>5.73</v>
      </c>
      <c r="I92" s="460"/>
      <c r="J92" s="55">
        <v>2</v>
      </c>
      <c r="K92" s="55">
        <f ca="1">IFERROR(VLOOKUP(B92,C72:X87,3,FALSE),"")</f>
        <v>66</v>
      </c>
      <c r="L92" s="461" t="str">
        <f ca="1">IFERROR(VLOOKUP(K92,$E72:$F87,2,FALSE),"")</f>
        <v>Emily WALTON</v>
      </c>
      <c r="M92" s="462"/>
      <c r="N92" s="462"/>
      <c r="O92" s="463"/>
      <c r="P92" s="461" t="str">
        <f t="shared" ca="1" si="29"/>
        <v>Stock</v>
      </c>
      <c r="Q92" s="462"/>
      <c r="R92" s="462"/>
      <c r="S92" s="463"/>
      <c r="T92" s="464">
        <f ca="1">IFERROR(VLOOKUP(K92,E72:X87,19,FALSE),"")</f>
        <v>5.01</v>
      </c>
      <c r="U92" s="465"/>
      <c r="V92" s="24"/>
      <c r="W92" s="25"/>
      <c r="X92" s="25"/>
      <c r="Y92" s="25"/>
      <c r="Z92" s="25"/>
      <c r="AA92" s="25"/>
      <c r="AB92" s="26"/>
    </row>
    <row r="93" spans="1:33" s="4" customFormat="1" ht="16.149999999999999" customHeight="1" x14ac:dyDescent="0.25">
      <c r="A93" s="11">
        <f>IFERROR(VLOOKUP(A68,standards,5,FALSE),"-")</f>
        <v>6</v>
      </c>
      <c r="B93" s="10">
        <v>3</v>
      </c>
      <c r="C93" s="3"/>
      <c r="D93" s="55">
        <v>3</v>
      </c>
      <c r="E93" s="19">
        <f ca="1">IFERROR(VLOOKUP(B93,B72:E87,4,FALSE),"")</f>
        <v>2</v>
      </c>
      <c r="F93" s="27" t="str">
        <f ca="1">IFERROR(VLOOKUP(E93,$E72:$F87,2,FALSE),"")</f>
        <v>Imogen MCBURNIE</v>
      </c>
      <c r="G93" s="18" t="str">
        <f t="shared" ca="1" si="28"/>
        <v>ECHT</v>
      </c>
      <c r="H93" s="459">
        <f ca="1">IFERROR(VLOOKUP(E93,E72:X87,19,FALSE),"")</f>
        <v>5.52</v>
      </c>
      <c r="I93" s="460"/>
      <c r="J93" s="55">
        <v>3</v>
      </c>
      <c r="K93" s="55">
        <f ca="1">IFERROR(VLOOKUP(B93,C72:X87,3,FALSE),"")</f>
        <v>4</v>
      </c>
      <c r="L93" s="461" t="str">
        <f ca="1">IFERROR(VLOOKUP(K93,$E72:$F87,2,FALSE),"")</f>
        <v>Holly WALKER</v>
      </c>
      <c r="M93" s="462"/>
      <c r="N93" s="462"/>
      <c r="O93" s="463"/>
      <c r="P93" s="461" t="str">
        <f t="shared" ca="1" si="29"/>
        <v>Macc</v>
      </c>
      <c r="Q93" s="462"/>
      <c r="R93" s="462"/>
      <c r="S93" s="463"/>
      <c r="T93" s="464">
        <f ca="1">IFERROR(VLOOKUP(K93,E72:X87,19,FALSE),"")</f>
        <v>4.4400000000000004</v>
      </c>
      <c r="U93" s="465"/>
      <c r="V93" s="28"/>
      <c r="W93" s="29"/>
      <c r="X93" s="29"/>
      <c r="Y93" s="29"/>
      <c r="Z93" s="29"/>
      <c r="AA93" s="29"/>
      <c r="AB93" s="30"/>
    </row>
    <row r="94" spans="1:33" s="4" customFormat="1" ht="16.149999999999999" customHeight="1" x14ac:dyDescent="0.25">
      <c r="A94" s="11">
        <f>IFERROR(VLOOKUP(A68,EA!A:K,6,FALSE),"-")</f>
        <v>6.5</v>
      </c>
      <c r="B94" s="10">
        <v>4</v>
      </c>
      <c r="C94" s="3"/>
      <c r="D94" s="55">
        <v>4</v>
      </c>
      <c r="E94" s="19">
        <f ca="1">IFERROR(VLOOKUP(B94,B72:E87,4,FALSE),"")</f>
        <v>3</v>
      </c>
      <c r="F94" s="27" t="str">
        <f ca="1">IFERROR(VLOOKUP(E94,$E72:$F87,2,FALSE),"")</f>
        <v>Emily ASHTON</v>
      </c>
      <c r="G94" s="18" t="str">
        <f t="shared" ca="1" si="28"/>
        <v>Leigh</v>
      </c>
      <c r="H94" s="459">
        <f ca="1">IFERROR(VLOOKUP(E94,E72:X87,19,FALSE),"")</f>
        <v>5.31</v>
      </c>
      <c r="I94" s="460"/>
      <c r="J94" s="55">
        <v>4</v>
      </c>
      <c r="K94" s="55">
        <f ca="1">IFERROR(VLOOKUP(B94,C72:X87,3,FALSE),"")</f>
        <v>33</v>
      </c>
      <c r="L94" s="461" t="str">
        <f ca="1">IFERROR(VLOOKUP(K94,$E72:$F87,2,FALSE),"")</f>
        <v>Aniko BEHARRIE</v>
      </c>
      <c r="M94" s="462"/>
      <c r="N94" s="462"/>
      <c r="O94" s="463"/>
      <c r="P94" s="461" t="str">
        <f t="shared" ca="1" si="29"/>
        <v>Leigh</v>
      </c>
      <c r="Q94" s="462"/>
      <c r="R94" s="462"/>
      <c r="S94" s="463"/>
      <c r="T94" s="464">
        <f ca="1">IFERROR(VLOOKUP(K94,E72:X87,19,FALSE),"")</f>
        <v>4.3899999999999997</v>
      </c>
      <c r="U94" s="465"/>
      <c r="V94" s="24"/>
      <c r="W94" s="25"/>
      <c r="X94" s="25"/>
      <c r="Y94" s="25"/>
      <c r="Z94" s="25"/>
      <c r="AA94" s="25"/>
      <c r="AB94" s="26"/>
    </row>
    <row r="95" spans="1:33" s="4" customFormat="1" ht="16.149999999999999" customHeight="1" x14ac:dyDescent="0.25">
      <c r="A95" s="8"/>
      <c r="B95" s="10">
        <v>5</v>
      </c>
      <c r="C95" s="3"/>
      <c r="D95" s="55">
        <v>5</v>
      </c>
      <c r="E95" s="19">
        <f ca="1">IFERROR(VLOOKUP(B95,B72:E87,4,FALSE),"")</f>
        <v>44</v>
      </c>
      <c r="F95" s="27" t="str">
        <f ca="1">IFERROR(VLOOKUP(E95,$E72:$F87,2,FALSE),"")</f>
        <v>Eve O'DONNELL</v>
      </c>
      <c r="G95" s="18" t="str">
        <f t="shared" ca="1" si="28"/>
        <v>Macc</v>
      </c>
      <c r="H95" s="459">
        <f ca="1">IFERROR(VLOOKUP(E95,E72:X87,19,FALSE),"")</f>
        <v>5.09</v>
      </c>
      <c r="I95" s="460"/>
      <c r="J95" s="55">
        <v>5</v>
      </c>
      <c r="K95" s="55">
        <f ca="1">IFERROR(VLOOKUP(B95,C72:X87,3,FALSE),"")</f>
        <v>1</v>
      </c>
      <c r="L95" s="461" t="str">
        <f ca="1">IFERROR(VLOOKUP(K95,$E72:$F87,2,FALSE),"")</f>
        <v>Freya HOWELLS</v>
      </c>
      <c r="M95" s="462"/>
      <c r="N95" s="462"/>
      <c r="O95" s="463"/>
      <c r="P95" s="461" t="str">
        <f t="shared" ca="1" si="29"/>
        <v>C&amp;N</v>
      </c>
      <c r="Q95" s="462"/>
      <c r="R95" s="462"/>
      <c r="S95" s="463"/>
      <c r="T95" s="464">
        <f ca="1">IFERROR(VLOOKUP(K95,E72:X87,19,FALSE),"")</f>
        <v>3.53</v>
      </c>
      <c r="U95" s="465"/>
      <c r="V95" s="28"/>
      <c r="W95" s="29"/>
      <c r="X95" s="29"/>
      <c r="Y95" s="29"/>
      <c r="Z95" s="29"/>
      <c r="AA95" s="29"/>
      <c r="AB95" s="30"/>
    </row>
    <row r="96" spans="1:33" s="4" customFormat="1" ht="16.149999999999999" customHeight="1" x14ac:dyDescent="0.25">
      <c r="A96" s="8" t="s">
        <v>151</v>
      </c>
      <c r="B96" s="10">
        <v>6</v>
      </c>
      <c r="C96" s="3"/>
      <c r="D96" s="55">
        <v>6</v>
      </c>
      <c r="E96" s="19">
        <f ca="1">IFERROR(VLOOKUP(B96,B72:E87,4,FALSE),"")</f>
        <v>11</v>
      </c>
      <c r="F96" s="27" t="str">
        <f ca="1">IFERROR(VLOOKUP(E96,$E72:$F87,2,FALSE),"")</f>
        <v>Malkia HENRY</v>
      </c>
      <c r="G96" s="18" t="str">
        <f t="shared" ca="1" si="28"/>
        <v>C&amp;N</v>
      </c>
      <c r="H96" s="459">
        <f ca="1">IFERROR(VLOOKUP(E96,E72:X87,19,FALSE),"")</f>
        <v>4.8499999999999996</v>
      </c>
      <c r="I96" s="460"/>
      <c r="J96" s="55">
        <v>6</v>
      </c>
      <c r="K96" s="55" t="str">
        <f ca="1">IFERROR(VLOOKUP(B96,C72:X87,3,FALSE),"")</f>
        <v/>
      </c>
      <c r="L96" s="461" t="str">
        <f ca="1">IFERROR(VLOOKUP(K96,$E72:$F87,2,FALSE),"")</f>
        <v/>
      </c>
      <c r="M96" s="462"/>
      <c r="N96" s="462"/>
      <c r="O96" s="463"/>
      <c r="P96" s="461" t="str">
        <f t="shared" ca="1" si="29"/>
        <v>-</v>
      </c>
      <c r="Q96" s="462"/>
      <c r="R96" s="462"/>
      <c r="S96" s="463"/>
      <c r="T96" s="464" t="str">
        <f ca="1">IFERROR(VLOOKUP(K96,E72:X87,19,FALSE),"")</f>
        <v/>
      </c>
      <c r="U96" s="465"/>
      <c r="V96" s="466" t="s">
        <v>1135</v>
      </c>
      <c r="W96" s="467"/>
      <c r="X96" s="467"/>
      <c r="Y96" s="467"/>
      <c r="Z96" s="467"/>
      <c r="AA96" s="467"/>
      <c r="AB96" s="468"/>
    </row>
    <row r="97" spans="1:33" s="4" customFormat="1" ht="16.149999999999999" customHeight="1" x14ac:dyDescent="0.25">
      <c r="A97" s="8">
        <f>IFERROR(VLOOKUP(A68,records,5,FALSE),"")</f>
        <v>12.19</v>
      </c>
      <c r="B97" s="10">
        <v>7</v>
      </c>
      <c r="C97" s="3"/>
      <c r="D97" s="55">
        <v>7</v>
      </c>
      <c r="E97" s="19">
        <f ca="1">IFERROR(VLOOKUP(B97,B72:E87,4,FALSE),"")</f>
        <v>7</v>
      </c>
      <c r="F97" s="27" t="str">
        <f ca="1">IFERROR(VLOOKUP(E97,$E72:$F87,2,FALSE),"")</f>
        <v>Layla HALL</v>
      </c>
      <c r="G97" s="18" t="str">
        <f t="shared" ca="1" si="28"/>
        <v>Wigan</v>
      </c>
      <c r="H97" s="459">
        <f ca="1">IFERROR(VLOOKUP(E97,E72:X87,19,FALSE),"")</f>
        <v>3.77</v>
      </c>
      <c r="I97" s="460"/>
      <c r="J97" s="55">
        <v>7</v>
      </c>
      <c r="K97" s="55" t="str">
        <f ca="1">IFERROR(VLOOKUP(B97,C72:X87,3,FALSE),"")</f>
        <v/>
      </c>
      <c r="L97" s="461" t="str">
        <f ca="1">IFERROR(VLOOKUP(K97,$E72:$F87,2,FALSE),"")</f>
        <v/>
      </c>
      <c r="M97" s="462"/>
      <c r="N97" s="462"/>
      <c r="O97" s="463"/>
      <c r="P97" s="461" t="str">
        <f t="shared" ca="1" si="29"/>
        <v>-</v>
      </c>
      <c r="Q97" s="462"/>
      <c r="R97" s="462"/>
      <c r="S97" s="463"/>
      <c r="T97" s="464" t="str">
        <f ca="1">IFERROR(VLOOKUP(K97,E72:X87,19,FALSE),"")</f>
        <v/>
      </c>
      <c r="U97" s="465"/>
      <c r="V97" s="24"/>
      <c r="W97" s="25"/>
      <c r="X97" s="25"/>
      <c r="Y97" s="25"/>
      <c r="Z97" s="25"/>
      <c r="AA97" s="25"/>
      <c r="AB97" s="26"/>
    </row>
    <row r="98" spans="1:33" s="4" customFormat="1" ht="16.149999999999999" customHeight="1" x14ac:dyDescent="0.25">
      <c r="A98" s="8"/>
      <c r="B98" s="10">
        <v>8</v>
      </c>
      <c r="C98" s="3"/>
      <c r="D98" s="55">
        <v>8</v>
      </c>
      <c r="E98" s="19" t="str">
        <f ca="1">IFERROR(VLOOKUP(B98,B72:E87,4,FALSE),"")</f>
        <v/>
      </c>
      <c r="F98" s="27" t="str">
        <f ca="1">IFERROR(VLOOKUP(E98,$E72:$F87,2,FALSE),"")</f>
        <v/>
      </c>
      <c r="G98" s="18" t="str">
        <f t="shared" ca="1" si="28"/>
        <v>-</v>
      </c>
      <c r="H98" s="459" t="str">
        <f ca="1">IFERROR(VLOOKUP(E98,E72:X87,19,FALSE),"")</f>
        <v/>
      </c>
      <c r="I98" s="460"/>
      <c r="J98" s="55">
        <v>8</v>
      </c>
      <c r="K98" s="55" t="str">
        <f ca="1">IFERROR(VLOOKUP(B98,C72:X87,3,FALSE),"")</f>
        <v/>
      </c>
      <c r="L98" s="461" t="str">
        <f ca="1">IFERROR(VLOOKUP(K98,$E72:$F87,2,FALSE),"")</f>
        <v/>
      </c>
      <c r="M98" s="462"/>
      <c r="N98" s="462"/>
      <c r="O98" s="463"/>
      <c r="P98" s="461" t="str">
        <f t="shared" ca="1" si="29"/>
        <v>-</v>
      </c>
      <c r="Q98" s="462"/>
      <c r="R98" s="462"/>
      <c r="S98" s="463"/>
      <c r="T98" s="464" t="str">
        <f ca="1">IFERROR(VLOOKUP(K98,E72:X87,19,FALSE),"")</f>
        <v/>
      </c>
      <c r="U98" s="465"/>
      <c r="V98" s="28"/>
      <c r="W98" s="29"/>
      <c r="X98" s="29"/>
      <c r="Y98" s="29"/>
      <c r="Z98" s="29"/>
      <c r="AA98" s="29"/>
      <c r="AB98" s="30"/>
    </row>
    <row r="99" spans="1:33" s="4" customFormat="1" ht="21" x14ac:dyDescent="0.25">
      <c r="A99" s="2" t="str">
        <f>MatchDay!$U$6</f>
        <v>X</v>
      </c>
      <c r="B99" s="8"/>
      <c r="C99" s="3"/>
      <c r="D99" s="499" t="s">
        <v>143</v>
      </c>
      <c r="E99" s="500"/>
      <c r="F99" s="500"/>
      <c r="G99" s="500"/>
      <c r="H99" s="500"/>
      <c r="I99" s="500"/>
      <c r="J99" s="500"/>
      <c r="K99" s="501" t="s">
        <v>144</v>
      </c>
      <c r="L99" s="502"/>
      <c r="M99" s="502"/>
      <c r="N99" s="502"/>
      <c r="O99" s="503" t="str">
        <f>MatchDay!$C$2&amp;" "&amp;MatchDay!$C$3&amp;" "&amp;MatchDay!$C$4</f>
        <v>LOWER NORTH West 2</v>
      </c>
      <c r="P99" s="504"/>
      <c r="Q99" s="504"/>
      <c r="R99" s="504"/>
      <c r="S99" s="504"/>
      <c r="T99" s="504"/>
      <c r="U99" s="504"/>
      <c r="V99" s="504"/>
      <c r="W99" s="504"/>
      <c r="X99" s="504"/>
      <c r="Y99" s="504"/>
      <c r="Z99" s="504"/>
      <c r="AA99" s="504"/>
      <c r="AB99" s="505"/>
    </row>
    <row r="100" spans="1:33" s="4" customFormat="1" ht="15.75" customHeight="1" x14ac:dyDescent="0.25">
      <c r="A100" s="1" t="str">
        <f>IFERROR(IF(LEFT(MatchDay!$C$2,1)="L","L"&amp;A102,"U"&amp;A102),"")</f>
        <v>LFD04</v>
      </c>
      <c r="B100" s="10">
        <v>123</v>
      </c>
      <c r="C100" s="3"/>
      <c r="D100" s="466" t="s">
        <v>145</v>
      </c>
      <c r="E100" s="468"/>
      <c r="F100" s="467" t="str">
        <f>IFERROR(UPPER(VLOOKUP(A101,teamlookup,6,FALSE)),"")</f>
        <v/>
      </c>
      <c r="G100" s="468"/>
      <c r="H100" s="476" t="s">
        <v>149</v>
      </c>
      <c r="I100" s="480"/>
      <c r="J100" s="477"/>
      <c r="K100" s="466" t="str">
        <f>MatchDay!$C$8</f>
        <v>Macclesfield Leisure Centre</v>
      </c>
      <c r="L100" s="467"/>
      <c r="M100" s="467"/>
      <c r="N100" s="467"/>
      <c r="O100" s="467"/>
      <c r="P100" s="468"/>
      <c r="Q100" s="476" t="s">
        <v>119</v>
      </c>
      <c r="R100" s="477"/>
      <c r="S100" s="494">
        <f>MatchDay!$C$7</f>
        <v>45053</v>
      </c>
      <c r="T100" s="495"/>
      <c r="U100" s="495"/>
      <c r="V100" s="495"/>
      <c r="W100" s="495"/>
      <c r="X100" s="496"/>
      <c r="Y100" s="497" t="str">
        <f>IFERROR(IF(LEFT(A100,1)="L","",VLOOKUP(A100,EA!$A:$N,8,FALSE)),"")</f>
        <v/>
      </c>
      <c r="Z100" s="498"/>
      <c r="AA100" s="464" t="str">
        <f>IFERROR(IF(LEFT(A100,1)="L","",VLOOKUP(A100,standards,9,FALSE)),"")</f>
        <v/>
      </c>
      <c r="AB100" s="465"/>
      <c r="AC100" s="6"/>
      <c r="AD100" s="6"/>
    </row>
    <row r="101" spans="1:33" s="4" customFormat="1" ht="15.75" customHeight="1" x14ac:dyDescent="0.25">
      <c r="A101" s="5">
        <f>IFERROR(IF(A99=1,VLOOKUP(A100,judges,VLOOKUP(MatchDay!$U$2*10+MatchDay!$C$5,judgesp,5,FALSE),FALSE),VLOOKUP(Distance!A100,judges,VLOOKUP(MatchDay!$U$2*10+MatchDay!$C$5,judges2,5,FALSE),FALSE)),"")</f>
        <v>1</v>
      </c>
      <c r="B101" s="138"/>
      <c r="C101" s="3"/>
      <c r="D101" s="476" t="s">
        <v>120</v>
      </c>
      <c r="E101" s="477"/>
      <c r="F101" s="478" t="str">
        <f>IFERROR(VLOOKUP(A100,timetables,2,FALSE)&amp;" "&amp;VLOOKUP(A100,timetables,3,FALSE),"")</f>
        <v>Discus U15 Boys</v>
      </c>
      <c r="G101" s="479"/>
      <c r="H101" s="476" t="s">
        <v>121</v>
      </c>
      <c r="I101" s="480"/>
      <c r="J101" s="477"/>
      <c r="K101" s="481">
        <f>IFERROR(IF(A99=1,VLOOKUP(A100,Timetables!$A:$G,6,FALSE),VLOOKUP(A100,Timetables!$A:$G,7,FALSE)),"")</f>
        <v>0.51041666666666663</v>
      </c>
      <c r="L101" s="481" t="e">
        <v>#N/A</v>
      </c>
      <c r="M101" s="476" t="s">
        <v>150</v>
      </c>
      <c r="N101" s="477"/>
      <c r="O101" s="482" t="str">
        <f>IFERROR(VLOOKUP(A100,records,3,FALSE)&amp;", "&amp;VLOOKUP(A100,records,4,FALSE)&amp;", "&amp;VLOOKUP(A100,records,5,FALSE)&amp;", "&amp;VLOOKUP(A100,records,6,FALSE)&amp;", "&amp;VLOOKUP(A100,records,7,FALSE)&amp;" "&amp;VLOOKUP(A100,records,8,FALSE),"")</f>
        <v/>
      </c>
      <c r="P101" s="482"/>
      <c r="Q101" s="482"/>
      <c r="R101" s="482"/>
      <c r="S101" s="482"/>
      <c r="T101" s="482"/>
      <c r="U101" s="482"/>
      <c r="V101" s="482"/>
      <c r="W101" s="482"/>
      <c r="X101" s="482"/>
      <c r="Y101" s="482"/>
      <c r="Z101" s="482"/>
      <c r="AA101" s="482"/>
      <c r="AB101" s="483"/>
    </row>
    <row r="102" spans="1:33" s="4" customFormat="1" ht="32.1" customHeight="1" x14ac:dyDescent="0.25">
      <c r="A102" s="5" t="s">
        <v>207</v>
      </c>
      <c r="B102" s="10" t="str">
        <f>IFERROR(VLOOKUP($A102,fdistance,2,FALSE),"")</f>
        <v>M</v>
      </c>
      <c r="C102" s="10">
        <f>IFERROR(VLOOKUP($A102,fdistance,3,FALSE),"")</f>
        <v>23</v>
      </c>
      <c r="D102" s="31" t="s">
        <v>122</v>
      </c>
      <c r="E102" s="13" t="s">
        <v>123</v>
      </c>
      <c r="F102" s="13" t="s">
        <v>124</v>
      </c>
      <c r="G102" s="14" t="s">
        <v>125</v>
      </c>
      <c r="H102" s="484" t="s">
        <v>126</v>
      </c>
      <c r="I102" s="485"/>
      <c r="J102" s="485" t="s">
        <v>127</v>
      </c>
      <c r="K102" s="485"/>
      <c r="L102" s="485" t="s">
        <v>128</v>
      </c>
      <c r="M102" s="485"/>
      <c r="N102" s="485" t="s">
        <v>129</v>
      </c>
      <c r="O102" s="485"/>
      <c r="P102" s="486" t="s">
        <v>130</v>
      </c>
      <c r="Q102" s="485" t="s">
        <v>131</v>
      </c>
      <c r="R102" s="485"/>
      <c r="S102" s="485" t="s">
        <v>132</v>
      </c>
      <c r="T102" s="485"/>
      <c r="U102" s="485" t="s">
        <v>133</v>
      </c>
      <c r="V102" s="485"/>
      <c r="W102" s="488" t="s">
        <v>134</v>
      </c>
      <c r="X102" s="489"/>
      <c r="Y102" s="490" t="s">
        <v>135</v>
      </c>
      <c r="Z102" s="492" t="s">
        <v>136</v>
      </c>
      <c r="AA102" s="493"/>
      <c r="AB102" s="484"/>
    </row>
    <row r="103" spans="1:33" s="4" customFormat="1" x14ac:dyDescent="0.3">
      <c r="A103" s="121">
        <f>IFERROR(SEARCH("U17",F101),0)</f>
        <v>0</v>
      </c>
      <c r="B103" s="7" t="s">
        <v>53</v>
      </c>
      <c r="C103" s="7" t="s">
        <v>54</v>
      </c>
      <c r="D103" s="56"/>
      <c r="E103" s="56"/>
      <c r="F103" s="15"/>
      <c r="G103" s="16"/>
      <c r="H103" s="468" t="s">
        <v>137</v>
      </c>
      <c r="I103" s="469"/>
      <c r="J103" s="469" t="s">
        <v>137</v>
      </c>
      <c r="K103" s="469"/>
      <c r="L103" s="469" t="s">
        <v>137</v>
      </c>
      <c r="M103" s="469"/>
      <c r="N103" s="469" t="s">
        <v>137</v>
      </c>
      <c r="O103" s="469"/>
      <c r="P103" s="487"/>
      <c r="Q103" s="469" t="s">
        <v>137</v>
      </c>
      <c r="R103" s="469"/>
      <c r="S103" s="469" t="s">
        <v>137</v>
      </c>
      <c r="T103" s="469"/>
      <c r="U103" s="469" t="s">
        <v>137</v>
      </c>
      <c r="V103" s="469"/>
      <c r="W103" s="469" t="s">
        <v>137</v>
      </c>
      <c r="X103" s="466"/>
      <c r="Y103" s="491"/>
      <c r="Z103" s="55"/>
      <c r="AA103" s="55" t="s">
        <v>53</v>
      </c>
      <c r="AB103" s="55" t="s">
        <v>54</v>
      </c>
    </row>
    <row r="104" spans="1:33" s="4" customFormat="1" ht="16.149999999999999" customHeight="1" x14ac:dyDescent="0.35">
      <c r="A104" s="8">
        <f>IFERROR(IF(D104&gt;MatchDay!$U$2,"-",VLOOKUP(A100,timetables,MatchDay!$U$4,FALSE)),0)</f>
        <v>6</v>
      </c>
      <c r="B104" s="7" t="str">
        <f ca="1">AA104</f>
        <v/>
      </c>
      <c r="C104" s="7" t="str">
        <f ca="1">AB104</f>
        <v/>
      </c>
      <c r="D104" s="56">
        <v>1</v>
      </c>
      <c r="E104" s="17">
        <f>A104</f>
        <v>6</v>
      </c>
      <c r="F104" s="319" t="str">
        <f>IFERROR(VLOOKUP($A100&amp;E104,downloads!$A$1:$E$1000,2,FALSE),"")</f>
        <v/>
      </c>
      <c r="G104" s="18" t="str">
        <f t="shared" ref="G104:G119" si="30">IFERROR(VLOOKUP(E104,teamlookup,5,FALSE),"-")</f>
        <v>Stock</v>
      </c>
      <c r="H104" s="464">
        <f ca="1">IFERROR(INDIRECT(CONCATENATE("'Distance Input'!"&amp;B102&amp;C102)),"")</f>
        <v>0</v>
      </c>
      <c r="I104" s="465"/>
      <c r="J104" s="464">
        <v>0</v>
      </c>
      <c r="K104" s="465"/>
      <c r="L104" s="464">
        <v>0</v>
      </c>
      <c r="M104" s="465"/>
      <c r="N104" s="470">
        <f ca="1">H104</f>
        <v>0</v>
      </c>
      <c r="O104" s="471"/>
      <c r="P104" s="55">
        <v>0</v>
      </c>
      <c r="Q104" s="472">
        <v>0</v>
      </c>
      <c r="R104" s="472"/>
      <c r="S104" s="472">
        <v>0</v>
      </c>
      <c r="T104" s="472"/>
      <c r="U104" s="472">
        <v>0</v>
      </c>
      <c r="V104" s="472"/>
      <c r="W104" s="464">
        <f ca="1">N104</f>
        <v>0</v>
      </c>
      <c r="X104" s="465"/>
      <c r="Y104" s="55">
        <f ca="1">IF(OR(W104="",W104=0),0,IF(W104="X",MatchDay!$U$2+MatchDay!$U$2+1-COUNTIF(Distance!W104:W104,"X"),RANK(W104,$W104:$X119,0)))</f>
        <v>0</v>
      </c>
      <c r="Z104" s="19">
        <f ca="1">IFERROR(IF(Y104=0,0,IF(OR(VLOOKUP(AG104,E112:Y119,21,FALSE)=0,Y104&lt;=VLOOKUP(AG104,E112:Y119,21,FALSE)),"A","B")),"")</f>
        <v>0</v>
      </c>
      <c r="AA104" s="19" t="str">
        <f ca="1">IFERROR(IF(Z104="B","",RANK(AD104,AD104:AD119,1)),"")</f>
        <v/>
      </c>
      <c r="AB104" s="19" t="str">
        <f ca="1">IFERROR(IF(Z104="A","",RANK(AE104,AE104:AE119,1)),"")</f>
        <v/>
      </c>
      <c r="AC104" s="8"/>
      <c r="AD104" s="9" t="str">
        <f ca="1">IF(OR(W104=0,Y104=0,Z104="B"),"",Y104)</f>
        <v/>
      </c>
      <c r="AE104" s="9" t="str">
        <f ca="1">IF(OR(W104=0,Y104=0,Z104="A"),"",Y104)</f>
        <v/>
      </c>
      <c r="AF104" s="9" t="s">
        <v>138</v>
      </c>
      <c r="AG104" s="4">
        <f>IFERROR(IF(A103=0,E104*11,E104&amp;E104),"")</f>
        <v>66</v>
      </c>
    </row>
    <row r="105" spans="1:33" s="4" customFormat="1" ht="16.149999999999999" customHeight="1" x14ac:dyDescent="0.35">
      <c r="A105" s="8">
        <f>IFERROR(IF(D105&gt;MatchDay!$U$2,"-",VLOOKUP(A100,timetables,MatchDay!$U$4+1,FALSE)),0)</f>
        <v>2</v>
      </c>
      <c r="B105" s="7" t="str">
        <f t="shared" ref="B105:B119" ca="1" si="31">AA105</f>
        <v/>
      </c>
      <c r="C105" s="7" t="str">
        <f t="shared" ref="C105:C119" ca="1" si="32">AB105</f>
        <v/>
      </c>
      <c r="D105" s="55">
        <v>2</v>
      </c>
      <c r="E105" s="17">
        <f t="shared" ref="E105:E119" si="33">A105</f>
        <v>2</v>
      </c>
      <c r="F105" s="319" t="str">
        <f>IFERROR(VLOOKUP($A100&amp;E105,downloads!$A$1:$E$1000,2,FALSE),"")</f>
        <v/>
      </c>
      <c r="G105" s="18" t="str">
        <f t="shared" si="30"/>
        <v>ECHT</v>
      </c>
      <c r="H105" s="464">
        <f ca="1">IFERROR(INDIRECT(CONCATENATE("'Distance Input'!"&amp;B102&amp;C102+1)),"")</f>
        <v>0</v>
      </c>
      <c r="I105" s="465"/>
      <c r="J105" s="464">
        <v>0</v>
      </c>
      <c r="K105" s="465"/>
      <c r="L105" s="464">
        <v>0</v>
      </c>
      <c r="M105" s="465"/>
      <c r="N105" s="470">
        <f t="shared" ref="N105:N119" ca="1" si="34">H105</f>
        <v>0</v>
      </c>
      <c r="O105" s="471"/>
      <c r="P105" s="55">
        <v>0</v>
      </c>
      <c r="Q105" s="472">
        <v>0</v>
      </c>
      <c r="R105" s="472"/>
      <c r="S105" s="472">
        <v>0</v>
      </c>
      <c r="T105" s="472"/>
      <c r="U105" s="472">
        <v>0</v>
      </c>
      <c r="V105" s="472"/>
      <c r="W105" s="464">
        <f t="shared" ref="W105:W119" ca="1" si="35">N105</f>
        <v>0</v>
      </c>
      <c r="X105" s="465"/>
      <c r="Y105" s="55">
        <f ca="1">IF(OR(W105="",W105=0),0,IF(W105="X",MatchDay!$U$2+MatchDay!$U$2+1-COUNTIF(Distance!W104:W105,"X"),RANK(W105,$W104:$X119,0)))</f>
        <v>0</v>
      </c>
      <c r="Z105" s="19">
        <f ca="1">IFERROR(IF(Y105=0,0,IF(OR(VLOOKUP(AG105,E112:Y119,21,FALSE)=0,Y105&lt;=VLOOKUP(AG105,E112:Y119,21,FALSE)),"A","B")),"")</f>
        <v>0</v>
      </c>
      <c r="AA105" s="19" t="str">
        <f ca="1">IFERROR(IF(Z105="B","",RANK(AD105,AD104:AD119,1)),"")</f>
        <v/>
      </c>
      <c r="AB105" s="19" t="str">
        <f ca="1">IFERROR(IF(Z105="A","",RANK(AE105,AE104:AE119,1)),"")</f>
        <v/>
      </c>
      <c r="AC105" s="8"/>
      <c r="AD105" s="9" t="str">
        <f t="shared" ref="AD105:AD119" ca="1" si="36">IF(OR(W105=0,Y105=0,Z105="B"),"",Y105)</f>
        <v/>
      </c>
      <c r="AE105" s="9" t="str">
        <f t="shared" ref="AE105:AE119" ca="1" si="37">IF(OR(W105=0,Y105=0,Z105="A"),"",Y105)</f>
        <v/>
      </c>
      <c r="AF105" s="9" t="s">
        <v>138</v>
      </c>
      <c r="AG105" s="4">
        <f>IFERROR(IF(A103=0,E105*11,E105&amp;E105),"")</f>
        <v>22</v>
      </c>
    </row>
    <row r="106" spans="1:33" s="4" customFormat="1" ht="16.149999999999999" customHeight="1" x14ac:dyDescent="0.35">
      <c r="A106" s="8">
        <f>IFERROR(IF(D106&gt;MatchDay!$U$2,"-",VLOOKUP(A100,timetables,MatchDay!$U$4+2,FALSE)),0)</f>
        <v>4</v>
      </c>
      <c r="B106" s="7" t="str">
        <f t="shared" ca="1" si="31"/>
        <v/>
      </c>
      <c r="C106" s="7" t="str">
        <f t="shared" ca="1" si="32"/>
        <v/>
      </c>
      <c r="D106" s="55">
        <v>3</v>
      </c>
      <c r="E106" s="17">
        <f t="shared" si="33"/>
        <v>4</v>
      </c>
      <c r="F106" s="319" t="str">
        <f>IFERROR(VLOOKUP($A100&amp;E106,downloads!$A$1:$E$1000,2,FALSE),"")</f>
        <v/>
      </c>
      <c r="G106" s="18" t="str">
        <f t="shared" si="30"/>
        <v>Macc</v>
      </c>
      <c r="H106" s="464">
        <f ca="1">IFERROR(INDIRECT(CONCATENATE("'Distance Input'!"&amp;B102&amp;C102+2)),"")</f>
        <v>0</v>
      </c>
      <c r="I106" s="465"/>
      <c r="J106" s="464">
        <v>0</v>
      </c>
      <c r="K106" s="465"/>
      <c r="L106" s="464">
        <v>0</v>
      </c>
      <c r="M106" s="465"/>
      <c r="N106" s="470">
        <f t="shared" ca="1" si="34"/>
        <v>0</v>
      </c>
      <c r="O106" s="471"/>
      <c r="P106" s="55">
        <v>0</v>
      </c>
      <c r="Q106" s="472">
        <v>0</v>
      </c>
      <c r="R106" s="472"/>
      <c r="S106" s="472">
        <v>0</v>
      </c>
      <c r="T106" s="472"/>
      <c r="U106" s="472">
        <v>0</v>
      </c>
      <c r="V106" s="472"/>
      <c r="W106" s="464">
        <f t="shared" ca="1" si="35"/>
        <v>0</v>
      </c>
      <c r="X106" s="465"/>
      <c r="Y106" s="55">
        <f ca="1">IF(OR(W106="",W106=0),0,IF(W106="X",MatchDay!$U$2+MatchDay!$U$2+1-COUNTIF(Distance!W104:W106,"X"),RANK(W106,$W104:$X119,0)))</f>
        <v>0</v>
      </c>
      <c r="Z106" s="19">
        <f ca="1">IFERROR(IF(Y106=0,0,IF(OR(VLOOKUP(AG106,E112:Y119,21,FALSE)=0,Y106&lt;=VLOOKUP(AG106,E112:Y119,21,FALSE)),"A","B")),"")</f>
        <v>0</v>
      </c>
      <c r="AA106" s="19" t="str">
        <f ca="1">IFERROR(IF(Z106="B","",RANK(AD106,AD104:AD119,1)),"")</f>
        <v/>
      </c>
      <c r="AB106" s="19" t="str">
        <f ca="1">IFERROR(IF(Z106="A","",RANK(AE106,AE104:AE119,1)),"")</f>
        <v/>
      </c>
      <c r="AD106" s="9" t="str">
        <f t="shared" ca="1" si="36"/>
        <v/>
      </c>
      <c r="AE106" s="9" t="str">
        <f t="shared" ca="1" si="37"/>
        <v/>
      </c>
      <c r="AF106" s="9" t="s">
        <v>138</v>
      </c>
      <c r="AG106" s="4">
        <f>IFERROR(IF(A103=0,E106*11,E106&amp;E106),"")</f>
        <v>44</v>
      </c>
    </row>
    <row r="107" spans="1:33" s="4" customFormat="1" ht="16.149999999999999" customHeight="1" x14ac:dyDescent="0.35">
      <c r="A107" s="8">
        <f>IFERROR(IF(D107&gt;MatchDay!$U$2,"-",VLOOKUP(A100,timetables,MatchDay!$U$4+3,FALSE)),0)</f>
        <v>3</v>
      </c>
      <c r="B107" s="7" t="str">
        <f t="shared" ca="1" si="31"/>
        <v/>
      </c>
      <c r="C107" s="7" t="str">
        <f t="shared" ca="1" si="32"/>
        <v/>
      </c>
      <c r="D107" s="55">
        <v>4</v>
      </c>
      <c r="E107" s="17">
        <f t="shared" si="33"/>
        <v>3</v>
      </c>
      <c r="F107" s="319" t="str">
        <f>IFERROR(VLOOKUP($A100&amp;E107,downloads!$A$1:$E$1000,2,FALSE),"")</f>
        <v/>
      </c>
      <c r="G107" s="18" t="str">
        <f t="shared" si="30"/>
        <v>Leigh</v>
      </c>
      <c r="H107" s="464">
        <f ca="1">IFERROR(INDIRECT(CONCATENATE("'Distance Input'!"&amp;B102&amp;C102+3)),"")</f>
        <v>0</v>
      </c>
      <c r="I107" s="465"/>
      <c r="J107" s="464">
        <v>0</v>
      </c>
      <c r="K107" s="465"/>
      <c r="L107" s="464">
        <v>0</v>
      </c>
      <c r="M107" s="465"/>
      <c r="N107" s="470">
        <f t="shared" ca="1" si="34"/>
        <v>0</v>
      </c>
      <c r="O107" s="471"/>
      <c r="P107" s="55">
        <v>0</v>
      </c>
      <c r="Q107" s="472">
        <v>0</v>
      </c>
      <c r="R107" s="472"/>
      <c r="S107" s="472">
        <v>0</v>
      </c>
      <c r="T107" s="472"/>
      <c r="U107" s="472">
        <v>0</v>
      </c>
      <c r="V107" s="472"/>
      <c r="W107" s="464">
        <f t="shared" ca="1" si="35"/>
        <v>0</v>
      </c>
      <c r="X107" s="465"/>
      <c r="Y107" s="55">
        <f ca="1">IF(OR(W107="",W107=0),0,IF(W107="X",MatchDay!$U$2+MatchDay!$U$2+1-COUNTIF(Distance!W104:W107,"X"),RANK(W107,$W104:$X119,0)))</f>
        <v>0</v>
      </c>
      <c r="Z107" s="19">
        <f ca="1">IFERROR(IF(Y107=0,0,IF(OR(VLOOKUP(AG107,E112:Y119,21,FALSE)=0,Y107&lt;=VLOOKUP(AG107,E112:Y119,21,FALSE)),"A","B")),"")</f>
        <v>0</v>
      </c>
      <c r="AA107" s="19" t="str">
        <f ca="1">IFERROR(IF(Z107="B","",RANK(AD107,AD104:AD119,1)),"")</f>
        <v/>
      </c>
      <c r="AB107" s="19" t="str">
        <f ca="1">IFERROR(IF(Z107="A","",RANK(AE107,AE104:AE119,1)),"")</f>
        <v/>
      </c>
      <c r="AD107" s="9" t="str">
        <f t="shared" ca="1" si="36"/>
        <v/>
      </c>
      <c r="AE107" s="9" t="str">
        <f t="shared" ca="1" si="37"/>
        <v/>
      </c>
      <c r="AF107" s="9" t="s">
        <v>138</v>
      </c>
      <c r="AG107" s="4">
        <f>IFERROR(IF(A103=0,E107*11,E107&amp;E107),"")</f>
        <v>33</v>
      </c>
    </row>
    <row r="108" spans="1:33" s="4" customFormat="1" ht="16.149999999999999" customHeight="1" x14ac:dyDescent="0.35">
      <c r="A108" s="8">
        <f>IFERROR(IF(D108&gt;MatchDay!$U$2,"-",VLOOKUP(A100,timetables,MatchDay!$U$4+4,FALSE)),0)</f>
        <v>1</v>
      </c>
      <c r="B108" s="7">
        <f t="shared" ca="1" si="31"/>
        <v>1</v>
      </c>
      <c r="C108" s="7" t="str">
        <f t="shared" ca="1" si="32"/>
        <v/>
      </c>
      <c r="D108" s="55">
        <v>5</v>
      </c>
      <c r="E108" s="17">
        <f t="shared" si="33"/>
        <v>1</v>
      </c>
      <c r="F108" s="319" t="str">
        <f>IFERROR(VLOOKUP($A100&amp;E108,downloads!$A$1:$E$1000,2,FALSE),"")</f>
        <v>Jack TILLEY</v>
      </c>
      <c r="G108" s="18" t="str">
        <f t="shared" si="30"/>
        <v>C&amp;N</v>
      </c>
      <c r="H108" s="464">
        <f ca="1">IFERROR(INDIRECT(CONCATENATE("'Distance Input'!"&amp;B102&amp;C102+4)),"")</f>
        <v>14.65</v>
      </c>
      <c r="I108" s="465"/>
      <c r="J108" s="464">
        <v>0</v>
      </c>
      <c r="K108" s="465"/>
      <c r="L108" s="464">
        <v>0</v>
      </c>
      <c r="M108" s="465"/>
      <c r="N108" s="470">
        <f t="shared" ca="1" si="34"/>
        <v>14.65</v>
      </c>
      <c r="O108" s="471"/>
      <c r="P108" s="55">
        <v>0</v>
      </c>
      <c r="Q108" s="472">
        <v>0</v>
      </c>
      <c r="R108" s="472"/>
      <c r="S108" s="472">
        <v>0</v>
      </c>
      <c r="T108" s="472"/>
      <c r="U108" s="472">
        <v>0</v>
      </c>
      <c r="V108" s="472"/>
      <c r="W108" s="464">
        <f t="shared" ca="1" si="35"/>
        <v>14.65</v>
      </c>
      <c r="X108" s="465"/>
      <c r="Y108" s="55">
        <f ca="1">IF(OR(W108="",W108=0),0,IF(W108="X",MatchDay!$U$2+MatchDay!$U$2+1-COUNTIF(Distance!W104:W108,"X"),RANK(W108,$W104:$X119,0)))</f>
        <v>1</v>
      </c>
      <c r="Z108" s="19" t="str">
        <f ca="1">IFERROR(IF(Y108=0,0,IF(OR(VLOOKUP(AG108,E112:Y119,21,FALSE)=0,Y108&lt;=VLOOKUP(AG108,E112:Y119,21,FALSE)),"A","B")),"")</f>
        <v>A</v>
      </c>
      <c r="AA108" s="19">
        <f ca="1">IFERROR(IF(Z108="B","",RANK(AD108,AD104:AD119,1)),"")</f>
        <v>1</v>
      </c>
      <c r="AB108" s="19" t="str">
        <f ca="1">IFERROR(IF(Z108="A","",RANK(AE108,AE104:AE119,1)),"")</f>
        <v/>
      </c>
      <c r="AD108" s="9">
        <f t="shared" ca="1" si="36"/>
        <v>1</v>
      </c>
      <c r="AE108" s="9" t="str">
        <f t="shared" ca="1" si="37"/>
        <v/>
      </c>
      <c r="AF108" s="9" t="s">
        <v>138</v>
      </c>
      <c r="AG108" s="4">
        <f>IFERROR(IF(A103=0,E108*11,E108&amp;E108),"")</f>
        <v>11</v>
      </c>
    </row>
    <row r="109" spans="1:33" s="4" customFormat="1" ht="16.149999999999999" customHeight="1" x14ac:dyDescent="0.35">
      <c r="A109" s="8">
        <f>IFERROR(IF(D109&gt;MatchDay!$U$2,"-",VLOOKUP(A100,timetables,MatchDay!$U$4+5,FALSE)),0)</f>
        <v>5</v>
      </c>
      <c r="B109" s="7" t="str">
        <f t="shared" ca="1" si="31"/>
        <v/>
      </c>
      <c r="C109" s="7" t="str">
        <f t="shared" ca="1" si="32"/>
        <v/>
      </c>
      <c r="D109" s="55">
        <v>6</v>
      </c>
      <c r="E109" s="17">
        <f t="shared" si="33"/>
        <v>5</v>
      </c>
      <c r="F109" s="319" t="str">
        <f>IFERROR(VLOOKUP($A100&amp;E109,downloads!$A$1:$E$1000,2,FALSE),"")</f>
        <v/>
      </c>
      <c r="G109" s="18" t="str">
        <f t="shared" si="30"/>
        <v>Menai</v>
      </c>
      <c r="H109" s="464">
        <f ca="1">IFERROR(INDIRECT(CONCATENATE("'Distance Input'!"&amp;B102&amp;C102+5)),"")</f>
        <v>0</v>
      </c>
      <c r="I109" s="465"/>
      <c r="J109" s="464">
        <v>0</v>
      </c>
      <c r="K109" s="465"/>
      <c r="L109" s="464">
        <v>0</v>
      </c>
      <c r="M109" s="465"/>
      <c r="N109" s="470">
        <f t="shared" ca="1" si="34"/>
        <v>0</v>
      </c>
      <c r="O109" s="471"/>
      <c r="P109" s="55">
        <v>0</v>
      </c>
      <c r="Q109" s="472">
        <v>0</v>
      </c>
      <c r="R109" s="472"/>
      <c r="S109" s="472">
        <v>0</v>
      </c>
      <c r="T109" s="472"/>
      <c r="U109" s="472">
        <v>0</v>
      </c>
      <c r="V109" s="472"/>
      <c r="W109" s="464">
        <f t="shared" ca="1" si="35"/>
        <v>0</v>
      </c>
      <c r="X109" s="465"/>
      <c r="Y109" s="55">
        <f ca="1">IF(OR(W109="",W109=0),0,IF(W109="X",MatchDay!$U$2+MatchDay!$U$2+1-COUNTIF(Distance!W104:W109,"X"),RANK(W109,$W104:$X119,0)))</f>
        <v>0</v>
      </c>
      <c r="Z109" s="19">
        <f ca="1">IFERROR(IF(Y109=0,0,IF(OR(VLOOKUP(AG109,E112:Y119,21,FALSE)=0,Y109&lt;=VLOOKUP(AG109,E112:Y119,21,FALSE)),"A","B")),"")</f>
        <v>0</v>
      </c>
      <c r="AA109" s="19" t="str">
        <f ca="1">IFERROR(IF(Z109="B","",RANK(AD109,AD104:AD119,1)),"")</f>
        <v/>
      </c>
      <c r="AB109" s="19" t="str">
        <f ca="1">IFERROR(IF(Z109="A","",RANK(AE109,AE104:AE119,1)),"")</f>
        <v/>
      </c>
      <c r="AD109" s="9" t="str">
        <f t="shared" ca="1" si="36"/>
        <v/>
      </c>
      <c r="AE109" s="9" t="str">
        <f t="shared" ca="1" si="37"/>
        <v/>
      </c>
      <c r="AF109" s="9" t="s">
        <v>138</v>
      </c>
      <c r="AG109" s="4">
        <f>IFERROR(IF(A103=0,E109*11,E109&amp;E109),"")</f>
        <v>55</v>
      </c>
    </row>
    <row r="110" spans="1:33" s="4" customFormat="1" ht="16.149999999999999" customHeight="1" x14ac:dyDescent="0.35">
      <c r="A110" s="8">
        <f>IFERROR(IF(D110&gt;MatchDay!$U$2,"-",VLOOKUP(A100,timetables,MatchDay!$U$4+6,FALSE)),0)</f>
        <v>7</v>
      </c>
      <c r="B110" s="7" t="str">
        <f t="shared" ca="1" si="31"/>
        <v/>
      </c>
      <c r="C110" s="7" t="str">
        <f t="shared" ca="1" si="32"/>
        <v/>
      </c>
      <c r="D110" s="55">
        <v>7</v>
      </c>
      <c r="E110" s="17">
        <f t="shared" si="33"/>
        <v>7</v>
      </c>
      <c r="F110" s="319" t="str">
        <f>IFERROR(VLOOKUP($A100&amp;E110,downloads!$A$1:$E$1000,2,FALSE),"")</f>
        <v/>
      </c>
      <c r="G110" s="18" t="str">
        <f t="shared" si="30"/>
        <v>Wigan</v>
      </c>
      <c r="H110" s="464">
        <f ca="1">IFERROR(INDIRECT(CONCATENATE("'Distance Input'!"&amp;B102&amp;C102+6)),"")</f>
        <v>0</v>
      </c>
      <c r="I110" s="465"/>
      <c r="J110" s="464">
        <v>0</v>
      </c>
      <c r="K110" s="465"/>
      <c r="L110" s="464">
        <v>0</v>
      </c>
      <c r="M110" s="465"/>
      <c r="N110" s="470">
        <f t="shared" ca="1" si="34"/>
        <v>0</v>
      </c>
      <c r="O110" s="471"/>
      <c r="P110" s="55">
        <v>0</v>
      </c>
      <c r="Q110" s="472">
        <v>0</v>
      </c>
      <c r="R110" s="472"/>
      <c r="S110" s="472">
        <v>0</v>
      </c>
      <c r="T110" s="472"/>
      <c r="U110" s="472">
        <v>0</v>
      </c>
      <c r="V110" s="472"/>
      <c r="W110" s="464">
        <f t="shared" ca="1" si="35"/>
        <v>0</v>
      </c>
      <c r="X110" s="465"/>
      <c r="Y110" s="55">
        <f ca="1">IF(OR(W110="",W110=0),0,IF(W110="X",MatchDay!$U$2+MatchDay!$U$2+1-COUNTIF(Distance!W104:W110,"X"),RANK(W110,$W104:$X119,0)))</f>
        <v>0</v>
      </c>
      <c r="Z110" s="19">
        <f ca="1">IFERROR(IF(Y110=0,0,IF(OR(VLOOKUP(AG110,E112:Y119,21,FALSE)=0,Y110&lt;=VLOOKUP(AG110,E112:Y119,21,FALSE)),"A","B")),"")</f>
        <v>0</v>
      </c>
      <c r="AA110" s="19" t="str">
        <f ca="1">IFERROR(IF(Z110="B","",RANK(AD110,AD104:AD119,1)),"")</f>
        <v/>
      </c>
      <c r="AB110" s="19" t="str">
        <f ca="1">IFERROR(IF(Z110="A","",RANK(AE110,AE104:AE119,1)),"")</f>
        <v/>
      </c>
      <c r="AD110" s="9" t="str">
        <f t="shared" ca="1" si="36"/>
        <v/>
      </c>
      <c r="AE110" s="9" t="str">
        <f t="shared" ca="1" si="37"/>
        <v/>
      </c>
      <c r="AF110" s="9" t="s">
        <v>138</v>
      </c>
      <c r="AG110" s="4">
        <f>IFERROR(IF(A103=0,E110*11,E110&amp;E110),"")</f>
        <v>77</v>
      </c>
    </row>
    <row r="111" spans="1:33" s="4" customFormat="1" ht="16.149999999999999" customHeight="1" x14ac:dyDescent="0.35">
      <c r="A111" s="8" t="str">
        <f>IFERROR(IF(D111&gt;MatchDay!$U$2,"-",VLOOKUP(A100,timetables,MatchDay!$U$4+7,FALSE)),0)</f>
        <v>-</v>
      </c>
      <c r="B111" s="7" t="str">
        <f t="shared" ca="1" si="31"/>
        <v/>
      </c>
      <c r="C111" s="7" t="str">
        <f t="shared" ca="1" si="32"/>
        <v/>
      </c>
      <c r="D111" s="55">
        <v>8</v>
      </c>
      <c r="E111" s="17" t="str">
        <f t="shared" si="33"/>
        <v>-</v>
      </c>
      <c r="F111" s="319" t="str">
        <f>IFERROR(VLOOKUP($A100&amp;E111,downloads!$A$1:$E$1000,2,FALSE),"")</f>
        <v/>
      </c>
      <c r="G111" s="18" t="str">
        <f t="shared" si="30"/>
        <v/>
      </c>
      <c r="H111" s="464">
        <f ca="1">IFERROR(INDIRECT(CONCATENATE("'Distance Input'!"&amp;B102&amp;C102+7)),"")</f>
        <v>0</v>
      </c>
      <c r="I111" s="465"/>
      <c r="J111" s="464">
        <v>0</v>
      </c>
      <c r="K111" s="465"/>
      <c r="L111" s="464">
        <v>0</v>
      </c>
      <c r="M111" s="465"/>
      <c r="N111" s="470">
        <f t="shared" ca="1" si="34"/>
        <v>0</v>
      </c>
      <c r="O111" s="471"/>
      <c r="P111" s="55">
        <v>0</v>
      </c>
      <c r="Q111" s="472">
        <v>0</v>
      </c>
      <c r="R111" s="472"/>
      <c r="S111" s="472">
        <v>0</v>
      </c>
      <c r="T111" s="472"/>
      <c r="U111" s="472">
        <v>0</v>
      </c>
      <c r="V111" s="472"/>
      <c r="W111" s="464">
        <f t="shared" ca="1" si="35"/>
        <v>0</v>
      </c>
      <c r="X111" s="465"/>
      <c r="Y111" s="55">
        <f ca="1">IF(OR(W111="",W111=0),0,IF(W111="X",MatchDay!$U$2+MatchDay!$U$2+1-COUNTIF(Distance!W104:W111,"X"),RANK(W111,$W104:$X119,0)))</f>
        <v>0</v>
      </c>
      <c r="Z111" s="19">
        <f ca="1">IFERROR(IF(Y111=0,0,IF(OR(VLOOKUP(AG111,E112:Y119,21,FALSE)=0,Y111&lt;=VLOOKUP(AG111,E112:Y119,21,FALSE)),"A","B")),"")</f>
        <v>0</v>
      </c>
      <c r="AA111" s="19" t="str">
        <f ca="1">IFERROR(IF(Z111="B","",RANK(AD111,AD104:AD119,1)),"")</f>
        <v/>
      </c>
      <c r="AB111" s="19" t="str">
        <f ca="1">IFERROR(IF(Z111="A","",RANK(AE111,AE104:AE119,1)),"")</f>
        <v/>
      </c>
      <c r="AD111" s="9" t="str">
        <f t="shared" ca="1" si="36"/>
        <v/>
      </c>
      <c r="AE111" s="9" t="str">
        <f t="shared" ca="1" si="37"/>
        <v/>
      </c>
      <c r="AF111" s="9" t="s">
        <v>138</v>
      </c>
      <c r="AG111" s="4" t="str">
        <f>IFERROR(IF(A103=0,E111*11,E111&amp;E111),"")</f>
        <v/>
      </c>
    </row>
    <row r="112" spans="1:33" s="4" customFormat="1" ht="16.149999999999999" customHeight="1" x14ac:dyDescent="0.35">
      <c r="A112" s="8">
        <f>IFERROR(IF(A103=0,A104*11,A104&amp;A104),"-")</f>
        <v>66</v>
      </c>
      <c r="B112" s="7" t="str">
        <f t="shared" ca="1" si="31"/>
        <v/>
      </c>
      <c r="C112" s="7" t="str">
        <f t="shared" ca="1" si="32"/>
        <v/>
      </c>
      <c r="D112" s="55">
        <v>9</v>
      </c>
      <c r="E112" s="17">
        <f t="shared" si="33"/>
        <v>66</v>
      </c>
      <c r="F112" s="319" t="str">
        <f>IFERROR(VLOOKUP($A100&amp;E112,downloads!$A$1:$E$1000,2,FALSE),"")</f>
        <v/>
      </c>
      <c r="G112" s="18" t="str">
        <f t="shared" si="30"/>
        <v>Stock</v>
      </c>
      <c r="H112" s="464">
        <f ca="1">IFERROR(INDIRECT(CONCATENATE("'Distance Input'!"&amp;B102&amp;C102+8)),"")</f>
        <v>0</v>
      </c>
      <c r="I112" s="465"/>
      <c r="J112" s="464">
        <v>0</v>
      </c>
      <c r="K112" s="465"/>
      <c r="L112" s="464">
        <v>0</v>
      </c>
      <c r="M112" s="465"/>
      <c r="N112" s="470">
        <f t="shared" ca="1" si="34"/>
        <v>0</v>
      </c>
      <c r="O112" s="471"/>
      <c r="P112" s="55">
        <v>0</v>
      </c>
      <c r="Q112" s="472">
        <v>0</v>
      </c>
      <c r="R112" s="472"/>
      <c r="S112" s="472">
        <v>0</v>
      </c>
      <c r="T112" s="472"/>
      <c r="U112" s="472">
        <v>0</v>
      </c>
      <c r="V112" s="472"/>
      <c r="W112" s="464">
        <f t="shared" ca="1" si="35"/>
        <v>0</v>
      </c>
      <c r="X112" s="465"/>
      <c r="Y112" s="55">
        <f ca="1">IF(OR(W112="",W112=0),0,IF(W112="X",MatchDay!$U$2+MatchDay!$U$2+1-COUNTIF(Distance!W104:W112,"X"),RANK(W112,$W104:$X119,0)))</f>
        <v>0</v>
      </c>
      <c r="Z112" s="19">
        <f ca="1">IFERROR(IF(Y112=0,0,IF(VLOOKUP(AG112,E104:Y111,21,FALSE)=0,"A",IF(Y112&gt;=VLOOKUP(AG112,E104:Y111,21,FALSE),"B","A"))),"")</f>
        <v>0</v>
      </c>
      <c r="AA112" s="19" t="str">
        <f ca="1">IFERROR(IF(Z112="B","",RANK(AD112,AD104:AD119,1)),"")</f>
        <v/>
      </c>
      <c r="AB112" s="19" t="str">
        <f ca="1">IFERROR(IF(Z112="A","",RANK(AE112,AE104:AE119,1)),"")</f>
        <v/>
      </c>
      <c r="AD112" s="9" t="str">
        <f t="shared" ca="1" si="36"/>
        <v/>
      </c>
      <c r="AE112" s="9" t="str">
        <f t="shared" ca="1" si="37"/>
        <v/>
      </c>
      <c r="AF112" s="9" t="s">
        <v>138</v>
      </c>
      <c r="AG112" s="4">
        <f>IFERROR(IF(A103=0,E112/11,LEFT(E112,1)),"")</f>
        <v>6</v>
      </c>
    </row>
    <row r="113" spans="1:33" s="4" customFormat="1" ht="16.149999999999999" customHeight="1" x14ac:dyDescent="0.35">
      <c r="A113" s="8">
        <f>IFERROR(IF(A103=0,A105*11,A105&amp;A105),"-")</f>
        <v>22</v>
      </c>
      <c r="B113" s="7" t="str">
        <f t="shared" ca="1" si="31"/>
        <v/>
      </c>
      <c r="C113" s="7" t="str">
        <f t="shared" ca="1" si="32"/>
        <v/>
      </c>
      <c r="D113" s="55">
        <v>10</v>
      </c>
      <c r="E113" s="17">
        <f t="shared" si="33"/>
        <v>22</v>
      </c>
      <c r="F113" s="319" t="str">
        <f>IFERROR(VLOOKUP($A100&amp;E113,downloads!$A$1:$E$1000,2,FALSE),"")</f>
        <v/>
      </c>
      <c r="G113" s="18" t="str">
        <f t="shared" si="30"/>
        <v>ECHT</v>
      </c>
      <c r="H113" s="464">
        <f ca="1">IFERROR(INDIRECT(CONCATENATE("'Distance Input'!"&amp;B102&amp;C102+9)),"")</f>
        <v>0</v>
      </c>
      <c r="I113" s="465"/>
      <c r="J113" s="464">
        <v>0</v>
      </c>
      <c r="K113" s="465"/>
      <c r="L113" s="464">
        <v>0</v>
      </c>
      <c r="M113" s="465"/>
      <c r="N113" s="470">
        <f t="shared" ca="1" si="34"/>
        <v>0</v>
      </c>
      <c r="O113" s="471"/>
      <c r="P113" s="55">
        <v>0</v>
      </c>
      <c r="Q113" s="472">
        <v>0</v>
      </c>
      <c r="R113" s="472"/>
      <c r="S113" s="472">
        <v>0</v>
      </c>
      <c r="T113" s="472"/>
      <c r="U113" s="472">
        <v>0</v>
      </c>
      <c r="V113" s="472"/>
      <c r="W113" s="464">
        <f t="shared" ca="1" si="35"/>
        <v>0</v>
      </c>
      <c r="X113" s="465"/>
      <c r="Y113" s="55">
        <f ca="1">IF(OR(W113="",W113=0),0,IF(W113="X",MatchDay!$U$2+MatchDay!$U$2+1-COUNTIF(Distance!W104:W113,"X"),RANK(W113,$W104:$X119,0)))</f>
        <v>0</v>
      </c>
      <c r="Z113" s="19">
        <f ca="1">IFERROR(IF(Y113=0,0,IF(VLOOKUP(AG113,E104:Y111,21,FALSE)=0,"A",IF(Y113&gt;=VLOOKUP(AG113,E104:Y111,21,FALSE),"B","A"))),"")</f>
        <v>0</v>
      </c>
      <c r="AA113" s="19" t="str">
        <f ca="1">IFERROR(IF(Z113="B","",RANK(AD113,AD104:AD119,1)),"")</f>
        <v/>
      </c>
      <c r="AB113" s="19" t="str">
        <f ca="1">IFERROR(IF(Z113="A","",RANK(AE113,AE104:AE119,1)),"")</f>
        <v/>
      </c>
      <c r="AD113" s="9" t="str">
        <f t="shared" ca="1" si="36"/>
        <v/>
      </c>
      <c r="AE113" s="9" t="str">
        <f t="shared" ca="1" si="37"/>
        <v/>
      </c>
      <c r="AF113" s="9" t="s">
        <v>138</v>
      </c>
      <c r="AG113" s="4">
        <f>IFERROR(IF(A103=0,E113/11,LEFT(E113,1)),"")</f>
        <v>2</v>
      </c>
    </row>
    <row r="114" spans="1:33" s="4" customFormat="1" ht="16.149999999999999" customHeight="1" x14ac:dyDescent="0.35">
      <c r="A114" s="8">
        <f>IFERROR(IF(A103=0,A106*11,A106&amp;A106),"-")</f>
        <v>44</v>
      </c>
      <c r="B114" s="7" t="str">
        <f t="shared" ca="1" si="31"/>
        <v/>
      </c>
      <c r="C114" s="7" t="str">
        <f t="shared" ca="1" si="32"/>
        <v/>
      </c>
      <c r="D114" s="55">
        <v>11</v>
      </c>
      <c r="E114" s="17">
        <f t="shared" si="33"/>
        <v>44</v>
      </c>
      <c r="F114" s="319" t="str">
        <f>IFERROR(VLOOKUP($A100&amp;E114,downloads!$A$1:$E$1000,2,FALSE),"")</f>
        <v/>
      </c>
      <c r="G114" s="18" t="str">
        <f t="shared" si="30"/>
        <v>Macc</v>
      </c>
      <c r="H114" s="464">
        <f ca="1">IFERROR(INDIRECT(CONCATENATE("'Distance Input'!"&amp;B102&amp;C102+10)),"")</f>
        <v>0</v>
      </c>
      <c r="I114" s="465"/>
      <c r="J114" s="464">
        <v>0</v>
      </c>
      <c r="K114" s="465"/>
      <c r="L114" s="464">
        <v>0</v>
      </c>
      <c r="M114" s="465"/>
      <c r="N114" s="470">
        <f t="shared" ca="1" si="34"/>
        <v>0</v>
      </c>
      <c r="O114" s="471"/>
      <c r="P114" s="55">
        <v>0</v>
      </c>
      <c r="Q114" s="472">
        <v>0</v>
      </c>
      <c r="R114" s="472"/>
      <c r="S114" s="472">
        <v>0</v>
      </c>
      <c r="T114" s="472"/>
      <c r="U114" s="472">
        <v>0</v>
      </c>
      <c r="V114" s="472"/>
      <c r="W114" s="464">
        <f t="shared" ca="1" si="35"/>
        <v>0</v>
      </c>
      <c r="X114" s="465"/>
      <c r="Y114" s="55">
        <f ca="1">IF(OR(W114="",W114=0),0,IF(W114="X",MatchDay!$U$2+MatchDay!$U$2+1-COUNTIF(Distance!W104:W114,"X"),RANK(W114,$W104:$X119,0)))</f>
        <v>0</v>
      </c>
      <c r="Z114" s="19">
        <f ca="1">IFERROR(IF(Y114=0,0,IF(VLOOKUP(AG114,E104:Y111,21,FALSE)=0,"A",IF(Y114&gt;=VLOOKUP(AG114,E104:Y111,21,FALSE),"B","A"))),"")</f>
        <v>0</v>
      </c>
      <c r="AA114" s="19" t="str">
        <f ca="1">IFERROR(IF(Z114="B","",RANK(AD114,AD104:AD119,1)),"")</f>
        <v/>
      </c>
      <c r="AB114" s="19" t="str">
        <f ca="1">IFERROR(IF(Z114="A","",RANK(AE114,AE104:AE119,1)),"")</f>
        <v/>
      </c>
      <c r="AD114" s="9" t="str">
        <f t="shared" ca="1" si="36"/>
        <v/>
      </c>
      <c r="AE114" s="9" t="str">
        <f t="shared" ca="1" si="37"/>
        <v/>
      </c>
      <c r="AF114" s="9" t="s">
        <v>138</v>
      </c>
      <c r="AG114" s="4">
        <f>IFERROR(IF(A103=0,E114/11,LEFT(E114,1)),"")</f>
        <v>4</v>
      </c>
    </row>
    <row r="115" spans="1:33" s="4" customFormat="1" ht="16.149999999999999" customHeight="1" x14ac:dyDescent="0.35">
      <c r="A115" s="8">
        <f>IFERROR(IF(A103=0,A107*11,A107&amp;A107),"-")</f>
        <v>33</v>
      </c>
      <c r="B115" s="7" t="str">
        <f t="shared" ca="1" si="31"/>
        <v/>
      </c>
      <c r="C115" s="7" t="str">
        <f t="shared" ca="1" si="32"/>
        <v/>
      </c>
      <c r="D115" s="55">
        <v>12</v>
      </c>
      <c r="E115" s="17">
        <f t="shared" si="33"/>
        <v>33</v>
      </c>
      <c r="F115" s="319" t="str">
        <f>IFERROR(VLOOKUP($A100&amp;E115,downloads!$A$1:$E$1000,2,FALSE),"")</f>
        <v/>
      </c>
      <c r="G115" s="18" t="str">
        <f t="shared" si="30"/>
        <v>Leigh</v>
      </c>
      <c r="H115" s="464">
        <f ca="1">IFERROR(INDIRECT(CONCATENATE("'Distance Input'!"&amp;B102&amp;C102+11)),"")</f>
        <v>0</v>
      </c>
      <c r="I115" s="465"/>
      <c r="J115" s="464">
        <v>0</v>
      </c>
      <c r="K115" s="465"/>
      <c r="L115" s="464">
        <v>0</v>
      </c>
      <c r="M115" s="465"/>
      <c r="N115" s="470">
        <f t="shared" ca="1" si="34"/>
        <v>0</v>
      </c>
      <c r="O115" s="471"/>
      <c r="P115" s="55">
        <v>0</v>
      </c>
      <c r="Q115" s="472">
        <v>0</v>
      </c>
      <c r="R115" s="472"/>
      <c r="S115" s="472">
        <v>0</v>
      </c>
      <c r="T115" s="472"/>
      <c r="U115" s="472">
        <v>0</v>
      </c>
      <c r="V115" s="472"/>
      <c r="W115" s="464">
        <f t="shared" ca="1" si="35"/>
        <v>0</v>
      </c>
      <c r="X115" s="465"/>
      <c r="Y115" s="55">
        <f ca="1">IF(OR(W115="",W115=0),0,IF(W115="X",MatchDay!$U$2+MatchDay!$U$2+1-COUNTIF(Distance!W104:W115,"X"),RANK(W115,$W104:$X119,0)))</f>
        <v>0</v>
      </c>
      <c r="Z115" s="19">
        <f ca="1">IFERROR(IF(Y115=0,0,IF(VLOOKUP(AG115,E104:Y111,21,FALSE)=0,"A",IF(Y115&gt;=VLOOKUP(AG115,E104:Y111,21,FALSE),"B","A"))),"")</f>
        <v>0</v>
      </c>
      <c r="AA115" s="19" t="str">
        <f ca="1">IFERROR(IF(Z115="B","",RANK(AD115,AD104:AD119,1)),"")</f>
        <v/>
      </c>
      <c r="AB115" s="19" t="str">
        <f ca="1">IFERROR(IF(Z115="A","",RANK(AE115,AE104:AE119,1)),"")</f>
        <v/>
      </c>
      <c r="AD115" s="9" t="str">
        <f t="shared" ca="1" si="36"/>
        <v/>
      </c>
      <c r="AE115" s="9" t="str">
        <f t="shared" ca="1" si="37"/>
        <v/>
      </c>
      <c r="AF115" s="9" t="s">
        <v>138</v>
      </c>
      <c r="AG115" s="4">
        <f>IFERROR(IF(A103=0,E115/11,LEFT(E115,1)),"")</f>
        <v>3</v>
      </c>
    </row>
    <row r="116" spans="1:33" s="4" customFormat="1" ht="16.149999999999999" customHeight="1" x14ac:dyDescent="0.35">
      <c r="A116" s="8">
        <f>IFERROR(IF(A103=0,A108*11,A108&amp;A108),"-")</f>
        <v>11</v>
      </c>
      <c r="B116" s="7" t="str">
        <f t="shared" ca="1" si="31"/>
        <v/>
      </c>
      <c r="C116" s="7">
        <f t="shared" ca="1" si="32"/>
        <v>1</v>
      </c>
      <c r="D116" s="55">
        <v>13</v>
      </c>
      <c r="E116" s="17">
        <f t="shared" si="33"/>
        <v>11</v>
      </c>
      <c r="F116" s="319" t="str">
        <f>IFERROR(VLOOKUP($A100&amp;E116,downloads!$A$1:$E$1000,2,FALSE),"")</f>
        <v>Oliver BORG-HEFFERNAN</v>
      </c>
      <c r="G116" s="18" t="str">
        <f t="shared" si="30"/>
        <v>C&amp;N</v>
      </c>
      <c r="H116" s="464">
        <f ca="1">IFERROR(INDIRECT(CONCATENATE("'Distance Input'!"&amp;B102&amp;C102+12)),"")</f>
        <v>12.9</v>
      </c>
      <c r="I116" s="465"/>
      <c r="J116" s="464">
        <v>0</v>
      </c>
      <c r="K116" s="465"/>
      <c r="L116" s="464">
        <v>0</v>
      </c>
      <c r="M116" s="465"/>
      <c r="N116" s="470">
        <f t="shared" ca="1" si="34"/>
        <v>12.9</v>
      </c>
      <c r="O116" s="471"/>
      <c r="P116" s="55">
        <v>0</v>
      </c>
      <c r="Q116" s="472">
        <v>0</v>
      </c>
      <c r="R116" s="472"/>
      <c r="S116" s="472">
        <v>0</v>
      </c>
      <c r="T116" s="472"/>
      <c r="U116" s="472">
        <v>0</v>
      </c>
      <c r="V116" s="472"/>
      <c r="W116" s="464">
        <f t="shared" ca="1" si="35"/>
        <v>12.9</v>
      </c>
      <c r="X116" s="465"/>
      <c r="Y116" s="55">
        <f ca="1">IF(OR(W116="",W116=0),0,IF(W116="X",MatchDay!$U$2+MatchDay!$U$2+1-COUNTIF(Distance!W104:W116,"X"),RANK(W116,$W104:$X119,0)))</f>
        <v>2</v>
      </c>
      <c r="Z116" s="19" t="str">
        <f ca="1">IFERROR(IF(Y116=0,0,IF(VLOOKUP(AG116,E104:Y111,21,FALSE)=0,"A",IF(Y116&gt;=VLOOKUP(AG116,E104:Y111,21,FALSE),"B","A"))),"")</f>
        <v>B</v>
      </c>
      <c r="AA116" s="19" t="str">
        <f ca="1">IFERROR(IF(Z116="B","",RANK(AD116,AD104:AD119,1)),"")</f>
        <v/>
      </c>
      <c r="AB116" s="19">
        <f ca="1">IFERROR(IF(Z116="A","",RANK(AE116,AE104:AE119,1)),"")</f>
        <v>1</v>
      </c>
      <c r="AD116" s="9" t="str">
        <f t="shared" ca="1" si="36"/>
        <v/>
      </c>
      <c r="AE116" s="9">
        <f t="shared" ca="1" si="37"/>
        <v>2</v>
      </c>
      <c r="AF116" s="9" t="s">
        <v>138</v>
      </c>
      <c r="AG116" s="4">
        <f>IFERROR(IF(A103=0,E116/11,LEFT(E116,1)),"")</f>
        <v>1</v>
      </c>
    </row>
    <row r="117" spans="1:33" s="4" customFormat="1" ht="16.149999999999999" customHeight="1" x14ac:dyDescent="0.35">
      <c r="A117" s="8">
        <f>IFERROR(IF(A103=0,A109*11,A109&amp;A109),"-")</f>
        <v>55</v>
      </c>
      <c r="B117" s="7" t="str">
        <f t="shared" ca="1" si="31"/>
        <v/>
      </c>
      <c r="C117" s="7" t="str">
        <f t="shared" ca="1" si="32"/>
        <v/>
      </c>
      <c r="D117" s="55">
        <v>14</v>
      </c>
      <c r="E117" s="17">
        <f t="shared" si="33"/>
        <v>55</v>
      </c>
      <c r="F117" s="319" t="str">
        <f>IFERROR(VLOOKUP($A100&amp;E117,downloads!$A$1:$E$1000,2,FALSE),"")</f>
        <v/>
      </c>
      <c r="G117" s="18" t="str">
        <f t="shared" si="30"/>
        <v>Menai</v>
      </c>
      <c r="H117" s="464">
        <f ca="1">IFERROR(INDIRECT(CONCATENATE("'Distance Input'!"&amp;B102&amp;C102+13)),"")</f>
        <v>0</v>
      </c>
      <c r="I117" s="465"/>
      <c r="J117" s="464">
        <v>0</v>
      </c>
      <c r="K117" s="465"/>
      <c r="L117" s="464">
        <v>0</v>
      </c>
      <c r="M117" s="465"/>
      <c r="N117" s="470">
        <f t="shared" ca="1" si="34"/>
        <v>0</v>
      </c>
      <c r="O117" s="471"/>
      <c r="P117" s="55">
        <v>0</v>
      </c>
      <c r="Q117" s="472">
        <v>0</v>
      </c>
      <c r="R117" s="472"/>
      <c r="S117" s="472">
        <v>0</v>
      </c>
      <c r="T117" s="472"/>
      <c r="U117" s="472">
        <v>0</v>
      </c>
      <c r="V117" s="472"/>
      <c r="W117" s="464">
        <f t="shared" ca="1" si="35"/>
        <v>0</v>
      </c>
      <c r="X117" s="465"/>
      <c r="Y117" s="55">
        <f ca="1">IF(OR(W117="",W117=0),0,IF(W117="X",MatchDay!$U$2+MatchDay!$U$2+1-COUNTIF(Distance!W104:W117,"X"),RANK(W117,$W104:$X119,0)))</f>
        <v>0</v>
      </c>
      <c r="Z117" s="19">
        <f ca="1">IFERROR(IF(Y117=0,0,IF(VLOOKUP(AG117,E104:Y111,21,FALSE)=0,"A",IF(Y117&gt;=VLOOKUP(AG117,E104:Y111,21,FALSE),"B","A"))),"")</f>
        <v>0</v>
      </c>
      <c r="AA117" s="19" t="str">
        <f ca="1">IFERROR(IF(Z117="B","",RANK(AD117,AD104:AD119,1)),"")</f>
        <v/>
      </c>
      <c r="AB117" s="19" t="str">
        <f ca="1">IFERROR(IF(Z117="A","",RANK(AE117,AE104:AE119,1)),"")</f>
        <v/>
      </c>
      <c r="AD117" s="9" t="str">
        <f t="shared" ca="1" si="36"/>
        <v/>
      </c>
      <c r="AE117" s="9" t="str">
        <f t="shared" ca="1" si="37"/>
        <v/>
      </c>
      <c r="AF117" s="9" t="s">
        <v>138</v>
      </c>
      <c r="AG117" s="4">
        <f>IFERROR(IF(A103=0,E117/11,LEFT(E117,1)),"")</f>
        <v>5</v>
      </c>
    </row>
    <row r="118" spans="1:33" s="4" customFormat="1" ht="16.149999999999999" customHeight="1" x14ac:dyDescent="0.35">
      <c r="A118" s="8">
        <f>IFERROR(IF(A103=0,A110*11,A110&amp;A110),"-")</f>
        <v>77</v>
      </c>
      <c r="B118" s="7" t="str">
        <f t="shared" ca="1" si="31"/>
        <v/>
      </c>
      <c r="C118" s="7" t="str">
        <f t="shared" ca="1" si="32"/>
        <v/>
      </c>
      <c r="D118" s="55">
        <v>15</v>
      </c>
      <c r="E118" s="17">
        <f t="shared" si="33"/>
        <v>77</v>
      </c>
      <c r="F118" s="319" t="str">
        <f>IFERROR(VLOOKUP($A100&amp;E118,downloads!$A$1:$E$1000,2,FALSE),"")</f>
        <v/>
      </c>
      <c r="G118" s="18" t="str">
        <f t="shared" si="30"/>
        <v>Wigan</v>
      </c>
      <c r="H118" s="464">
        <f ca="1">IFERROR(INDIRECT(CONCATENATE("'Distance Input'!"&amp;B102&amp;C102+14)),"")</f>
        <v>0</v>
      </c>
      <c r="I118" s="465"/>
      <c r="J118" s="464">
        <v>0</v>
      </c>
      <c r="K118" s="465"/>
      <c r="L118" s="464">
        <v>0</v>
      </c>
      <c r="M118" s="465"/>
      <c r="N118" s="470">
        <f t="shared" ca="1" si="34"/>
        <v>0</v>
      </c>
      <c r="O118" s="471"/>
      <c r="P118" s="55">
        <v>0</v>
      </c>
      <c r="Q118" s="472">
        <v>0</v>
      </c>
      <c r="R118" s="472"/>
      <c r="S118" s="472">
        <v>0</v>
      </c>
      <c r="T118" s="472"/>
      <c r="U118" s="472">
        <v>0</v>
      </c>
      <c r="V118" s="472"/>
      <c r="W118" s="464">
        <f t="shared" ca="1" si="35"/>
        <v>0</v>
      </c>
      <c r="X118" s="465"/>
      <c r="Y118" s="55">
        <f ca="1">IF(OR(W118="",W118=0),0,IF(W118="X",MatchDay!$U$2+MatchDay!$U$2+1-COUNTIF(Distance!W104:W118,"X"),RANK(W118,$W104:$X119,0)))</f>
        <v>0</v>
      </c>
      <c r="Z118" s="19">
        <f ca="1">IFERROR(IF(Y118=0,0,IF(VLOOKUP(AG118,E104:Y111,21,FALSE)=0,"A",IF(Y118&gt;=VLOOKUP(AG118,E104:Y111,21,FALSE),"B","A"))),"")</f>
        <v>0</v>
      </c>
      <c r="AA118" s="19" t="str">
        <f ca="1">IFERROR(IF(Z118="B","",RANK(AD118,AD104:AD119,1)),"")</f>
        <v/>
      </c>
      <c r="AB118" s="19" t="str">
        <f ca="1">IFERROR(IF(Z118="A","",RANK(AE118,AE104:AE119,1)),"")</f>
        <v/>
      </c>
      <c r="AD118" s="9" t="str">
        <f t="shared" ca="1" si="36"/>
        <v/>
      </c>
      <c r="AE118" s="9" t="str">
        <f t="shared" ca="1" si="37"/>
        <v/>
      </c>
      <c r="AF118" s="9" t="s">
        <v>138</v>
      </c>
      <c r="AG118" s="4">
        <f>IFERROR(IF(A103=0,E118/11,LEFT(E118,1)),"")</f>
        <v>7</v>
      </c>
    </row>
    <row r="119" spans="1:33" s="4" customFormat="1" ht="16.149999999999999" customHeight="1" x14ac:dyDescent="0.35">
      <c r="A119" s="8" t="str">
        <f>IFERROR(IF(A103=0,A111*11,A111&amp;A111),"-")</f>
        <v>-</v>
      </c>
      <c r="B119" s="7" t="str">
        <f t="shared" ca="1" si="31"/>
        <v/>
      </c>
      <c r="C119" s="7" t="str">
        <f t="shared" ca="1" si="32"/>
        <v/>
      </c>
      <c r="D119" s="55">
        <v>16</v>
      </c>
      <c r="E119" s="17" t="str">
        <f t="shared" si="33"/>
        <v>-</v>
      </c>
      <c r="F119" s="319" t="str">
        <f>IFERROR(VLOOKUP($A100&amp;E119,downloads!$A$1:$E$1000,2,FALSE),"")</f>
        <v/>
      </c>
      <c r="G119" s="18" t="str">
        <f t="shared" si="30"/>
        <v/>
      </c>
      <c r="H119" s="464">
        <f ca="1">IFERROR(INDIRECT(CONCATENATE("'Distance Input'!"&amp;B102&amp;C102+15)),"")</f>
        <v>0</v>
      </c>
      <c r="I119" s="465"/>
      <c r="J119" s="464">
        <v>0</v>
      </c>
      <c r="K119" s="465"/>
      <c r="L119" s="464">
        <v>0</v>
      </c>
      <c r="M119" s="465"/>
      <c r="N119" s="470">
        <f t="shared" ca="1" si="34"/>
        <v>0</v>
      </c>
      <c r="O119" s="471"/>
      <c r="P119" s="55">
        <v>0</v>
      </c>
      <c r="Q119" s="472">
        <v>0</v>
      </c>
      <c r="R119" s="472"/>
      <c r="S119" s="472">
        <v>0</v>
      </c>
      <c r="T119" s="472"/>
      <c r="U119" s="472">
        <v>0</v>
      </c>
      <c r="V119" s="472"/>
      <c r="W119" s="464">
        <f t="shared" ca="1" si="35"/>
        <v>0</v>
      </c>
      <c r="X119" s="465"/>
      <c r="Y119" s="55">
        <f ca="1">IF(OR(W119="",W119=0),0,IF(W119="X",MatchDay!$U$2+MatchDay!$U$2+1-COUNTIF(Distance!W104:W119,"X"),RANK(W119,$W104:$X119,0)))</f>
        <v>0</v>
      </c>
      <c r="Z119" s="19">
        <f ca="1">IFERROR(IF(Y119=0,0,IF(VLOOKUP(AG119,E104:Y111,21,FALSE)=0,"A",IF(Y119&gt;=VLOOKUP(AG119,E104:Y111,21,FALSE),"B","A"))),"")</f>
        <v>0</v>
      </c>
      <c r="AA119" s="19" t="str">
        <f ca="1">IFERROR(IF(Z119="B","",RANK(AD119,AD104:AD119,1)),"")</f>
        <v/>
      </c>
      <c r="AB119" s="19" t="str">
        <f ca="1">IFERROR(IF(Z119="A","",RANK(AE119,AE104:AE119,1)),"")</f>
        <v/>
      </c>
      <c r="AD119" s="9" t="str">
        <f t="shared" ca="1" si="36"/>
        <v/>
      </c>
      <c r="AE119" s="9" t="str">
        <f t="shared" ca="1" si="37"/>
        <v/>
      </c>
      <c r="AF119" s="9" t="s">
        <v>138</v>
      </c>
      <c r="AG119" s="4" t="str">
        <f>IFERROR(IF(A103=0,E119/11,LEFT(E119,1)),"")</f>
        <v/>
      </c>
    </row>
    <row r="120" spans="1:33" s="4" customFormat="1" x14ac:dyDescent="0.25">
      <c r="A120" s="8"/>
      <c r="B120" s="10"/>
      <c r="C120" s="3"/>
      <c r="D120" s="20"/>
      <c r="E120" s="20"/>
      <c r="F120" s="21"/>
      <c r="G120" s="21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2"/>
    </row>
    <row r="121" spans="1:33" s="4" customFormat="1" x14ac:dyDescent="0.25">
      <c r="A121" s="8"/>
      <c r="B121" s="10"/>
      <c r="C121" s="3"/>
      <c r="D121" s="469" t="s">
        <v>139</v>
      </c>
      <c r="E121" s="473"/>
      <c r="F121" s="473"/>
      <c r="G121" s="473"/>
      <c r="H121" s="473"/>
      <c r="I121" s="473"/>
      <c r="J121" s="466" t="s">
        <v>140</v>
      </c>
      <c r="K121" s="474"/>
      <c r="L121" s="474"/>
      <c r="M121" s="474"/>
      <c r="N121" s="474"/>
      <c r="O121" s="474"/>
      <c r="P121" s="474"/>
      <c r="Q121" s="474"/>
      <c r="R121" s="474"/>
      <c r="S121" s="474"/>
      <c r="T121" s="474"/>
      <c r="U121" s="475"/>
      <c r="V121" s="466" t="s">
        <v>1136</v>
      </c>
      <c r="W121" s="467"/>
      <c r="X121" s="467"/>
      <c r="Y121" s="467"/>
      <c r="Z121" s="467"/>
      <c r="AA121" s="467"/>
      <c r="AB121" s="468"/>
    </row>
    <row r="122" spans="1:33" s="4" customFormat="1" x14ac:dyDescent="0.25">
      <c r="A122" s="8" t="s">
        <v>55</v>
      </c>
      <c r="B122" s="10"/>
      <c r="C122" s="3"/>
      <c r="D122" s="12"/>
      <c r="E122" s="55" t="s">
        <v>141</v>
      </c>
      <c r="F122" s="55" t="s">
        <v>124</v>
      </c>
      <c r="G122" s="55" t="s">
        <v>125</v>
      </c>
      <c r="H122" s="469" t="s">
        <v>142</v>
      </c>
      <c r="I122" s="469"/>
      <c r="J122" s="23"/>
      <c r="K122" s="54" t="s">
        <v>141</v>
      </c>
      <c r="L122" s="466" t="s">
        <v>124</v>
      </c>
      <c r="M122" s="467"/>
      <c r="N122" s="467"/>
      <c r="O122" s="468"/>
      <c r="P122" s="466" t="s">
        <v>125</v>
      </c>
      <c r="Q122" s="467"/>
      <c r="R122" s="467"/>
      <c r="S122" s="468"/>
      <c r="T122" s="466" t="s">
        <v>142</v>
      </c>
      <c r="U122" s="468"/>
      <c r="V122" s="24"/>
      <c r="W122" s="25"/>
      <c r="X122" s="25"/>
      <c r="Y122" s="25"/>
      <c r="Z122" s="25"/>
      <c r="AA122" s="25"/>
      <c r="AB122" s="26"/>
    </row>
    <row r="123" spans="1:33" s="4" customFormat="1" ht="16.149999999999999" customHeight="1" x14ac:dyDescent="0.25">
      <c r="A123" s="11">
        <f>IFERROR(VLOOKUP(A100,standards,3,FALSE),"-")</f>
        <v>16</v>
      </c>
      <c r="B123" s="10">
        <v>1</v>
      </c>
      <c r="C123" s="3"/>
      <c r="D123" s="55">
        <v>1</v>
      </c>
      <c r="E123" s="19">
        <f ca="1">IFERROR(IF(OR(H104=98,H104=99),H104,VLOOKUP(B123,B104:E119,4,FALSE)),0)</f>
        <v>1</v>
      </c>
      <c r="F123" s="27" t="str">
        <f ca="1">IFERROR(VLOOKUP(E123,$E104:$F119,2,FALSE),"")</f>
        <v>Jack TILLEY</v>
      </c>
      <c r="G123" s="18" t="str">
        <f t="shared" ref="G123:G130" ca="1" si="38">IFERROR(VLOOKUP(E123,teamlookup,5,FALSE),"-")</f>
        <v>C&amp;N</v>
      </c>
      <c r="H123" s="459">
        <f ca="1">IFERROR(VLOOKUP(E123,E104:X119,19,FALSE),"")</f>
        <v>14.65</v>
      </c>
      <c r="I123" s="460"/>
      <c r="J123" s="55">
        <v>1</v>
      </c>
      <c r="K123" s="55">
        <f ca="1">IFERROR(VLOOKUP(B123,C104:X119,3,FALSE),"")</f>
        <v>11</v>
      </c>
      <c r="L123" s="461" t="str">
        <f ca="1">IFERROR(VLOOKUP(K123,$E104:$F119,2,FALSE),"")</f>
        <v>Oliver BORG-HEFFERNAN</v>
      </c>
      <c r="M123" s="462"/>
      <c r="N123" s="462"/>
      <c r="O123" s="463"/>
      <c r="P123" s="461" t="str">
        <f t="shared" ref="P123:P130" ca="1" si="39">IFERROR(VLOOKUP(K123,teamlookup,5,FALSE),"-")</f>
        <v>C&amp;N</v>
      </c>
      <c r="Q123" s="462"/>
      <c r="R123" s="462"/>
      <c r="S123" s="463"/>
      <c r="T123" s="464">
        <f ca="1">IFERROR(VLOOKUP(K123,E104:X119,19,FALSE),"")</f>
        <v>12.9</v>
      </c>
      <c r="U123" s="465"/>
      <c r="V123" s="28"/>
      <c r="W123" s="29"/>
      <c r="X123" s="29"/>
      <c r="Y123" s="29"/>
      <c r="Z123" s="29"/>
      <c r="AA123" s="29"/>
      <c r="AB123" s="30"/>
    </row>
    <row r="124" spans="1:33" s="4" customFormat="1" ht="16.149999999999999" customHeight="1" x14ac:dyDescent="0.25">
      <c r="A124" s="11">
        <f>IFERROR(VLOOKUP(A100,standards,4,FALSE),"-")</f>
        <v>18</v>
      </c>
      <c r="B124" s="10">
        <v>2</v>
      </c>
      <c r="C124" s="3"/>
      <c r="D124" s="55">
        <v>2</v>
      </c>
      <c r="E124" s="19" t="str">
        <f ca="1">IFERROR(VLOOKUP(B124,B104:E119,4,FALSE),"")</f>
        <v/>
      </c>
      <c r="F124" s="27" t="str">
        <f ca="1">IFERROR(VLOOKUP(E124,$E104:$F119,2,FALSE),"")</f>
        <v/>
      </c>
      <c r="G124" s="18" t="str">
        <f t="shared" ca="1" si="38"/>
        <v>-</v>
      </c>
      <c r="H124" s="459" t="str">
        <f ca="1">IFERROR(VLOOKUP(E124,E104:X119,19,FALSE),"")</f>
        <v/>
      </c>
      <c r="I124" s="460"/>
      <c r="J124" s="55">
        <v>2</v>
      </c>
      <c r="K124" s="55" t="str">
        <f ca="1">IFERROR(VLOOKUP(B124,C104:X119,3,FALSE),"")</f>
        <v/>
      </c>
      <c r="L124" s="461" t="str">
        <f ca="1">IFERROR(VLOOKUP(K124,$E104:$F119,2,FALSE),"")</f>
        <v/>
      </c>
      <c r="M124" s="462"/>
      <c r="N124" s="462"/>
      <c r="O124" s="463"/>
      <c r="P124" s="461" t="str">
        <f t="shared" ca="1" si="39"/>
        <v>-</v>
      </c>
      <c r="Q124" s="462"/>
      <c r="R124" s="462"/>
      <c r="S124" s="463"/>
      <c r="T124" s="464" t="str">
        <f ca="1">IFERROR(VLOOKUP(K124,E104:X119,19,FALSE),"")</f>
        <v/>
      </c>
      <c r="U124" s="465"/>
      <c r="V124" s="24"/>
      <c r="W124" s="25"/>
      <c r="X124" s="25"/>
      <c r="Y124" s="25"/>
      <c r="Z124" s="25"/>
      <c r="AA124" s="25"/>
      <c r="AB124" s="26"/>
    </row>
    <row r="125" spans="1:33" s="4" customFormat="1" ht="16.149999999999999" customHeight="1" x14ac:dyDescent="0.25">
      <c r="A125" s="11">
        <f>IFERROR(VLOOKUP(A100,standards,5,FALSE),"-")</f>
        <v>20</v>
      </c>
      <c r="B125" s="10">
        <v>3</v>
      </c>
      <c r="C125" s="3"/>
      <c r="D125" s="55">
        <v>3</v>
      </c>
      <c r="E125" s="19" t="str">
        <f ca="1">IFERROR(VLOOKUP(B125,B104:E119,4,FALSE),"")</f>
        <v/>
      </c>
      <c r="F125" s="27" t="str">
        <f ca="1">IFERROR(VLOOKUP(E125,$E104:$F119,2,FALSE),"")</f>
        <v/>
      </c>
      <c r="G125" s="18" t="str">
        <f t="shared" ca="1" si="38"/>
        <v>-</v>
      </c>
      <c r="H125" s="459" t="str">
        <f ca="1">IFERROR(VLOOKUP(E125,E104:X119,19,FALSE),"")</f>
        <v/>
      </c>
      <c r="I125" s="460"/>
      <c r="J125" s="55">
        <v>3</v>
      </c>
      <c r="K125" s="55" t="str">
        <f ca="1">IFERROR(VLOOKUP(B125,C104:X119,3,FALSE),"")</f>
        <v/>
      </c>
      <c r="L125" s="461" t="str">
        <f ca="1">IFERROR(VLOOKUP(K125,$E104:$F119,2,FALSE),"")</f>
        <v/>
      </c>
      <c r="M125" s="462"/>
      <c r="N125" s="462"/>
      <c r="O125" s="463"/>
      <c r="P125" s="461" t="str">
        <f t="shared" ca="1" si="39"/>
        <v>-</v>
      </c>
      <c r="Q125" s="462"/>
      <c r="R125" s="462"/>
      <c r="S125" s="463"/>
      <c r="T125" s="464" t="str">
        <f ca="1">IFERROR(VLOOKUP(K125,E104:X119,19,FALSE),"")</f>
        <v/>
      </c>
      <c r="U125" s="465"/>
      <c r="V125" s="28"/>
      <c r="W125" s="29"/>
      <c r="X125" s="29"/>
      <c r="Y125" s="29"/>
      <c r="Z125" s="29"/>
      <c r="AA125" s="29"/>
      <c r="AB125" s="30"/>
    </row>
    <row r="126" spans="1:33" s="4" customFormat="1" ht="16.149999999999999" customHeight="1" x14ac:dyDescent="0.25">
      <c r="A126" s="11">
        <f>IFERROR(VLOOKUP(A100,EA!A:K,6,FALSE),"-")</f>
        <v>22</v>
      </c>
      <c r="B126" s="10">
        <v>4</v>
      </c>
      <c r="C126" s="3"/>
      <c r="D126" s="55">
        <v>4</v>
      </c>
      <c r="E126" s="19" t="str">
        <f ca="1">IFERROR(VLOOKUP(B126,B104:E119,4,FALSE),"")</f>
        <v/>
      </c>
      <c r="F126" s="27" t="str">
        <f ca="1">IFERROR(VLOOKUP(E126,$E104:$F119,2,FALSE),"")</f>
        <v/>
      </c>
      <c r="G126" s="18" t="str">
        <f t="shared" ca="1" si="38"/>
        <v>-</v>
      </c>
      <c r="H126" s="459" t="str">
        <f ca="1">IFERROR(VLOOKUP(E126,E104:X119,19,FALSE),"")</f>
        <v/>
      </c>
      <c r="I126" s="460"/>
      <c r="J126" s="55">
        <v>4</v>
      </c>
      <c r="K126" s="55" t="str">
        <f ca="1">IFERROR(VLOOKUP(B126,C104:X119,3,FALSE),"")</f>
        <v/>
      </c>
      <c r="L126" s="461" t="str">
        <f ca="1">IFERROR(VLOOKUP(K126,$E104:$F119,2,FALSE),"")</f>
        <v/>
      </c>
      <c r="M126" s="462"/>
      <c r="N126" s="462"/>
      <c r="O126" s="463"/>
      <c r="P126" s="461" t="str">
        <f t="shared" ca="1" si="39"/>
        <v>-</v>
      </c>
      <c r="Q126" s="462"/>
      <c r="R126" s="462"/>
      <c r="S126" s="463"/>
      <c r="T126" s="464" t="str">
        <f ca="1">IFERROR(VLOOKUP(K126,E104:X119,19,FALSE),"")</f>
        <v/>
      </c>
      <c r="U126" s="465"/>
      <c r="V126" s="24"/>
      <c r="W126" s="25"/>
      <c r="X126" s="25"/>
      <c r="Y126" s="25"/>
      <c r="Z126" s="25"/>
      <c r="AA126" s="25"/>
      <c r="AB126" s="26"/>
    </row>
    <row r="127" spans="1:33" s="4" customFormat="1" ht="16.149999999999999" customHeight="1" x14ac:dyDescent="0.25">
      <c r="A127" s="8"/>
      <c r="B127" s="10">
        <v>5</v>
      </c>
      <c r="C127" s="3"/>
      <c r="D127" s="55">
        <v>5</v>
      </c>
      <c r="E127" s="19" t="str">
        <f ca="1">IFERROR(VLOOKUP(B127,B104:E119,4,FALSE),"")</f>
        <v/>
      </c>
      <c r="F127" s="27" t="str">
        <f ca="1">IFERROR(VLOOKUP(E127,$E104:$F119,2,FALSE),"")</f>
        <v/>
      </c>
      <c r="G127" s="18" t="str">
        <f t="shared" ca="1" si="38"/>
        <v>-</v>
      </c>
      <c r="H127" s="459" t="str">
        <f ca="1">IFERROR(VLOOKUP(E127,E104:X119,19,FALSE),"")</f>
        <v/>
      </c>
      <c r="I127" s="460"/>
      <c r="J127" s="55">
        <v>5</v>
      </c>
      <c r="K127" s="55" t="str">
        <f ca="1">IFERROR(VLOOKUP(B127,C104:X119,3,FALSE),"")</f>
        <v/>
      </c>
      <c r="L127" s="461" t="str">
        <f ca="1">IFERROR(VLOOKUP(K127,$E104:$F119,2,FALSE),"")</f>
        <v/>
      </c>
      <c r="M127" s="462"/>
      <c r="N127" s="462"/>
      <c r="O127" s="463"/>
      <c r="P127" s="461" t="str">
        <f t="shared" ca="1" si="39"/>
        <v>-</v>
      </c>
      <c r="Q127" s="462"/>
      <c r="R127" s="462"/>
      <c r="S127" s="463"/>
      <c r="T127" s="464" t="str">
        <f ca="1">IFERROR(VLOOKUP(K127,E104:X119,19,FALSE),"")</f>
        <v/>
      </c>
      <c r="U127" s="465"/>
      <c r="V127" s="28"/>
      <c r="W127" s="29"/>
      <c r="X127" s="29"/>
      <c r="Y127" s="29"/>
      <c r="Z127" s="29"/>
      <c r="AA127" s="29"/>
      <c r="AB127" s="30"/>
    </row>
    <row r="128" spans="1:33" s="4" customFormat="1" ht="16.149999999999999" customHeight="1" x14ac:dyDescent="0.25">
      <c r="A128" s="8" t="s">
        <v>151</v>
      </c>
      <c r="B128" s="10">
        <v>6</v>
      </c>
      <c r="C128" s="3"/>
      <c r="D128" s="55">
        <v>6</v>
      </c>
      <c r="E128" s="19" t="str">
        <f ca="1">IFERROR(VLOOKUP(B128,B104:E119,4,FALSE),"")</f>
        <v/>
      </c>
      <c r="F128" s="27" t="str">
        <f ca="1">IFERROR(VLOOKUP(E128,$E104:$F119,2,FALSE),"")</f>
        <v/>
      </c>
      <c r="G128" s="18" t="str">
        <f t="shared" ca="1" si="38"/>
        <v>-</v>
      </c>
      <c r="H128" s="459" t="str">
        <f ca="1">IFERROR(VLOOKUP(E128,E104:X119,19,FALSE),"")</f>
        <v/>
      </c>
      <c r="I128" s="460"/>
      <c r="J128" s="55">
        <v>6</v>
      </c>
      <c r="K128" s="55" t="str">
        <f ca="1">IFERROR(VLOOKUP(B128,C104:X119,3,FALSE),"")</f>
        <v/>
      </c>
      <c r="L128" s="461" t="str">
        <f ca="1">IFERROR(VLOOKUP(K128,$E104:$F119,2,FALSE),"")</f>
        <v/>
      </c>
      <c r="M128" s="462"/>
      <c r="N128" s="462"/>
      <c r="O128" s="463"/>
      <c r="P128" s="461" t="str">
        <f t="shared" ca="1" si="39"/>
        <v>-</v>
      </c>
      <c r="Q128" s="462"/>
      <c r="R128" s="462"/>
      <c r="S128" s="463"/>
      <c r="T128" s="464" t="str">
        <f ca="1">IFERROR(VLOOKUP(K128,E104:X119,19,FALSE),"")</f>
        <v/>
      </c>
      <c r="U128" s="465"/>
      <c r="V128" s="466" t="s">
        <v>1135</v>
      </c>
      <c r="W128" s="467"/>
      <c r="X128" s="467"/>
      <c r="Y128" s="467"/>
      <c r="Z128" s="467"/>
      <c r="AA128" s="467"/>
      <c r="AB128" s="468"/>
    </row>
    <row r="129" spans="1:33" s="4" customFormat="1" ht="16.149999999999999" customHeight="1" x14ac:dyDescent="0.25">
      <c r="A129" s="8">
        <f>IFERROR(VLOOKUP(A100,records,5,FALSE),"")</f>
        <v>49.53</v>
      </c>
      <c r="B129" s="10">
        <v>7</v>
      </c>
      <c r="C129" s="3"/>
      <c r="D129" s="55">
        <v>7</v>
      </c>
      <c r="E129" s="19" t="str">
        <f ca="1">IFERROR(VLOOKUP(B129,B104:E119,4,FALSE),"")</f>
        <v/>
      </c>
      <c r="F129" s="27" t="str">
        <f ca="1">IFERROR(VLOOKUP(E129,$E104:$F119,2,FALSE),"")</f>
        <v/>
      </c>
      <c r="G129" s="18" t="str">
        <f t="shared" ca="1" si="38"/>
        <v>-</v>
      </c>
      <c r="H129" s="459" t="str">
        <f ca="1">IFERROR(VLOOKUP(E129,E104:X119,19,FALSE),"")</f>
        <v/>
      </c>
      <c r="I129" s="460"/>
      <c r="J129" s="55">
        <v>7</v>
      </c>
      <c r="K129" s="55" t="str">
        <f ca="1">IFERROR(VLOOKUP(B129,C104:X119,3,FALSE),"")</f>
        <v/>
      </c>
      <c r="L129" s="461" t="str">
        <f ca="1">IFERROR(VLOOKUP(K129,$E104:$F119,2,FALSE),"")</f>
        <v/>
      </c>
      <c r="M129" s="462"/>
      <c r="N129" s="462"/>
      <c r="O129" s="463"/>
      <c r="P129" s="461" t="str">
        <f t="shared" ca="1" si="39"/>
        <v>-</v>
      </c>
      <c r="Q129" s="462"/>
      <c r="R129" s="462"/>
      <c r="S129" s="463"/>
      <c r="T129" s="464" t="str">
        <f ca="1">IFERROR(VLOOKUP(K129,E104:X119,19,FALSE),"")</f>
        <v/>
      </c>
      <c r="U129" s="465"/>
      <c r="V129" s="24"/>
      <c r="W129" s="25"/>
      <c r="X129" s="25"/>
      <c r="Y129" s="25"/>
      <c r="Z129" s="25"/>
      <c r="AA129" s="25"/>
      <c r="AB129" s="26"/>
    </row>
    <row r="130" spans="1:33" s="4" customFormat="1" ht="16.149999999999999" customHeight="1" x14ac:dyDescent="0.25">
      <c r="A130" s="8"/>
      <c r="B130" s="10">
        <v>8</v>
      </c>
      <c r="C130" s="3"/>
      <c r="D130" s="55">
        <v>8</v>
      </c>
      <c r="E130" s="19" t="str">
        <f ca="1">IFERROR(VLOOKUP(B130,B104:E119,4,FALSE),"")</f>
        <v/>
      </c>
      <c r="F130" s="27" t="str">
        <f ca="1">IFERROR(VLOOKUP(E130,$E104:$F119,2,FALSE),"")</f>
        <v/>
      </c>
      <c r="G130" s="18" t="str">
        <f t="shared" ca="1" si="38"/>
        <v>-</v>
      </c>
      <c r="H130" s="459" t="str">
        <f ca="1">IFERROR(VLOOKUP(E130,E104:X119,19,FALSE),"")</f>
        <v/>
      </c>
      <c r="I130" s="460"/>
      <c r="J130" s="55">
        <v>8</v>
      </c>
      <c r="K130" s="55" t="str">
        <f ca="1">IFERROR(VLOOKUP(B130,C104:X119,3,FALSE),"")</f>
        <v/>
      </c>
      <c r="L130" s="461" t="str">
        <f ca="1">IFERROR(VLOOKUP(K130,$E104:$F119,2,FALSE),"")</f>
        <v/>
      </c>
      <c r="M130" s="462"/>
      <c r="N130" s="462"/>
      <c r="O130" s="463"/>
      <c r="P130" s="461" t="str">
        <f t="shared" ca="1" si="39"/>
        <v>-</v>
      </c>
      <c r="Q130" s="462"/>
      <c r="R130" s="462"/>
      <c r="S130" s="463"/>
      <c r="T130" s="464" t="str">
        <f ca="1">IFERROR(VLOOKUP(K130,E104:X119,19,FALSE),"")</f>
        <v/>
      </c>
      <c r="U130" s="465"/>
      <c r="V130" s="28"/>
      <c r="W130" s="29"/>
      <c r="X130" s="29"/>
      <c r="Y130" s="29"/>
      <c r="Z130" s="29"/>
      <c r="AA130" s="29"/>
      <c r="AB130" s="30"/>
    </row>
    <row r="131" spans="1:33" s="4" customFormat="1" ht="21" x14ac:dyDescent="0.25">
      <c r="A131" s="2" t="str">
        <f>MatchDay!$U$6</f>
        <v>X</v>
      </c>
      <c r="B131" s="8"/>
      <c r="C131" s="3"/>
      <c r="D131" s="499" t="s">
        <v>143</v>
      </c>
      <c r="E131" s="500"/>
      <c r="F131" s="500"/>
      <c r="G131" s="500"/>
      <c r="H131" s="500"/>
      <c r="I131" s="500"/>
      <c r="J131" s="500"/>
      <c r="K131" s="501" t="s">
        <v>144</v>
      </c>
      <c r="L131" s="502"/>
      <c r="M131" s="502"/>
      <c r="N131" s="502"/>
      <c r="O131" s="503" t="str">
        <f>MatchDay!$C$2&amp;" "&amp;MatchDay!$C$3&amp;" "&amp;MatchDay!$C$4</f>
        <v>LOWER NORTH West 2</v>
      </c>
      <c r="P131" s="504"/>
      <c r="Q131" s="504"/>
      <c r="R131" s="504"/>
      <c r="S131" s="504"/>
      <c r="T131" s="504"/>
      <c r="U131" s="504"/>
      <c r="V131" s="504"/>
      <c r="W131" s="504"/>
      <c r="X131" s="504"/>
      <c r="Y131" s="504"/>
      <c r="Z131" s="504"/>
      <c r="AA131" s="504"/>
      <c r="AB131" s="505"/>
    </row>
    <row r="132" spans="1:33" s="4" customFormat="1" ht="15.75" customHeight="1" x14ac:dyDescent="0.25">
      <c r="A132" s="1" t="str">
        <f>IFERROR(IF(LEFT(MatchDay!$C$2,1)="L","L"&amp;A134,"U"&amp;A134),"")</f>
        <v>LFD05</v>
      </c>
      <c r="B132" s="10">
        <v>155</v>
      </c>
      <c r="C132" s="3"/>
      <c r="D132" s="466" t="s">
        <v>145</v>
      </c>
      <c r="E132" s="468"/>
      <c r="F132" s="467" t="str">
        <f>IFERROR(UPPER(VLOOKUP(A133,teamlookup,6,FALSE)),"")</f>
        <v/>
      </c>
      <c r="G132" s="468"/>
      <c r="H132" s="476" t="s">
        <v>149</v>
      </c>
      <c r="I132" s="480"/>
      <c r="J132" s="477"/>
      <c r="K132" s="466" t="str">
        <f>MatchDay!$C$8</f>
        <v>Macclesfield Leisure Centre</v>
      </c>
      <c r="L132" s="467"/>
      <c r="M132" s="467"/>
      <c r="N132" s="467"/>
      <c r="O132" s="467"/>
      <c r="P132" s="468"/>
      <c r="Q132" s="476" t="s">
        <v>119</v>
      </c>
      <c r="R132" s="477"/>
      <c r="S132" s="494">
        <f>MatchDay!$C$7</f>
        <v>45053</v>
      </c>
      <c r="T132" s="495"/>
      <c r="U132" s="495"/>
      <c r="V132" s="495"/>
      <c r="W132" s="495"/>
      <c r="X132" s="496"/>
      <c r="Y132" s="497" t="str">
        <f>IFERROR(IF(LEFT(A132,1)="L","",VLOOKUP(A132,EA!$A:$N,8,FALSE)),"")</f>
        <v/>
      </c>
      <c r="Z132" s="498"/>
      <c r="AA132" s="464" t="str">
        <f>IFERROR(IF(LEFT(A132,1)="L","",VLOOKUP(A132,standards,9,FALSE)),"")</f>
        <v/>
      </c>
      <c r="AB132" s="465"/>
      <c r="AC132" s="6"/>
      <c r="AD132" s="6"/>
    </row>
    <row r="133" spans="1:33" s="4" customFormat="1" ht="15.75" customHeight="1" x14ac:dyDescent="0.25">
      <c r="A133" s="5">
        <f>IFERROR(IF(A131=1,VLOOKUP(A132,judges,VLOOKUP(MatchDay!$U$2*10+MatchDay!$C$5,judgesp,5,FALSE),FALSE),VLOOKUP(Distance!A132,judges,VLOOKUP(MatchDay!$U$2*10+MatchDay!$C$5,judges2,5,FALSE),FALSE)),"")</f>
        <v>5</v>
      </c>
      <c r="B133" s="138"/>
      <c r="C133" s="3"/>
      <c r="D133" s="476" t="s">
        <v>120</v>
      </c>
      <c r="E133" s="477"/>
      <c r="F133" s="478" t="str">
        <f>IFERROR(VLOOKUP(A132,timetables,2,FALSE)&amp;" "&amp;VLOOKUP(A132,timetables,3,FALSE),"")</f>
        <v>Discus U15 Girls</v>
      </c>
      <c r="G133" s="479"/>
      <c r="H133" s="476" t="s">
        <v>121</v>
      </c>
      <c r="I133" s="480"/>
      <c r="J133" s="477"/>
      <c r="K133" s="481">
        <f>IFERROR(IF(A131=1,VLOOKUP(A132,Timetables!$A:$G,6,FALSE),VLOOKUP(A132,Timetables!$A:$G,7,FALSE)),"")</f>
        <v>0.54166666666666663</v>
      </c>
      <c r="L133" s="481" t="e">
        <v>#N/A</v>
      </c>
      <c r="M133" s="476" t="s">
        <v>150</v>
      </c>
      <c r="N133" s="477"/>
      <c r="O133" s="482" t="str">
        <f>IFERROR(VLOOKUP(A132,records,3,FALSE)&amp;", "&amp;VLOOKUP(A132,records,4,FALSE)&amp;", "&amp;VLOOKUP(A132,records,5,FALSE)&amp;", "&amp;VLOOKUP(A132,records,6,FALSE)&amp;", "&amp;VLOOKUP(A132,records,7,FALSE)&amp;" "&amp;VLOOKUP(A132,records,8,FALSE),"")</f>
        <v/>
      </c>
      <c r="P133" s="482"/>
      <c r="Q133" s="482"/>
      <c r="R133" s="482"/>
      <c r="S133" s="482"/>
      <c r="T133" s="482"/>
      <c r="U133" s="482"/>
      <c r="V133" s="482"/>
      <c r="W133" s="482"/>
      <c r="X133" s="482"/>
      <c r="Y133" s="482"/>
      <c r="Z133" s="482"/>
      <c r="AA133" s="482"/>
      <c r="AB133" s="483"/>
    </row>
    <row r="134" spans="1:33" s="4" customFormat="1" ht="32.1" customHeight="1" x14ac:dyDescent="0.25">
      <c r="A134" s="5" t="s">
        <v>208</v>
      </c>
      <c r="B134" s="10" t="str">
        <f>IFERROR(VLOOKUP($A134,fdistance,2,FALSE),"")</f>
        <v>F</v>
      </c>
      <c r="C134" s="10">
        <f>IFERROR(VLOOKUP($A134,fdistance,3,FALSE),"")</f>
        <v>42</v>
      </c>
      <c r="D134" s="31" t="s">
        <v>122</v>
      </c>
      <c r="E134" s="13" t="s">
        <v>123</v>
      </c>
      <c r="F134" s="13" t="s">
        <v>124</v>
      </c>
      <c r="G134" s="14" t="s">
        <v>125</v>
      </c>
      <c r="H134" s="484" t="s">
        <v>126</v>
      </c>
      <c r="I134" s="485"/>
      <c r="J134" s="485" t="s">
        <v>127</v>
      </c>
      <c r="K134" s="485"/>
      <c r="L134" s="485" t="s">
        <v>128</v>
      </c>
      <c r="M134" s="485"/>
      <c r="N134" s="485" t="s">
        <v>129</v>
      </c>
      <c r="O134" s="485"/>
      <c r="P134" s="486" t="s">
        <v>130</v>
      </c>
      <c r="Q134" s="485" t="s">
        <v>131</v>
      </c>
      <c r="R134" s="485"/>
      <c r="S134" s="485" t="s">
        <v>132</v>
      </c>
      <c r="T134" s="485"/>
      <c r="U134" s="485" t="s">
        <v>133</v>
      </c>
      <c r="V134" s="485"/>
      <c r="W134" s="488" t="s">
        <v>134</v>
      </c>
      <c r="X134" s="489"/>
      <c r="Y134" s="490" t="s">
        <v>135</v>
      </c>
      <c r="Z134" s="492" t="s">
        <v>136</v>
      </c>
      <c r="AA134" s="493"/>
      <c r="AB134" s="484"/>
    </row>
    <row r="135" spans="1:33" s="4" customFormat="1" x14ac:dyDescent="0.3">
      <c r="A135" s="121">
        <f>IFERROR(SEARCH("U17",F133),0)</f>
        <v>0</v>
      </c>
      <c r="B135" s="7" t="s">
        <v>53</v>
      </c>
      <c r="C135" s="7" t="s">
        <v>54</v>
      </c>
      <c r="D135" s="56"/>
      <c r="E135" s="56"/>
      <c r="F135" s="15"/>
      <c r="G135" s="16"/>
      <c r="H135" s="468" t="s">
        <v>137</v>
      </c>
      <c r="I135" s="469"/>
      <c r="J135" s="469" t="s">
        <v>137</v>
      </c>
      <c r="K135" s="469"/>
      <c r="L135" s="469" t="s">
        <v>137</v>
      </c>
      <c r="M135" s="469"/>
      <c r="N135" s="469" t="s">
        <v>137</v>
      </c>
      <c r="O135" s="469"/>
      <c r="P135" s="487"/>
      <c r="Q135" s="469" t="s">
        <v>137</v>
      </c>
      <c r="R135" s="469"/>
      <c r="S135" s="469" t="s">
        <v>137</v>
      </c>
      <c r="T135" s="469"/>
      <c r="U135" s="469" t="s">
        <v>137</v>
      </c>
      <c r="V135" s="469"/>
      <c r="W135" s="469" t="s">
        <v>137</v>
      </c>
      <c r="X135" s="466"/>
      <c r="Y135" s="491"/>
      <c r="Z135" s="55"/>
      <c r="AA135" s="55" t="s">
        <v>53</v>
      </c>
      <c r="AB135" s="55" t="s">
        <v>54</v>
      </c>
    </row>
    <row r="136" spans="1:33" s="4" customFormat="1" ht="16.149999999999999" customHeight="1" x14ac:dyDescent="0.35">
      <c r="A136" s="8">
        <f>IFERROR(IF(D136&gt;MatchDay!$U$2,"-",VLOOKUP(A132,timetables,MatchDay!$U$4,FALSE)),0)</f>
        <v>6</v>
      </c>
      <c r="B136" s="7" t="str">
        <f ca="1">AA136</f>
        <v/>
      </c>
      <c r="C136" s="7" t="str">
        <f ca="1">AB136</f>
        <v/>
      </c>
      <c r="D136" s="56">
        <v>1</v>
      </c>
      <c r="E136" s="17">
        <f>A136</f>
        <v>6</v>
      </c>
      <c r="F136" s="319" t="str">
        <f>IFERROR(VLOOKUP($A132&amp;E136,downloads!$A$1:$E$1000,2,FALSE),"")</f>
        <v/>
      </c>
      <c r="G136" s="18" t="str">
        <f t="shared" ref="G136:G151" si="40">IFERROR(VLOOKUP(E136,teamlookup,5,FALSE),"-")</f>
        <v>Stock</v>
      </c>
      <c r="H136" s="464">
        <f ca="1">IFERROR(INDIRECT(CONCATENATE("'Distance Input'!"&amp;B134&amp;C134)),"")</f>
        <v>0</v>
      </c>
      <c r="I136" s="465"/>
      <c r="J136" s="464">
        <v>0</v>
      </c>
      <c r="K136" s="465"/>
      <c r="L136" s="464">
        <v>0</v>
      </c>
      <c r="M136" s="465"/>
      <c r="N136" s="470">
        <f ca="1">H136</f>
        <v>0</v>
      </c>
      <c r="O136" s="471"/>
      <c r="P136" s="55">
        <v>0</v>
      </c>
      <c r="Q136" s="472">
        <v>0</v>
      </c>
      <c r="R136" s="472"/>
      <c r="S136" s="472">
        <v>0</v>
      </c>
      <c r="T136" s="472"/>
      <c r="U136" s="472">
        <v>0</v>
      </c>
      <c r="V136" s="472"/>
      <c r="W136" s="464">
        <f ca="1">N136</f>
        <v>0</v>
      </c>
      <c r="X136" s="465"/>
      <c r="Y136" s="55">
        <f ca="1">IF(OR(W136="",W136=0),0,IF(W136="X",MatchDay!$U$2+MatchDay!$U$2+1-COUNTIF(Distance!W136:W136,"X"),RANK(W136,$W136:$X151,0)))</f>
        <v>0</v>
      </c>
      <c r="Z136" s="19">
        <f ca="1">IFERROR(IF(Y136=0,0,IF(OR(VLOOKUP(AG136,E144:Y151,21,FALSE)=0,Y136&lt;=VLOOKUP(AG136,E144:Y151,21,FALSE)),"A","B")),"")</f>
        <v>0</v>
      </c>
      <c r="AA136" s="19" t="str">
        <f ca="1">IFERROR(IF(Z136="B","",RANK(AD136,AD136:AD151,1)),"")</f>
        <v/>
      </c>
      <c r="AB136" s="19" t="str">
        <f ca="1">IFERROR(IF(Z136="A","",RANK(AE136,AE136:AE151,1)),"")</f>
        <v/>
      </c>
      <c r="AC136" s="8"/>
      <c r="AD136" s="9" t="str">
        <f ca="1">IF(OR(W136=0,Y136=0,Z136="B"),"",Y136)</f>
        <v/>
      </c>
      <c r="AE136" s="9" t="str">
        <f ca="1">IF(OR(W136=0,Y136=0,Z136="A"),"",Y136)</f>
        <v/>
      </c>
      <c r="AF136" s="9" t="s">
        <v>138</v>
      </c>
      <c r="AG136" s="4">
        <f>IFERROR(IF(A135=0,E136*11,E136&amp;E136),"")</f>
        <v>66</v>
      </c>
    </row>
    <row r="137" spans="1:33" s="4" customFormat="1" ht="16.149999999999999" customHeight="1" x14ac:dyDescent="0.35">
      <c r="A137" s="8">
        <f>IFERROR(IF(D137&gt;MatchDay!$U$2,"-",VLOOKUP(A132,timetables,MatchDay!$U$4+1,FALSE)),0)</f>
        <v>2</v>
      </c>
      <c r="B137" s="7" t="str">
        <f t="shared" ref="B137:B151" ca="1" si="41">AA137</f>
        <v/>
      </c>
      <c r="C137" s="7" t="str">
        <f t="shared" ref="C137:C151" ca="1" si="42">AB137</f>
        <v/>
      </c>
      <c r="D137" s="55">
        <v>2</v>
      </c>
      <c r="E137" s="17">
        <f t="shared" ref="E137:E151" si="43">A137</f>
        <v>2</v>
      </c>
      <c r="F137" s="319" t="str">
        <f>IFERROR(VLOOKUP($A132&amp;E137,downloads!$A$1:$E$1000,2,FALSE),"")</f>
        <v/>
      </c>
      <c r="G137" s="18" t="str">
        <f t="shared" si="40"/>
        <v>ECHT</v>
      </c>
      <c r="H137" s="464">
        <f ca="1">IFERROR(INDIRECT(CONCATENATE("'Distance Input'!"&amp;B134&amp;C134+1)),"")</f>
        <v>0</v>
      </c>
      <c r="I137" s="465"/>
      <c r="J137" s="464">
        <v>0</v>
      </c>
      <c r="K137" s="465"/>
      <c r="L137" s="464">
        <v>0</v>
      </c>
      <c r="M137" s="465"/>
      <c r="N137" s="470">
        <f t="shared" ref="N137:N151" ca="1" si="44">H137</f>
        <v>0</v>
      </c>
      <c r="O137" s="471"/>
      <c r="P137" s="55">
        <v>0</v>
      </c>
      <c r="Q137" s="472">
        <v>0</v>
      </c>
      <c r="R137" s="472"/>
      <c r="S137" s="472">
        <v>0</v>
      </c>
      <c r="T137" s="472"/>
      <c r="U137" s="472">
        <v>0</v>
      </c>
      <c r="V137" s="472"/>
      <c r="W137" s="464">
        <f t="shared" ref="W137:W151" ca="1" si="45">N137</f>
        <v>0</v>
      </c>
      <c r="X137" s="465"/>
      <c r="Y137" s="55">
        <f ca="1">IF(OR(W137="",W137=0),0,IF(W137="X",MatchDay!$U$2+MatchDay!$U$2+1-COUNTIF(Distance!W136:W137,"X"),RANK(W137,$W136:$X151,0)))</f>
        <v>0</v>
      </c>
      <c r="Z137" s="19">
        <f ca="1">IFERROR(IF(Y137=0,0,IF(OR(VLOOKUP(AG137,E144:Y151,21,FALSE)=0,Y137&lt;=VLOOKUP(AG137,E144:Y151,21,FALSE)),"A","B")),"")</f>
        <v>0</v>
      </c>
      <c r="AA137" s="19" t="str">
        <f ca="1">IFERROR(IF(Z137="B","",RANK(AD137,AD136:AD151,1)),"")</f>
        <v/>
      </c>
      <c r="AB137" s="19" t="str">
        <f ca="1">IFERROR(IF(Z137="A","",RANK(AE137,AE136:AE151,1)),"")</f>
        <v/>
      </c>
      <c r="AC137" s="8"/>
      <c r="AD137" s="9" t="str">
        <f t="shared" ref="AD137:AD151" ca="1" si="46">IF(OR(W137=0,Y137=0,Z137="B"),"",Y137)</f>
        <v/>
      </c>
      <c r="AE137" s="9" t="str">
        <f t="shared" ref="AE137:AE151" ca="1" si="47">IF(OR(W137=0,Y137=0,Z137="A"),"",Y137)</f>
        <v/>
      </c>
      <c r="AF137" s="9" t="s">
        <v>138</v>
      </c>
      <c r="AG137" s="4">
        <f>IFERROR(IF(A135=0,E137*11,E137&amp;E137),"")</f>
        <v>22</v>
      </c>
    </row>
    <row r="138" spans="1:33" s="4" customFormat="1" ht="16.149999999999999" customHeight="1" x14ac:dyDescent="0.35">
      <c r="A138" s="8">
        <f>IFERROR(IF(D138&gt;MatchDay!$U$2,"-",VLOOKUP(A132,timetables,MatchDay!$U$4+2,FALSE)),0)</f>
        <v>4</v>
      </c>
      <c r="B138" s="7" t="str">
        <f t="shared" ca="1" si="41"/>
        <v/>
      </c>
      <c r="C138" s="7" t="str">
        <f t="shared" ca="1" si="42"/>
        <v/>
      </c>
      <c r="D138" s="55">
        <v>3</v>
      </c>
      <c r="E138" s="17">
        <f t="shared" si="43"/>
        <v>4</v>
      </c>
      <c r="F138" s="319" t="str">
        <f>IFERROR(VLOOKUP($A132&amp;E138,downloads!$A$1:$E$1000,2,FALSE),"")</f>
        <v/>
      </c>
      <c r="G138" s="18" t="str">
        <f t="shared" si="40"/>
        <v>Macc</v>
      </c>
      <c r="H138" s="464">
        <f ca="1">IFERROR(INDIRECT(CONCATENATE("'Distance Input'!"&amp;B134&amp;C134+2)),"")</f>
        <v>0</v>
      </c>
      <c r="I138" s="465"/>
      <c r="J138" s="464">
        <v>0</v>
      </c>
      <c r="K138" s="465"/>
      <c r="L138" s="464">
        <v>0</v>
      </c>
      <c r="M138" s="465"/>
      <c r="N138" s="470">
        <f t="shared" ca="1" si="44"/>
        <v>0</v>
      </c>
      <c r="O138" s="471"/>
      <c r="P138" s="55">
        <v>0</v>
      </c>
      <c r="Q138" s="472">
        <v>0</v>
      </c>
      <c r="R138" s="472"/>
      <c r="S138" s="472">
        <v>0</v>
      </c>
      <c r="T138" s="472"/>
      <c r="U138" s="472">
        <v>0</v>
      </c>
      <c r="V138" s="472"/>
      <c r="W138" s="464">
        <f t="shared" ca="1" si="45"/>
        <v>0</v>
      </c>
      <c r="X138" s="465"/>
      <c r="Y138" s="55">
        <f ca="1">IF(OR(W138="",W138=0),0,IF(W138="X",MatchDay!$U$2+MatchDay!$U$2+1-COUNTIF(Distance!W136:W138,"X"),RANK(W138,$W136:$X151,0)))</f>
        <v>0</v>
      </c>
      <c r="Z138" s="19">
        <f ca="1">IFERROR(IF(Y138=0,0,IF(OR(VLOOKUP(AG138,E144:Y151,21,FALSE)=0,Y138&lt;=VLOOKUP(AG138,E144:Y151,21,FALSE)),"A","B")),"")</f>
        <v>0</v>
      </c>
      <c r="AA138" s="19" t="str">
        <f ca="1">IFERROR(IF(Z138="B","",RANK(AD138,AD136:AD151,1)),"")</f>
        <v/>
      </c>
      <c r="AB138" s="19" t="str">
        <f ca="1">IFERROR(IF(Z138="A","",RANK(AE138,AE136:AE151,1)),"")</f>
        <v/>
      </c>
      <c r="AD138" s="9" t="str">
        <f t="shared" ca="1" si="46"/>
        <v/>
      </c>
      <c r="AE138" s="9" t="str">
        <f t="shared" ca="1" si="47"/>
        <v/>
      </c>
      <c r="AF138" s="9" t="s">
        <v>138</v>
      </c>
      <c r="AG138" s="4">
        <f>IFERROR(IF(A135=0,E138*11,E138&amp;E138),"")</f>
        <v>44</v>
      </c>
    </row>
    <row r="139" spans="1:33" s="4" customFormat="1" ht="16.149999999999999" customHeight="1" x14ac:dyDescent="0.35">
      <c r="A139" s="8">
        <f>IFERROR(IF(D139&gt;MatchDay!$U$2,"-",VLOOKUP(A132,timetables,MatchDay!$U$4+3,FALSE)),0)</f>
        <v>3</v>
      </c>
      <c r="B139" s="7">
        <f t="shared" ca="1" si="41"/>
        <v>3</v>
      </c>
      <c r="C139" s="7" t="str">
        <f t="shared" ca="1" si="42"/>
        <v/>
      </c>
      <c r="D139" s="55">
        <v>4</v>
      </c>
      <c r="E139" s="17">
        <f t="shared" si="43"/>
        <v>3</v>
      </c>
      <c r="F139" s="319" t="str">
        <f>IFERROR(VLOOKUP($A132&amp;E139,downloads!$A$1:$E$1000,2,FALSE),"")</f>
        <v>Eva MELLING</v>
      </c>
      <c r="G139" s="18" t="str">
        <f t="shared" si="40"/>
        <v>Leigh</v>
      </c>
      <c r="H139" s="464">
        <f ca="1">IFERROR(INDIRECT(CONCATENATE("'Distance Input'!"&amp;B134&amp;C134+3)),"")</f>
        <v>10.74</v>
      </c>
      <c r="I139" s="465"/>
      <c r="J139" s="464">
        <v>0</v>
      </c>
      <c r="K139" s="465"/>
      <c r="L139" s="464">
        <v>0</v>
      </c>
      <c r="M139" s="465"/>
      <c r="N139" s="470">
        <f t="shared" ca="1" si="44"/>
        <v>10.74</v>
      </c>
      <c r="O139" s="471"/>
      <c r="P139" s="55">
        <v>0</v>
      </c>
      <c r="Q139" s="472">
        <v>0</v>
      </c>
      <c r="R139" s="472"/>
      <c r="S139" s="472">
        <v>0</v>
      </c>
      <c r="T139" s="472"/>
      <c r="U139" s="472">
        <v>0</v>
      </c>
      <c r="V139" s="472"/>
      <c r="W139" s="464">
        <f t="shared" ca="1" si="45"/>
        <v>10.74</v>
      </c>
      <c r="X139" s="465"/>
      <c r="Y139" s="55">
        <f ca="1">IF(OR(W139="",W139=0),0,IF(W139="X",MatchDay!$U$2+MatchDay!$U$2+1-COUNTIF(Distance!W136:W139,"X"),RANK(W139,$W136:$X151,0)))</f>
        <v>5</v>
      </c>
      <c r="Z139" s="19" t="str">
        <f ca="1">IFERROR(IF(Y139=0,0,IF(OR(VLOOKUP(AG139,E144:Y151,21,FALSE)=0,Y139&lt;=VLOOKUP(AG139,E144:Y151,21,FALSE)),"A","B")),"")</f>
        <v>A</v>
      </c>
      <c r="AA139" s="19">
        <f ca="1">IFERROR(IF(Z139="B","",RANK(AD139,AD136:AD151,1)),"")</f>
        <v>3</v>
      </c>
      <c r="AB139" s="19" t="str">
        <f ca="1">IFERROR(IF(Z139="A","",RANK(AE139,AE136:AE151,1)),"")</f>
        <v/>
      </c>
      <c r="AD139" s="9">
        <f t="shared" ca="1" si="46"/>
        <v>5</v>
      </c>
      <c r="AE139" s="9" t="str">
        <f t="shared" ca="1" si="47"/>
        <v/>
      </c>
      <c r="AF139" s="9" t="s">
        <v>138</v>
      </c>
      <c r="AG139" s="4">
        <f>IFERROR(IF(A135=0,E139*11,E139&amp;E139),"")</f>
        <v>33</v>
      </c>
    </row>
    <row r="140" spans="1:33" s="4" customFormat="1" ht="16.149999999999999" customHeight="1" x14ac:dyDescent="0.35">
      <c r="A140" s="8">
        <f>IFERROR(IF(D140&gt;MatchDay!$U$2,"-",VLOOKUP(A132,timetables,MatchDay!$U$4+4,FALSE)),0)</f>
        <v>1</v>
      </c>
      <c r="B140" s="7">
        <f t="shared" ca="1" si="41"/>
        <v>2</v>
      </c>
      <c r="C140" s="7" t="str">
        <f t="shared" ca="1" si="42"/>
        <v/>
      </c>
      <c r="D140" s="55">
        <v>5</v>
      </c>
      <c r="E140" s="17">
        <f t="shared" si="43"/>
        <v>1</v>
      </c>
      <c r="F140" s="319" t="str">
        <f>IFERROR(VLOOKUP($A132&amp;E140,downloads!$A$1:$E$1000,2,FALSE),"")</f>
        <v>Elisha CARTER</v>
      </c>
      <c r="G140" s="18" t="str">
        <f t="shared" si="40"/>
        <v>C&amp;N</v>
      </c>
      <c r="H140" s="464">
        <f ca="1">IFERROR(INDIRECT(CONCATENATE("'Distance Input'!"&amp;B134&amp;C134+4)),"")</f>
        <v>12.14</v>
      </c>
      <c r="I140" s="465"/>
      <c r="J140" s="464">
        <v>0</v>
      </c>
      <c r="K140" s="465"/>
      <c r="L140" s="464">
        <v>0</v>
      </c>
      <c r="M140" s="465"/>
      <c r="N140" s="470">
        <f t="shared" ca="1" si="44"/>
        <v>12.14</v>
      </c>
      <c r="O140" s="471"/>
      <c r="P140" s="55">
        <v>0</v>
      </c>
      <c r="Q140" s="472">
        <v>0</v>
      </c>
      <c r="R140" s="472"/>
      <c r="S140" s="472">
        <v>0</v>
      </c>
      <c r="T140" s="472"/>
      <c r="U140" s="472">
        <v>0</v>
      </c>
      <c r="V140" s="472"/>
      <c r="W140" s="464">
        <f t="shared" ca="1" si="45"/>
        <v>12.14</v>
      </c>
      <c r="X140" s="465"/>
      <c r="Y140" s="55">
        <f ca="1">IF(OR(W140="",W140=0),0,IF(W140="X",MatchDay!$U$2+MatchDay!$U$2+1-COUNTIF(Distance!W136:W140,"X"),RANK(W140,$W136:$X151,0)))</f>
        <v>3</v>
      </c>
      <c r="Z140" s="19" t="str">
        <f ca="1">IFERROR(IF(Y140=0,0,IF(OR(VLOOKUP(AG140,E144:Y151,21,FALSE)=0,Y140&lt;=VLOOKUP(AG140,E144:Y151,21,FALSE)),"A","B")),"")</f>
        <v>A</v>
      </c>
      <c r="AA140" s="19">
        <f ca="1">IFERROR(IF(Z140="B","",RANK(AD140,AD136:AD151,1)),"")</f>
        <v>2</v>
      </c>
      <c r="AB140" s="19" t="str">
        <f ca="1">IFERROR(IF(Z140="A","",RANK(AE140,AE136:AE151,1)),"")</f>
        <v/>
      </c>
      <c r="AD140" s="9">
        <f t="shared" ca="1" si="46"/>
        <v>3</v>
      </c>
      <c r="AE140" s="9" t="str">
        <f t="shared" ca="1" si="47"/>
        <v/>
      </c>
      <c r="AF140" s="9" t="s">
        <v>138</v>
      </c>
      <c r="AG140" s="4">
        <f>IFERROR(IF(A135=0,E140*11,E140&amp;E140),"")</f>
        <v>11</v>
      </c>
    </row>
    <row r="141" spans="1:33" s="4" customFormat="1" ht="16.149999999999999" customHeight="1" x14ac:dyDescent="0.35">
      <c r="A141" s="8">
        <f>IFERROR(IF(D141&gt;MatchDay!$U$2,"-",VLOOKUP(A132,timetables,MatchDay!$U$4+5,FALSE)),0)</f>
        <v>5</v>
      </c>
      <c r="B141" s="7">
        <f t="shared" ca="1" si="41"/>
        <v>1</v>
      </c>
      <c r="C141" s="7" t="str">
        <f t="shared" ca="1" si="42"/>
        <v/>
      </c>
      <c r="D141" s="55">
        <v>6</v>
      </c>
      <c r="E141" s="17">
        <f t="shared" si="43"/>
        <v>5</v>
      </c>
      <c r="F141" s="319" t="str">
        <f>IFERROR(VLOOKUP($A132&amp;E141,downloads!$A$1:$E$1000,2,FALSE),"")</f>
        <v>Erin JACOBS</v>
      </c>
      <c r="G141" s="18" t="str">
        <f t="shared" si="40"/>
        <v>Menai</v>
      </c>
      <c r="H141" s="464">
        <f ca="1">IFERROR(INDIRECT(CONCATENATE("'Distance Input'!"&amp;B134&amp;C134+5)),"")</f>
        <v>23.77</v>
      </c>
      <c r="I141" s="465"/>
      <c r="J141" s="464">
        <v>0</v>
      </c>
      <c r="K141" s="465"/>
      <c r="L141" s="464">
        <v>0</v>
      </c>
      <c r="M141" s="465"/>
      <c r="N141" s="470">
        <f t="shared" ca="1" si="44"/>
        <v>23.77</v>
      </c>
      <c r="O141" s="471"/>
      <c r="P141" s="55">
        <v>0</v>
      </c>
      <c r="Q141" s="472">
        <v>0</v>
      </c>
      <c r="R141" s="472"/>
      <c r="S141" s="472">
        <v>0</v>
      </c>
      <c r="T141" s="472"/>
      <c r="U141" s="472">
        <v>0</v>
      </c>
      <c r="V141" s="472"/>
      <c r="W141" s="464">
        <f t="shared" ca="1" si="45"/>
        <v>23.77</v>
      </c>
      <c r="X141" s="465"/>
      <c r="Y141" s="55">
        <f ca="1">IF(OR(W141="",W141=0),0,IF(W141="X",MatchDay!$U$2+MatchDay!$U$2+1-COUNTIF(Distance!W136:W141,"X"),RANK(W141,$W136:$X151,0)))</f>
        <v>1</v>
      </c>
      <c r="Z141" s="19" t="str">
        <f ca="1">IFERROR(IF(Y141=0,0,IF(OR(VLOOKUP(AG141,E144:Y151,21,FALSE)=0,Y141&lt;=VLOOKUP(AG141,E144:Y151,21,FALSE)),"A","B")),"")</f>
        <v>A</v>
      </c>
      <c r="AA141" s="19">
        <f ca="1">IFERROR(IF(Z141="B","",RANK(AD141,AD136:AD151,1)),"")</f>
        <v>1</v>
      </c>
      <c r="AB141" s="19" t="str">
        <f ca="1">IFERROR(IF(Z141="A","",RANK(AE141,AE136:AE151,1)),"")</f>
        <v/>
      </c>
      <c r="AD141" s="9">
        <f t="shared" ca="1" si="46"/>
        <v>1</v>
      </c>
      <c r="AE141" s="9" t="str">
        <f t="shared" ca="1" si="47"/>
        <v/>
      </c>
      <c r="AF141" s="9" t="s">
        <v>138</v>
      </c>
      <c r="AG141" s="4">
        <f>IFERROR(IF(A135=0,E141*11,E141&amp;E141),"")</f>
        <v>55</v>
      </c>
    </row>
    <row r="142" spans="1:33" s="4" customFormat="1" ht="16.149999999999999" customHeight="1" x14ac:dyDescent="0.35">
      <c r="A142" s="8">
        <f>IFERROR(IF(D142&gt;MatchDay!$U$2,"-",VLOOKUP(A132,timetables,MatchDay!$U$4+6,FALSE)),0)</f>
        <v>7</v>
      </c>
      <c r="B142" s="7" t="str">
        <f t="shared" ca="1" si="41"/>
        <v/>
      </c>
      <c r="C142" s="7" t="str">
        <f t="shared" ca="1" si="42"/>
        <v/>
      </c>
      <c r="D142" s="55">
        <v>7</v>
      </c>
      <c r="E142" s="17">
        <f t="shared" si="43"/>
        <v>7</v>
      </c>
      <c r="F142" s="319" t="str">
        <f>IFERROR(VLOOKUP($A132&amp;E142,downloads!$A$1:$E$1000,2,FALSE),"")</f>
        <v/>
      </c>
      <c r="G142" s="18" t="str">
        <f t="shared" si="40"/>
        <v>Wigan</v>
      </c>
      <c r="H142" s="464">
        <f ca="1">IFERROR(INDIRECT(CONCATENATE("'Distance Input'!"&amp;B134&amp;C134+6)),"")</f>
        <v>0</v>
      </c>
      <c r="I142" s="465"/>
      <c r="J142" s="464">
        <v>0</v>
      </c>
      <c r="K142" s="465"/>
      <c r="L142" s="464">
        <v>0</v>
      </c>
      <c r="M142" s="465"/>
      <c r="N142" s="470">
        <f t="shared" ca="1" si="44"/>
        <v>0</v>
      </c>
      <c r="O142" s="471"/>
      <c r="P142" s="55">
        <v>0</v>
      </c>
      <c r="Q142" s="472">
        <v>0</v>
      </c>
      <c r="R142" s="472"/>
      <c r="S142" s="472">
        <v>0</v>
      </c>
      <c r="T142" s="472"/>
      <c r="U142" s="472">
        <v>0</v>
      </c>
      <c r="V142" s="472"/>
      <c r="W142" s="464">
        <f t="shared" ca="1" si="45"/>
        <v>0</v>
      </c>
      <c r="X142" s="465"/>
      <c r="Y142" s="55">
        <f ca="1">IF(OR(W142="",W142=0),0,IF(W142="X",MatchDay!$U$2+MatchDay!$U$2+1-COUNTIF(Distance!W136:W142,"X"),RANK(W142,$W136:$X151,0)))</f>
        <v>0</v>
      </c>
      <c r="Z142" s="19">
        <f ca="1">IFERROR(IF(Y142=0,0,IF(OR(VLOOKUP(AG142,E144:Y151,21,FALSE)=0,Y142&lt;=VLOOKUP(AG142,E144:Y151,21,FALSE)),"A","B")),"")</f>
        <v>0</v>
      </c>
      <c r="AA142" s="19" t="str">
        <f ca="1">IFERROR(IF(Z142="B","",RANK(AD142,AD136:AD151,1)),"")</f>
        <v/>
      </c>
      <c r="AB142" s="19" t="str">
        <f ca="1">IFERROR(IF(Z142="A","",RANK(AE142,AE136:AE151,1)),"")</f>
        <v/>
      </c>
      <c r="AD142" s="9" t="str">
        <f t="shared" ca="1" si="46"/>
        <v/>
      </c>
      <c r="AE142" s="9" t="str">
        <f t="shared" ca="1" si="47"/>
        <v/>
      </c>
      <c r="AF142" s="9" t="s">
        <v>138</v>
      </c>
      <c r="AG142" s="4">
        <f>IFERROR(IF(A135=0,E142*11,E142&amp;E142),"")</f>
        <v>77</v>
      </c>
    </row>
    <row r="143" spans="1:33" s="4" customFormat="1" ht="16.149999999999999" customHeight="1" x14ac:dyDescent="0.35">
      <c r="A143" s="8" t="str">
        <f>IFERROR(IF(D143&gt;MatchDay!$U$2,"-",VLOOKUP(A132,timetables,MatchDay!$U$4+7,FALSE)),0)</f>
        <v>-</v>
      </c>
      <c r="B143" s="7" t="str">
        <f t="shared" ca="1" si="41"/>
        <v/>
      </c>
      <c r="C143" s="7" t="str">
        <f t="shared" ca="1" si="42"/>
        <v/>
      </c>
      <c r="D143" s="55">
        <v>8</v>
      </c>
      <c r="E143" s="17" t="str">
        <f t="shared" si="43"/>
        <v>-</v>
      </c>
      <c r="F143" s="319" t="str">
        <f>IFERROR(VLOOKUP($A132&amp;E143,downloads!$A$1:$E$1000,2,FALSE),"")</f>
        <v/>
      </c>
      <c r="G143" s="18" t="str">
        <f t="shared" si="40"/>
        <v/>
      </c>
      <c r="H143" s="464">
        <f ca="1">IFERROR(INDIRECT(CONCATENATE("'Distance Input'!"&amp;B134&amp;C134+7)),"")</f>
        <v>0</v>
      </c>
      <c r="I143" s="465"/>
      <c r="J143" s="464">
        <v>0</v>
      </c>
      <c r="K143" s="465"/>
      <c r="L143" s="464">
        <v>0</v>
      </c>
      <c r="M143" s="465"/>
      <c r="N143" s="470">
        <f t="shared" ca="1" si="44"/>
        <v>0</v>
      </c>
      <c r="O143" s="471"/>
      <c r="P143" s="55">
        <v>0</v>
      </c>
      <c r="Q143" s="472">
        <v>0</v>
      </c>
      <c r="R143" s="472"/>
      <c r="S143" s="472">
        <v>0</v>
      </c>
      <c r="T143" s="472"/>
      <c r="U143" s="472">
        <v>0</v>
      </c>
      <c r="V143" s="472"/>
      <c r="W143" s="464">
        <f t="shared" ca="1" si="45"/>
        <v>0</v>
      </c>
      <c r="X143" s="465"/>
      <c r="Y143" s="55">
        <f ca="1">IF(OR(W143="",W143=0),0,IF(W143="X",MatchDay!$U$2+MatchDay!$U$2+1-COUNTIF(Distance!W136:W143,"X"),RANK(W143,$W136:$X151,0)))</f>
        <v>0</v>
      </c>
      <c r="Z143" s="19">
        <f ca="1">IFERROR(IF(Y143=0,0,IF(OR(VLOOKUP(AG143,E144:Y151,21,FALSE)=0,Y143&lt;=VLOOKUP(AG143,E144:Y151,21,FALSE)),"A","B")),"")</f>
        <v>0</v>
      </c>
      <c r="AA143" s="19" t="str">
        <f ca="1">IFERROR(IF(Z143="B","",RANK(AD143,AD136:AD151,1)),"")</f>
        <v/>
      </c>
      <c r="AB143" s="19" t="str">
        <f ca="1">IFERROR(IF(Z143="A","",RANK(AE143,AE136:AE151,1)),"")</f>
        <v/>
      </c>
      <c r="AD143" s="9" t="str">
        <f t="shared" ca="1" si="46"/>
        <v/>
      </c>
      <c r="AE143" s="9" t="str">
        <f t="shared" ca="1" si="47"/>
        <v/>
      </c>
      <c r="AF143" s="9" t="s">
        <v>138</v>
      </c>
      <c r="AG143" s="4" t="str">
        <f>IFERROR(IF(A135=0,E143*11,E143&amp;E143),"")</f>
        <v/>
      </c>
    </row>
    <row r="144" spans="1:33" s="4" customFormat="1" ht="16.149999999999999" customHeight="1" x14ac:dyDescent="0.35">
      <c r="A144" s="8">
        <f>IFERROR(IF(A135=0,A136*11,A136&amp;A136),"-")</f>
        <v>66</v>
      </c>
      <c r="B144" s="7" t="str">
        <f t="shared" ca="1" si="41"/>
        <v/>
      </c>
      <c r="C144" s="7" t="str">
        <f t="shared" ca="1" si="42"/>
        <v/>
      </c>
      <c r="D144" s="55">
        <v>9</v>
      </c>
      <c r="E144" s="17">
        <f t="shared" si="43"/>
        <v>66</v>
      </c>
      <c r="F144" s="319" t="str">
        <f>IFERROR(VLOOKUP($A132&amp;E144,downloads!$A$1:$E$1000,2,FALSE),"")</f>
        <v/>
      </c>
      <c r="G144" s="18" t="str">
        <f t="shared" si="40"/>
        <v>Stock</v>
      </c>
      <c r="H144" s="464">
        <f ca="1">IFERROR(INDIRECT(CONCATENATE("'Distance Input'!"&amp;B134&amp;C134+8)),"")</f>
        <v>0</v>
      </c>
      <c r="I144" s="465"/>
      <c r="J144" s="464">
        <v>0</v>
      </c>
      <c r="K144" s="465"/>
      <c r="L144" s="464">
        <v>0</v>
      </c>
      <c r="M144" s="465"/>
      <c r="N144" s="470">
        <f t="shared" ca="1" si="44"/>
        <v>0</v>
      </c>
      <c r="O144" s="471"/>
      <c r="P144" s="55">
        <v>0</v>
      </c>
      <c r="Q144" s="472">
        <v>0</v>
      </c>
      <c r="R144" s="472"/>
      <c r="S144" s="472">
        <v>0</v>
      </c>
      <c r="T144" s="472"/>
      <c r="U144" s="472">
        <v>0</v>
      </c>
      <c r="V144" s="472"/>
      <c r="W144" s="464">
        <f t="shared" ca="1" si="45"/>
        <v>0</v>
      </c>
      <c r="X144" s="465"/>
      <c r="Y144" s="55">
        <f ca="1">IF(OR(W144="",W144=0),0,IF(W144="X",MatchDay!$U$2+MatchDay!$U$2+1-COUNTIF(Distance!W136:W144,"X"),RANK(W144,$W136:$X151,0)))</f>
        <v>0</v>
      </c>
      <c r="Z144" s="19">
        <f ca="1">IFERROR(IF(Y144=0,0,IF(VLOOKUP(AG144,E136:Y143,21,FALSE)=0,"A",IF(Y144&gt;=VLOOKUP(AG144,E136:Y143,21,FALSE),"B","A"))),"")</f>
        <v>0</v>
      </c>
      <c r="AA144" s="19" t="str">
        <f ca="1">IFERROR(IF(Z144="B","",RANK(AD144,AD136:AD151,1)),"")</f>
        <v/>
      </c>
      <c r="AB144" s="19" t="str">
        <f ca="1">IFERROR(IF(Z144="A","",RANK(AE144,AE136:AE151,1)),"")</f>
        <v/>
      </c>
      <c r="AD144" s="9" t="str">
        <f t="shared" ca="1" si="46"/>
        <v/>
      </c>
      <c r="AE144" s="9" t="str">
        <f t="shared" ca="1" si="47"/>
        <v/>
      </c>
      <c r="AF144" s="9" t="s">
        <v>138</v>
      </c>
      <c r="AG144" s="4">
        <f>IFERROR(IF(A135=0,E144/11,LEFT(E144,1)),"")</f>
        <v>6</v>
      </c>
    </row>
    <row r="145" spans="1:33" s="4" customFormat="1" ht="16.149999999999999" customHeight="1" x14ac:dyDescent="0.35">
      <c r="A145" s="8">
        <f>IFERROR(IF(A135=0,A137*11,A137&amp;A137),"-")</f>
        <v>22</v>
      </c>
      <c r="B145" s="7" t="str">
        <f t="shared" ca="1" si="41"/>
        <v/>
      </c>
      <c r="C145" s="7" t="str">
        <f t="shared" ca="1" si="42"/>
        <v/>
      </c>
      <c r="D145" s="55">
        <v>10</v>
      </c>
      <c r="E145" s="17">
        <f t="shared" si="43"/>
        <v>22</v>
      </c>
      <c r="F145" s="319" t="str">
        <f>IFERROR(VLOOKUP($A132&amp;E145,downloads!$A$1:$E$1000,2,FALSE),"")</f>
        <v/>
      </c>
      <c r="G145" s="18" t="str">
        <f t="shared" si="40"/>
        <v>ECHT</v>
      </c>
      <c r="H145" s="464">
        <f ca="1">IFERROR(INDIRECT(CONCATENATE("'Distance Input'!"&amp;B134&amp;C134+9)),"")</f>
        <v>0</v>
      </c>
      <c r="I145" s="465"/>
      <c r="J145" s="464">
        <v>0</v>
      </c>
      <c r="K145" s="465"/>
      <c r="L145" s="464">
        <v>0</v>
      </c>
      <c r="M145" s="465"/>
      <c r="N145" s="470">
        <f t="shared" ca="1" si="44"/>
        <v>0</v>
      </c>
      <c r="O145" s="471"/>
      <c r="P145" s="55">
        <v>0</v>
      </c>
      <c r="Q145" s="472">
        <v>0</v>
      </c>
      <c r="R145" s="472"/>
      <c r="S145" s="472">
        <v>0</v>
      </c>
      <c r="T145" s="472"/>
      <c r="U145" s="472">
        <v>0</v>
      </c>
      <c r="V145" s="472"/>
      <c r="W145" s="464">
        <f t="shared" ca="1" si="45"/>
        <v>0</v>
      </c>
      <c r="X145" s="465"/>
      <c r="Y145" s="55">
        <f ca="1">IF(OR(W145="",W145=0),0,IF(W145="X",MatchDay!$U$2+MatchDay!$U$2+1-COUNTIF(Distance!W136:W145,"X"),RANK(W145,$W136:$X151,0)))</f>
        <v>0</v>
      </c>
      <c r="Z145" s="19">
        <f ca="1">IFERROR(IF(Y145=0,0,IF(VLOOKUP(AG145,E136:Y143,21,FALSE)=0,"A",IF(Y145&gt;=VLOOKUP(AG145,E136:Y143,21,FALSE),"B","A"))),"")</f>
        <v>0</v>
      </c>
      <c r="AA145" s="19" t="str">
        <f ca="1">IFERROR(IF(Z145="B","",RANK(AD145,AD136:AD151,1)),"")</f>
        <v/>
      </c>
      <c r="AB145" s="19" t="str">
        <f ca="1">IFERROR(IF(Z145="A","",RANK(AE145,AE136:AE151,1)),"")</f>
        <v/>
      </c>
      <c r="AD145" s="9" t="str">
        <f t="shared" ca="1" si="46"/>
        <v/>
      </c>
      <c r="AE145" s="9" t="str">
        <f t="shared" ca="1" si="47"/>
        <v/>
      </c>
      <c r="AF145" s="9" t="s">
        <v>138</v>
      </c>
      <c r="AG145" s="4">
        <f>IFERROR(IF(A135=0,E145/11,LEFT(E145,1)),"")</f>
        <v>2</v>
      </c>
    </row>
    <row r="146" spans="1:33" s="4" customFormat="1" ht="16.149999999999999" customHeight="1" x14ac:dyDescent="0.35">
      <c r="A146" s="8">
        <f>IFERROR(IF(A135=0,A138*11,A138&amp;A138),"-")</f>
        <v>44</v>
      </c>
      <c r="B146" s="7" t="str">
        <f t="shared" ca="1" si="41"/>
        <v/>
      </c>
      <c r="C146" s="7" t="str">
        <f t="shared" ca="1" si="42"/>
        <v/>
      </c>
      <c r="D146" s="55">
        <v>11</v>
      </c>
      <c r="E146" s="17">
        <f t="shared" si="43"/>
        <v>44</v>
      </c>
      <c r="F146" s="319" t="str">
        <f>IFERROR(VLOOKUP($A132&amp;E146,downloads!$A$1:$E$1000,2,FALSE),"")</f>
        <v/>
      </c>
      <c r="G146" s="18" t="str">
        <f t="shared" si="40"/>
        <v>Macc</v>
      </c>
      <c r="H146" s="464">
        <f ca="1">IFERROR(INDIRECT(CONCATENATE("'Distance Input'!"&amp;B134&amp;C134+10)),"")</f>
        <v>0</v>
      </c>
      <c r="I146" s="465"/>
      <c r="J146" s="464">
        <v>0</v>
      </c>
      <c r="K146" s="465"/>
      <c r="L146" s="464">
        <v>0</v>
      </c>
      <c r="M146" s="465"/>
      <c r="N146" s="470">
        <f t="shared" ca="1" si="44"/>
        <v>0</v>
      </c>
      <c r="O146" s="471"/>
      <c r="P146" s="55">
        <v>0</v>
      </c>
      <c r="Q146" s="472">
        <v>0</v>
      </c>
      <c r="R146" s="472"/>
      <c r="S146" s="472">
        <v>0</v>
      </c>
      <c r="T146" s="472"/>
      <c r="U146" s="472">
        <v>0</v>
      </c>
      <c r="V146" s="472"/>
      <c r="W146" s="464">
        <f t="shared" ca="1" si="45"/>
        <v>0</v>
      </c>
      <c r="X146" s="465"/>
      <c r="Y146" s="55">
        <f ca="1">IF(OR(W146="",W146=0),0,IF(W146="X",MatchDay!$U$2+MatchDay!$U$2+1-COUNTIF(Distance!W136:W146,"X"),RANK(W146,$W136:$X151,0)))</f>
        <v>0</v>
      </c>
      <c r="Z146" s="19">
        <f ca="1">IFERROR(IF(Y146=0,0,IF(VLOOKUP(AG146,E136:Y143,21,FALSE)=0,"A",IF(Y146&gt;=VLOOKUP(AG146,E136:Y143,21,FALSE),"B","A"))),"")</f>
        <v>0</v>
      </c>
      <c r="AA146" s="19" t="str">
        <f ca="1">IFERROR(IF(Z146="B","",RANK(AD146,AD136:AD151,1)),"")</f>
        <v/>
      </c>
      <c r="AB146" s="19" t="str">
        <f ca="1">IFERROR(IF(Z146="A","",RANK(AE146,AE136:AE151,1)),"")</f>
        <v/>
      </c>
      <c r="AD146" s="9" t="str">
        <f t="shared" ca="1" si="46"/>
        <v/>
      </c>
      <c r="AE146" s="9" t="str">
        <f t="shared" ca="1" si="47"/>
        <v/>
      </c>
      <c r="AF146" s="9" t="s">
        <v>138</v>
      </c>
      <c r="AG146" s="4">
        <f>IFERROR(IF(A135=0,E146/11,LEFT(E146,1)),"")</f>
        <v>4</v>
      </c>
    </row>
    <row r="147" spans="1:33" s="4" customFormat="1" ht="16.149999999999999" customHeight="1" x14ac:dyDescent="0.35">
      <c r="A147" s="8">
        <f>IFERROR(IF(A135=0,A139*11,A139&amp;A139),"-")</f>
        <v>33</v>
      </c>
      <c r="B147" s="7" t="str">
        <f t="shared" ca="1" si="41"/>
        <v/>
      </c>
      <c r="C147" s="7" t="str">
        <f t="shared" ca="1" si="42"/>
        <v/>
      </c>
      <c r="D147" s="55">
        <v>12</v>
      </c>
      <c r="E147" s="17">
        <f t="shared" si="43"/>
        <v>33</v>
      </c>
      <c r="F147" s="319" t="str">
        <f>IFERROR(VLOOKUP($A132&amp;E147,downloads!$A$1:$E$1000,2,FALSE),"")</f>
        <v/>
      </c>
      <c r="G147" s="18" t="str">
        <f t="shared" si="40"/>
        <v>Leigh</v>
      </c>
      <c r="H147" s="464">
        <f ca="1">IFERROR(INDIRECT(CONCATENATE("'Distance Input'!"&amp;B134&amp;C134+11)),"")</f>
        <v>0</v>
      </c>
      <c r="I147" s="465"/>
      <c r="J147" s="464">
        <v>0</v>
      </c>
      <c r="K147" s="465"/>
      <c r="L147" s="464">
        <v>0</v>
      </c>
      <c r="M147" s="465"/>
      <c r="N147" s="470">
        <f t="shared" ca="1" si="44"/>
        <v>0</v>
      </c>
      <c r="O147" s="471"/>
      <c r="P147" s="55">
        <v>0</v>
      </c>
      <c r="Q147" s="472">
        <v>0</v>
      </c>
      <c r="R147" s="472"/>
      <c r="S147" s="472">
        <v>0</v>
      </c>
      <c r="T147" s="472"/>
      <c r="U147" s="472">
        <v>0</v>
      </c>
      <c r="V147" s="472"/>
      <c r="W147" s="464">
        <f t="shared" ca="1" si="45"/>
        <v>0</v>
      </c>
      <c r="X147" s="465"/>
      <c r="Y147" s="55">
        <f ca="1">IF(OR(W147="",W147=0),0,IF(W147="X",MatchDay!$U$2+MatchDay!$U$2+1-COUNTIF(Distance!W136:W147,"X"),RANK(W147,$W136:$X151,0)))</f>
        <v>0</v>
      </c>
      <c r="Z147" s="19">
        <f ca="1">IFERROR(IF(Y147=0,0,IF(VLOOKUP(AG147,E136:Y143,21,FALSE)=0,"A",IF(Y147&gt;=VLOOKUP(AG147,E136:Y143,21,FALSE),"B","A"))),"")</f>
        <v>0</v>
      </c>
      <c r="AA147" s="19" t="str">
        <f ca="1">IFERROR(IF(Z147="B","",RANK(AD147,AD136:AD151,1)),"")</f>
        <v/>
      </c>
      <c r="AB147" s="19" t="str">
        <f ca="1">IFERROR(IF(Z147="A","",RANK(AE147,AE136:AE151,1)),"")</f>
        <v/>
      </c>
      <c r="AD147" s="9" t="str">
        <f t="shared" ca="1" si="46"/>
        <v/>
      </c>
      <c r="AE147" s="9" t="str">
        <f t="shared" ca="1" si="47"/>
        <v/>
      </c>
      <c r="AF147" s="9" t="s">
        <v>138</v>
      </c>
      <c r="AG147" s="4">
        <f>IFERROR(IF(A135=0,E147/11,LEFT(E147,1)),"")</f>
        <v>3</v>
      </c>
    </row>
    <row r="148" spans="1:33" s="4" customFormat="1" ht="16.149999999999999" customHeight="1" x14ac:dyDescent="0.35">
      <c r="A148" s="8">
        <f>IFERROR(IF(A135=0,A140*11,A140&amp;A140),"-")</f>
        <v>11</v>
      </c>
      <c r="B148" s="7" t="str">
        <f t="shared" ca="1" si="41"/>
        <v/>
      </c>
      <c r="C148" s="7">
        <f t="shared" ca="1" si="42"/>
        <v>2</v>
      </c>
      <c r="D148" s="55">
        <v>13</v>
      </c>
      <c r="E148" s="17">
        <f t="shared" si="43"/>
        <v>11</v>
      </c>
      <c r="F148" s="319" t="str">
        <f>IFERROR(VLOOKUP($A132&amp;E148,downloads!$A$1:$E$1000,2,FALSE),"")</f>
        <v>Freya MASON</v>
      </c>
      <c r="G148" s="18" t="str">
        <f t="shared" si="40"/>
        <v>C&amp;N</v>
      </c>
      <c r="H148" s="464">
        <f ca="1">IFERROR(INDIRECT(CONCATENATE("'Distance Input'!"&amp;B134&amp;C134+12)),"")</f>
        <v>10.82</v>
      </c>
      <c r="I148" s="465"/>
      <c r="J148" s="464">
        <v>0</v>
      </c>
      <c r="K148" s="465"/>
      <c r="L148" s="464">
        <v>0</v>
      </c>
      <c r="M148" s="465"/>
      <c r="N148" s="470">
        <f t="shared" ca="1" si="44"/>
        <v>10.82</v>
      </c>
      <c r="O148" s="471"/>
      <c r="P148" s="55">
        <v>0</v>
      </c>
      <c r="Q148" s="472">
        <v>0</v>
      </c>
      <c r="R148" s="472"/>
      <c r="S148" s="472">
        <v>0</v>
      </c>
      <c r="T148" s="472"/>
      <c r="U148" s="472">
        <v>0</v>
      </c>
      <c r="V148" s="472"/>
      <c r="W148" s="464">
        <f t="shared" ca="1" si="45"/>
        <v>10.82</v>
      </c>
      <c r="X148" s="465"/>
      <c r="Y148" s="55">
        <f ca="1">IF(OR(W148="",W148=0),0,IF(W148="X",MatchDay!$U$2+MatchDay!$U$2+1-COUNTIF(Distance!W136:W148,"X"),RANK(W148,$W136:$X151,0)))</f>
        <v>4</v>
      </c>
      <c r="Z148" s="19" t="str">
        <f ca="1">IFERROR(IF(Y148=0,0,IF(VLOOKUP(AG148,E136:Y143,21,FALSE)=0,"A",IF(Y148&gt;=VLOOKUP(AG148,E136:Y143,21,FALSE),"B","A"))),"")</f>
        <v>B</v>
      </c>
      <c r="AA148" s="19" t="str">
        <f ca="1">IFERROR(IF(Z148="B","",RANK(AD148,AD136:AD151,1)),"")</f>
        <v/>
      </c>
      <c r="AB148" s="19">
        <f ca="1">IFERROR(IF(Z148="A","",RANK(AE148,AE136:AE151,1)),"")</f>
        <v>2</v>
      </c>
      <c r="AD148" s="9" t="str">
        <f t="shared" ca="1" si="46"/>
        <v/>
      </c>
      <c r="AE148" s="9">
        <f t="shared" ca="1" si="47"/>
        <v>4</v>
      </c>
      <c r="AF148" s="9" t="s">
        <v>138</v>
      </c>
      <c r="AG148" s="4">
        <f>IFERROR(IF(A135=0,E148/11,LEFT(E148,1)),"")</f>
        <v>1</v>
      </c>
    </row>
    <row r="149" spans="1:33" s="4" customFormat="1" ht="16.149999999999999" customHeight="1" x14ac:dyDescent="0.35">
      <c r="A149" s="8">
        <f>IFERROR(IF(A135=0,A141*11,A141&amp;A141),"-")</f>
        <v>55</v>
      </c>
      <c r="B149" s="7" t="str">
        <f t="shared" ca="1" si="41"/>
        <v/>
      </c>
      <c r="C149" s="7">
        <f t="shared" ca="1" si="42"/>
        <v>1</v>
      </c>
      <c r="D149" s="55">
        <v>14</v>
      </c>
      <c r="E149" s="17">
        <f t="shared" si="43"/>
        <v>55</v>
      </c>
      <c r="F149" s="319" t="str">
        <f>IFERROR(VLOOKUP($A132&amp;E149,downloads!$A$1:$E$1000,2,FALSE),"")</f>
        <v>Elliw MOSS</v>
      </c>
      <c r="G149" s="18" t="str">
        <f t="shared" si="40"/>
        <v>Menai</v>
      </c>
      <c r="H149" s="464">
        <f ca="1">IFERROR(INDIRECT(CONCATENATE("'Distance Input'!"&amp;B134&amp;C134+13)),"")</f>
        <v>15.99</v>
      </c>
      <c r="I149" s="465"/>
      <c r="J149" s="464">
        <v>0</v>
      </c>
      <c r="K149" s="465"/>
      <c r="L149" s="464">
        <v>0</v>
      </c>
      <c r="M149" s="465"/>
      <c r="N149" s="470">
        <f t="shared" ca="1" si="44"/>
        <v>15.99</v>
      </c>
      <c r="O149" s="471"/>
      <c r="P149" s="55">
        <v>0</v>
      </c>
      <c r="Q149" s="472">
        <v>0</v>
      </c>
      <c r="R149" s="472"/>
      <c r="S149" s="472">
        <v>0</v>
      </c>
      <c r="T149" s="472"/>
      <c r="U149" s="472">
        <v>0</v>
      </c>
      <c r="V149" s="472"/>
      <c r="W149" s="464">
        <f t="shared" ca="1" si="45"/>
        <v>15.99</v>
      </c>
      <c r="X149" s="465"/>
      <c r="Y149" s="55">
        <f ca="1">IF(OR(W149="",W149=0),0,IF(W149="X",MatchDay!$U$2+MatchDay!$U$2+1-COUNTIF(Distance!W136:W149,"X"),RANK(W149,$W136:$X151,0)))</f>
        <v>2</v>
      </c>
      <c r="Z149" s="19" t="str">
        <f ca="1">IFERROR(IF(Y149=0,0,IF(VLOOKUP(AG149,E136:Y143,21,FALSE)=0,"A",IF(Y149&gt;=VLOOKUP(AG149,E136:Y143,21,FALSE),"B","A"))),"")</f>
        <v>B</v>
      </c>
      <c r="AA149" s="19" t="str">
        <f ca="1">IFERROR(IF(Z149="B","",RANK(AD149,AD136:AD151,1)),"")</f>
        <v/>
      </c>
      <c r="AB149" s="19">
        <f ca="1">IFERROR(IF(Z149="A","",RANK(AE149,AE136:AE151,1)),"")</f>
        <v>1</v>
      </c>
      <c r="AD149" s="9" t="str">
        <f t="shared" ca="1" si="46"/>
        <v/>
      </c>
      <c r="AE149" s="9">
        <f t="shared" ca="1" si="47"/>
        <v>2</v>
      </c>
      <c r="AF149" s="9" t="s">
        <v>138</v>
      </c>
      <c r="AG149" s="4">
        <f>IFERROR(IF(A135=0,E149/11,LEFT(E149,1)),"")</f>
        <v>5</v>
      </c>
    </row>
    <row r="150" spans="1:33" s="4" customFormat="1" ht="16.149999999999999" customHeight="1" x14ac:dyDescent="0.35">
      <c r="A150" s="8">
        <f>IFERROR(IF(A135=0,A142*11,A142&amp;A142),"-")</f>
        <v>77</v>
      </c>
      <c r="B150" s="7" t="str">
        <f t="shared" ca="1" si="41"/>
        <v/>
      </c>
      <c r="C150" s="7" t="str">
        <f t="shared" ca="1" si="42"/>
        <v/>
      </c>
      <c r="D150" s="55">
        <v>15</v>
      </c>
      <c r="E150" s="17">
        <f t="shared" si="43"/>
        <v>77</v>
      </c>
      <c r="F150" s="319" t="str">
        <f>IFERROR(VLOOKUP($A132&amp;E150,downloads!$A$1:$E$1000,2,FALSE),"")</f>
        <v/>
      </c>
      <c r="G150" s="18" t="str">
        <f t="shared" si="40"/>
        <v>Wigan</v>
      </c>
      <c r="H150" s="464">
        <f ca="1">IFERROR(INDIRECT(CONCATENATE("'Distance Input'!"&amp;B134&amp;C134+14)),"")</f>
        <v>0</v>
      </c>
      <c r="I150" s="465"/>
      <c r="J150" s="464">
        <v>0</v>
      </c>
      <c r="K150" s="465"/>
      <c r="L150" s="464">
        <v>0</v>
      </c>
      <c r="M150" s="465"/>
      <c r="N150" s="470">
        <f t="shared" ca="1" si="44"/>
        <v>0</v>
      </c>
      <c r="O150" s="471"/>
      <c r="P150" s="55">
        <v>0</v>
      </c>
      <c r="Q150" s="472">
        <v>0</v>
      </c>
      <c r="R150" s="472"/>
      <c r="S150" s="472">
        <v>0</v>
      </c>
      <c r="T150" s="472"/>
      <c r="U150" s="472">
        <v>0</v>
      </c>
      <c r="V150" s="472"/>
      <c r="W150" s="464">
        <f t="shared" ca="1" si="45"/>
        <v>0</v>
      </c>
      <c r="X150" s="465"/>
      <c r="Y150" s="55">
        <f ca="1">IF(OR(W150="",W150=0),0,IF(W150="X",MatchDay!$U$2+MatchDay!$U$2+1-COUNTIF(Distance!W136:W150,"X"),RANK(W150,$W136:$X151,0)))</f>
        <v>0</v>
      </c>
      <c r="Z150" s="19">
        <f ca="1">IFERROR(IF(Y150=0,0,IF(VLOOKUP(AG150,E136:Y143,21,FALSE)=0,"A",IF(Y150&gt;=VLOOKUP(AG150,E136:Y143,21,FALSE),"B","A"))),"")</f>
        <v>0</v>
      </c>
      <c r="AA150" s="19" t="str">
        <f ca="1">IFERROR(IF(Z150="B","",RANK(AD150,AD136:AD151,1)),"")</f>
        <v/>
      </c>
      <c r="AB150" s="19" t="str">
        <f ca="1">IFERROR(IF(Z150="A","",RANK(AE150,AE136:AE151,1)),"")</f>
        <v/>
      </c>
      <c r="AD150" s="9" t="str">
        <f t="shared" ca="1" si="46"/>
        <v/>
      </c>
      <c r="AE150" s="9" t="str">
        <f t="shared" ca="1" si="47"/>
        <v/>
      </c>
      <c r="AF150" s="9" t="s">
        <v>138</v>
      </c>
      <c r="AG150" s="4">
        <f>IFERROR(IF(A135=0,E150/11,LEFT(E150,1)),"")</f>
        <v>7</v>
      </c>
    </row>
    <row r="151" spans="1:33" s="4" customFormat="1" ht="16.149999999999999" customHeight="1" x14ac:dyDescent="0.35">
      <c r="A151" s="8" t="str">
        <f>IFERROR(IF(A135=0,A143*11,A143&amp;A143),"-")</f>
        <v>-</v>
      </c>
      <c r="B151" s="7" t="str">
        <f t="shared" ca="1" si="41"/>
        <v/>
      </c>
      <c r="C151" s="7" t="str">
        <f t="shared" ca="1" si="42"/>
        <v/>
      </c>
      <c r="D151" s="55">
        <v>16</v>
      </c>
      <c r="E151" s="17" t="str">
        <f t="shared" si="43"/>
        <v>-</v>
      </c>
      <c r="F151" s="319" t="str">
        <f>IFERROR(VLOOKUP($A132&amp;E151,downloads!$A$1:$E$1000,2,FALSE),"")</f>
        <v/>
      </c>
      <c r="G151" s="18" t="str">
        <f t="shared" si="40"/>
        <v/>
      </c>
      <c r="H151" s="464">
        <f ca="1">IFERROR(INDIRECT(CONCATENATE("'Distance Input'!"&amp;B134&amp;C134+15)),"")</f>
        <v>0</v>
      </c>
      <c r="I151" s="465"/>
      <c r="J151" s="464">
        <v>0</v>
      </c>
      <c r="K151" s="465"/>
      <c r="L151" s="464">
        <v>0</v>
      </c>
      <c r="M151" s="465"/>
      <c r="N151" s="470">
        <f t="shared" ca="1" si="44"/>
        <v>0</v>
      </c>
      <c r="O151" s="471"/>
      <c r="P151" s="55">
        <v>0</v>
      </c>
      <c r="Q151" s="472">
        <v>0</v>
      </c>
      <c r="R151" s="472"/>
      <c r="S151" s="472">
        <v>0</v>
      </c>
      <c r="T151" s="472"/>
      <c r="U151" s="472">
        <v>0</v>
      </c>
      <c r="V151" s="472"/>
      <c r="W151" s="464">
        <f t="shared" ca="1" si="45"/>
        <v>0</v>
      </c>
      <c r="X151" s="465"/>
      <c r="Y151" s="55">
        <f ca="1">IF(OR(W151="",W151=0),0,IF(W151="X",MatchDay!$U$2+MatchDay!$U$2+1-COUNTIF(Distance!W136:W151,"X"),RANK(W151,$W136:$X151,0)))</f>
        <v>0</v>
      </c>
      <c r="Z151" s="19">
        <f ca="1">IFERROR(IF(Y151=0,0,IF(VLOOKUP(AG151,E136:Y143,21,FALSE)=0,"A",IF(Y151&gt;=VLOOKUP(AG151,E136:Y143,21,FALSE),"B","A"))),"")</f>
        <v>0</v>
      </c>
      <c r="AA151" s="19" t="str">
        <f ca="1">IFERROR(IF(Z151="B","",RANK(AD151,AD136:AD151,1)),"")</f>
        <v/>
      </c>
      <c r="AB151" s="19" t="str">
        <f ca="1">IFERROR(IF(Z151="A","",RANK(AE151,AE136:AE151,1)),"")</f>
        <v/>
      </c>
      <c r="AD151" s="9" t="str">
        <f t="shared" ca="1" si="46"/>
        <v/>
      </c>
      <c r="AE151" s="9" t="str">
        <f t="shared" ca="1" si="47"/>
        <v/>
      </c>
      <c r="AF151" s="9" t="s">
        <v>138</v>
      </c>
      <c r="AG151" s="4" t="str">
        <f>IFERROR(IF(A135=0,E151/11,LEFT(E151,1)),"")</f>
        <v/>
      </c>
    </row>
    <row r="152" spans="1:33" s="4" customFormat="1" x14ac:dyDescent="0.25">
      <c r="A152" s="8"/>
      <c r="B152" s="10"/>
      <c r="C152" s="3"/>
      <c r="D152" s="20"/>
      <c r="E152" s="20"/>
      <c r="F152" s="21"/>
      <c r="G152" s="21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2"/>
    </row>
    <row r="153" spans="1:33" s="4" customFormat="1" x14ac:dyDescent="0.25">
      <c r="A153" s="8"/>
      <c r="B153" s="10"/>
      <c r="C153" s="3"/>
      <c r="D153" s="469" t="s">
        <v>139</v>
      </c>
      <c r="E153" s="473"/>
      <c r="F153" s="473"/>
      <c r="G153" s="473"/>
      <c r="H153" s="473"/>
      <c r="I153" s="473"/>
      <c r="J153" s="466" t="s">
        <v>140</v>
      </c>
      <c r="K153" s="474"/>
      <c r="L153" s="474"/>
      <c r="M153" s="474"/>
      <c r="N153" s="474"/>
      <c r="O153" s="474"/>
      <c r="P153" s="474"/>
      <c r="Q153" s="474"/>
      <c r="R153" s="474"/>
      <c r="S153" s="474"/>
      <c r="T153" s="474"/>
      <c r="U153" s="475"/>
      <c r="V153" s="466" t="s">
        <v>1136</v>
      </c>
      <c r="W153" s="467"/>
      <c r="X153" s="467"/>
      <c r="Y153" s="467"/>
      <c r="Z153" s="467"/>
      <c r="AA153" s="467"/>
      <c r="AB153" s="468"/>
    </row>
    <row r="154" spans="1:33" s="4" customFormat="1" x14ac:dyDescent="0.25">
      <c r="A154" s="8" t="s">
        <v>55</v>
      </c>
      <c r="B154" s="10"/>
      <c r="C154" s="3"/>
      <c r="D154" s="12"/>
      <c r="E154" s="55" t="s">
        <v>141</v>
      </c>
      <c r="F154" s="55" t="s">
        <v>124</v>
      </c>
      <c r="G154" s="55" t="s">
        <v>125</v>
      </c>
      <c r="H154" s="469" t="s">
        <v>142</v>
      </c>
      <c r="I154" s="469"/>
      <c r="J154" s="23"/>
      <c r="K154" s="54" t="s">
        <v>141</v>
      </c>
      <c r="L154" s="466" t="s">
        <v>124</v>
      </c>
      <c r="M154" s="467"/>
      <c r="N154" s="467"/>
      <c r="O154" s="468"/>
      <c r="P154" s="466" t="s">
        <v>125</v>
      </c>
      <c r="Q154" s="467"/>
      <c r="R154" s="467"/>
      <c r="S154" s="468"/>
      <c r="T154" s="466" t="s">
        <v>142</v>
      </c>
      <c r="U154" s="468"/>
      <c r="V154" s="24"/>
      <c r="W154" s="25"/>
      <c r="X154" s="25"/>
      <c r="Y154" s="25"/>
      <c r="Z154" s="25"/>
      <c r="AA154" s="25"/>
      <c r="AB154" s="26"/>
    </row>
    <row r="155" spans="1:33" s="4" customFormat="1" ht="16.149999999999999" customHeight="1" x14ac:dyDescent="0.25">
      <c r="A155" s="11">
        <f>IFERROR(VLOOKUP(A132,standards,3,FALSE),"-")</f>
        <v>14</v>
      </c>
      <c r="B155" s="10">
        <v>1</v>
      </c>
      <c r="C155" s="3"/>
      <c r="D155" s="55">
        <v>1</v>
      </c>
      <c r="E155" s="19">
        <f ca="1">IFERROR(IF(OR(H136=98,H136=99),H136,VLOOKUP(B155,B136:E151,4,FALSE)),0)</f>
        <v>5</v>
      </c>
      <c r="F155" s="27" t="str">
        <f ca="1">IFERROR(VLOOKUP(E155,$E136:$F151,2,FALSE),"")</f>
        <v>Erin JACOBS</v>
      </c>
      <c r="G155" s="18" t="str">
        <f t="shared" ref="G155:G162" ca="1" si="48">IFERROR(VLOOKUP(E155,teamlookup,5,FALSE),"-")</f>
        <v>Menai</v>
      </c>
      <c r="H155" s="459">
        <f ca="1">IFERROR(VLOOKUP(E155,E136:X151,19,FALSE),"")</f>
        <v>23.77</v>
      </c>
      <c r="I155" s="460"/>
      <c r="J155" s="55">
        <v>1</v>
      </c>
      <c r="K155" s="55">
        <f ca="1">IFERROR(VLOOKUP(B155,C136:X151,3,FALSE),"")</f>
        <v>55</v>
      </c>
      <c r="L155" s="461" t="str">
        <f ca="1">IFERROR(VLOOKUP(K155,$E136:$F151,2,FALSE),"")</f>
        <v>Elliw MOSS</v>
      </c>
      <c r="M155" s="462"/>
      <c r="N155" s="462"/>
      <c r="O155" s="463"/>
      <c r="P155" s="461" t="str">
        <f t="shared" ref="P155:P162" ca="1" si="49">IFERROR(VLOOKUP(K155,teamlookup,5,FALSE),"-")</f>
        <v>Menai</v>
      </c>
      <c r="Q155" s="462"/>
      <c r="R155" s="462"/>
      <c r="S155" s="463"/>
      <c r="T155" s="464">
        <f ca="1">IFERROR(VLOOKUP(K155,E136:X151,19,FALSE),"")</f>
        <v>15.99</v>
      </c>
      <c r="U155" s="465"/>
      <c r="V155" s="28"/>
      <c r="W155" s="29"/>
      <c r="X155" s="29"/>
      <c r="Y155" s="29"/>
      <c r="Z155" s="29"/>
      <c r="AA155" s="29"/>
      <c r="AB155" s="30"/>
    </row>
    <row r="156" spans="1:33" s="4" customFormat="1" ht="16.149999999999999" customHeight="1" x14ac:dyDescent="0.25">
      <c r="A156" s="11">
        <f>IFERROR(VLOOKUP(A132,standards,4,FALSE),"-")</f>
        <v>16</v>
      </c>
      <c r="B156" s="10">
        <v>2</v>
      </c>
      <c r="C156" s="3"/>
      <c r="D156" s="55">
        <v>2</v>
      </c>
      <c r="E156" s="19">
        <f ca="1">IFERROR(VLOOKUP(B156,B136:E151,4,FALSE),"")</f>
        <v>1</v>
      </c>
      <c r="F156" s="27" t="str">
        <f ca="1">IFERROR(VLOOKUP(E156,$E136:$F151,2,FALSE),"")</f>
        <v>Elisha CARTER</v>
      </c>
      <c r="G156" s="18" t="str">
        <f t="shared" ca="1" si="48"/>
        <v>C&amp;N</v>
      </c>
      <c r="H156" s="459">
        <f ca="1">IFERROR(VLOOKUP(E156,E136:X151,19,FALSE),"")</f>
        <v>12.14</v>
      </c>
      <c r="I156" s="460"/>
      <c r="J156" s="55">
        <v>2</v>
      </c>
      <c r="K156" s="55">
        <f ca="1">IFERROR(VLOOKUP(B156,C136:X151,3,FALSE),"")</f>
        <v>11</v>
      </c>
      <c r="L156" s="461" t="str">
        <f ca="1">IFERROR(VLOOKUP(K156,$E136:$F151,2,FALSE),"")</f>
        <v>Freya MASON</v>
      </c>
      <c r="M156" s="462"/>
      <c r="N156" s="462"/>
      <c r="O156" s="463"/>
      <c r="P156" s="461" t="str">
        <f t="shared" ca="1" si="49"/>
        <v>C&amp;N</v>
      </c>
      <c r="Q156" s="462"/>
      <c r="R156" s="462"/>
      <c r="S156" s="463"/>
      <c r="T156" s="464">
        <f ca="1">IFERROR(VLOOKUP(K156,E136:X151,19,FALSE),"")</f>
        <v>10.82</v>
      </c>
      <c r="U156" s="465"/>
      <c r="V156" s="24"/>
      <c r="W156" s="25"/>
      <c r="X156" s="25"/>
      <c r="Y156" s="25"/>
      <c r="Z156" s="25"/>
      <c r="AA156" s="25"/>
      <c r="AB156" s="26"/>
    </row>
    <row r="157" spans="1:33" s="4" customFormat="1" ht="16.149999999999999" customHeight="1" x14ac:dyDescent="0.25">
      <c r="A157" s="11">
        <f>IFERROR(VLOOKUP(A132,standards,5,FALSE),"-")</f>
        <v>18</v>
      </c>
      <c r="B157" s="10">
        <v>3</v>
      </c>
      <c r="C157" s="3"/>
      <c r="D157" s="55">
        <v>3</v>
      </c>
      <c r="E157" s="19">
        <f ca="1">IFERROR(VLOOKUP(B157,B136:E151,4,FALSE),"")</f>
        <v>3</v>
      </c>
      <c r="F157" s="27" t="str">
        <f ca="1">IFERROR(VLOOKUP(E157,$E136:$F151,2,FALSE),"")</f>
        <v>Eva MELLING</v>
      </c>
      <c r="G157" s="18" t="str">
        <f t="shared" ca="1" si="48"/>
        <v>Leigh</v>
      </c>
      <c r="H157" s="459">
        <f ca="1">IFERROR(VLOOKUP(E157,E136:X151,19,FALSE),"")</f>
        <v>10.74</v>
      </c>
      <c r="I157" s="460"/>
      <c r="J157" s="55">
        <v>3</v>
      </c>
      <c r="K157" s="55" t="str">
        <f ca="1">IFERROR(VLOOKUP(B157,C136:X151,3,FALSE),"")</f>
        <v/>
      </c>
      <c r="L157" s="461" t="str">
        <f ca="1">IFERROR(VLOOKUP(K157,$E136:$F151,2,FALSE),"")</f>
        <v/>
      </c>
      <c r="M157" s="462"/>
      <c r="N157" s="462"/>
      <c r="O157" s="463"/>
      <c r="P157" s="461" t="str">
        <f t="shared" ca="1" si="49"/>
        <v>-</v>
      </c>
      <c r="Q157" s="462"/>
      <c r="R157" s="462"/>
      <c r="S157" s="463"/>
      <c r="T157" s="464" t="str">
        <f ca="1">IFERROR(VLOOKUP(K157,E136:X151,19,FALSE),"")</f>
        <v/>
      </c>
      <c r="U157" s="465"/>
      <c r="V157" s="28"/>
      <c r="W157" s="29"/>
      <c r="X157" s="29"/>
      <c r="Y157" s="29"/>
      <c r="Z157" s="29"/>
      <c r="AA157" s="29"/>
      <c r="AB157" s="30"/>
    </row>
    <row r="158" spans="1:33" s="4" customFormat="1" ht="16.149999999999999" customHeight="1" x14ac:dyDescent="0.25">
      <c r="A158" s="11">
        <f>IFERROR(VLOOKUP(A132,EA!A:K,6,FALSE),"-")</f>
        <v>20</v>
      </c>
      <c r="B158" s="10">
        <v>4</v>
      </c>
      <c r="C158" s="3"/>
      <c r="D158" s="55">
        <v>4</v>
      </c>
      <c r="E158" s="19" t="str">
        <f ca="1">IFERROR(VLOOKUP(B158,B136:E151,4,FALSE),"")</f>
        <v/>
      </c>
      <c r="F158" s="27" t="str">
        <f ca="1">IFERROR(VLOOKUP(E158,$E136:$F151,2,FALSE),"")</f>
        <v/>
      </c>
      <c r="G158" s="18" t="str">
        <f t="shared" ca="1" si="48"/>
        <v>-</v>
      </c>
      <c r="H158" s="459" t="str">
        <f ca="1">IFERROR(VLOOKUP(E158,E136:X151,19,FALSE),"")</f>
        <v/>
      </c>
      <c r="I158" s="460"/>
      <c r="J158" s="55">
        <v>4</v>
      </c>
      <c r="K158" s="55" t="str">
        <f ca="1">IFERROR(VLOOKUP(B158,C136:X151,3,FALSE),"")</f>
        <v/>
      </c>
      <c r="L158" s="461" t="str">
        <f ca="1">IFERROR(VLOOKUP(K158,$E136:$F151,2,FALSE),"")</f>
        <v/>
      </c>
      <c r="M158" s="462"/>
      <c r="N158" s="462"/>
      <c r="O158" s="463"/>
      <c r="P158" s="461" t="str">
        <f t="shared" ca="1" si="49"/>
        <v>-</v>
      </c>
      <c r="Q158" s="462"/>
      <c r="R158" s="462"/>
      <c r="S158" s="463"/>
      <c r="T158" s="464" t="str">
        <f ca="1">IFERROR(VLOOKUP(K158,E136:X151,19,FALSE),"")</f>
        <v/>
      </c>
      <c r="U158" s="465"/>
      <c r="V158" s="24"/>
      <c r="W158" s="25"/>
      <c r="X158" s="25"/>
      <c r="Y158" s="25"/>
      <c r="Z158" s="25"/>
      <c r="AA158" s="25"/>
      <c r="AB158" s="26"/>
    </row>
    <row r="159" spans="1:33" s="4" customFormat="1" ht="16.149999999999999" customHeight="1" x14ac:dyDescent="0.25">
      <c r="A159" s="8"/>
      <c r="B159" s="10">
        <v>5</v>
      </c>
      <c r="C159" s="3"/>
      <c r="D159" s="55">
        <v>5</v>
      </c>
      <c r="E159" s="19" t="str">
        <f ca="1">IFERROR(VLOOKUP(B159,B136:E151,4,FALSE),"")</f>
        <v/>
      </c>
      <c r="F159" s="27" t="str">
        <f ca="1">IFERROR(VLOOKUP(E159,$E136:$F151,2,FALSE),"")</f>
        <v/>
      </c>
      <c r="G159" s="18" t="str">
        <f t="shared" ca="1" si="48"/>
        <v>-</v>
      </c>
      <c r="H159" s="459" t="str">
        <f ca="1">IFERROR(VLOOKUP(E159,E136:X151,19,FALSE),"")</f>
        <v/>
      </c>
      <c r="I159" s="460"/>
      <c r="J159" s="55">
        <v>5</v>
      </c>
      <c r="K159" s="55" t="str">
        <f ca="1">IFERROR(VLOOKUP(B159,C136:X151,3,FALSE),"")</f>
        <v/>
      </c>
      <c r="L159" s="461" t="str">
        <f ca="1">IFERROR(VLOOKUP(K159,$E136:$F151,2,FALSE),"")</f>
        <v/>
      </c>
      <c r="M159" s="462"/>
      <c r="N159" s="462"/>
      <c r="O159" s="463"/>
      <c r="P159" s="461" t="str">
        <f t="shared" ca="1" si="49"/>
        <v>-</v>
      </c>
      <c r="Q159" s="462"/>
      <c r="R159" s="462"/>
      <c r="S159" s="463"/>
      <c r="T159" s="464" t="str">
        <f ca="1">IFERROR(VLOOKUP(K159,E136:X151,19,FALSE),"")</f>
        <v/>
      </c>
      <c r="U159" s="465"/>
      <c r="V159" s="28"/>
      <c r="W159" s="29"/>
      <c r="X159" s="29"/>
      <c r="Y159" s="29"/>
      <c r="Z159" s="29"/>
      <c r="AA159" s="29"/>
      <c r="AB159" s="30"/>
    </row>
    <row r="160" spans="1:33" s="4" customFormat="1" ht="16.149999999999999" customHeight="1" x14ac:dyDescent="0.25">
      <c r="A160" s="8" t="s">
        <v>151</v>
      </c>
      <c r="B160" s="10">
        <v>6</v>
      </c>
      <c r="C160" s="3"/>
      <c r="D160" s="55">
        <v>6</v>
      </c>
      <c r="E160" s="19" t="str">
        <f ca="1">IFERROR(VLOOKUP(B160,B136:E151,4,FALSE),"")</f>
        <v/>
      </c>
      <c r="F160" s="27" t="str">
        <f ca="1">IFERROR(VLOOKUP(E160,$E136:$F151,2,FALSE),"")</f>
        <v/>
      </c>
      <c r="G160" s="18" t="str">
        <f t="shared" ca="1" si="48"/>
        <v>-</v>
      </c>
      <c r="H160" s="459" t="str">
        <f ca="1">IFERROR(VLOOKUP(E160,E136:X151,19,FALSE),"")</f>
        <v/>
      </c>
      <c r="I160" s="460"/>
      <c r="J160" s="55">
        <v>6</v>
      </c>
      <c r="K160" s="55" t="str">
        <f ca="1">IFERROR(VLOOKUP(B160,C136:X151,3,FALSE),"")</f>
        <v/>
      </c>
      <c r="L160" s="461" t="str">
        <f ca="1">IFERROR(VLOOKUP(K160,$E136:$F151,2,FALSE),"")</f>
        <v/>
      </c>
      <c r="M160" s="462"/>
      <c r="N160" s="462"/>
      <c r="O160" s="463"/>
      <c r="P160" s="461" t="str">
        <f t="shared" ca="1" si="49"/>
        <v>-</v>
      </c>
      <c r="Q160" s="462"/>
      <c r="R160" s="462"/>
      <c r="S160" s="463"/>
      <c r="T160" s="464" t="str">
        <f ca="1">IFERROR(VLOOKUP(K160,E136:X151,19,FALSE),"")</f>
        <v/>
      </c>
      <c r="U160" s="465"/>
      <c r="V160" s="466" t="s">
        <v>1135</v>
      </c>
      <c r="W160" s="467"/>
      <c r="X160" s="467"/>
      <c r="Y160" s="467"/>
      <c r="Z160" s="467"/>
      <c r="AA160" s="467"/>
      <c r="AB160" s="468"/>
    </row>
    <row r="161" spans="1:33" s="4" customFormat="1" ht="16.149999999999999" customHeight="1" x14ac:dyDescent="0.25">
      <c r="A161" s="8">
        <f>IFERROR(VLOOKUP(A132,records,5,FALSE),"")</f>
        <v>39.94</v>
      </c>
      <c r="B161" s="10">
        <v>7</v>
      </c>
      <c r="C161" s="3"/>
      <c r="D161" s="55">
        <v>7</v>
      </c>
      <c r="E161" s="19" t="str">
        <f ca="1">IFERROR(VLOOKUP(B161,B136:E151,4,FALSE),"")</f>
        <v/>
      </c>
      <c r="F161" s="27" t="str">
        <f ca="1">IFERROR(VLOOKUP(E161,$E136:$F151,2,FALSE),"")</f>
        <v/>
      </c>
      <c r="G161" s="18" t="str">
        <f t="shared" ca="1" si="48"/>
        <v>-</v>
      </c>
      <c r="H161" s="459" t="str">
        <f ca="1">IFERROR(VLOOKUP(E161,E136:X151,19,FALSE),"")</f>
        <v/>
      </c>
      <c r="I161" s="460"/>
      <c r="J161" s="55">
        <v>7</v>
      </c>
      <c r="K161" s="55" t="str">
        <f ca="1">IFERROR(VLOOKUP(B161,C136:X151,3,FALSE),"")</f>
        <v/>
      </c>
      <c r="L161" s="461" t="str">
        <f ca="1">IFERROR(VLOOKUP(K161,$E136:$F151,2,FALSE),"")</f>
        <v/>
      </c>
      <c r="M161" s="462"/>
      <c r="N161" s="462"/>
      <c r="O161" s="463"/>
      <c r="P161" s="461" t="str">
        <f t="shared" ca="1" si="49"/>
        <v>-</v>
      </c>
      <c r="Q161" s="462"/>
      <c r="R161" s="462"/>
      <c r="S161" s="463"/>
      <c r="T161" s="464" t="str">
        <f ca="1">IFERROR(VLOOKUP(K161,E136:X151,19,FALSE),"")</f>
        <v/>
      </c>
      <c r="U161" s="465"/>
      <c r="V161" s="24"/>
      <c r="W161" s="25"/>
      <c r="X161" s="25"/>
      <c r="Y161" s="25"/>
      <c r="Z161" s="25"/>
      <c r="AA161" s="25"/>
      <c r="AB161" s="26"/>
    </row>
    <row r="162" spans="1:33" s="4" customFormat="1" ht="16.149999999999999" customHeight="1" x14ac:dyDescent="0.25">
      <c r="A162" s="8"/>
      <c r="B162" s="10">
        <v>8</v>
      </c>
      <c r="C162" s="3"/>
      <c r="D162" s="55">
        <v>8</v>
      </c>
      <c r="E162" s="19" t="str">
        <f ca="1">IFERROR(VLOOKUP(B162,B136:E151,4,FALSE),"")</f>
        <v/>
      </c>
      <c r="F162" s="27" t="str">
        <f ca="1">IFERROR(VLOOKUP(E162,$E136:$F151,2,FALSE),"")</f>
        <v/>
      </c>
      <c r="G162" s="18" t="str">
        <f t="shared" ca="1" si="48"/>
        <v>-</v>
      </c>
      <c r="H162" s="459" t="str">
        <f ca="1">IFERROR(VLOOKUP(E162,E136:X151,19,FALSE),"")</f>
        <v/>
      </c>
      <c r="I162" s="460"/>
      <c r="J162" s="55">
        <v>8</v>
      </c>
      <c r="K162" s="55" t="str">
        <f ca="1">IFERROR(VLOOKUP(B162,C136:X151,3,FALSE),"")</f>
        <v/>
      </c>
      <c r="L162" s="461" t="str">
        <f ca="1">IFERROR(VLOOKUP(K162,$E136:$F151,2,FALSE),"")</f>
        <v/>
      </c>
      <c r="M162" s="462"/>
      <c r="N162" s="462"/>
      <c r="O162" s="463"/>
      <c r="P162" s="461" t="str">
        <f t="shared" ca="1" si="49"/>
        <v>-</v>
      </c>
      <c r="Q162" s="462"/>
      <c r="R162" s="462"/>
      <c r="S162" s="463"/>
      <c r="T162" s="464" t="str">
        <f ca="1">IFERROR(VLOOKUP(K162,E136:X151,19,FALSE),"")</f>
        <v/>
      </c>
      <c r="U162" s="465"/>
      <c r="V162" s="28"/>
      <c r="W162" s="29"/>
      <c r="X162" s="29"/>
      <c r="Y162" s="29"/>
      <c r="Z162" s="29"/>
      <c r="AA162" s="29"/>
      <c r="AB162" s="30"/>
    </row>
    <row r="163" spans="1:33" s="4" customFormat="1" ht="21" x14ac:dyDescent="0.25">
      <c r="A163" s="2" t="str">
        <f>MatchDay!$U$6</f>
        <v>X</v>
      </c>
      <c r="B163" s="8"/>
      <c r="C163" s="3"/>
      <c r="D163" s="499" t="s">
        <v>143</v>
      </c>
      <c r="E163" s="500"/>
      <c r="F163" s="500"/>
      <c r="G163" s="500"/>
      <c r="H163" s="500"/>
      <c r="I163" s="500"/>
      <c r="J163" s="500"/>
      <c r="K163" s="501" t="s">
        <v>144</v>
      </c>
      <c r="L163" s="502"/>
      <c r="M163" s="502"/>
      <c r="N163" s="502"/>
      <c r="O163" s="503" t="str">
        <f>MatchDay!$C$2&amp;" "&amp;MatchDay!$C$3&amp;" "&amp;MatchDay!$C$4</f>
        <v>LOWER NORTH West 2</v>
      </c>
      <c r="P163" s="504"/>
      <c r="Q163" s="504"/>
      <c r="R163" s="504"/>
      <c r="S163" s="504"/>
      <c r="T163" s="504"/>
      <c r="U163" s="504"/>
      <c r="V163" s="504"/>
      <c r="W163" s="504"/>
      <c r="X163" s="504"/>
      <c r="Y163" s="504"/>
      <c r="Z163" s="504"/>
      <c r="AA163" s="504"/>
      <c r="AB163" s="505"/>
    </row>
    <row r="164" spans="1:33" s="4" customFormat="1" ht="15.75" customHeight="1" x14ac:dyDescent="0.25">
      <c r="A164" s="1" t="str">
        <f>IFERROR(IF(LEFT(MatchDay!$C$2,1)="L","L"&amp;A166,"U"&amp;A166),"")</f>
        <v>LFD06</v>
      </c>
      <c r="B164" s="10">
        <v>187</v>
      </c>
      <c r="C164" s="3"/>
      <c r="D164" s="466" t="s">
        <v>145</v>
      </c>
      <c r="E164" s="468"/>
      <c r="F164" s="467" t="str">
        <f>IFERROR(UPPER(VLOOKUP(A165,teamlookup,6,FALSE)),"")</f>
        <v/>
      </c>
      <c r="G164" s="468"/>
      <c r="H164" s="476" t="s">
        <v>149</v>
      </c>
      <c r="I164" s="480"/>
      <c r="J164" s="477"/>
      <c r="K164" s="466" t="str">
        <f>MatchDay!$C$8</f>
        <v>Macclesfield Leisure Centre</v>
      </c>
      <c r="L164" s="467"/>
      <c r="M164" s="467"/>
      <c r="N164" s="467"/>
      <c r="O164" s="467"/>
      <c r="P164" s="468"/>
      <c r="Q164" s="476" t="s">
        <v>119</v>
      </c>
      <c r="R164" s="477"/>
      <c r="S164" s="494">
        <f>MatchDay!$C$7</f>
        <v>45053</v>
      </c>
      <c r="T164" s="495"/>
      <c r="U164" s="495"/>
      <c r="V164" s="495"/>
      <c r="W164" s="495"/>
      <c r="X164" s="496"/>
      <c r="Y164" s="497" t="str">
        <f>IFERROR(IF(LEFT(A164,1)="L","",VLOOKUP(A164,EA!$A:$N,8,FALSE)),"")</f>
        <v/>
      </c>
      <c r="Z164" s="498"/>
      <c r="AA164" s="464" t="str">
        <f>IFERROR(IF(LEFT(A164,1)="L","",VLOOKUP(A164,standards,9,FALSE)),"")</f>
        <v/>
      </c>
      <c r="AB164" s="465"/>
      <c r="AC164" s="6"/>
      <c r="AD164" s="6"/>
    </row>
    <row r="165" spans="1:33" s="4" customFormat="1" ht="15.75" customHeight="1" x14ac:dyDescent="0.25">
      <c r="A165" s="5">
        <f>IFERROR(IF(A163=1,VLOOKUP(A164,judges,VLOOKUP(MatchDay!$U$2*10+MatchDay!$C$5,judgesp,5,FALSE),FALSE),VLOOKUP(Distance!A164,judges,VLOOKUP(MatchDay!$U$2*10+MatchDay!$C$5,judges2,5,FALSE),FALSE)),"")</f>
        <v>4</v>
      </c>
      <c r="B165" s="138"/>
      <c r="C165" s="3"/>
      <c r="D165" s="476" t="s">
        <v>120</v>
      </c>
      <c r="E165" s="477"/>
      <c r="F165" s="478" t="str">
        <f>IFERROR(VLOOKUP(A164,timetables,2,FALSE)&amp;" "&amp;VLOOKUP(A164,timetables,3,FALSE),"")</f>
        <v>Shot U15 Boys</v>
      </c>
      <c r="G165" s="479"/>
      <c r="H165" s="476" t="s">
        <v>121</v>
      </c>
      <c r="I165" s="480"/>
      <c r="J165" s="477"/>
      <c r="K165" s="481">
        <f>IFERROR(IF(A163=1,VLOOKUP(A164,Timetables!$A:$G,6,FALSE),VLOOKUP(A164,Timetables!$A:$G,7,FALSE)),"")</f>
        <v>0.55208333333333337</v>
      </c>
      <c r="L165" s="481" t="e">
        <v>#N/A</v>
      </c>
      <c r="M165" s="476" t="s">
        <v>150</v>
      </c>
      <c r="N165" s="477"/>
      <c r="O165" s="482" t="str">
        <f>IFERROR(VLOOKUP(A164,records,3,FALSE)&amp;", "&amp;VLOOKUP(A164,records,4,FALSE)&amp;", "&amp;VLOOKUP(A164,records,5,FALSE)&amp;", "&amp;VLOOKUP(A164,records,6,FALSE)&amp;", "&amp;VLOOKUP(A164,records,7,FALSE)&amp;" "&amp;VLOOKUP(A164,records,8,FALSE),"")</f>
        <v/>
      </c>
      <c r="P165" s="482"/>
      <c r="Q165" s="482"/>
      <c r="R165" s="482"/>
      <c r="S165" s="482"/>
      <c r="T165" s="482"/>
      <c r="U165" s="482"/>
      <c r="V165" s="482"/>
      <c r="W165" s="482"/>
      <c r="X165" s="482"/>
      <c r="Y165" s="482"/>
      <c r="Z165" s="482"/>
      <c r="AA165" s="482"/>
      <c r="AB165" s="483"/>
    </row>
    <row r="166" spans="1:33" s="4" customFormat="1" ht="32.1" customHeight="1" x14ac:dyDescent="0.25">
      <c r="A166" s="5" t="s">
        <v>209</v>
      </c>
      <c r="B166" s="10" t="str">
        <f>IFERROR(VLOOKUP($A166,fdistance,2,FALSE),"")</f>
        <v>M</v>
      </c>
      <c r="C166" s="10">
        <f>IFERROR(VLOOKUP($A166,fdistance,3,FALSE),"")</f>
        <v>42</v>
      </c>
      <c r="D166" s="31" t="s">
        <v>122</v>
      </c>
      <c r="E166" s="13" t="s">
        <v>123</v>
      </c>
      <c r="F166" s="13" t="s">
        <v>124</v>
      </c>
      <c r="G166" s="14" t="s">
        <v>125</v>
      </c>
      <c r="H166" s="484" t="s">
        <v>126</v>
      </c>
      <c r="I166" s="485"/>
      <c r="J166" s="485" t="s">
        <v>127</v>
      </c>
      <c r="K166" s="485"/>
      <c r="L166" s="485" t="s">
        <v>128</v>
      </c>
      <c r="M166" s="485"/>
      <c r="N166" s="485" t="s">
        <v>129</v>
      </c>
      <c r="O166" s="485"/>
      <c r="P166" s="486" t="s">
        <v>130</v>
      </c>
      <c r="Q166" s="485" t="s">
        <v>131</v>
      </c>
      <c r="R166" s="485"/>
      <c r="S166" s="485" t="s">
        <v>132</v>
      </c>
      <c r="T166" s="485"/>
      <c r="U166" s="485" t="s">
        <v>133</v>
      </c>
      <c r="V166" s="485"/>
      <c r="W166" s="488" t="s">
        <v>134</v>
      </c>
      <c r="X166" s="489"/>
      <c r="Y166" s="490" t="s">
        <v>135</v>
      </c>
      <c r="Z166" s="492" t="s">
        <v>136</v>
      </c>
      <c r="AA166" s="493"/>
      <c r="AB166" s="484"/>
    </row>
    <row r="167" spans="1:33" s="4" customFormat="1" x14ac:dyDescent="0.3">
      <c r="A167" s="121">
        <f>IFERROR(SEARCH("U17",F165),0)</f>
        <v>0</v>
      </c>
      <c r="B167" s="7" t="s">
        <v>53</v>
      </c>
      <c r="C167" s="7" t="s">
        <v>54</v>
      </c>
      <c r="D167" s="56"/>
      <c r="E167" s="56"/>
      <c r="F167" s="15"/>
      <c r="G167" s="16"/>
      <c r="H167" s="468" t="s">
        <v>137</v>
      </c>
      <c r="I167" s="469"/>
      <c r="J167" s="469" t="s">
        <v>137</v>
      </c>
      <c r="K167" s="469"/>
      <c r="L167" s="469" t="s">
        <v>137</v>
      </c>
      <c r="M167" s="469"/>
      <c r="N167" s="469" t="s">
        <v>137</v>
      </c>
      <c r="O167" s="469"/>
      <c r="P167" s="487"/>
      <c r="Q167" s="469" t="s">
        <v>137</v>
      </c>
      <c r="R167" s="469"/>
      <c r="S167" s="469" t="s">
        <v>137</v>
      </c>
      <c r="T167" s="469"/>
      <c r="U167" s="469" t="s">
        <v>137</v>
      </c>
      <c r="V167" s="469"/>
      <c r="W167" s="469" t="s">
        <v>137</v>
      </c>
      <c r="X167" s="466"/>
      <c r="Y167" s="491"/>
      <c r="Z167" s="55"/>
      <c r="AA167" s="55" t="s">
        <v>53</v>
      </c>
      <c r="AB167" s="55" t="s">
        <v>54</v>
      </c>
    </row>
    <row r="168" spans="1:33" s="4" customFormat="1" ht="16.149999999999999" customHeight="1" x14ac:dyDescent="0.35">
      <c r="A168" s="8">
        <f>IFERROR(IF(D168&gt;MatchDay!$U$2,"-",VLOOKUP(A164,timetables,MatchDay!$U$4,FALSE)),0)</f>
        <v>4</v>
      </c>
      <c r="B168" s="7" t="str">
        <f ca="1">AA168</f>
        <v/>
      </c>
      <c r="C168" s="7" t="str">
        <f ca="1">AB168</f>
        <v/>
      </c>
      <c r="D168" s="56">
        <v>1</v>
      </c>
      <c r="E168" s="17">
        <f>A168</f>
        <v>4</v>
      </c>
      <c r="F168" s="319" t="str">
        <f>IFERROR(VLOOKUP($A164&amp;E168,downloads!$A$1:$E$1000,2,FALSE),"")</f>
        <v/>
      </c>
      <c r="G168" s="18" t="str">
        <f t="shared" ref="G168:G183" si="50">IFERROR(VLOOKUP(E168,teamlookup,5,FALSE),"-")</f>
        <v>Macc</v>
      </c>
      <c r="H168" s="464">
        <f ca="1">IFERROR(INDIRECT(CONCATENATE("'Distance Input'!"&amp;B166&amp;C166)),"")</f>
        <v>0</v>
      </c>
      <c r="I168" s="465"/>
      <c r="J168" s="464">
        <v>0</v>
      </c>
      <c r="K168" s="465"/>
      <c r="L168" s="464">
        <v>0</v>
      </c>
      <c r="M168" s="465"/>
      <c r="N168" s="470">
        <f ca="1">H168</f>
        <v>0</v>
      </c>
      <c r="O168" s="471"/>
      <c r="P168" s="55">
        <v>0</v>
      </c>
      <c r="Q168" s="472">
        <v>0</v>
      </c>
      <c r="R168" s="472"/>
      <c r="S168" s="472">
        <v>0</v>
      </c>
      <c r="T168" s="472"/>
      <c r="U168" s="472">
        <v>0</v>
      </c>
      <c r="V168" s="472"/>
      <c r="W168" s="464">
        <f ca="1">N168</f>
        <v>0</v>
      </c>
      <c r="X168" s="465"/>
      <c r="Y168" s="55">
        <f ca="1">IF(OR(W168="",W168=0),0,IF(W168="X",MatchDay!$U$2+MatchDay!$U$2+1-COUNTIF(Distance!W168:W168,"X"),RANK(W168,$W168:$X183,0)))</f>
        <v>0</v>
      </c>
      <c r="Z168" s="19">
        <f ca="1">IFERROR(IF(Y168=0,0,IF(OR(VLOOKUP(AG168,E176:Y183,21,FALSE)=0,Y168&lt;=VLOOKUP(AG168,E176:Y183,21,FALSE)),"A","B")),"")</f>
        <v>0</v>
      </c>
      <c r="AA168" s="19" t="str">
        <f ca="1">IFERROR(IF(Z168="B","",RANK(AD168,AD168:AD183,1)),"")</f>
        <v/>
      </c>
      <c r="AB168" s="19" t="str">
        <f ca="1">IFERROR(IF(Z168="A","",RANK(AE168,AE168:AE183,1)),"")</f>
        <v/>
      </c>
      <c r="AC168" s="8"/>
      <c r="AD168" s="9" t="str">
        <f ca="1">IF(OR(W168=0,Y168=0,Z168="B"),"",Y168)</f>
        <v/>
      </c>
      <c r="AE168" s="9" t="str">
        <f ca="1">IF(OR(W168=0,Y168=0,Z168="A"),"",Y168)</f>
        <v/>
      </c>
      <c r="AF168" s="9" t="s">
        <v>138</v>
      </c>
      <c r="AG168" s="4">
        <f>IFERROR(IF(A167=0,E168*11,E168&amp;E168),"")</f>
        <v>44</v>
      </c>
    </row>
    <row r="169" spans="1:33" s="4" customFormat="1" ht="16.149999999999999" customHeight="1" x14ac:dyDescent="0.35">
      <c r="A169" s="8">
        <f>IFERROR(IF(D169&gt;MatchDay!$U$2,"-",VLOOKUP(A164,timetables,MatchDay!$U$4+1,FALSE)),0)</f>
        <v>1</v>
      </c>
      <c r="B169" s="7">
        <f t="shared" ref="B169:B183" ca="1" si="51">AA169</f>
        <v>1</v>
      </c>
      <c r="C169" s="7" t="str">
        <f t="shared" ref="C169:C183" ca="1" si="52">AB169</f>
        <v/>
      </c>
      <c r="D169" s="55">
        <v>2</v>
      </c>
      <c r="E169" s="17">
        <f t="shared" ref="E169:E183" si="53">A169</f>
        <v>1</v>
      </c>
      <c r="F169" s="319" t="str">
        <f>IFERROR(VLOOKUP($A164&amp;E169,downloads!$A$1:$E$1000,2,FALSE),"")</f>
        <v>Lucas BEECH</v>
      </c>
      <c r="G169" s="18" t="str">
        <f t="shared" si="50"/>
        <v>C&amp;N</v>
      </c>
      <c r="H169" s="464">
        <f ca="1">IFERROR(INDIRECT(CONCATENATE("'Distance Input'!"&amp;B166&amp;C166+1)),"")</f>
        <v>7.47</v>
      </c>
      <c r="I169" s="465"/>
      <c r="J169" s="464">
        <v>0</v>
      </c>
      <c r="K169" s="465"/>
      <c r="L169" s="464">
        <v>0</v>
      </c>
      <c r="M169" s="465"/>
      <c r="N169" s="470">
        <f t="shared" ref="N169:N183" ca="1" si="54">H169</f>
        <v>7.47</v>
      </c>
      <c r="O169" s="471"/>
      <c r="P169" s="55">
        <v>0</v>
      </c>
      <c r="Q169" s="472">
        <v>0</v>
      </c>
      <c r="R169" s="472"/>
      <c r="S169" s="472">
        <v>0</v>
      </c>
      <c r="T169" s="472"/>
      <c r="U169" s="472">
        <v>0</v>
      </c>
      <c r="V169" s="472"/>
      <c r="W169" s="464">
        <f t="shared" ref="W169:W183" ca="1" si="55">N169</f>
        <v>7.47</v>
      </c>
      <c r="X169" s="465"/>
      <c r="Y169" s="55">
        <f ca="1">IF(OR(W169="",W169=0),0,IF(W169="X",MatchDay!$U$2+MatchDay!$U$2+1-COUNTIF(Distance!W168:W169,"X"),RANK(W169,$W168:$X183,0)))</f>
        <v>1</v>
      </c>
      <c r="Z169" s="19" t="str">
        <f ca="1">IFERROR(IF(Y169=0,0,IF(OR(VLOOKUP(AG169,E176:Y183,21,FALSE)=0,Y169&lt;=VLOOKUP(AG169,E176:Y183,21,FALSE)),"A","B")),"")</f>
        <v>A</v>
      </c>
      <c r="AA169" s="19">
        <f ca="1">IFERROR(IF(Z169="B","",RANK(AD169,AD168:AD183,1)),"")</f>
        <v>1</v>
      </c>
      <c r="AB169" s="19" t="str">
        <f ca="1">IFERROR(IF(Z169="A","",RANK(AE169,AE168:AE183,1)),"")</f>
        <v/>
      </c>
      <c r="AC169" s="8"/>
      <c r="AD169" s="9">
        <f t="shared" ref="AD169:AD183" ca="1" si="56">IF(OR(W169=0,Y169=0,Z169="B"),"",Y169)</f>
        <v>1</v>
      </c>
      <c r="AE169" s="9" t="str">
        <f t="shared" ref="AE169:AE183" ca="1" si="57">IF(OR(W169=0,Y169=0,Z169="A"),"",Y169)</f>
        <v/>
      </c>
      <c r="AF169" s="9" t="s">
        <v>138</v>
      </c>
      <c r="AG169" s="4">
        <f>IFERROR(IF(A167=0,E169*11,E169&amp;E169),"")</f>
        <v>11</v>
      </c>
    </row>
    <row r="170" spans="1:33" s="4" customFormat="1" ht="16.149999999999999" customHeight="1" x14ac:dyDescent="0.35">
      <c r="A170" s="8">
        <f>IFERROR(IF(D170&gt;MatchDay!$U$2,"-",VLOOKUP(A164,timetables,MatchDay!$U$4+2,FALSE)),0)</f>
        <v>5</v>
      </c>
      <c r="B170" s="7" t="str">
        <f t="shared" ca="1" si="51"/>
        <v/>
      </c>
      <c r="C170" s="7" t="str">
        <f t="shared" ca="1" si="52"/>
        <v/>
      </c>
      <c r="D170" s="55">
        <v>3</v>
      </c>
      <c r="E170" s="17">
        <f t="shared" si="53"/>
        <v>5</v>
      </c>
      <c r="F170" s="319" t="str">
        <f>IFERROR(VLOOKUP($A164&amp;E170,downloads!$A$1:$E$1000,2,FALSE),"")</f>
        <v/>
      </c>
      <c r="G170" s="18" t="str">
        <f t="shared" si="50"/>
        <v>Menai</v>
      </c>
      <c r="H170" s="464">
        <f ca="1">IFERROR(INDIRECT(CONCATENATE("'Distance Input'!"&amp;B166&amp;C166+2)),"")</f>
        <v>0</v>
      </c>
      <c r="I170" s="465"/>
      <c r="J170" s="464">
        <v>0</v>
      </c>
      <c r="K170" s="465"/>
      <c r="L170" s="464">
        <v>0</v>
      </c>
      <c r="M170" s="465"/>
      <c r="N170" s="470">
        <f t="shared" ca="1" si="54"/>
        <v>0</v>
      </c>
      <c r="O170" s="471"/>
      <c r="P170" s="55">
        <v>0</v>
      </c>
      <c r="Q170" s="472">
        <v>0</v>
      </c>
      <c r="R170" s="472"/>
      <c r="S170" s="472">
        <v>0</v>
      </c>
      <c r="T170" s="472"/>
      <c r="U170" s="472">
        <v>0</v>
      </c>
      <c r="V170" s="472"/>
      <c r="W170" s="464">
        <f t="shared" ca="1" si="55"/>
        <v>0</v>
      </c>
      <c r="X170" s="465"/>
      <c r="Y170" s="55">
        <f ca="1">IF(OR(W170="",W170=0),0,IF(W170="X",MatchDay!$U$2+MatchDay!$U$2+1-COUNTIF(Distance!W168:W170,"X"),RANK(W170,$W168:$X183,0)))</f>
        <v>0</v>
      </c>
      <c r="Z170" s="19">
        <f ca="1">IFERROR(IF(Y170=0,0,IF(OR(VLOOKUP(AG170,E176:Y183,21,FALSE)=0,Y170&lt;=VLOOKUP(AG170,E176:Y183,21,FALSE)),"A","B")),"")</f>
        <v>0</v>
      </c>
      <c r="AA170" s="19" t="str">
        <f ca="1">IFERROR(IF(Z170="B","",RANK(AD170,AD168:AD183,1)),"")</f>
        <v/>
      </c>
      <c r="AB170" s="19" t="str">
        <f ca="1">IFERROR(IF(Z170="A","",RANK(AE170,AE168:AE183,1)),"")</f>
        <v/>
      </c>
      <c r="AD170" s="9" t="str">
        <f t="shared" ca="1" si="56"/>
        <v/>
      </c>
      <c r="AE170" s="9" t="str">
        <f t="shared" ca="1" si="57"/>
        <v/>
      </c>
      <c r="AF170" s="9" t="s">
        <v>138</v>
      </c>
      <c r="AG170" s="4">
        <f>IFERROR(IF(A167=0,E170*11,E170&amp;E170),"")</f>
        <v>55</v>
      </c>
    </row>
    <row r="171" spans="1:33" s="4" customFormat="1" ht="16.149999999999999" customHeight="1" x14ac:dyDescent="0.35">
      <c r="A171" s="8">
        <f>IFERROR(IF(D171&gt;MatchDay!$U$2,"-",VLOOKUP(A164,timetables,MatchDay!$U$4+3,FALSE)),0)</f>
        <v>7</v>
      </c>
      <c r="B171" s="7">
        <f t="shared" ca="1" si="51"/>
        <v>5</v>
      </c>
      <c r="C171" s="7" t="str">
        <f t="shared" ca="1" si="52"/>
        <v/>
      </c>
      <c r="D171" s="55">
        <v>4</v>
      </c>
      <c r="E171" s="17">
        <f t="shared" si="53"/>
        <v>7</v>
      </c>
      <c r="F171" s="319" t="str">
        <f>IFERROR(VLOOKUP($A164&amp;E171,downloads!$A$1:$E$1000,2,FALSE),"")</f>
        <v>Matthew HAYTON</v>
      </c>
      <c r="G171" s="18" t="str">
        <f t="shared" si="50"/>
        <v>Wigan</v>
      </c>
      <c r="H171" s="464">
        <f ca="1">IFERROR(INDIRECT(CONCATENATE("'Distance Input'!"&amp;B166&amp;C166+3)),"")</f>
        <v>5.0999999999999996</v>
      </c>
      <c r="I171" s="465"/>
      <c r="J171" s="464">
        <v>0</v>
      </c>
      <c r="K171" s="465"/>
      <c r="L171" s="464">
        <v>0</v>
      </c>
      <c r="M171" s="465"/>
      <c r="N171" s="470">
        <f t="shared" ca="1" si="54"/>
        <v>5.0999999999999996</v>
      </c>
      <c r="O171" s="471"/>
      <c r="P171" s="55">
        <v>0</v>
      </c>
      <c r="Q171" s="472">
        <v>0</v>
      </c>
      <c r="R171" s="472"/>
      <c r="S171" s="472">
        <v>0</v>
      </c>
      <c r="T171" s="472"/>
      <c r="U171" s="472">
        <v>0</v>
      </c>
      <c r="V171" s="472"/>
      <c r="W171" s="464">
        <f t="shared" ca="1" si="55"/>
        <v>5.0999999999999996</v>
      </c>
      <c r="X171" s="465"/>
      <c r="Y171" s="55">
        <f ca="1">IF(OR(W171="",W171=0),0,IF(W171="X",MatchDay!$U$2+MatchDay!$U$2+1-COUNTIF(Distance!W168:W171,"X"),RANK(W171,$W168:$X183,0)))</f>
        <v>7</v>
      </c>
      <c r="Z171" s="19" t="str">
        <f ca="1">IFERROR(IF(Y171=0,0,IF(OR(VLOOKUP(AG171,E176:Y183,21,FALSE)=0,Y171&lt;=VLOOKUP(AG171,E176:Y183,21,FALSE)),"A","B")),"")</f>
        <v>A</v>
      </c>
      <c r="AA171" s="19">
        <f ca="1">IFERROR(IF(Z171="B","",RANK(AD171,AD168:AD183,1)),"")</f>
        <v>5</v>
      </c>
      <c r="AB171" s="19" t="str">
        <f ca="1">IFERROR(IF(Z171="A","",RANK(AE171,AE168:AE183,1)),"")</f>
        <v/>
      </c>
      <c r="AD171" s="9">
        <f t="shared" ca="1" si="56"/>
        <v>7</v>
      </c>
      <c r="AE171" s="9" t="str">
        <f t="shared" ca="1" si="57"/>
        <v/>
      </c>
      <c r="AF171" s="9" t="s">
        <v>138</v>
      </c>
      <c r="AG171" s="4">
        <f>IFERROR(IF(A167=0,E171*11,E171&amp;E171),"")</f>
        <v>77</v>
      </c>
    </row>
    <row r="172" spans="1:33" s="4" customFormat="1" ht="16.149999999999999" customHeight="1" x14ac:dyDescent="0.35">
      <c r="A172" s="8">
        <f>IFERROR(IF(D172&gt;MatchDay!$U$2,"-",VLOOKUP(A164,timetables,MatchDay!$U$4+4,FALSE)),0)</f>
        <v>3</v>
      </c>
      <c r="B172" s="7" t="str">
        <f t="shared" ca="1" si="51"/>
        <v/>
      </c>
      <c r="C172" s="7">
        <f t="shared" ca="1" si="52"/>
        <v>2</v>
      </c>
      <c r="D172" s="55">
        <v>5</v>
      </c>
      <c r="E172" s="17">
        <f t="shared" si="53"/>
        <v>3</v>
      </c>
      <c r="F172" s="319" t="str">
        <f>IFERROR(VLOOKUP($A164&amp;E172,downloads!$A$1:$E$1000,2,FALSE),"")</f>
        <v>Oliver SANDERSON</v>
      </c>
      <c r="G172" s="18" t="str">
        <f t="shared" si="50"/>
        <v>Leigh</v>
      </c>
      <c r="H172" s="464">
        <f ca="1">IFERROR(INDIRECT(CONCATENATE("'Distance Input'!"&amp;B166&amp;C166+4)),"")</f>
        <v>5.61</v>
      </c>
      <c r="I172" s="465"/>
      <c r="J172" s="464">
        <v>0</v>
      </c>
      <c r="K172" s="465"/>
      <c r="L172" s="464">
        <v>0</v>
      </c>
      <c r="M172" s="465"/>
      <c r="N172" s="470">
        <f t="shared" ca="1" si="54"/>
        <v>5.61</v>
      </c>
      <c r="O172" s="471"/>
      <c r="P172" s="55">
        <v>0</v>
      </c>
      <c r="Q172" s="472">
        <v>0</v>
      </c>
      <c r="R172" s="472"/>
      <c r="S172" s="472">
        <v>0</v>
      </c>
      <c r="T172" s="472"/>
      <c r="U172" s="472">
        <v>0</v>
      </c>
      <c r="V172" s="472"/>
      <c r="W172" s="464">
        <f t="shared" ca="1" si="55"/>
        <v>5.61</v>
      </c>
      <c r="X172" s="465"/>
      <c r="Y172" s="55">
        <f ca="1">IF(OR(W172="",W172=0),0,IF(W172="X",MatchDay!$U$2+MatchDay!$U$2+1-COUNTIF(Distance!W168:W172,"X"),RANK(W172,$W168:$X183,0)))</f>
        <v>5</v>
      </c>
      <c r="Z172" s="19" t="str">
        <f ca="1">IFERROR(IF(Y172=0,0,IF(OR(VLOOKUP(AG172,E176:Y183,21,FALSE)=0,Y172&lt;=VLOOKUP(AG172,E176:Y183,21,FALSE)),"A","B")),"")</f>
        <v>B</v>
      </c>
      <c r="AA172" s="19" t="str">
        <f ca="1">IFERROR(IF(Z172="B","",RANK(AD172,AD168:AD183,1)),"")</f>
        <v/>
      </c>
      <c r="AB172" s="19">
        <f ca="1">IFERROR(IF(Z172="A","",RANK(AE172,AE168:AE183,1)),"")</f>
        <v>2</v>
      </c>
      <c r="AD172" s="9" t="str">
        <f t="shared" ca="1" si="56"/>
        <v/>
      </c>
      <c r="AE172" s="9">
        <f t="shared" ca="1" si="57"/>
        <v>5</v>
      </c>
      <c r="AF172" s="9" t="s">
        <v>138</v>
      </c>
      <c r="AG172" s="4">
        <f>IFERROR(IF(A167=0,E172*11,E172&amp;E172),"")</f>
        <v>33</v>
      </c>
    </row>
    <row r="173" spans="1:33" s="4" customFormat="1" ht="16.149999999999999" customHeight="1" x14ac:dyDescent="0.35">
      <c r="A173" s="8">
        <f>IFERROR(IF(D173&gt;MatchDay!$U$2,"-",VLOOKUP(A164,timetables,MatchDay!$U$4+5,FALSE)),0)</f>
        <v>6</v>
      </c>
      <c r="B173" s="7">
        <f t="shared" ca="1" si="51"/>
        <v>4</v>
      </c>
      <c r="C173" s="7" t="str">
        <f t="shared" ca="1" si="52"/>
        <v/>
      </c>
      <c r="D173" s="55">
        <v>6</v>
      </c>
      <c r="E173" s="17">
        <f t="shared" si="53"/>
        <v>6</v>
      </c>
      <c r="F173" s="319" t="str">
        <f>IFERROR(VLOOKUP($A164&amp;E173,downloads!$A$1:$E$1000,2,FALSE),"")</f>
        <v>Campbell JOHNSON</v>
      </c>
      <c r="G173" s="18" t="str">
        <f t="shared" si="50"/>
        <v>Stock</v>
      </c>
      <c r="H173" s="464">
        <f ca="1">IFERROR(INDIRECT(CONCATENATE("'Distance Input'!"&amp;B166&amp;C166+5)),"")</f>
        <v>5.57</v>
      </c>
      <c r="I173" s="465"/>
      <c r="J173" s="464">
        <v>0</v>
      </c>
      <c r="K173" s="465"/>
      <c r="L173" s="464">
        <v>0</v>
      </c>
      <c r="M173" s="465"/>
      <c r="N173" s="470">
        <f t="shared" ca="1" si="54"/>
        <v>5.57</v>
      </c>
      <c r="O173" s="471"/>
      <c r="P173" s="55">
        <v>0</v>
      </c>
      <c r="Q173" s="472">
        <v>0</v>
      </c>
      <c r="R173" s="472"/>
      <c r="S173" s="472">
        <v>0</v>
      </c>
      <c r="T173" s="472"/>
      <c r="U173" s="472">
        <v>0</v>
      </c>
      <c r="V173" s="472"/>
      <c r="W173" s="464">
        <f t="shared" ca="1" si="55"/>
        <v>5.57</v>
      </c>
      <c r="X173" s="465"/>
      <c r="Y173" s="55">
        <f ca="1">IF(OR(W173="",W173=0),0,IF(W173="X",MatchDay!$U$2+MatchDay!$U$2+1-COUNTIF(Distance!W168:W173,"X"),RANK(W173,$W168:$X183,0)))</f>
        <v>6</v>
      </c>
      <c r="Z173" s="19" t="str">
        <f ca="1">IFERROR(IF(Y173=0,0,IF(OR(VLOOKUP(AG173,E176:Y183,21,FALSE)=0,Y173&lt;=VLOOKUP(AG173,E176:Y183,21,FALSE)),"A","B")),"")</f>
        <v>A</v>
      </c>
      <c r="AA173" s="19">
        <f ca="1">IFERROR(IF(Z173="B","",RANK(AD173,AD168:AD183,1)),"")</f>
        <v>4</v>
      </c>
      <c r="AB173" s="19" t="str">
        <f ca="1">IFERROR(IF(Z173="A","",RANK(AE173,AE168:AE183,1)),"")</f>
        <v/>
      </c>
      <c r="AD173" s="9">
        <f t="shared" ca="1" si="56"/>
        <v>6</v>
      </c>
      <c r="AE173" s="9" t="str">
        <f t="shared" ca="1" si="57"/>
        <v/>
      </c>
      <c r="AF173" s="9" t="s">
        <v>138</v>
      </c>
      <c r="AG173" s="4">
        <f>IFERROR(IF(A167=0,E173*11,E173&amp;E173),"")</f>
        <v>66</v>
      </c>
    </row>
    <row r="174" spans="1:33" s="4" customFormat="1" ht="16.149999999999999" customHeight="1" x14ac:dyDescent="0.35">
      <c r="A174" s="8">
        <f>IFERROR(IF(D174&gt;MatchDay!$U$2,"-",VLOOKUP(A164,timetables,MatchDay!$U$4+6,FALSE)),0)</f>
        <v>2</v>
      </c>
      <c r="B174" s="7">
        <f t="shared" ca="1" si="51"/>
        <v>2</v>
      </c>
      <c r="C174" s="7" t="str">
        <f t="shared" ca="1" si="52"/>
        <v/>
      </c>
      <c r="D174" s="55">
        <v>7</v>
      </c>
      <c r="E174" s="17">
        <f t="shared" si="53"/>
        <v>2</v>
      </c>
      <c r="F174" s="319" t="str">
        <f>IFERROR(VLOOKUP($A164&amp;E174,downloads!$A$1:$E$1000,2,FALSE),"")</f>
        <v>Marshall FLEET</v>
      </c>
      <c r="G174" s="18" t="str">
        <f t="shared" si="50"/>
        <v>ECHT</v>
      </c>
      <c r="H174" s="464">
        <f ca="1">IFERROR(INDIRECT(CONCATENATE("'Distance Input'!"&amp;B166&amp;C166+6)),"")</f>
        <v>7.1</v>
      </c>
      <c r="I174" s="465"/>
      <c r="J174" s="464">
        <v>0</v>
      </c>
      <c r="K174" s="465"/>
      <c r="L174" s="464">
        <v>0</v>
      </c>
      <c r="M174" s="465"/>
      <c r="N174" s="470">
        <f t="shared" ca="1" si="54"/>
        <v>7.1</v>
      </c>
      <c r="O174" s="471"/>
      <c r="P174" s="55">
        <v>0</v>
      </c>
      <c r="Q174" s="472">
        <v>0</v>
      </c>
      <c r="R174" s="472"/>
      <c r="S174" s="472">
        <v>0</v>
      </c>
      <c r="T174" s="472"/>
      <c r="U174" s="472">
        <v>0</v>
      </c>
      <c r="V174" s="472"/>
      <c r="W174" s="464">
        <f t="shared" ca="1" si="55"/>
        <v>7.1</v>
      </c>
      <c r="X174" s="465"/>
      <c r="Y174" s="55">
        <f ca="1">IF(OR(W174="",W174=0),0,IF(W174="X",MatchDay!$U$2+MatchDay!$U$2+1-COUNTIF(Distance!W168:W174,"X"),RANK(W174,$W168:$X183,0)))</f>
        <v>2</v>
      </c>
      <c r="Z174" s="19" t="str">
        <f ca="1">IFERROR(IF(Y174=0,0,IF(OR(VLOOKUP(AG174,E176:Y183,21,FALSE)=0,Y174&lt;=VLOOKUP(AG174,E176:Y183,21,FALSE)),"A","B")),"")</f>
        <v>A</v>
      </c>
      <c r="AA174" s="19">
        <f ca="1">IFERROR(IF(Z174="B","",RANK(AD174,AD168:AD183,1)),"")</f>
        <v>2</v>
      </c>
      <c r="AB174" s="19" t="str">
        <f ca="1">IFERROR(IF(Z174="A","",RANK(AE174,AE168:AE183,1)),"")</f>
        <v/>
      </c>
      <c r="AD174" s="9">
        <f t="shared" ca="1" si="56"/>
        <v>2</v>
      </c>
      <c r="AE174" s="9" t="str">
        <f t="shared" ca="1" si="57"/>
        <v/>
      </c>
      <c r="AF174" s="9" t="s">
        <v>138</v>
      </c>
      <c r="AG174" s="4">
        <f>IFERROR(IF(A167=0,E174*11,E174&amp;E174),"")</f>
        <v>22</v>
      </c>
    </row>
    <row r="175" spans="1:33" s="4" customFormat="1" ht="16.149999999999999" customHeight="1" x14ac:dyDescent="0.35">
      <c r="A175" s="8" t="str">
        <f>IFERROR(IF(D175&gt;MatchDay!$U$2,"-",VLOOKUP(A164,timetables,MatchDay!$U$4+7,FALSE)),0)</f>
        <v>-</v>
      </c>
      <c r="B175" s="7" t="str">
        <f t="shared" ca="1" si="51"/>
        <v/>
      </c>
      <c r="C175" s="7" t="str">
        <f t="shared" ca="1" si="52"/>
        <v/>
      </c>
      <c r="D175" s="55">
        <v>8</v>
      </c>
      <c r="E175" s="17" t="str">
        <f t="shared" si="53"/>
        <v>-</v>
      </c>
      <c r="F175" s="319" t="str">
        <f>IFERROR(VLOOKUP($A164&amp;E175,downloads!$A$1:$E$1000,2,FALSE),"")</f>
        <v/>
      </c>
      <c r="G175" s="18" t="str">
        <f t="shared" si="50"/>
        <v/>
      </c>
      <c r="H175" s="464">
        <f ca="1">IFERROR(INDIRECT(CONCATENATE("'Distance Input'!"&amp;B166&amp;C166+7)),"")</f>
        <v>0</v>
      </c>
      <c r="I175" s="465"/>
      <c r="J175" s="464">
        <v>0</v>
      </c>
      <c r="K175" s="465"/>
      <c r="L175" s="464">
        <v>0</v>
      </c>
      <c r="M175" s="465"/>
      <c r="N175" s="470">
        <f t="shared" ca="1" si="54"/>
        <v>0</v>
      </c>
      <c r="O175" s="471"/>
      <c r="P175" s="55">
        <v>0</v>
      </c>
      <c r="Q175" s="472">
        <v>0</v>
      </c>
      <c r="R175" s="472"/>
      <c r="S175" s="472">
        <v>0</v>
      </c>
      <c r="T175" s="472"/>
      <c r="U175" s="472">
        <v>0</v>
      </c>
      <c r="V175" s="472"/>
      <c r="W175" s="464">
        <f t="shared" ca="1" si="55"/>
        <v>0</v>
      </c>
      <c r="X175" s="465"/>
      <c r="Y175" s="55">
        <f ca="1">IF(OR(W175="",W175=0),0,IF(W175="X",MatchDay!$U$2+MatchDay!$U$2+1-COUNTIF(Distance!W168:W175,"X"),RANK(W175,$W168:$X183,0)))</f>
        <v>0</v>
      </c>
      <c r="Z175" s="19">
        <f ca="1">IFERROR(IF(Y175=0,0,IF(OR(VLOOKUP(AG175,E176:Y183,21,FALSE)=0,Y175&lt;=VLOOKUP(AG175,E176:Y183,21,FALSE)),"A","B")),"")</f>
        <v>0</v>
      </c>
      <c r="AA175" s="19" t="str">
        <f ca="1">IFERROR(IF(Z175="B","",RANK(AD175,AD168:AD183,1)),"")</f>
        <v/>
      </c>
      <c r="AB175" s="19" t="str">
        <f ca="1">IFERROR(IF(Z175="A","",RANK(AE175,AE168:AE183,1)),"")</f>
        <v/>
      </c>
      <c r="AD175" s="9" t="str">
        <f t="shared" ca="1" si="56"/>
        <v/>
      </c>
      <c r="AE175" s="9" t="str">
        <f t="shared" ca="1" si="57"/>
        <v/>
      </c>
      <c r="AF175" s="9" t="s">
        <v>138</v>
      </c>
      <c r="AG175" s="4" t="str">
        <f>IFERROR(IF(A167=0,E175*11,E175&amp;E175),"")</f>
        <v/>
      </c>
    </row>
    <row r="176" spans="1:33" s="4" customFormat="1" ht="16.149999999999999" customHeight="1" x14ac:dyDescent="0.35">
      <c r="A176" s="8">
        <f>IFERROR(IF(A167=0,A168*11,A168&amp;A168),"-")</f>
        <v>44</v>
      </c>
      <c r="B176" s="7" t="str">
        <f t="shared" ca="1" si="51"/>
        <v/>
      </c>
      <c r="C176" s="7" t="str">
        <f t="shared" ca="1" si="52"/>
        <v/>
      </c>
      <c r="D176" s="55">
        <v>9</v>
      </c>
      <c r="E176" s="17">
        <f t="shared" si="53"/>
        <v>44</v>
      </c>
      <c r="F176" s="319" t="str">
        <f>IFERROR(VLOOKUP($A164&amp;E176,downloads!$A$1:$E$1000,2,FALSE),"")</f>
        <v/>
      </c>
      <c r="G176" s="18" t="str">
        <f t="shared" si="50"/>
        <v>Macc</v>
      </c>
      <c r="H176" s="464">
        <f ca="1">IFERROR(INDIRECT(CONCATENATE("'Distance Input'!"&amp;B166&amp;C166+8)),"")</f>
        <v>0</v>
      </c>
      <c r="I176" s="465"/>
      <c r="J176" s="464">
        <v>0</v>
      </c>
      <c r="K176" s="465"/>
      <c r="L176" s="464">
        <v>0</v>
      </c>
      <c r="M176" s="465"/>
      <c r="N176" s="470">
        <f t="shared" ca="1" si="54"/>
        <v>0</v>
      </c>
      <c r="O176" s="471"/>
      <c r="P176" s="55">
        <v>0</v>
      </c>
      <c r="Q176" s="472">
        <v>0</v>
      </c>
      <c r="R176" s="472"/>
      <c r="S176" s="472">
        <v>0</v>
      </c>
      <c r="T176" s="472"/>
      <c r="U176" s="472">
        <v>0</v>
      </c>
      <c r="V176" s="472"/>
      <c r="W176" s="464">
        <f t="shared" ca="1" si="55"/>
        <v>0</v>
      </c>
      <c r="X176" s="465"/>
      <c r="Y176" s="55">
        <f ca="1">IF(OR(W176="",W176=0),0,IF(W176="X",MatchDay!$U$2+MatchDay!$U$2+1-COUNTIF(Distance!W168:W176,"X"),RANK(W176,$W168:$X183,0)))</f>
        <v>0</v>
      </c>
      <c r="Z176" s="19">
        <f ca="1">IFERROR(IF(Y176=0,0,IF(VLOOKUP(AG176,E168:Y175,21,FALSE)=0,"A",IF(Y176&gt;=VLOOKUP(AG176,E168:Y175,21,FALSE),"B","A"))),"")</f>
        <v>0</v>
      </c>
      <c r="AA176" s="19" t="str">
        <f ca="1">IFERROR(IF(Z176="B","",RANK(AD176,AD168:AD183,1)),"")</f>
        <v/>
      </c>
      <c r="AB176" s="19" t="str">
        <f ca="1">IFERROR(IF(Z176="A","",RANK(AE176,AE168:AE183,1)),"")</f>
        <v/>
      </c>
      <c r="AD176" s="9" t="str">
        <f t="shared" ca="1" si="56"/>
        <v/>
      </c>
      <c r="AE176" s="9" t="str">
        <f t="shared" ca="1" si="57"/>
        <v/>
      </c>
      <c r="AF176" s="9" t="s">
        <v>138</v>
      </c>
      <c r="AG176" s="4">
        <f>IFERROR(IF(A167=0,E176/11,LEFT(E176,1)),"")</f>
        <v>4</v>
      </c>
    </row>
    <row r="177" spans="1:33" s="4" customFormat="1" ht="16.149999999999999" customHeight="1" x14ac:dyDescent="0.35">
      <c r="A177" s="8">
        <f>IFERROR(IF(A167=0,A169*11,A169&amp;A169),"-")</f>
        <v>11</v>
      </c>
      <c r="B177" s="7" t="str">
        <f t="shared" ca="1" si="51"/>
        <v/>
      </c>
      <c r="C177" s="7">
        <f t="shared" ca="1" si="52"/>
        <v>1</v>
      </c>
      <c r="D177" s="55">
        <v>10</v>
      </c>
      <c r="E177" s="17">
        <f t="shared" si="53"/>
        <v>11</v>
      </c>
      <c r="F177" s="319" t="str">
        <f>IFERROR(VLOOKUP($A164&amp;E177,downloads!$A$1:$E$1000,2,FALSE),"")</f>
        <v>Oliver BORG-HEFFERNAN</v>
      </c>
      <c r="G177" s="18" t="str">
        <f t="shared" si="50"/>
        <v>C&amp;N</v>
      </c>
      <c r="H177" s="464">
        <f ca="1">IFERROR(INDIRECT(CONCATENATE("'Distance Input'!"&amp;B166&amp;C166+9)),"")</f>
        <v>5.92</v>
      </c>
      <c r="I177" s="465"/>
      <c r="J177" s="464">
        <v>0</v>
      </c>
      <c r="K177" s="465"/>
      <c r="L177" s="464">
        <v>0</v>
      </c>
      <c r="M177" s="465"/>
      <c r="N177" s="470">
        <f t="shared" ca="1" si="54"/>
        <v>5.92</v>
      </c>
      <c r="O177" s="471"/>
      <c r="P177" s="55">
        <v>0</v>
      </c>
      <c r="Q177" s="472">
        <v>0</v>
      </c>
      <c r="R177" s="472"/>
      <c r="S177" s="472">
        <v>0</v>
      </c>
      <c r="T177" s="472"/>
      <c r="U177" s="472">
        <v>0</v>
      </c>
      <c r="V177" s="472"/>
      <c r="W177" s="464">
        <f t="shared" ca="1" si="55"/>
        <v>5.92</v>
      </c>
      <c r="X177" s="465"/>
      <c r="Y177" s="55">
        <f ca="1">IF(OR(W177="",W177=0),0,IF(W177="X",MatchDay!$U$2+MatchDay!$U$2+1-COUNTIF(Distance!W168:W177,"X"),RANK(W177,$W168:$X183,0)))</f>
        <v>4</v>
      </c>
      <c r="Z177" s="19" t="str">
        <f ca="1">IFERROR(IF(Y177=0,0,IF(VLOOKUP(AG177,E168:Y175,21,FALSE)=0,"A",IF(Y177&gt;=VLOOKUP(AG177,E168:Y175,21,FALSE),"B","A"))),"")</f>
        <v>B</v>
      </c>
      <c r="AA177" s="19" t="str">
        <f ca="1">IFERROR(IF(Z177="B","",RANK(AD177,AD168:AD183,1)),"")</f>
        <v/>
      </c>
      <c r="AB177" s="19">
        <f ca="1">IFERROR(IF(Z177="A","",RANK(AE177,AE168:AE183,1)),"")</f>
        <v>1</v>
      </c>
      <c r="AD177" s="9" t="str">
        <f t="shared" ca="1" si="56"/>
        <v/>
      </c>
      <c r="AE177" s="9">
        <f t="shared" ca="1" si="57"/>
        <v>4</v>
      </c>
      <c r="AF177" s="9" t="s">
        <v>138</v>
      </c>
      <c r="AG177" s="4">
        <f>IFERROR(IF(A167=0,E177/11,LEFT(E177,1)),"")</f>
        <v>1</v>
      </c>
    </row>
    <row r="178" spans="1:33" s="4" customFormat="1" ht="16.149999999999999" customHeight="1" x14ac:dyDescent="0.35">
      <c r="A178" s="8">
        <f>IFERROR(IF(A167=0,A170*11,A170&amp;A170),"-")</f>
        <v>55</v>
      </c>
      <c r="B178" s="7" t="str">
        <f t="shared" ca="1" si="51"/>
        <v/>
      </c>
      <c r="C178" s="7" t="str">
        <f t="shared" ca="1" si="52"/>
        <v/>
      </c>
      <c r="D178" s="55">
        <v>11</v>
      </c>
      <c r="E178" s="17">
        <f t="shared" si="53"/>
        <v>55</v>
      </c>
      <c r="F178" s="319" t="str">
        <f>IFERROR(VLOOKUP($A164&amp;E178,downloads!$A$1:$E$1000,2,FALSE),"")</f>
        <v/>
      </c>
      <c r="G178" s="18" t="str">
        <f t="shared" si="50"/>
        <v>Menai</v>
      </c>
      <c r="H178" s="464">
        <f ca="1">IFERROR(INDIRECT(CONCATENATE("'Distance Input'!"&amp;B166&amp;C166+10)),"")</f>
        <v>0</v>
      </c>
      <c r="I178" s="465"/>
      <c r="J178" s="464">
        <v>0</v>
      </c>
      <c r="K178" s="465"/>
      <c r="L178" s="464">
        <v>0</v>
      </c>
      <c r="M178" s="465"/>
      <c r="N178" s="470">
        <f t="shared" ca="1" si="54"/>
        <v>0</v>
      </c>
      <c r="O178" s="471"/>
      <c r="P178" s="55">
        <v>0</v>
      </c>
      <c r="Q178" s="472">
        <v>0</v>
      </c>
      <c r="R178" s="472"/>
      <c r="S178" s="472">
        <v>0</v>
      </c>
      <c r="T178" s="472"/>
      <c r="U178" s="472">
        <v>0</v>
      </c>
      <c r="V178" s="472"/>
      <c r="W178" s="464">
        <f t="shared" ca="1" si="55"/>
        <v>0</v>
      </c>
      <c r="X178" s="465"/>
      <c r="Y178" s="55">
        <f ca="1">IF(OR(W178="",W178=0),0,IF(W178="X",MatchDay!$U$2+MatchDay!$U$2+1-COUNTIF(Distance!W168:W178,"X"),RANK(W178,$W168:$X183,0)))</f>
        <v>0</v>
      </c>
      <c r="Z178" s="19">
        <f ca="1">IFERROR(IF(Y178=0,0,IF(VLOOKUP(AG178,E168:Y175,21,FALSE)=0,"A",IF(Y178&gt;=VLOOKUP(AG178,E168:Y175,21,FALSE),"B","A"))),"")</f>
        <v>0</v>
      </c>
      <c r="AA178" s="19" t="str">
        <f ca="1">IFERROR(IF(Z178="B","",RANK(AD178,AD168:AD183,1)),"")</f>
        <v/>
      </c>
      <c r="AB178" s="19" t="str">
        <f ca="1">IFERROR(IF(Z178="A","",RANK(AE178,AE168:AE183,1)),"")</f>
        <v/>
      </c>
      <c r="AD178" s="9" t="str">
        <f t="shared" ca="1" si="56"/>
        <v/>
      </c>
      <c r="AE178" s="9" t="str">
        <f t="shared" ca="1" si="57"/>
        <v/>
      </c>
      <c r="AF178" s="9" t="s">
        <v>138</v>
      </c>
      <c r="AG178" s="4">
        <f>IFERROR(IF(A167=0,E178/11,LEFT(E178,1)),"")</f>
        <v>5</v>
      </c>
    </row>
    <row r="179" spans="1:33" s="4" customFormat="1" ht="16.149999999999999" customHeight="1" x14ac:dyDescent="0.35">
      <c r="A179" s="8">
        <f>IFERROR(IF(A167=0,A171*11,A171&amp;A171),"-")</f>
        <v>77</v>
      </c>
      <c r="B179" s="7" t="str">
        <f t="shared" ca="1" si="51"/>
        <v/>
      </c>
      <c r="C179" s="7" t="str">
        <f t="shared" ca="1" si="52"/>
        <v/>
      </c>
      <c r="D179" s="55">
        <v>12</v>
      </c>
      <c r="E179" s="17">
        <f t="shared" si="53"/>
        <v>77</v>
      </c>
      <c r="F179" s="319" t="str">
        <f>IFERROR(VLOOKUP($A164&amp;E179,downloads!$A$1:$E$1000,2,FALSE),"")</f>
        <v/>
      </c>
      <c r="G179" s="18" t="str">
        <f t="shared" si="50"/>
        <v>Wigan</v>
      </c>
      <c r="H179" s="464">
        <f ca="1">IFERROR(INDIRECT(CONCATENATE("'Distance Input'!"&amp;B166&amp;C166+11)),"")</f>
        <v>0</v>
      </c>
      <c r="I179" s="465"/>
      <c r="J179" s="464">
        <v>0</v>
      </c>
      <c r="K179" s="465"/>
      <c r="L179" s="464">
        <v>0</v>
      </c>
      <c r="M179" s="465"/>
      <c r="N179" s="470">
        <f t="shared" ca="1" si="54"/>
        <v>0</v>
      </c>
      <c r="O179" s="471"/>
      <c r="P179" s="55">
        <v>0</v>
      </c>
      <c r="Q179" s="472">
        <v>0</v>
      </c>
      <c r="R179" s="472"/>
      <c r="S179" s="472">
        <v>0</v>
      </c>
      <c r="T179" s="472"/>
      <c r="U179" s="472">
        <v>0</v>
      </c>
      <c r="V179" s="472"/>
      <c r="W179" s="464">
        <f t="shared" ca="1" si="55"/>
        <v>0</v>
      </c>
      <c r="X179" s="465"/>
      <c r="Y179" s="55">
        <f ca="1">IF(OR(W179="",W179=0),0,IF(W179="X",MatchDay!$U$2+MatchDay!$U$2+1-COUNTIF(Distance!W168:W179,"X"),RANK(W179,$W168:$X183,0)))</f>
        <v>0</v>
      </c>
      <c r="Z179" s="19">
        <f ca="1">IFERROR(IF(Y179=0,0,IF(VLOOKUP(AG179,E168:Y175,21,FALSE)=0,"A",IF(Y179&gt;=VLOOKUP(AG179,E168:Y175,21,FALSE),"B","A"))),"")</f>
        <v>0</v>
      </c>
      <c r="AA179" s="19" t="str">
        <f ca="1">IFERROR(IF(Z179="B","",RANK(AD179,AD168:AD183,1)),"")</f>
        <v/>
      </c>
      <c r="AB179" s="19" t="str">
        <f ca="1">IFERROR(IF(Z179="A","",RANK(AE179,AE168:AE183,1)),"")</f>
        <v/>
      </c>
      <c r="AD179" s="9" t="str">
        <f t="shared" ca="1" si="56"/>
        <v/>
      </c>
      <c r="AE179" s="9" t="str">
        <f t="shared" ca="1" si="57"/>
        <v/>
      </c>
      <c r="AF179" s="9" t="s">
        <v>138</v>
      </c>
      <c r="AG179" s="4">
        <f>IFERROR(IF(A167=0,E179/11,LEFT(E179,1)),"")</f>
        <v>7</v>
      </c>
    </row>
    <row r="180" spans="1:33" s="4" customFormat="1" ht="16.149999999999999" customHeight="1" x14ac:dyDescent="0.35">
      <c r="A180" s="8">
        <f>IFERROR(IF(A167=0,A172*11,A172&amp;A172),"-")</f>
        <v>33</v>
      </c>
      <c r="B180" s="7">
        <f t="shared" ca="1" si="51"/>
        <v>3</v>
      </c>
      <c r="C180" s="7" t="str">
        <f t="shared" ca="1" si="52"/>
        <v/>
      </c>
      <c r="D180" s="55">
        <v>13</v>
      </c>
      <c r="E180" s="17">
        <f t="shared" si="53"/>
        <v>33</v>
      </c>
      <c r="F180" s="319" t="str">
        <f>IFERROR(VLOOKUP($A164&amp;E180,downloads!$A$1:$E$1000,2,FALSE),"")</f>
        <v>Archer GILDART</v>
      </c>
      <c r="G180" s="18" t="str">
        <f t="shared" si="50"/>
        <v>Leigh</v>
      </c>
      <c r="H180" s="464">
        <f ca="1">IFERROR(INDIRECT(CONCATENATE("'Distance Input'!"&amp;B166&amp;C166+12)),"")</f>
        <v>6.4</v>
      </c>
      <c r="I180" s="465"/>
      <c r="J180" s="464">
        <v>0</v>
      </c>
      <c r="K180" s="465"/>
      <c r="L180" s="464">
        <v>0</v>
      </c>
      <c r="M180" s="465"/>
      <c r="N180" s="470">
        <f t="shared" ca="1" si="54"/>
        <v>6.4</v>
      </c>
      <c r="O180" s="471"/>
      <c r="P180" s="55">
        <v>0</v>
      </c>
      <c r="Q180" s="472">
        <v>0</v>
      </c>
      <c r="R180" s="472"/>
      <c r="S180" s="472">
        <v>0</v>
      </c>
      <c r="T180" s="472"/>
      <c r="U180" s="472">
        <v>0</v>
      </c>
      <c r="V180" s="472"/>
      <c r="W180" s="464">
        <f t="shared" ca="1" si="55"/>
        <v>6.4</v>
      </c>
      <c r="X180" s="465"/>
      <c r="Y180" s="55">
        <f ca="1">IF(OR(W180="",W180=0),0,IF(W180="X",MatchDay!$U$2+MatchDay!$U$2+1-COUNTIF(Distance!W168:W180,"X"),RANK(W180,$W168:$X183,0)))</f>
        <v>3</v>
      </c>
      <c r="Z180" s="19" t="str">
        <f ca="1">IFERROR(IF(Y180=0,0,IF(VLOOKUP(AG180,E168:Y175,21,FALSE)=0,"A",IF(Y180&gt;=VLOOKUP(AG180,E168:Y175,21,FALSE),"B","A"))),"")</f>
        <v>A</v>
      </c>
      <c r="AA180" s="19">
        <f ca="1">IFERROR(IF(Z180="B","",RANK(AD180,AD168:AD183,1)),"")</f>
        <v>3</v>
      </c>
      <c r="AB180" s="19" t="str">
        <f ca="1">IFERROR(IF(Z180="A","",RANK(AE180,AE168:AE183,1)),"")</f>
        <v/>
      </c>
      <c r="AD180" s="9">
        <f t="shared" ca="1" si="56"/>
        <v>3</v>
      </c>
      <c r="AE180" s="9" t="str">
        <f t="shared" ca="1" si="57"/>
        <v/>
      </c>
      <c r="AF180" s="9" t="s">
        <v>138</v>
      </c>
      <c r="AG180" s="4">
        <f>IFERROR(IF(A167=0,E180/11,LEFT(E180,1)),"")</f>
        <v>3</v>
      </c>
    </row>
    <row r="181" spans="1:33" s="4" customFormat="1" ht="16.149999999999999" customHeight="1" x14ac:dyDescent="0.35">
      <c r="A181" s="8">
        <f>IFERROR(IF(A167=0,A173*11,A173&amp;A173),"-")</f>
        <v>66</v>
      </c>
      <c r="B181" s="7" t="str">
        <f t="shared" ca="1" si="51"/>
        <v/>
      </c>
      <c r="C181" s="7" t="str">
        <f t="shared" ca="1" si="52"/>
        <v/>
      </c>
      <c r="D181" s="55">
        <v>14</v>
      </c>
      <c r="E181" s="17">
        <f t="shared" si="53"/>
        <v>66</v>
      </c>
      <c r="F181" s="319" t="str">
        <f>IFERROR(VLOOKUP($A164&amp;E181,downloads!$A$1:$E$1000,2,FALSE),"")</f>
        <v/>
      </c>
      <c r="G181" s="18" t="str">
        <f t="shared" si="50"/>
        <v>Stock</v>
      </c>
      <c r="H181" s="464">
        <f ca="1">IFERROR(INDIRECT(CONCATENATE("'Distance Input'!"&amp;B166&amp;C166+13)),"")</f>
        <v>0</v>
      </c>
      <c r="I181" s="465"/>
      <c r="J181" s="464">
        <v>0</v>
      </c>
      <c r="K181" s="465"/>
      <c r="L181" s="464">
        <v>0</v>
      </c>
      <c r="M181" s="465"/>
      <c r="N181" s="470">
        <f t="shared" ca="1" si="54"/>
        <v>0</v>
      </c>
      <c r="O181" s="471"/>
      <c r="P181" s="55">
        <v>0</v>
      </c>
      <c r="Q181" s="472">
        <v>0</v>
      </c>
      <c r="R181" s="472"/>
      <c r="S181" s="472">
        <v>0</v>
      </c>
      <c r="T181" s="472"/>
      <c r="U181" s="472">
        <v>0</v>
      </c>
      <c r="V181" s="472"/>
      <c r="W181" s="464">
        <f t="shared" ca="1" si="55"/>
        <v>0</v>
      </c>
      <c r="X181" s="465"/>
      <c r="Y181" s="55">
        <f ca="1">IF(OR(W181="",W181=0),0,IF(W181="X",MatchDay!$U$2+MatchDay!$U$2+1-COUNTIF(Distance!W168:W181,"X"),RANK(W181,$W168:$X183,0)))</f>
        <v>0</v>
      </c>
      <c r="Z181" s="19">
        <f ca="1">IFERROR(IF(Y181=0,0,IF(VLOOKUP(AG181,E168:Y175,21,FALSE)=0,"A",IF(Y181&gt;=VLOOKUP(AG181,E168:Y175,21,FALSE),"B","A"))),"")</f>
        <v>0</v>
      </c>
      <c r="AA181" s="19" t="str">
        <f ca="1">IFERROR(IF(Z181="B","",RANK(AD181,AD168:AD183,1)),"")</f>
        <v/>
      </c>
      <c r="AB181" s="19" t="str">
        <f ca="1">IFERROR(IF(Z181="A","",RANK(AE181,AE168:AE183,1)),"")</f>
        <v/>
      </c>
      <c r="AD181" s="9" t="str">
        <f t="shared" ca="1" si="56"/>
        <v/>
      </c>
      <c r="AE181" s="9" t="str">
        <f t="shared" ca="1" si="57"/>
        <v/>
      </c>
      <c r="AF181" s="9" t="s">
        <v>138</v>
      </c>
      <c r="AG181" s="4">
        <f>IFERROR(IF(A167=0,E181/11,LEFT(E181,1)),"")</f>
        <v>6</v>
      </c>
    </row>
    <row r="182" spans="1:33" s="4" customFormat="1" ht="16.149999999999999" customHeight="1" x14ac:dyDescent="0.35">
      <c r="A182" s="8">
        <f>IFERROR(IF(A167=0,A174*11,A174&amp;A174),"-")</f>
        <v>22</v>
      </c>
      <c r="B182" s="7" t="str">
        <f t="shared" ca="1" si="51"/>
        <v/>
      </c>
      <c r="C182" s="7" t="str">
        <f t="shared" ca="1" si="52"/>
        <v/>
      </c>
      <c r="D182" s="55">
        <v>15</v>
      </c>
      <c r="E182" s="17">
        <f t="shared" si="53"/>
        <v>22</v>
      </c>
      <c r="F182" s="319" t="str">
        <f>IFERROR(VLOOKUP($A164&amp;E182,downloads!$A$1:$E$1000,2,FALSE),"")</f>
        <v/>
      </c>
      <c r="G182" s="18" t="str">
        <f t="shared" si="50"/>
        <v>ECHT</v>
      </c>
      <c r="H182" s="464">
        <f ca="1">IFERROR(INDIRECT(CONCATENATE("'Distance Input'!"&amp;B166&amp;C166+14)),"")</f>
        <v>0</v>
      </c>
      <c r="I182" s="465"/>
      <c r="J182" s="464">
        <v>0</v>
      </c>
      <c r="K182" s="465"/>
      <c r="L182" s="464">
        <v>0</v>
      </c>
      <c r="M182" s="465"/>
      <c r="N182" s="470">
        <f t="shared" ca="1" si="54"/>
        <v>0</v>
      </c>
      <c r="O182" s="471"/>
      <c r="P182" s="55">
        <v>0</v>
      </c>
      <c r="Q182" s="472">
        <v>0</v>
      </c>
      <c r="R182" s="472"/>
      <c r="S182" s="472">
        <v>0</v>
      </c>
      <c r="T182" s="472"/>
      <c r="U182" s="472">
        <v>0</v>
      </c>
      <c r="V182" s="472"/>
      <c r="W182" s="464">
        <f t="shared" ca="1" si="55"/>
        <v>0</v>
      </c>
      <c r="X182" s="465"/>
      <c r="Y182" s="55">
        <f ca="1">IF(OR(W182="",W182=0),0,IF(W182="X",MatchDay!$U$2+MatchDay!$U$2+1-COUNTIF(Distance!W168:W182,"X"),RANK(W182,$W168:$X183,0)))</f>
        <v>0</v>
      </c>
      <c r="Z182" s="19">
        <f ca="1">IFERROR(IF(Y182=0,0,IF(VLOOKUP(AG182,E168:Y175,21,FALSE)=0,"A",IF(Y182&gt;=VLOOKUP(AG182,E168:Y175,21,FALSE),"B","A"))),"")</f>
        <v>0</v>
      </c>
      <c r="AA182" s="19" t="str">
        <f ca="1">IFERROR(IF(Z182="B","",RANK(AD182,AD168:AD183,1)),"")</f>
        <v/>
      </c>
      <c r="AB182" s="19" t="str">
        <f ca="1">IFERROR(IF(Z182="A","",RANK(AE182,AE168:AE183,1)),"")</f>
        <v/>
      </c>
      <c r="AD182" s="9" t="str">
        <f t="shared" ca="1" si="56"/>
        <v/>
      </c>
      <c r="AE182" s="9" t="str">
        <f t="shared" ca="1" si="57"/>
        <v/>
      </c>
      <c r="AF182" s="9" t="s">
        <v>138</v>
      </c>
      <c r="AG182" s="4">
        <f>IFERROR(IF(A167=0,E182/11,LEFT(E182,1)),"")</f>
        <v>2</v>
      </c>
    </row>
    <row r="183" spans="1:33" s="4" customFormat="1" ht="16.149999999999999" customHeight="1" x14ac:dyDescent="0.35">
      <c r="A183" s="8" t="str">
        <f>IFERROR(IF(A167=0,A175*11,A175&amp;A175),"-")</f>
        <v>-</v>
      </c>
      <c r="B183" s="7" t="str">
        <f t="shared" ca="1" si="51"/>
        <v/>
      </c>
      <c r="C183" s="7" t="str">
        <f t="shared" ca="1" si="52"/>
        <v/>
      </c>
      <c r="D183" s="55">
        <v>16</v>
      </c>
      <c r="E183" s="17" t="str">
        <f t="shared" si="53"/>
        <v>-</v>
      </c>
      <c r="F183" s="319" t="str">
        <f>IFERROR(VLOOKUP($A164&amp;E183,downloads!$A$1:$E$1000,2,FALSE),"")</f>
        <v/>
      </c>
      <c r="G183" s="18" t="str">
        <f t="shared" si="50"/>
        <v/>
      </c>
      <c r="H183" s="464">
        <f ca="1">IFERROR(INDIRECT(CONCATENATE("'Distance Input'!"&amp;B166&amp;C166+15)),"")</f>
        <v>0</v>
      </c>
      <c r="I183" s="465"/>
      <c r="J183" s="464">
        <v>0</v>
      </c>
      <c r="K183" s="465"/>
      <c r="L183" s="464">
        <v>0</v>
      </c>
      <c r="M183" s="465"/>
      <c r="N183" s="470">
        <f t="shared" ca="1" si="54"/>
        <v>0</v>
      </c>
      <c r="O183" s="471"/>
      <c r="P183" s="55">
        <v>0</v>
      </c>
      <c r="Q183" s="472">
        <v>0</v>
      </c>
      <c r="R183" s="472"/>
      <c r="S183" s="472">
        <v>0</v>
      </c>
      <c r="T183" s="472"/>
      <c r="U183" s="472">
        <v>0</v>
      </c>
      <c r="V183" s="472"/>
      <c r="W183" s="464">
        <f t="shared" ca="1" si="55"/>
        <v>0</v>
      </c>
      <c r="X183" s="465"/>
      <c r="Y183" s="55">
        <f ca="1">IF(OR(W183="",W183=0),0,IF(W183="X",MatchDay!$U$2+MatchDay!$U$2+1-COUNTIF(Distance!W168:W183,"X"),RANK(W183,$W168:$X183,0)))</f>
        <v>0</v>
      </c>
      <c r="Z183" s="19">
        <f ca="1">IFERROR(IF(Y183=0,0,IF(VLOOKUP(AG183,E168:Y175,21,FALSE)=0,"A",IF(Y183&gt;=VLOOKUP(AG183,E168:Y175,21,FALSE),"B","A"))),"")</f>
        <v>0</v>
      </c>
      <c r="AA183" s="19" t="str">
        <f ca="1">IFERROR(IF(Z183="B","",RANK(AD183,AD168:AD183,1)),"")</f>
        <v/>
      </c>
      <c r="AB183" s="19" t="str">
        <f ca="1">IFERROR(IF(Z183="A","",RANK(AE183,AE168:AE183,1)),"")</f>
        <v/>
      </c>
      <c r="AD183" s="9" t="str">
        <f t="shared" ca="1" si="56"/>
        <v/>
      </c>
      <c r="AE183" s="9" t="str">
        <f t="shared" ca="1" si="57"/>
        <v/>
      </c>
      <c r="AF183" s="9" t="s">
        <v>138</v>
      </c>
      <c r="AG183" s="4" t="str">
        <f>IFERROR(IF(A167=0,E183/11,LEFT(E183,1)),"")</f>
        <v/>
      </c>
    </row>
    <row r="184" spans="1:33" s="4" customFormat="1" x14ac:dyDescent="0.25">
      <c r="A184" s="8"/>
      <c r="B184" s="10"/>
      <c r="C184" s="3"/>
      <c r="D184" s="20"/>
      <c r="E184" s="20"/>
      <c r="F184" s="21"/>
      <c r="G184" s="21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2"/>
    </row>
    <row r="185" spans="1:33" s="4" customFormat="1" x14ac:dyDescent="0.25">
      <c r="A185" s="8"/>
      <c r="B185" s="10"/>
      <c r="C185" s="3"/>
      <c r="D185" s="469" t="s">
        <v>139</v>
      </c>
      <c r="E185" s="473"/>
      <c r="F185" s="473"/>
      <c r="G185" s="473"/>
      <c r="H185" s="473"/>
      <c r="I185" s="473"/>
      <c r="J185" s="466" t="s">
        <v>140</v>
      </c>
      <c r="K185" s="474"/>
      <c r="L185" s="474"/>
      <c r="M185" s="474"/>
      <c r="N185" s="474"/>
      <c r="O185" s="474"/>
      <c r="P185" s="474"/>
      <c r="Q185" s="474"/>
      <c r="R185" s="474"/>
      <c r="S185" s="474"/>
      <c r="T185" s="474"/>
      <c r="U185" s="475"/>
      <c r="V185" s="466" t="s">
        <v>1136</v>
      </c>
      <c r="W185" s="467"/>
      <c r="X185" s="467"/>
      <c r="Y185" s="467"/>
      <c r="Z185" s="467"/>
      <c r="AA185" s="467"/>
      <c r="AB185" s="468"/>
    </row>
    <row r="186" spans="1:33" s="4" customFormat="1" x14ac:dyDescent="0.25">
      <c r="A186" s="8" t="s">
        <v>55</v>
      </c>
      <c r="B186" s="10"/>
      <c r="C186" s="3"/>
      <c r="D186" s="12"/>
      <c r="E186" s="55" t="s">
        <v>141</v>
      </c>
      <c r="F186" s="55" t="s">
        <v>124</v>
      </c>
      <c r="G186" s="55" t="s">
        <v>125</v>
      </c>
      <c r="H186" s="469" t="s">
        <v>142</v>
      </c>
      <c r="I186" s="469"/>
      <c r="J186" s="23"/>
      <c r="K186" s="54" t="s">
        <v>141</v>
      </c>
      <c r="L186" s="466" t="s">
        <v>124</v>
      </c>
      <c r="M186" s="467"/>
      <c r="N186" s="467"/>
      <c r="O186" s="468"/>
      <c r="P186" s="466" t="s">
        <v>125</v>
      </c>
      <c r="Q186" s="467"/>
      <c r="R186" s="467"/>
      <c r="S186" s="468"/>
      <c r="T186" s="466" t="s">
        <v>142</v>
      </c>
      <c r="U186" s="468"/>
      <c r="V186" s="24"/>
      <c r="W186" s="25"/>
      <c r="X186" s="25"/>
      <c r="Y186" s="25"/>
      <c r="Z186" s="25"/>
      <c r="AA186" s="25"/>
      <c r="AB186" s="26"/>
    </row>
    <row r="187" spans="1:33" s="4" customFormat="1" ht="16.149999999999999" customHeight="1" x14ac:dyDescent="0.25">
      <c r="A187" s="11">
        <f>IFERROR(VLOOKUP(A164,standards,3,FALSE),"-")</f>
        <v>7.4</v>
      </c>
      <c r="B187" s="10">
        <v>1</v>
      </c>
      <c r="C187" s="3"/>
      <c r="D187" s="55">
        <v>1</v>
      </c>
      <c r="E187" s="19">
        <f ca="1">IFERROR(IF(OR(H168=98,H168=99),H168,VLOOKUP(B187,B168:E183,4,FALSE)),0)</f>
        <v>1</v>
      </c>
      <c r="F187" s="27" t="str">
        <f ca="1">IFERROR(VLOOKUP(E187,$E168:$F183,2,FALSE),"")</f>
        <v>Lucas BEECH</v>
      </c>
      <c r="G187" s="18" t="str">
        <f t="shared" ref="G187:G194" ca="1" si="58">IFERROR(VLOOKUP(E187,teamlookup,5,FALSE),"-")</f>
        <v>C&amp;N</v>
      </c>
      <c r="H187" s="459">
        <f ca="1">IFERROR(VLOOKUP(E187,E168:X183,19,FALSE),"")</f>
        <v>7.47</v>
      </c>
      <c r="I187" s="460"/>
      <c r="J187" s="55">
        <v>1</v>
      </c>
      <c r="K187" s="55">
        <f ca="1">IFERROR(VLOOKUP(B187,C168:X183,3,FALSE),"")</f>
        <v>11</v>
      </c>
      <c r="L187" s="461" t="str">
        <f ca="1">IFERROR(VLOOKUP(K187,$E168:$F183,2,FALSE),"")</f>
        <v>Oliver BORG-HEFFERNAN</v>
      </c>
      <c r="M187" s="462"/>
      <c r="N187" s="462"/>
      <c r="O187" s="463"/>
      <c r="P187" s="461" t="str">
        <f t="shared" ref="P187:P194" ca="1" si="59">IFERROR(VLOOKUP(K187,teamlookup,5,FALSE),"-")</f>
        <v>C&amp;N</v>
      </c>
      <c r="Q187" s="462"/>
      <c r="R187" s="462"/>
      <c r="S187" s="463"/>
      <c r="T187" s="464">
        <f ca="1">IFERROR(VLOOKUP(K187,E168:X183,19,FALSE),"")</f>
        <v>5.92</v>
      </c>
      <c r="U187" s="465"/>
      <c r="V187" s="28"/>
      <c r="W187" s="29"/>
      <c r="X187" s="29"/>
      <c r="Y187" s="29"/>
      <c r="Z187" s="29"/>
      <c r="AA187" s="29"/>
      <c r="AB187" s="30"/>
    </row>
    <row r="188" spans="1:33" s="4" customFormat="1" ht="16.149999999999999" customHeight="1" x14ac:dyDescent="0.25">
      <c r="A188" s="11">
        <f>IFERROR(VLOOKUP(A164,standards,4,FALSE),"-")</f>
        <v>8</v>
      </c>
      <c r="B188" s="10">
        <v>2</v>
      </c>
      <c r="C188" s="3"/>
      <c r="D188" s="55">
        <v>2</v>
      </c>
      <c r="E188" s="19">
        <f ca="1">IFERROR(VLOOKUP(B188,B168:E183,4,FALSE),"")</f>
        <v>2</v>
      </c>
      <c r="F188" s="27" t="str">
        <f ca="1">IFERROR(VLOOKUP(E188,$E168:$F183,2,FALSE),"")</f>
        <v>Marshall FLEET</v>
      </c>
      <c r="G188" s="18" t="str">
        <f t="shared" ca="1" si="58"/>
        <v>ECHT</v>
      </c>
      <c r="H188" s="459">
        <f ca="1">IFERROR(VLOOKUP(E188,E168:X183,19,FALSE),"")</f>
        <v>7.1</v>
      </c>
      <c r="I188" s="460"/>
      <c r="J188" s="55">
        <v>2</v>
      </c>
      <c r="K188" s="55">
        <f ca="1">IFERROR(VLOOKUP(B188,C168:X183,3,FALSE),"")</f>
        <v>3</v>
      </c>
      <c r="L188" s="461" t="str">
        <f ca="1">IFERROR(VLOOKUP(K188,$E168:$F183,2,FALSE),"")</f>
        <v>Oliver SANDERSON</v>
      </c>
      <c r="M188" s="462"/>
      <c r="N188" s="462"/>
      <c r="O188" s="463"/>
      <c r="P188" s="461" t="str">
        <f t="shared" ca="1" si="59"/>
        <v>Leigh</v>
      </c>
      <c r="Q188" s="462"/>
      <c r="R188" s="462"/>
      <c r="S188" s="463"/>
      <c r="T188" s="464">
        <f ca="1">IFERROR(VLOOKUP(K188,E168:X183,19,FALSE),"")</f>
        <v>5.61</v>
      </c>
      <c r="U188" s="465"/>
      <c r="V188" s="24"/>
      <c r="W188" s="25"/>
      <c r="X188" s="25"/>
      <c r="Y188" s="25"/>
      <c r="Z188" s="25"/>
      <c r="AA188" s="25"/>
      <c r="AB188" s="26"/>
    </row>
    <row r="189" spans="1:33" s="4" customFormat="1" ht="16.149999999999999" customHeight="1" x14ac:dyDescent="0.25">
      <c r="A189" s="11">
        <f>IFERROR(VLOOKUP(A164,standards,5,FALSE),"-")</f>
        <v>8.6</v>
      </c>
      <c r="B189" s="10">
        <v>3</v>
      </c>
      <c r="C189" s="3"/>
      <c r="D189" s="55">
        <v>3</v>
      </c>
      <c r="E189" s="19">
        <f ca="1">IFERROR(VLOOKUP(B189,B168:E183,4,FALSE),"")</f>
        <v>33</v>
      </c>
      <c r="F189" s="27" t="str">
        <f ca="1">IFERROR(VLOOKUP(E189,$E168:$F183,2,FALSE),"")</f>
        <v>Archer GILDART</v>
      </c>
      <c r="G189" s="18" t="str">
        <f t="shared" ca="1" si="58"/>
        <v>Leigh</v>
      </c>
      <c r="H189" s="459">
        <f ca="1">IFERROR(VLOOKUP(E189,E168:X183,19,FALSE),"")</f>
        <v>6.4</v>
      </c>
      <c r="I189" s="460"/>
      <c r="J189" s="55">
        <v>3</v>
      </c>
      <c r="K189" s="55" t="str">
        <f ca="1">IFERROR(VLOOKUP(B189,C168:X183,3,FALSE),"")</f>
        <v/>
      </c>
      <c r="L189" s="461" t="str">
        <f ca="1">IFERROR(VLOOKUP(K189,$E168:$F183,2,FALSE),"")</f>
        <v/>
      </c>
      <c r="M189" s="462"/>
      <c r="N189" s="462"/>
      <c r="O189" s="463"/>
      <c r="P189" s="461" t="str">
        <f t="shared" ca="1" si="59"/>
        <v>-</v>
      </c>
      <c r="Q189" s="462"/>
      <c r="R189" s="462"/>
      <c r="S189" s="463"/>
      <c r="T189" s="464" t="str">
        <f ca="1">IFERROR(VLOOKUP(K189,E168:X183,19,FALSE),"")</f>
        <v/>
      </c>
      <c r="U189" s="465"/>
      <c r="V189" s="28"/>
      <c r="W189" s="29"/>
      <c r="X189" s="29"/>
      <c r="Y189" s="29"/>
      <c r="Z189" s="29"/>
      <c r="AA189" s="29"/>
      <c r="AB189" s="30"/>
    </row>
    <row r="190" spans="1:33" s="4" customFormat="1" ht="16.149999999999999" customHeight="1" x14ac:dyDescent="0.25">
      <c r="A190" s="11">
        <f>IFERROR(VLOOKUP(A164,EA!A:K,6,FALSE),"-")</f>
        <v>9.1999999999999993</v>
      </c>
      <c r="B190" s="10">
        <v>4</v>
      </c>
      <c r="C190" s="3"/>
      <c r="D190" s="55">
        <v>4</v>
      </c>
      <c r="E190" s="19">
        <f ca="1">IFERROR(VLOOKUP(B190,B168:E183,4,FALSE),"")</f>
        <v>6</v>
      </c>
      <c r="F190" s="27" t="str">
        <f ca="1">IFERROR(VLOOKUP(E190,$E168:$F183,2,FALSE),"")</f>
        <v>Campbell JOHNSON</v>
      </c>
      <c r="G190" s="18" t="str">
        <f t="shared" ca="1" si="58"/>
        <v>Stock</v>
      </c>
      <c r="H190" s="459">
        <f ca="1">IFERROR(VLOOKUP(E190,E168:X183,19,FALSE),"")</f>
        <v>5.57</v>
      </c>
      <c r="I190" s="460"/>
      <c r="J190" s="55">
        <v>4</v>
      </c>
      <c r="K190" s="55" t="str">
        <f ca="1">IFERROR(VLOOKUP(B190,C168:X183,3,FALSE),"")</f>
        <v/>
      </c>
      <c r="L190" s="461" t="str">
        <f ca="1">IFERROR(VLOOKUP(K190,$E168:$F183,2,FALSE),"")</f>
        <v/>
      </c>
      <c r="M190" s="462"/>
      <c r="N190" s="462"/>
      <c r="O190" s="463"/>
      <c r="P190" s="461" t="str">
        <f t="shared" ca="1" si="59"/>
        <v>-</v>
      </c>
      <c r="Q190" s="462"/>
      <c r="R190" s="462"/>
      <c r="S190" s="463"/>
      <c r="T190" s="464" t="str">
        <f ca="1">IFERROR(VLOOKUP(K190,E168:X183,19,FALSE),"")</f>
        <v/>
      </c>
      <c r="U190" s="465"/>
      <c r="V190" s="24"/>
      <c r="W190" s="25"/>
      <c r="X190" s="25"/>
      <c r="Y190" s="25"/>
      <c r="Z190" s="25"/>
      <c r="AA190" s="25"/>
      <c r="AB190" s="26"/>
    </row>
    <row r="191" spans="1:33" s="4" customFormat="1" ht="16.149999999999999" customHeight="1" x14ac:dyDescent="0.25">
      <c r="A191" s="8"/>
      <c r="B191" s="10">
        <v>5</v>
      </c>
      <c r="C191" s="3"/>
      <c r="D191" s="55">
        <v>5</v>
      </c>
      <c r="E191" s="19">
        <f ca="1">IFERROR(VLOOKUP(B191,B168:E183,4,FALSE),"")</f>
        <v>7</v>
      </c>
      <c r="F191" s="27" t="str">
        <f ca="1">IFERROR(VLOOKUP(E191,$E168:$F183,2,FALSE),"")</f>
        <v>Matthew HAYTON</v>
      </c>
      <c r="G191" s="18" t="str">
        <f t="shared" ca="1" si="58"/>
        <v>Wigan</v>
      </c>
      <c r="H191" s="459">
        <f ca="1">IFERROR(VLOOKUP(E191,E168:X183,19,FALSE),"")</f>
        <v>5.0999999999999996</v>
      </c>
      <c r="I191" s="460"/>
      <c r="J191" s="55">
        <v>5</v>
      </c>
      <c r="K191" s="55" t="str">
        <f ca="1">IFERROR(VLOOKUP(B191,C168:X183,3,FALSE),"")</f>
        <v/>
      </c>
      <c r="L191" s="461" t="str">
        <f ca="1">IFERROR(VLOOKUP(K191,$E168:$F183,2,FALSE),"")</f>
        <v/>
      </c>
      <c r="M191" s="462"/>
      <c r="N191" s="462"/>
      <c r="O191" s="463"/>
      <c r="P191" s="461" t="str">
        <f t="shared" ca="1" si="59"/>
        <v>-</v>
      </c>
      <c r="Q191" s="462"/>
      <c r="R191" s="462"/>
      <c r="S191" s="463"/>
      <c r="T191" s="464" t="str">
        <f ca="1">IFERROR(VLOOKUP(K191,E168:X183,19,FALSE),"")</f>
        <v/>
      </c>
      <c r="U191" s="465"/>
      <c r="V191" s="28"/>
      <c r="W191" s="29"/>
      <c r="X191" s="29"/>
      <c r="Y191" s="29"/>
      <c r="Z191" s="29"/>
      <c r="AA191" s="29"/>
      <c r="AB191" s="30"/>
    </row>
    <row r="192" spans="1:33" s="4" customFormat="1" ht="16.149999999999999" customHeight="1" x14ac:dyDescent="0.25">
      <c r="A192" s="8" t="s">
        <v>151</v>
      </c>
      <c r="B192" s="10">
        <v>6</v>
      </c>
      <c r="C192" s="3"/>
      <c r="D192" s="55">
        <v>6</v>
      </c>
      <c r="E192" s="19" t="str">
        <f ca="1">IFERROR(VLOOKUP(B192,B168:E183,4,FALSE),"")</f>
        <v/>
      </c>
      <c r="F192" s="27" t="str">
        <f ca="1">IFERROR(VLOOKUP(E192,$E168:$F183,2,FALSE),"")</f>
        <v/>
      </c>
      <c r="G192" s="18" t="str">
        <f t="shared" ca="1" si="58"/>
        <v>-</v>
      </c>
      <c r="H192" s="459" t="str">
        <f ca="1">IFERROR(VLOOKUP(E192,E168:X183,19,FALSE),"")</f>
        <v/>
      </c>
      <c r="I192" s="460"/>
      <c r="J192" s="55">
        <v>6</v>
      </c>
      <c r="K192" s="55" t="str">
        <f ca="1">IFERROR(VLOOKUP(B192,C168:X183,3,FALSE),"")</f>
        <v/>
      </c>
      <c r="L192" s="461" t="str">
        <f ca="1">IFERROR(VLOOKUP(K192,$E168:$F183,2,FALSE),"")</f>
        <v/>
      </c>
      <c r="M192" s="462"/>
      <c r="N192" s="462"/>
      <c r="O192" s="463"/>
      <c r="P192" s="461" t="str">
        <f t="shared" ca="1" si="59"/>
        <v>-</v>
      </c>
      <c r="Q192" s="462"/>
      <c r="R192" s="462"/>
      <c r="S192" s="463"/>
      <c r="T192" s="464" t="str">
        <f ca="1">IFERROR(VLOOKUP(K192,E168:X183,19,FALSE),"")</f>
        <v/>
      </c>
      <c r="U192" s="465"/>
      <c r="V192" s="466" t="s">
        <v>1135</v>
      </c>
      <c r="W192" s="467"/>
      <c r="X192" s="467"/>
      <c r="Y192" s="467"/>
      <c r="Z192" s="467"/>
      <c r="AA192" s="467"/>
      <c r="AB192" s="468"/>
    </row>
    <row r="193" spans="1:33" s="4" customFormat="1" ht="16.149999999999999" customHeight="1" x14ac:dyDescent="0.25">
      <c r="A193" s="8">
        <f>IFERROR(VLOOKUP(A164,records,5,FALSE),"")</f>
        <v>15.49</v>
      </c>
      <c r="B193" s="10">
        <v>7</v>
      </c>
      <c r="C193" s="3"/>
      <c r="D193" s="55">
        <v>7</v>
      </c>
      <c r="E193" s="19" t="str">
        <f ca="1">IFERROR(VLOOKUP(B193,B168:E183,4,FALSE),"")</f>
        <v/>
      </c>
      <c r="F193" s="27" t="str">
        <f ca="1">IFERROR(VLOOKUP(E193,$E168:$F183,2,FALSE),"")</f>
        <v/>
      </c>
      <c r="G193" s="18" t="str">
        <f t="shared" ca="1" si="58"/>
        <v>-</v>
      </c>
      <c r="H193" s="459" t="str">
        <f ca="1">IFERROR(VLOOKUP(E193,E168:X183,19,FALSE),"")</f>
        <v/>
      </c>
      <c r="I193" s="460"/>
      <c r="J193" s="55">
        <v>7</v>
      </c>
      <c r="K193" s="55" t="str">
        <f ca="1">IFERROR(VLOOKUP(B193,C168:X183,3,FALSE),"")</f>
        <v/>
      </c>
      <c r="L193" s="461" t="str">
        <f ca="1">IFERROR(VLOOKUP(K193,$E168:$F183,2,FALSE),"")</f>
        <v/>
      </c>
      <c r="M193" s="462"/>
      <c r="N193" s="462"/>
      <c r="O193" s="463"/>
      <c r="P193" s="461" t="str">
        <f t="shared" ca="1" si="59"/>
        <v>-</v>
      </c>
      <c r="Q193" s="462"/>
      <c r="R193" s="462"/>
      <c r="S193" s="463"/>
      <c r="T193" s="464" t="str">
        <f ca="1">IFERROR(VLOOKUP(K193,E168:X183,19,FALSE),"")</f>
        <v/>
      </c>
      <c r="U193" s="465"/>
      <c r="V193" s="24"/>
      <c r="W193" s="25"/>
      <c r="X193" s="25"/>
      <c r="Y193" s="25"/>
      <c r="Z193" s="25"/>
      <c r="AA193" s="25"/>
      <c r="AB193" s="26"/>
    </row>
    <row r="194" spans="1:33" s="4" customFormat="1" ht="16.149999999999999" customHeight="1" x14ac:dyDescent="0.25">
      <c r="A194" s="8"/>
      <c r="B194" s="10">
        <v>8</v>
      </c>
      <c r="C194" s="3"/>
      <c r="D194" s="55">
        <v>8</v>
      </c>
      <c r="E194" s="19" t="str">
        <f ca="1">IFERROR(VLOOKUP(B194,B168:E183,4,FALSE),"")</f>
        <v/>
      </c>
      <c r="F194" s="27" t="str">
        <f ca="1">IFERROR(VLOOKUP(E194,$E168:$F183,2,FALSE),"")</f>
        <v/>
      </c>
      <c r="G194" s="18" t="str">
        <f t="shared" ca="1" si="58"/>
        <v>-</v>
      </c>
      <c r="H194" s="459" t="str">
        <f ca="1">IFERROR(VLOOKUP(E194,E168:X183,19,FALSE),"")</f>
        <v/>
      </c>
      <c r="I194" s="460"/>
      <c r="J194" s="55">
        <v>8</v>
      </c>
      <c r="K194" s="55" t="str">
        <f ca="1">IFERROR(VLOOKUP(B194,C168:X183,3,FALSE),"")</f>
        <v/>
      </c>
      <c r="L194" s="461" t="str">
        <f ca="1">IFERROR(VLOOKUP(K194,$E168:$F183,2,FALSE),"")</f>
        <v/>
      </c>
      <c r="M194" s="462"/>
      <c r="N194" s="462"/>
      <c r="O194" s="463"/>
      <c r="P194" s="461" t="str">
        <f t="shared" ca="1" si="59"/>
        <v>-</v>
      </c>
      <c r="Q194" s="462"/>
      <c r="R194" s="462"/>
      <c r="S194" s="463"/>
      <c r="T194" s="464" t="str">
        <f ca="1">IFERROR(VLOOKUP(K194,E168:X183,19,FALSE),"")</f>
        <v/>
      </c>
      <c r="U194" s="465"/>
      <c r="V194" s="28"/>
      <c r="W194" s="29"/>
      <c r="X194" s="29"/>
      <c r="Y194" s="29"/>
      <c r="Z194" s="29"/>
      <c r="AA194" s="29"/>
      <c r="AB194" s="30"/>
    </row>
    <row r="195" spans="1:33" s="4" customFormat="1" ht="21" x14ac:dyDescent="0.25">
      <c r="A195" s="2" t="str">
        <f>MatchDay!$U$6</f>
        <v>X</v>
      </c>
      <c r="B195" s="8"/>
      <c r="C195" s="3"/>
      <c r="D195" s="499" t="s">
        <v>143</v>
      </c>
      <c r="E195" s="500"/>
      <c r="F195" s="500"/>
      <c r="G195" s="500"/>
      <c r="H195" s="500"/>
      <c r="I195" s="500"/>
      <c r="J195" s="500"/>
      <c r="K195" s="501" t="s">
        <v>144</v>
      </c>
      <c r="L195" s="502"/>
      <c r="M195" s="502"/>
      <c r="N195" s="502"/>
      <c r="O195" s="503" t="str">
        <f>MatchDay!$C$2&amp;" "&amp;MatchDay!$C$3&amp;" "&amp;MatchDay!$C$4</f>
        <v>LOWER NORTH West 2</v>
      </c>
      <c r="P195" s="504"/>
      <c r="Q195" s="504"/>
      <c r="R195" s="504"/>
      <c r="S195" s="504"/>
      <c r="T195" s="504"/>
      <c r="U195" s="504"/>
      <c r="V195" s="504"/>
      <c r="W195" s="504"/>
      <c r="X195" s="504"/>
      <c r="Y195" s="504"/>
      <c r="Z195" s="504"/>
      <c r="AA195" s="504"/>
      <c r="AB195" s="505"/>
    </row>
    <row r="196" spans="1:33" s="4" customFormat="1" ht="15.75" customHeight="1" x14ac:dyDescent="0.25">
      <c r="A196" s="1" t="str">
        <f>IFERROR(IF(LEFT(MatchDay!$C$2,1)="L","L"&amp;A198,"U"&amp;A198),"")</f>
        <v>LFD07</v>
      </c>
      <c r="B196" s="10">
        <v>219</v>
      </c>
      <c r="C196" s="3"/>
      <c r="D196" s="466" t="s">
        <v>145</v>
      </c>
      <c r="E196" s="468"/>
      <c r="F196" s="467" t="str">
        <f>IFERROR(UPPER(VLOOKUP(A197,teamlookup,6,FALSE)),"")</f>
        <v/>
      </c>
      <c r="G196" s="468"/>
      <c r="H196" s="476" t="s">
        <v>149</v>
      </c>
      <c r="I196" s="480"/>
      <c r="J196" s="477"/>
      <c r="K196" s="466" t="str">
        <f>MatchDay!$C$8</f>
        <v>Macclesfield Leisure Centre</v>
      </c>
      <c r="L196" s="467"/>
      <c r="M196" s="467"/>
      <c r="N196" s="467"/>
      <c r="O196" s="467"/>
      <c r="P196" s="468"/>
      <c r="Q196" s="476" t="s">
        <v>119</v>
      </c>
      <c r="R196" s="477"/>
      <c r="S196" s="494">
        <f>MatchDay!$C$7</f>
        <v>45053</v>
      </c>
      <c r="T196" s="495"/>
      <c r="U196" s="495"/>
      <c r="V196" s="495"/>
      <c r="W196" s="495"/>
      <c r="X196" s="496"/>
      <c r="Y196" s="497" t="str">
        <f>IFERROR(IF(LEFT(A196,1)="L","",VLOOKUP(A196,EA!$A:$N,8,FALSE)),"")</f>
        <v/>
      </c>
      <c r="Z196" s="498"/>
      <c r="AA196" s="464" t="str">
        <f>IFERROR(IF(LEFT(A196,1)="L","",VLOOKUP(A196,standards,9,FALSE)),"")</f>
        <v/>
      </c>
      <c r="AB196" s="465"/>
      <c r="AC196" s="6"/>
      <c r="AD196" s="6"/>
    </row>
    <row r="197" spans="1:33" s="4" customFormat="1" ht="15.75" customHeight="1" x14ac:dyDescent="0.25">
      <c r="A197" s="5">
        <f>IFERROR(IF(A195=1,VLOOKUP(A196,judges,VLOOKUP(MatchDay!$U$2*10+MatchDay!$C$5,judgesp,5,FALSE),FALSE),VLOOKUP(Distance!A196,judges,VLOOKUP(MatchDay!$U$2*10+MatchDay!$C$5,judges2,5,FALSE),FALSE)),"")</f>
        <v>7</v>
      </c>
      <c r="B197" s="138"/>
      <c r="C197" s="3"/>
      <c r="D197" s="476" t="s">
        <v>120</v>
      </c>
      <c r="E197" s="477"/>
      <c r="F197" s="478" t="str">
        <f>IFERROR(VLOOKUP(A196,timetables,2,FALSE)&amp;" "&amp;VLOOKUP(A196,timetables,3,FALSE),"")</f>
        <v>Javelin U15 Boys</v>
      </c>
      <c r="G197" s="479"/>
      <c r="H197" s="476" t="s">
        <v>121</v>
      </c>
      <c r="I197" s="480"/>
      <c r="J197" s="477"/>
      <c r="K197" s="481">
        <f>IFERROR(IF(A195=1,VLOOKUP(A196,Timetables!$A:$G,6,FALSE),VLOOKUP(A196,Timetables!$A:$G,7,FALSE)),"")</f>
        <v>0.57291666666666663</v>
      </c>
      <c r="L197" s="481" t="e">
        <v>#N/A</v>
      </c>
      <c r="M197" s="476" t="s">
        <v>150</v>
      </c>
      <c r="N197" s="477"/>
      <c r="O197" s="482" t="str">
        <f>IFERROR(VLOOKUP(A196,records,3,FALSE)&amp;", "&amp;VLOOKUP(A196,records,4,FALSE)&amp;", "&amp;VLOOKUP(A196,records,5,FALSE)&amp;", "&amp;VLOOKUP(A196,records,6,FALSE)&amp;", "&amp;VLOOKUP(A196,records,7,FALSE)&amp;" "&amp;VLOOKUP(A196,records,8,FALSE),"")</f>
        <v/>
      </c>
      <c r="P197" s="482"/>
      <c r="Q197" s="482"/>
      <c r="R197" s="482"/>
      <c r="S197" s="482"/>
      <c r="T197" s="482"/>
      <c r="U197" s="482"/>
      <c r="V197" s="482"/>
      <c r="W197" s="482"/>
      <c r="X197" s="482"/>
      <c r="Y197" s="482"/>
      <c r="Z197" s="482"/>
      <c r="AA197" s="482"/>
      <c r="AB197" s="483"/>
    </row>
    <row r="198" spans="1:33" s="4" customFormat="1" ht="32.1" customHeight="1" x14ac:dyDescent="0.25">
      <c r="A198" s="5" t="s">
        <v>210</v>
      </c>
      <c r="B198" s="10" t="str">
        <f>IFERROR(VLOOKUP($A198,fdistance,2,FALSE),"")</f>
        <v>F</v>
      </c>
      <c r="C198" s="10">
        <f>IFERROR(VLOOKUP($A198,fdistance,3,FALSE),"")</f>
        <v>61</v>
      </c>
      <c r="D198" s="31" t="s">
        <v>122</v>
      </c>
      <c r="E198" s="13" t="s">
        <v>123</v>
      </c>
      <c r="F198" s="13" t="s">
        <v>124</v>
      </c>
      <c r="G198" s="14" t="s">
        <v>125</v>
      </c>
      <c r="H198" s="484" t="s">
        <v>126</v>
      </c>
      <c r="I198" s="485"/>
      <c r="J198" s="485" t="s">
        <v>127</v>
      </c>
      <c r="K198" s="485"/>
      <c r="L198" s="485" t="s">
        <v>128</v>
      </c>
      <c r="M198" s="485"/>
      <c r="N198" s="485" t="s">
        <v>129</v>
      </c>
      <c r="O198" s="485"/>
      <c r="P198" s="486" t="s">
        <v>130</v>
      </c>
      <c r="Q198" s="485" t="s">
        <v>131</v>
      </c>
      <c r="R198" s="485"/>
      <c r="S198" s="485" t="s">
        <v>132</v>
      </c>
      <c r="T198" s="485"/>
      <c r="U198" s="485" t="s">
        <v>133</v>
      </c>
      <c r="V198" s="485"/>
      <c r="W198" s="488" t="s">
        <v>134</v>
      </c>
      <c r="X198" s="489"/>
      <c r="Y198" s="490" t="s">
        <v>135</v>
      </c>
      <c r="Z198" s="492" t="s">
        <v>136</v>
      </c>
      <c r="AA198" s="493"/>
      <c r="AB198" s="484"/>
    </row>
    <row r="199" spans="1:33" s="4" customFormat="1" x14ac:dyDescent="0.3">
      <c r="A199" s="121">
        <f>IFERROR(SEARCH("U17",F197),0)</f>
        <v>0</v>
      </c>
      <c r="B199" s="7" t="s">
        <v>53</v>
      </c>
      <c r="C199" s="7" t="s">
        <v>54</v>
      </c>
      <c r="D199" s="56"/>
      <c r="E199" s="56"/>
      <c r="F199" s="15"/>
      <c r="G199" s="16"/>
      <c r="H199" s="468" t="s">
        <v>137</v>
      </c>
      <c r="I199" s="469"/>
      <c r="J199" s="469" t="s">
        <v>137</v>
      </c>
      <c r="K199" s="469"/>
      <c r="L199" s="469" t="s">
        <v>137</v>
      </c>
      <c r="M199" s="469"/>
      <c r="N199" s="469" t="s">
        <v>137</v>
      </c>
      <c r="O199" s="469"/>
      <c r="P199" s="487"/>
      <c r="Q199" s="469" t="s">
        <v>137</v>
      </c>
      <c r="R199" s="469"/>
      <c r="S199" s="469" t="s">
        <v>137</v>
      </c>
      <c r="T199" s="469"/>
      <c r="U199" s="469" t="s">
        <v>137</v>
      </c>
      <c r="V199" s="469"/>
      <c r="W199" s="469" t="s">
        <v>137</v>
      </c>
      <c r="X199" s="466"/>
      <c r="Y199" s="491"/>
      <c r="Z199" s="55"/>
      <c r="AA199" s="55" t="s">
        <v>53</v>
      </c>
      <c r="AB199" s="55" t="s">
        <v>54</v>
      </c>
    </row>
    <row r="200" spans="1:33" s="4" customFormat="1" ht="16.149999999999999" customHeight="1" x14ac:dyDescent="0.35">
      <c r="A200" s="8">
        <f>IFERROR(IF(D200&gt;MatchDay!$U$2,"-",VLOOKUP(A196,timetables,MatchDay!$U$4,FALSE)),0)</f>
        <v>1</v>
      </c>
      <c r="B200" s="7">
        <f ca="1">AA200</f>
        <v>3</v>
      </c>
      <c r="C200" s="7" t="str">
        <f ca="1">AB200</f>
        <v/>
      </c>
      <c r="D200" s="56">
        <v>1</v>
      </c>
      <c r="E200" s="17">
        <f>A200</f>
        <v>1</v>
      </c>
      <c r="F200" s="319" t="str">
        <f>IFERROR(VLOOKUP($A196&amp;E200,downloads!$A$1:$E$1000,2,FALSE),"")</f>
        <v>Jack TILLEY</v>
      </c>
      <c r="G200" s="18" t="str">
        <f t="shared" ref="G200:G215" si="60">IFERROR(VLOOKUP(E200,teamlookup,5,FALSE),"-")</f>
        <v>C&amp;N</v>
      </c>
      <c r="H200" s="464">
        <f ca="1">IFERROR(INDIRECT(CONCATENATE("'Distance Input'!"&amp;B198&amp;C198)),"")</f>
        <v>19.510000000000002</v>
      </c>
      <c r="I200" s="465"/>
      <c r="J200" s="464">
        <v>0</v>
      </c>
      <c r="K200" s="465"/>
      <c r="L200" s="464">
        <v>0</v>
      </c>
      <c r="M200" s="465"/>
      <c r="N200" s="470">
        <f ca="1">H200</f>
        <v>19.510000000000002</v>
      </c>
      <c r="O200" s="471"/>
      <c r="P200" s="55">
        <v>0</v>
      </c>
      <c r="Q200" s="472">
        <v>0</v>
      </c>
      <c r="R200" s="472"/>
      <c r="S200" s="472">
        <v>0</v>
      </c>
      <c r="T200" s="472"/>
      <c r="U200" s="472">
        <v>0</v>
      </c>
      <c r="V200" s="472"/>
      <c r="W200" s="464">
        <f ca="1">N200</f>
        <v>19.510000000000002</v>
      </c>
      <c r="X200" s="465"/>
      <c r="Y200" s="55">
        <f ca="1">IF(OR(W200="",W200=0),0,IF(W200="X",MatchDay!$U$2+MatchDay!$U$2+1-COUNTIF(Distance!W200:W200,"X"),RANK(W200,$W200:$X215,0)))</f>
        <v>3</v>
      </c>
      <c r="Z200" s="19" t="str">
        <f ca="1">IFERROR(IF(Y200=0,0,IF(OR(VLOOKUP(AG200,E208:Y215,21,FALSE)=0,Y200&lt;=VLOOKUP(AG200,E208:Y215,21,FALSE)),"A","B")),"")</f>
        <v>A</v>
      </c>
      <c r="AA200" s="19">
        <f ca="1">IFERROR(IF(Z200="B","",RANK(AD200,AD200:AD215,1)),"")</f>
        <v>3</v>
      </c>
      <c r="AB200" s="19" t="str">
        <f ca="1">IFERROR(IF(Z200="A","",RANK(AE200,AE200:AE215,1)),"")</f>
        <v/>
      </c>
      <c r="AC200" s="8"/>
      <c r="AD200" s="9">
        <f ca="1">IF(OR(W200=0,Y200=0,Z200="B"),"",Y200)</f>
        <v>3</v>
      </c>
      <c r="AE200" s="9" t="str">
        <f ca="1">IF(OR(W200=0,Y200=0,Z200="A"),"",Y200)</f>
        <v/>
      </c>
      <c r="AF200" s="9" t="s">
        <v>138</v>
      </c>
      <c r="AG200" s="4">
        <f>IFERROR(IF(A199=0,E200*11,E200&amp;E200),"")</f>
        <v>11</v>
      </c>
    </row>
    <row r="201" spans="1:33" s="4" customFormat="1" ht="16.149999999999999" customHeight="1" x14ac:dyDescent="0.35">
      <c r="A201" s="8">
        <f>IFERROR(IF(D201&gt;MatchDay!$U$2,"-",VLOOKUP(A196,timetables,MatchDay!$U$4+1,FALSE)),0)</f>
        <v>2</v>
      </c>
      <c r="B201" s="7">
        <f t="shared" ref="B201:B215" ca="1" si="61">AA201</f>
        <v>5</v>
      </c>
      <c r="C201" s="7" t="str">
        <f t="shared" ref="C201:C215" ca="1" si="62">AB201</f>
        <v/>
      </c>
      <c r="D201" s="55">
        <v>2</v>
      </c>
      <c r="E201" s="17">
        <f t="shared" ref="E201:E215" si="63">A201</f>
        <v>2</v>
      </c>
      <c r="F201" s="319" t="str">
        <f>IFERROR(VLOOKUP($A196&amp;E201,downloads!$A$1:$E$1000,2,FALSE),"")</f>
        <v>Sebastian STEWART</v>
      </c>
      <c r="G201" s="18" t="str">
        <f t="shared" si="60"/>
        <v>ECHT</v>
      </c>
      <c r="H201" s="464">
        <f ca="1">IFERROR(INDIRECT(CONCATENATE("'Distance Input'!"&amp;B198&amp;C198+1)),"")</f>
        <v>14.47</v>
      </c>
      <c r="I201" s="465"/>
      <c r="J201" s="464">
        <v>0</v>
      </c>
      <c r="K201" s="465"/>
      <c r="L201" s="464">
        <v>0</v>
      </c>
      <c r="M201" s="465"/>
      <c r="N201" s="470">
        <f t="shared" ref="N201:N215" ca="1" si="64">H201</f>
        <v>14.47</v>
      </c>
      <c r="O201" s="471"/>
      <c r="P201" s="55">
        <v>0</v>
      </c>
      <c r="Q201" s="472">
        <v>0</v>
      </c>
      <c r="R201" s="472"/>
      <c r="S201" s="472">
        <v>0</v>
      </c>
      <c r="T201" s="472"/>
      <c r="U201" s="472">
        <v>0</v>
      </c>
      <c r="V201" s="472"/>
      <c r="W201" s="464">
        <f t="shared" ref="W201:W215" ca="1" si="65">N201</f>
        <v>14.47</v>
      </c>
      <c r="X201" s="465"/>
      <c r="Y201" s="55">
        <f ca="1">IF(OR(W201="",W201=0),0,IF(W201="X",MatchDay!$U$2+MatchDay!$U$2+1-COUNTIF(Distance!W200:W201,"X"),RANK(W201,$W200:$X215,0)))</f>
        <v>6</v>
      </c>
      <c r="Z201" s="19" t="str">
        <f ca="1">IFERROR(IF(Y201=0,0,IF(OR(VLOOKUP(AG201,E208:Y215,21,FALSE)=0,Y201&lt;=VLOOKUP(AG201,E208:Y215,21,FALSE)),"A","B")),"")</f>
        <v>A</v>
      </c>
      <c r="AA201" s="19">
        <f ca="1">IFERROR(IF(Z201="B","",RANK(AD201,AD200:AD215,1)),"")</f>
        <v>5</v>
      </c>
      <c r="AB201" s="19" t="str">
        <f ca="1">IFERROR(IF(Z201="A","",RANK(AE201,AE200:AE215,1)),"")</f>
        <v/>
      </c>
      <c r="AC201" s="8"/>
      <c r="AD201" s="9">
        <f t="shared" ref="AD201:AD215" ca="1" si="66">IF(OR(W201=0,Y201=0,Z201="B"),"",Y201)</f>
        <v>6</v>
      </c>
      <c r="AE201" s="9" t="str">
        <f t="shared" ref="AE201:AE215" ca="1" si="67">IF(OR(W201=0,Y201=0,Z201="A"),"",Y201)</f>
        <v/>
      </c>
      <c r="AF201" s="9" t="s">
        <v>138</v>
      </c>
      <c r="AG201" s="4">
        <f>IFERROR(IF(A199=0,E201*11,E201&amp;E201),"")</f>
        <v>22</v>
      </c>
    </row>
    <row r="202" spans="1:33" s="4" customFormat="1" ht="16.149999999999999" customHeight="1" x14ac:dyDescent="0.35">
      <c r="A202" s="8">
        <f>IFERROR(IF(D202&gt;MatchDay!$U$2,"-",VLOOKUP(A196,timetables,MatchDay!$U$4+2,FALSE)),0)</f>
        <v>6</v>
      </c>
      <c r="B202" s="7">
        <f t="shared" ca="1" si="61"/>
        <v>4</v>
      </c>
      <c r="C202" s="7" t="str">
        <f t="shared" ca="1" si="62"/>
        <v/>
      </c>
      <c r="D202" s="55">
        <v>3</v>
      </c>
      <c r="E202" s="17">
        <f t="shared" si="63"/>
        <v>6</v>
      </c>
      <c r="F202" s="319" t="str">
        <f>IFERROR(VLOOKUP($A196&amp;E202,downloads!$A$1:$E$1000,2,FALSE),"")</f>
        <v>Jacob HARWOOD-BRETNALL</v>
      </c>
      <c r="G202" s="18" t="str">
        <f t="shared" si="60"/>
        <v>Stock</v>
      </c>
      <c r="H202" s="464">
        <f ca="1">IFERROR(INDIRECT(CONCATENATE("'Distance Input'!"&amp;B198&amp;C198+2)),"")</f>
        <v>17.87</v>
      </c>
      <c r="I202" s="465"/>
      <c r="J202" s="464">
        <v>0</v>
      </c>
      <c r="K202" s="465"/>
      <c r="L202" s="464">
        <v>0</v>
      </c>
      <c r="M202" s="465"/>
      <c r="N202" s="470">
        <f t="shared" ca="1" si="64"/>
        <v>17.87</v>
      </c>
      <c r="O202" s="471"/>
      <c r="P202" s="55">
        <v>0</v>
      </c>
      <c r="Q202" s="472">
        <v>0</v>
      </c>
      <c r="R202" s="472"/>
      <c r="S202" s="472">
        <v>0</v>
      </c>
      <c r="T202" s="472"/>
      <c r="U202" s="472">
        <v>0</v>
      </c>
      <c r="V202" s="472"/>
      <c r="W202" s="464">
        <f t="shared" ca="1" si="65"/>
        <v>17.87</v>
      </c>
      <c r="X202" s="465"/>
      <c r="Y202" s="55">
        <f ca="1">IF(OR(W202="",W202=0),0,IF(W202="X",MatchDay!$U$2+MatchDay!$U$2+1-COUNTIF(Distance!W200:W202,"X"),RANK(W202,$W200:$X215,0)))</f>
        <v>4</v>
      </c>
      <c r="Z202" s="19" t="str">
        <f ca="1">IFERROR(IF(Y202=0,0,IF(OR(VLOOKUP(AG202,E208:Y215,21,FALSE)=0,Y202&lt;=VLOOKUP(AG202,E208:Y215,21,FALSE)),"A","B")),"")</f>
        <v>A</v>
      </c>
      <c r="AA202" s="19">
        <f ca="1">IFERROR(IF(Z202="B","",RANK(AD202,AD200:AD215,1)),"")</f>
        <v>4</v>
      </c>
      <c r="AB202" s="19" t="str">
        <f ca="1">IFERROR(IF(Z202="A","",RANK(AE202,AE200:AE215,1)),"")</f>
        <v/>
      </c>
      <c r="AD202" s="9">
        <f t="shared" ca="1" si="66"/>
        <v>4</v>
      </c>
      <c r="AE202" s="9" t="str">
        <f t="shared" ca="1" si="67"/>
        <v/>
      </c>
      <c r="AF202" s="9" t="s">
        <v>138</v>
      </c>
      <c r="AG202" s="4">
        <f>IFERROR(IF(A199=0,E202*11,E202&amp;E202),"")</f>
        <v>66</v>
      </c>
    </row>
    <row r="203" spans="1:33" s="4" customFormat="1" ht="16.149999999999999" customHeight="1" x14ac:dyDescent="0.35">
      <c r="A203" s="8">
        <f>IFERROR(IF(D203&gt;MatchDay!$U$2,"-",VLOOKUP(A196,timetables,MatchDay!$U$4+3,FALSE)),0)</f>
        <v>7</v>
      </c>
      <c r="B203" s="7">
        <f t="shared" ca="1" si="61"/>
        <v>7</v>
      </c>
      <c r="C203" s="7" t="str">
        <f t="shared" ca="1" si="62"/>
        <v/>
      </c>
      <c r="D203" s="55">
        <v>4</v>
      </c>
      <c r="E203" s="17">
        <f t="shared" si="63"/>
        <v>7</v>
      </c>
      <c r="F203" s="319" t="str">
        <f>IFERROR(VLOOKUP($A196&amp;E203,downloads!$A$1:$E$1000,2,FALSE),"")</f>
        <v>Joshua BOURNE</v>
      </c>
      <c r="G203" s="18" t="str">
        <f t="shared" si="60"/>
        <v>Wigan</v>
      </c>
      <c r="H203" s="464" t="str">
        <f ca="1">IFERROR(INDIRECT(CONCATENATE("'Distance Input'!"&amp;B198&amp;C198+3)),"")</f>
        <v>X</v>
      </c>
      <c r="I203" s="465"/>
      <c r="J203" s="464">
        <v>0</v>
      </c>
      <c r="K203" s="465"/>
      <c r="L203" s="464">
        <v>0</v>
      </c>
      <c r="M203" s="465"/>
      <c r="N203" s="470" t="str">
        <f t="shared" ca="1" si="64"/>
        <v>X</v>
      </c>
      <c r="O203" s="471"/>
      <c r="P203" s="55">
        <v>0</v>
      </c>
      <c r="Q203" s="472">
        <v>0</v>
      </c>
      <c r="R203" s="472"/>
      <c r="S203" s="472">
        <v>0</v>
      </c>
      <c r="T203" s="472"/>
      <c r="U203" s="472">
        <v>0</v>
      </c>
      <c r="V203" s="472"/>
      <c r="W203" s="464" t="str">
        <f t="shared" ca="1" si="65"/>
        <v>X</v>
      </c>
      <c r="X203" s="465"/>
      <c r="Y203" s="55">
        <f ca="1">IF(OR(W203="",W203=0),0,IF(W203="X",MatchDay!$U$2+MatchDay!$U$2+1-COUNTIF(Distance!W200:W203,"X"),RANK(W203,$W200:$X215,0)))</f>
        <v>14</v>
      </c>
      <c r="Z203" s="19" t="str">
        <f ca="1">IFERROR(IF(Y203=0,0,IF(OR(VLOOKUP(AG203,E208:Y215,21,FALSE)=0,Y203&lt;=VLOOKUP(AG203,E208:Y215,21,FALSE)),"A","B")),"")</f>
        <v>A</v>
      </c>
      <c r="AA203" s="19">
        <f ca="1">IFERROR(IF(Z203="B","",RANK(AD203,AD200:AD215,1)),"")</f>
        <v>7</v>
      </c>
      <c r="AB203" s="19" t="str">
        <f ca="1">IFERROR(IF(Z203="A","",RANK(AE203,AE200:AE215,1)),"")</f>
        <v/>
      </c>
      <c r="AD203" s="9">
        <f t="shared" ca="1" si="66"/>
        <v>14</v>
      </c>
      <c r="AE203" s="9" t="str">
        <f t="shared" ca="1" si="67"/>
        <v/>
      </c>
      <c r="AF203" s="9" t="s">
        <v>138</v>
      </c>
      <c r="AG203" s="4">
        <f>IFERROR(IF(A199=0,E203*11,E203&amp;E203),"")</f>
        <v>77</v>
      </c>
    </row>
    <row r="204" spans="1:33" s="4" customFormat="1" ht="16.149999999999999" customHeight="1" x14ac:dyDescent="0.35">
      <c r="A204" s="8">
        <f>IFERROR(IF(D204&gt;MatchDay!$U$2,"-",VLOOKUP(A196,timetables,MatchDay!$U$4+4,FALSE)),0)</f>
        <v>3</v>
      </c>
      <c r="B204" s="7">
        <f t="shared" ca="1" si="61"/>
        <v>2</v>
      </c>
      <c r="C204" s="7" t="str">
        <f t="shared" ca="1" si="62"/>
        <v/>
      </c>
      <c r="D204" s="55">
        <v>5</v>
      </c>
      <c r="E204" s="17">
        <f t="shared" si="63"/>
        <v>3</v>
      </c>
      <c r="F204" s="319" t="str">
        <f>IFERROR(VLOOKUP($A196&amp;E204,downloads!$A$1:$E$1000,2,FALSE),"")</f>
        <v>Oliver SANDERSON</v>
      </c>
      <c r="G204" s="18" t="str">
        <f t="shared" si="60"/>
        <v>Leigh</v>
      </c>
      <c r="H204" s="464">
        <f ca="1">IFERROR(INDIRECT(CONCATENATE("'Distance Input'!"&amp;B198&amp;C198+4)),"")</f>
        <v>29.79</v>
      </c>
      <c r="I204" s="465"/>
      <c r="J204" s="464">
        <v>0</v>
      </c>
      <c r="K204" s="465"/>
      <c r="L204" s="464">
        <v>0</v>
      </c>
      <c r="M204" s="465"/>
      <c r="N204" s="470">
        <f t="shared" ca="1" si="64"/>
        <v>29.79</v>
      </c>
      <c r="O204" s="471"/>
      <c r="P204" s="55">
        <v>0</v>
      </c>
      <c r="Q204" s="472">
        <v>0</v>
      </c>
      <c r="R204" s="472"/>
      <c r="S204" s="472">
        <v>0</v>
      </c>
      <c r="T204" s="472"/>
      <c r="U204" s="472">
        <v>0</v>
      </c>
      <c r="V204" s="472"/>
      <c r="W204" s="464">
        <f t="shared" ca="1" si="65"/>
        <v>29.79</v>
      </c>
      <c r="X204" s="465"/>
      <c r="Y204" s="55">
        <f ca="1">IF(OR(W204="",W204=0),0,IF(W204="X",MatchDay!$U$2+MatchDay!$U$2+1-COUNTIF(Distance!W200:W204,"X"),RANK(W204,$W200:$X215,0)))</f>
        <v>2</v>
      </c>
      <c r="Z204" s="19" t="str">
        <f ca="1">IFERROR(IF(Y204=0,0,IF(OR(VLOOKUP(AG204,E208:Y215,21,FALSE)=0,Y204&lt;=VLOOKUP(AG204,E208:Y215,21,FALSE)),"A","B")),"")</f>
        <v>A</v>
      </c>
      <c r="AA204" s="19">
        <f ca="1">IFERROR(IF(Z204="B","",RANK(AD204,AD200:AD215,1)),"")</f>
        <v>2</v>
      </c>
      <c r="AB204" s="19" t="str">
        <f ca="1">IFERROR(IF(Z204="A","",RANK(AE204,AE200:AE215,1)),"")</f>
        <v/>
      </c>
      <c r="AD204" s="9">
        <f t="shared" ca="1" si="66"/>
        <v>2</v>
      </c>
      <c r="AE204" s="9" t="str">
        <f t="shared" ca="1" si="67"/>
        <v/>
      </c>
      <c r="AF204" s="9" t="s">
        <v>138</v>
      </c>
      <c r="AG204" s="4">
        <f>IFERROR(IF(A199=0,E204*11,E204&amp;E204),"")</f>
        <v>33</v>
      </c>
    </row>
    <row r="205" spans="1:33" s="4" customFormat="1" ht="16.149999999999999" customHeight="1" x14ac:dyDescent="0.35">
      <c r="A205" s="8">
        <f>IFERROR(IF(D205&gt;MatchDay!$U$2,"-",VLOOKUP(A196,timetables,MatchDay!$U$4+5,FALSE)),0)</f>
        <v>4</v>
      </c>
      <c r="B205" s="7">
        <f t="shared" ca="1" si="61"/>
        <v>1</v>
      </c>
      <c r="C205" s="7" t="str">
        <f t="shared" ca="1" si="62"/>
        <v/>
      </c>
      <c r="D205" s="55">
        <v>6</v>
      </c>
      <c r="E205" s="17">
        <f t="shared" si="63"/>
        <v>4</v>
      </c>
      <c r="F205" s="319" t="str">
        <f>IFERROR(VLOOKUP($A196&amp;E205,downloads!$A$1:$E$1000,2,FALSE),"")</f>
        <v>Tristan LAMPRECHT</v>
      </c>
      <c r="G205" s="18" t="str">
        <f t="shared" si="60"/>
        <v>Macc</v>
      </c>
      <c r="H205" s="464">
        <f ca="1">IFERROR(INDIRECT(CONCATENATE("'Distance Input'!"&amp;B198&amp;C198+5)),"")</f>
        <v>37.17</v>
      </c>
      <c r="I205" s="465"/>
      <c r="J205" s="464">
        <v>0</v>
      </c>
      <c r="K205" s="465"/>
      <c r="L205" s="464">
        <v>0</v>
      </c>
      <c r="M205" s="465"/>
      <c r="N205" s="470">
        <f t="shared" ca="1" si="64"/>
        <v>37.17</v>
      </c>
      <c r="O205" s="471"/>
      <c r="P205" s="55">
        <v>0</v>
      </c>
      <c r="Q205" s="472">
        <v>0</v>
      </c>
      <c r="R205" s="472"/>
      <c r="S205" s="472">
        <v>0</v>
      </c>
      <c r="T205" s="472"/>
      <c r="U205" s="472">
        <v>0</v>
      </c>
      <c r="V205" s="472"/>
      <c r="W205" s="464">
        <f t="shared" ca="1" si="65"/>
        <v>37.17</v>
      </c>
      <c r="X205" s="465"/>
      <c r="Y205" s="55">
        <f ca="1">IF(OR(W205="",W205=0),0,IF(W205="X",MatchDay!$U$2+MatchDay!$U$2+1-COUNTIF(Distance!W200:W205,"X"),RANK(W205,$W200:$X215,0)))</f>
        <v>1</v>
      </c>
      <c r="Z205" s="19" t="str">
        <f ca="1">IFERROR(IF(Y205=0,0,IF(OR(VLOOKUP(AG205,E208:Y215,21,FALSE)=0,Y205&lt;=VLOOKUP(AG205,E208:Y215,21,FALSE)),"A","B")),"")</f>
        <v>A</v>
      </c>
      <c r="AA205" s="19">
        <f ca="1">IFERROR(IF(Z205="B","",RANK(AD205,AD200:AD215,1)),"")</f>
        <v>1</v>
      </c>
      <c r="AB205" s="19" t="str">
        <f ca="1">IFERROR(IF(Z205="A","",RANK(AE205,AE200:AE215,1)),"")</f>
        <v/>
      </c>
      <c r="AD205" s="9">
        <f t="shared" ca="1" si="66"/>
        <v>1</v>
      </c>
      <c r="AE205" s="9" t="str">
        <f t="shared" ca="1" si="67"/>
        <v/>
      </c>
      <c r="AF205" s="9" t="s">
        <v>138</v>
      </c>
      <c r="AG205" s="4">
        <f>IFERROR(IF(A199=0,E205*11,E205&amp;E205),"")</f>
        <v>44</v>
      </c>
    </row>
    <row r="206" spans="1:33" s="4" customFormat="1" ht="16.149999999999999" customHeight="1" x14ac:dyDescent="0.35">
      <c r="A206" s="8">
        <f>IFERROR(IF(D206&gt;MatchDay!$U$2,"-",VLOOKUP(A196,timetables,MatchDay!$U$4+6,FALSE)),0)</f>
        <v>5</v>
      </c>
      <c r="B206" s="7">
        <f t="shared" ca="1" si="61"/>
        <v>6</v>
      </c>
      <c r="C206" s="7" t="str">
        <f t="shared" ca="1" si="62"/>
        <v/>
      </c>
      <c r="D206" s="55">
        <v>7</v>
      </c>
      <c r="E206" s="17">
        <f t="shared" si="63"/>
        <v>5</v>
      </c>
      <c r="F206" s="319" t="str">
        <f>IFERROR(VLOOKUP($A196&amp;E206,downloads!$A$1:$E$1000,2,FALSE),"")</f>
        <v>Alex BAYNHAM</v>
      </c>
      <c r="G206" s="18" t="str">
        <f t="shared" si="60"/>
        <v>Menai</v>
      </c>
      <c r="H206" s="464">
        <f ca="1">IFERROR(INDIRECT(CONCATENATE("'Distance Input'!"&amp;B198&amp;C198+6)),"")</f>
        <v>7.28</v>
      </c>
      <c r="I206" s="465"/>
      <c r="J206" s="464">
        <v>0</v>
      </c>
      <c r="K206" s="465"/>
      <c r="L206" s="464">
        <v>0</v>
      </c>
      <c r="M206" s="465"/>
      <c r="N206" s="470">
        <f t="shared" ca="1" si="64"/>
        <v>7.28</v>
      </c>
      <c r="O206" s="471"/>
      <c r="P206" s="55">
        <v>0</v>
      </c>
      <c r="Q206" s="472">
        <v>0</v>
      </c>
      <c r="R206" s="472"/>
      <c r="S206" s="472">
        <v>0</v>
      </c>
      <c r="T206" s="472"/>
      <c r="U206" s="472">
        <v>0</v>
      </c>
      <c r="V206" s="472"/>
      <c r="W206" s="464">
        <f t="shared" ca="1" si="65"/>
        <v>7.28</v>
      </c>
      <c r="X206" s="465"/>
      <c r="Y206" s="55">
        <f ca="1">IF(OR(W206="",W206=0),0,IF(W206="X",MatchDay!$U$2+MatchDay!$U$2+1-COUNTIF(Distance!W200:W206,"X"),RANK(W206,$W200:$X215,0)))</f>
        <v>8</v>
      </c>
      <c r="Z206" s="19" t="str">
        <f ca="1">IFERROR(IF(Y206=0,0,IF(OR(VLOOKUP(AG206,E208:Y215,21,FALSE)=0,Y206&lt;=VLOOKUP(AG206,E208:Y215,21,FALSE)),"A","B")),"")</f>
        <v>A</v>
      </c>
      <c r="AA206" s="19">
        <f ca="1">IFERROR(IF(Z206="B","",RANK(AD206,AD200:AD215,1)),"")</f>
        <v>6</v>
      </c>
      <c r="AB206" s="19" t="str">
        <f ca="1">IFERROR(IF(Z206="A","",RANK(AE206,AE200:AE215,1)),"")</f>
        <v/>
      </c>
      <c r="AD206" s="9">
        <f t="shared" ca="1" si="66"/>
        <v>8</v>
      </c>
      <c r="AE206" s="9" t="str">
        <f t="shared" ca="1" si="67"/>
        <v/>
      </c>
      <c r="AF206" s="9" t="s">
        <v>138</v>
      </c>
      <c r="AG206" s="4">
        <f>IFERROR(IF(A199=0,E206*11,E206&amp;E206),"")</f>
        <v>55</v>
      </c>
    </row>
    <row r="207" spans="1:33" s="4" customFormat="1" ht="16.149999999999999" customHeight="1" x14ac:dyDescent="0.35">
      <c r="A207" s="8" t="str">
        <f>IFERROR(IF(D207&gt;MatchDay!$U$2,"-",VLOOKUP(A196,timetables,MatchDay!$U$4+7,FALSE)),0)</f>
        <v>-</v>
      </c>
      <c r="B207" s="7" t="str">
        <f t="shared" ca="1" si="61"/>
        <v/>
      </c>
      <c r="C207" s="7" t="str">
        <f t="shared" ca="1" si="62"/>
        <v/>
      </c>
      <c r="D207" s="55">
        <v>8</v>
      </c>
      <c r="E207" s="17" t="str">
        <f t="shared" si="63"/>
        <v>-</v>
      </c>
      <c r="F207" s="319" t="str">
        <f>IFERROR(VLOOKUP($A196&amp;E207,downloads!$A$1:$E$1000,2,FALSE),"")</f>
        <v/>
      </c>
      <c r="G207" s="18" t="str">
        <f t="shared" si="60"/>
        <v/>
      </c>
      <c r="H207" s="464">
        <f ca="1">IFERROR(INDIRECT(CONCATENATE("'Distance Input'!"&amp;B198&amp;C198+7)),"")</f>
        <v>0</v>
      </c>
      <c r="I207" s="465"/>
      <c r="J207" s="464">
        <v>0</v>
      </c>
      <c r="K207" s="465"/>
      <c r="L207" s="464">
        <v>0</v>
      </c>
      <c r="M207" s="465"/>
      <c r="N207" s="470">
        <f t="shared" ca="1" si="64"/>
        <v>0</v>
      </c>
      <c r="O207" s="471"/>
      <c r="P207" s="55">
        <v>0</v>
      </c>
      <c r="Q207" s="472">
        <v>0</v>
      </c>
      <c r="R207" s="472"/>
      <c r="S207" s="472">
        <v>0</v>
      </c>
      <c r="T207" s="472"/>
      <c r="U207" s="472">
        <v>0</v>
      </c>
      <c r="V207" s="472"/>
      <c r="W207" s="464">
        <f t="shared" ca="1" si="65"/>
        <v>0</v>
      </c>
      <c r="X207" s="465"/>
      <c r="Y207" s="55">
        <f ca="1">IF(OR(W207="",W207=0),0,IF(W207="X",MatchDay!$U$2+MatchDay!$U$2+1-COUNTIF(Distance!W200:W207,"X"),RANK(W207,$W200:$X215,0)))</f>
        <v>0</v>
      </c>
      <c r="Z207" s="19">
        <f ca="1">IFERROR(IF(Y207=0,0,IF(OR(VLOOKUP(AG207,E208:Y215,21,FALSE)=0,Y207&lt;=VLOOKUP(AG207,E208:Y215,21,FALSE)),"A","B")),"")</f>
        <v>0</v>
      </c>
      <c r="AA207" s="19" t="str">
        <f ca="1">IFERROR(IF(Z207="B","",RANK(AD207,AD200:AD215,1)),"")</f>
        <v/>
      </c>
      <c r="AB207" s="19" t="str">
        <f ca="1">IFERROR(IF(Z207="A","",RANK(AE207,AE200:AE215,1)),"")</f>
        <v/>
      </c>
      <c r="AD207" s="9" t="str">
        <f t="shared" ca="1" si="66"/>
        <v/>
      </c>
      <c r="AE207" s="9" t="str">
        <f t="shared" ca="1" si="67"/>
        <v/>
      </c>
      <c r="AF207" s="9" t="s">
        <v>138</v>
      </c>
      <c r="AG207" s="4" t="str">
        <f>IFERROR(IF(A199=0,E207*11,E207&amp;E207),"")</f>
        <v/>
      </c>
    </row>
    <row r="208" spans="1:33" s="4" customFormat="1" ht="16.149999999999999" customHeight="1" x14ac:dyDescent="0.35">
      <c r="A208" s="8">
        <f>IFERROR(IF(A199=0,A200*11,A200&amp;A200),"-")</f>
        <v>11</v>
      </c>
      <c r="B208" s="7" t="str">
        <f t="shared" ca="1" si="61"/>
        <v/>
      </c>
      <c r="C208" s="7">
        <f t="shared" ca="1" si="62"/>
        <v>1</v>
      </c>
      <c r="D208" s="55">
        <v>9</v>
      </c>
      <c r="E208" s="17">
        <f t="shared" si="63"/>
        <v>11</v>
      </c>
      <c r="F208" s="319" t="str">
        <f>IFERROR(VLOOKUP($A196&amp;E208,downloads!$A$1:$E$1000,2,FALSE),"")</f>
        <v>Saif AL-BAYATTI</v>
      </c>
      <c r="G208" s="18" t="str">
        <f t="shared" si="60"/>
        <v>C&amp;N</v>
      </c>
      <c r="H208" s="464">
        <f ca="1">IFERROR(INDIRECT(CONCATENATE("'Distance Input'!"&amp;B198&amp;C198+8)),"")</f>
        <v>15.71</v>
      </c>
      <c r="I208" s="465"/>
      <c r="J208" s="464">
        <v>0</v>
      </c>
      <c r="K208" s="465"/>
      <c r="L208" s="464">
        <v>0</v>
      </c>
      <c r="M208" s="465"/>
      <c r="N208" s="470">
        <f t="shared" ca="1" si="64"/>
        <v>15.71</v>
      </c>
      <c r="O208" s="471"/>
      <c r="P208" s="55">
        <v>0</v>
      </c>
      <c r="Q208" s="472">
        <v>0</v>
      </c>
      <c r="R208" s="472"/>
      <c r="S208" s="472">
        <v>0</v>
      </c>
      <c r="T208" s="472"/>
      <c r="U208" s="472">
        <v>0</v>
      </c>
      <c r="V208" s="472"/>
      <c r="W208" s="464">
        <f t="shared" ca="1" si="65"/>
        <v>15.71</v>
      </c>
      <c r="X208" s="465"/>
      <c r="Y208" s="55">
        <f ca="1">IF(OR(W208="",W208=0),0,IF(W208="X",MatchDay!$U$2+MatchDay!$U$2+1-COUNTIF(Distance!W200:W208,"X"),RANK(W208,$W200:$X215,0)))</f>
        <v>5</v>
      </c>
      <c r="Z208" s="19" t="str">
        <f ca="1">IFERROR(IF(Y208=0,0,IF(VLOOKUP(AG208,E200:Y207,21,FALSE)=0,"A",IF(Y208&gt;=VLOOKUP(AG208,E200:Y207,21,FALSE),"B","A"))),"")</f>
        <v>B</v>
      </c>
      <c r="AA208" s="19" t="str">
        <f ca="1">IFERROR(IF(Z208="B","",RANK(AD208,AD200:AD215,1)),"")</f>
        <v/>
      </c>
      <c r="AB208" s="19">
        <f ca="1">IFERROR(IF(Z208="A","",RANK(AE208,AE200:AE215,1)),"")</f>
        <v>1</v>
      </c>
      <c r="AD208" s="9" t="str">
        <f t="shared" ca="1" si="66"/>
        <v/>
      </c>
      <c r="AE208" s="9">
        <f t="shared" ca="1" si="67"/>
        <v>5</v>
      </c>
      <c r="AF208" s="9" t="s">
        <v>138</v>
      </c>
      <c r="AG208" s="4">
        <f>IFERROR(IF(A199=0,E208/11,LEFT(E208,1)),"")</f>
        <v>1</v>
      </c>
    </row>
    <row r="209" spans="1:33" s="4" customFormat="1" ht="16.149999999999999" customHeight="1" x14ac:dyDescent="0.35">
      <c r="A209" s="8">
        <f>IFERROR(IF(A199=0,A201*11,A201&amp;A201),"-")</f>
        <v>22</v>
      </c>
      <c r="B209" s="7" t="str">
        <f t="shared" ca="1" si="61"/>
        <v/>
      </c>
      <c r="C209" s="7" t="str">
        <f t="shared" ca="1" si="62"/>
        <v/>
      </c>
      <c r="D209" s="55">
        <v>10</v>
      </c>
      <c r="E209" s="17">
        <f t="shared" si="63"/>
        <v>22</v>
      </c>
      <c r="F209" s="319" t="str">
        <f>IFERROR(VLOOKUP($A196&amp;E209,downloads!$A$1:$E$1000,2,FALSE),"")</f>
        <v/>
      </c>
      <c r="G209" s="18" t="str">
        <f t="shared" si="60"/>
        <v>ECHT</v>
      </c>
      <c r="H209" s="464">
        <f ca="1">IFERROR(INDIRECT(CONCATENATE("'Distance Input'!"&amp;B198&amp;C198+9)),"")</f>
        <v>0</v>
      </c>
      <c r="I209" s="465"/>
      <c r="J209" s="464">
        <v>0</v>
      </c>
      <c r="K209" s="465"/>
      <c r="L209" s="464">
        <v>0</v>
      </c>
      <c r="M209" s="465"/>
      <c r="N209" s="470">
        <f t="shared" ca="1" si="64"/>
        <v>0</v>
      </c>
      <c r="O209" s="471"/>
      <c r="P209" s="55">
        <v>0</v>
      </c>
      <c r="Q209" s="472">
        <v>0</v>
      </c>
      <c r="R209" s="472"/>
      <c r="S209" s="472">
        <v>0</v>
      </c>
      <c r="T209" s="472"/>
      <c r="U209" s="472">
        <v>0</v>
      </c>
      <c r="V209" s="472"/>
      <c r="W209" s="464">
        <f t="shared" ca="1" si="65"/>
        <v>0</v>
      </c>
      <c r="X209" s="465"/>
      <c r="Y209" s="55">
        <f ca="1">IF(OR(W209="",W209=0),0,IF(W209="X",MatchDay!$U$2+MatchDay!$U$2+1-COUNTIF(Distance!W200:W209,"X"),RANK(W209,$W200:$X215,0)))</f>
        <v>0</v>
      </c>
      <c r="Z209" s="19">
        <f ca="1">IFERROR(IF(Y209=0,0,IF(VLOOKUP(AG209,E200:Y207,21,FALSE)=0,"A",IF(Y209&gt;=VLOOKUP(AG209,E200:Y207,21,FALSE),"B","A"))),"")</f>
        <v>0</v>
      </c>
      <c r="AA209" s="19" t="str">
        <f ca="1">IFERROR(IF(Z209="B","",RANK(AD209,AD200:AD215,1)),"")</f>
        <v/>
      </c>
      <c r="AB209" s="19" t="str">
        <f ca="1">IFERROR(IF(Z209="A","",RANK(AE209,AE200:AE215,1)),"")</f>
        <v/>
      </c>
      <c r="AD209" s="9" t="str">
        <f t="shared" ca="1" si="66"/>
        <v/>
      </c>
      <c r="AE209" s="9" t="str">
        <f t="shared" ca="1" si="67"/>
        <v/>
      </c>
      <c r="AF209" s="9" t="s">
        <v>138</v>
      </c>
      <c r="AG209" s="4">
        <f>IFERROR(IF(A199=0,E209/11,LEFT(E209,1)),"")</f>
        <v>2</v>
      </c>
    </row>
    <row r="210" spans="1:33" s="4" customFormat="1" ht="16.149999999999999" customHeight="1" x14ac:dyDescent="0.35">
      <c r="A210" s="8">
        <f>IFERROR(IF(A199=0,A202*11,A202&amp;A202),"-")</f>
        <v>66</v>
      </c>
      <c r="B210" s="7" t="str">
        <f t="shared" ca="1" si="61"/>
        <v/>
      </c>
      <c r="C210" s="7">
        <f t="shared" ca="1" si="62"/>
        <v>2</v>
      </c>
      <c r="D210" s="55">
        <v>11</v>
      </c>
      <c r="E210" s="17">
        <f t="shared" si="63"/>
        <v>66</v>
      </c>
      <c r="F210" s="319" t="str">
        <f>IFERROR(VLOOKUP($A196&amp;E210,downloads!$A$1:$E$1000,2,FALSE),"")</f>
        <v>Arthur WOLSTENHOLME</v>
      </c>
      <c r="G210" s="18" t="str">
        <f t="shared" si="60"/>
        <v>Stock</v>
      </c>
      <c r="H210" s="464">
        <f ca="1">IFERROR(INDIRECT(CONCATENATE("'Distance Input'!"&amp;B198&amp;C198+10)),"")</f>
        <v>12.48</v>
      </c>
      <c r="I210" s="465"/>
      <c r="J210" s="464">
        <v>0</v>
      </c>
      <c r="K210" s="465"/>
      <c r="L210" s="464">
        <v>0</v>
      </c>
      <c r="M210" s="465"/>
      <c r="N210" s="470">
        <f t="shared" ca="1" si="64"/>
        <v>12.48</v>
      </c>
      <c r="O210" s="471"/>
      <c r="P210" s="55">
        <v>0</v>
      </c>
      <c r="Q210" s="472">
        <v>0</v>
      </c>
      <c r="R210" s="472"/>
      <c r="S210" s="472">
        <v>0</v>
      </c>
      <c r="T210" s="472"/>
      <c r="U210" s="472">
        <v>0</v>
      </c>
      <c r="V210" s="472"/>
      <c r="W210" s="464">
        <f t="shared" ca="1" si="65"/>
        <v>12.48</v>
      </c>
      <c r="X210" s="465"/>
      <c r="Y210" s="55">
        <f ca="1">IF(OR(W210="",W210=0),0,IF(W210="X",MatchDay!$U$2+MatchDay!$U$2+1-COUNTIF(Distance!W200:W210,"X"),RANK(W210,$W200:$X215,0)))</f>
        <v>7</v>
      </c>
      <c r="Z210" s="19" t="str">
        <f ca="1">IFERROR(IF(Y210=0,0,IF(VLOOKUP(AG210,E200:Y207,21,FALSE)=0,"A",IF(Y210&gt;=VLOOKUP(AG210,E200:Y207,21,FALSE),"B","A"))),"")</f>
        <v>B</v>
      </c>
      <c r="AA210" s="19" t="str">
        <f ca="1">IFERROR(IF(Z210="B","",RANK(AD210,AD200:AD215,1)),"")</f>
        <v/>
      </c>
      <c r="AB210" s="19">
        <f ca="1">IFERROR(IF(Z210="A","",RANK(AE210,AE200:AE215,1)),"")</f>
        <v>2</v>
      </c>
      <c r="AD210" s="9" t="str">
        <f t="shared" ca="1" si="66"/>
        <v/>
      </c>
      <c r="AE210" s="9">
        <f t="shared" ca="1" si="67"/>
        <v>7</v>
      </c>
      <c r="AF210" s="9" t="s">
        <v>138</v>
      </c>
      <c r="AG210" s="4">
        <f>IFERROR(IF(A199=0,E210/11,LEFT(E210,1)),"")</f>
        <v>6</v>
      </c>
    </row>
    <row r="211" spans="1:33" s="4" customFormat="1" ht="16.149999999999999" customHeight="1" x14ac:dyDescent="0.35">
      <c r="A211" s="8">
        <f>IFERROR(IF(A199=0,A203*11,A203&amp;A203),"-")</f>
        <v>77</v>
      </c>
      <c r="B211" s="7" t="str">
        <f t="shared" ca="1" si="61"/>
        <v/>
      </c>
      <c r="C211" s="7" t="str">
        <f t="shared" ca="1" si="62"/>
        <v/>
      </c>
      <c r="D211" s="55">
        <v>12</v>
      </c>
      <c r="E211" s="17">
        <f t="shared" si="63"/>
        <v>77</v>
      </c>
      <c r="F211" s="319" t="str">
        <f>IFERROR(VLOOKUP($A196&amp;E211,downloads!$A$1:$E$1000,2,FALSE),"")</f>
        <v/>
      </c>
      <c r="G211" s="18" t="str">
        <f t="shared" si="60"/>
        <v>Wigan</v>
      </c>
      <c r="H211" s="464">
        <f ca="1">IFERROR(INDIRECT(CONCATENATE("'Distance Input'!"&amp;B198&amp;C198+11)),"")</f>
        <v>0</v>
      </c>
      <c r="I211" s="465"/>
      <c r="J211" s="464">
        <v>0</v>
      </c>
      <c r="K211" s="465"/>
      <c r="L211" s="464">
        <v>0</v>
      </c>
      <c r="M211" s="465"/>
      <c r="N211" s="470">
        <f t="shared" ca="1" si="64"/>
        <v>0</v>
      </c>
      <c r="O211" s="471"/>
      <c r="P211" s="55">
        <v>0</v>
      </c>
      <c r="Q211" s="472">
        <v>0</v>
      </c>
      <c r="R211" s="472"/>
      <c r="S211" s="472">
        <v>0</v>
      </c>
      <c r="T211" s="472"/>
      <c r="U211" s="472">
        <v>0</v>
      </c>
      <c r="V211" s="472"/>
      <c r="W211" s="464">
        <f t="shared" ca="1" si="65"/>
        <v>0</v>
      </c>
      <c r="X211" s="465"/>
      <c r="Y211" s="55">
        <f ca="1">IF(OR(W211="",W211=0),0,IF(W211="X",MatchDay!$U$2+MatchDay!$U$2+1-COUNTIF(Distance!W200:W211,"X"),RANK(W211,$W200:$X215,0)))</f>
        <v>0</v>
      </c>
      <c r="Z211" s="19">
        <f ca="1">IFERROR(IF(Y211=0,0,IF(VLOOKUP(AG211,E200:Y207,21,FALSE)=0,"A",IF(Y211&gt;=VLOOKUP(AG211,E200:Y207,21,FALSE),"B","A"))),"")</f>
        <v>0</v>
      </c>
      <c r="AA211" s="19" t="str">
        <f ca="1">IFERROR(IF(Z211="B","",RANK(AD211,AD200:AD215,1)),"")</f>
        <v/>
      </c>
      <c r="AB211" s="19" t="str">
        <f ca="1">IFERROR(IF(Z211="A","",RANK(AE211,AE200:AE215,1)),"")</f>
        <v/>
      </c>
      <c r="AD211" s="9" t="str">
        <f t="shared" ca="1" si="66"/>
        <v/>
      </c>
      <c r="AE211" s="9" t="str">
        <f t="shared" ca="1" si="67"/>
        <v/>
      </c>
      <c r="AF211" s="9" t="s">
        <v>138</v>
      </c>
      <c r="AG211" s="4">
        <f>IFERROR(IF(A199=0,E211/11,LEFT(E211,1)),"")</f>
        <v>7</v>
      </c>
    </row>
    <row r="212" spans="1:33" s="4" customFormat="1" ht="16.149999999999999" customHeight="1" x14ac:dyDescent="0.35">
      <c r="A212" s="8">
        <f>IFERROR(IF(A199=0,A204*11,A204&amp;A204),"-")</f>
        <v>33</v>
      </c>
      <c r="B212" s="7" t="str">
        <f t="shared" ca="1" si="61"/>
        <v/>
      </c>
      <c r="C212" s="7" t="str">
        <f t="shared" ca="1" si="62"/>
        <v/>
      </c>
      <c r="D212" s="55">
        <v>13</v>
      </c>
      <c r="E212" s="17">
        <f t="shared" si="63"/>
        <v>33</v>
      </c>
      <c r="F212" s="319" t="str">
        <f>IFERROR(VLOOKUP($A196&amp;E212,downloads!$A$1:$E$1000,2,FALSE),"")</f>
        <v/>
      </c>
      <c r="G212" s="18" t="str">
        <f t="shared" si="60"/>
        <v>Leigh</v>
      </c>
      <c r="H212" s="464">
        <f ca="1">IFERROR(INDIRECT(CONCATENATE("'Distance Input'!"&amp;B198&amp;C198+12)),"")</f>
        <v>0</v>
      </c>
      <c r="I212" s="465"/>
      <c r="J212" s="464">
        <v>0</v>
      </c>
      <c r="K212" s="465"/>
      <c r="L212" s="464">
        <v>0</v>
      </c>
      <c r="M212" s="465"/>
      <c r="N212" s="470">
        <f t="shared" ca="1" si="64"/>
        <v>0</v>
      </c>
      <c r="O212" s="471"/>
      <c r="P212" s="55">
        <v>0</v>
      </c>
      <c r="Q212" s="472">
        <v>0</v>
      </c>
      <c r="R212" s="472"/>
      <c r="S212" s="472">
        <v>0</v>
      </c>
      <c r="T212" s="472"/>
      <c r="U212" s="472">
        <v>0</v>
      </c>
      <c r="V212" s="472"/>
      <c r="W212" s="464">
        <f t="shared" ca="1" si="65"/>
        <v>0</v>
      </c>
      <c r="X212" s="465"/>
      <c r="Y212" s="55">
        <f ca="1">IF(OR(W212="",W212=0),0,IF(W212="X",MatchDay!$U$2+MatchDay!$U$2+1-COUNTIF(Distance!W200:W212,"X"),RANK(W212,$W200:$X215,0)))</f>
        <v>0</v>
      </c>
      <c r="Z212" s="19">
        <f ca="1">IFERROR(IF(Y212=0,0,IF(VLOOKUP(AG212,E200:Y207,21,FALSE)=0,"A",IF(Y212&gt;=VLOOKUP(AG212,E200:Y207,21,FALSE),"B","A"))),"")</f>
        <v>0</v>
      </c>
      <c r="AA212" s="19" t="str">
        <f ca="1">IFERROR(IF(Z212="B","",RANK(AD212,AD200:AD215,1)),"")</f>
        <v/>
      </c>
      <c r="AB212" s="19" t="str">
        <f ca="1">IFERROR(IF(Z212="A","",RANK(AE212,AE200:AE215,1)),"")</f>
        <v/>
      </c>
      <c r="AD212" s="9" t="str">
        <f t="shared" ca="1" si="66"/>
        <v/>
      </c>
      <c r="AE212" s="9" t="str">
        <f t="shared" ca="1" si="67"/>
        <v/>
      </c>
      <c r="AF212" s="9" t="s">
        <v>138</v>
      </c>
      <c r="AG212" s="4">
        <f>IFERROR(IF(A199=0,E212/11,LEFT(E212,1)),"")</f>
        <v>3</v>
      </c>
    </row>
    <row r="213" spans="1:33" s="4" customFormat="1" ht="16.149999999999999" customHeight="1" x14ac:dyDescent="0.35">
      <c r="A213" s="8">
        <f>IFERROR(IF(A199=0,A205*11,A205&amp;A205),"-")</f>
        <v>44</v>
      </c>
      <c r="B213" s="7" t="str">
        <f t="shared" ca="1" si="61"/>
        <v/>
      </c>
      <c r="C213" s="7" t="str">
        <f t="shared" ca="1" si="62"/>
        <v/>
      </c>
      <c r="D213" s="55">
        <v>14</v>
      </c>
      <c r="E213" s="17">
        <f t="shared" si="63"/>
        <v>44</v>
      </c>
      <c r="F213" s="319" t="str">
        <f>IFERROR(VLOOKUP($A196&amp;E213,downloads!$A$1:$E$1000,2,FALSE),"")</f>
        <v/>
      </c>
      <c r="G213" s="18" t="str">
        <f t="shared" si="60"/>
        <v>Macc</v>
      </c>
      <c r="H213" s="464">
        <f ca="1">IFERROR(INDIRECT(CONCATENATE("'Distance Input'!"&amp;B198&amp;C198+13)),"")</f>
        <v>0</v>
      </c>
      <c r="I213" s="465"/>
      <c r="J213" s="464">
        <v>0</v>
      </c>
      <c r="K213" s="465"/>
      <c r="L213" s="464">
        <v>0</v>
      </c>
      <c r="M213" s="465"/>
      <c r="N213" s="470">
        <f t="shared" ca="1" si="64"/>
        <v>0</v>
      </c>
      <c r="O213" s="471"/>
      <c r="P213" s="55">
        <v>0</v>
      </c>
      <c r="Q213" s="472">
        <v>0</v>
      </c>
      <c r="R213" s="472"/>
      <c r="S213" s="472">
        <v>0</v>
      </c>
      <c r="T213" s="472"/>
      <c r="U213" s="472">
        <v>0</v>
      </c>
      <c r="V213" s="472"/>
      <c r="W213" s="464">
        <f t="shared" ca="1" si="65"/>
        <v>0</v>
      </c>
      <c r="X213" s="465"/>
      <c r="Y213" s="55">
        <f ca="1">IF(OR(W213="",W213=0),0,IF(W213="X",MatchDay!$U$2+MatchDay!$U$2+1-COUNTIF(Distance!W200:W213,"X"),RANK(W213,$W200:$X215,0)))</f>
        <v>0</v>
      </c>
      <c r="Z213" s="19">
        <f ca="1">IFERROR(IF(Y213=0,0,IF(VLOOKUP(AG213,E200:Y207,21,FALSE)=0,"A",IF(Y213&gt;=VLOOKUP(AG213,E200:Y207,21,FALSE),"B","A"))),"")</f>
        <v>0</v>
      </c>
      <c r="AA213" s="19" t="str">
        <f ca="1">IFERROR(IF(Z213="B","",RANK(AD213,AD200:AD215,1)),"")</f>
        <v/>
      </c>
      <c r="AB213" s="19" t="str">
        <f ca="1">IFERROR(IF(Z213="A","",RANK(AE213,AE200:AE215,1)),"")</f>
        <v/>
      </c>
      <c r="AD213" s="9" t="str">
        <f t="shared" ca="1" si="66"/>
        <v/>
      </c>
      <c r="AE213" s="9" t="str">
        <f t="shared" ca="1" si="67"/>
        <v/>
      </c>
      <c r="AF213" s="9" t="s">
        <v>138</v>
      </c>
      <c r="AG213" s="4">
        <f>IFERROR(IF(A199=0,E213/11,LEFT(E213,1)),"")</f>
        <v>4</v>
      </c>
    </row>
    <row r="214" spans="1:33" s="4" customFormat="1" ht="16.149999999999999" customHeight="1" x14ac:dyDescent="0.35">
      <c r="A214" s="8">
        <f>IFERROR(IF(A199=0,A206*11,A206&amp;A206),"-")</f>
        <v>55</v>
      </c>
      <c r="B214" s="7" t="str">
        <f t="shared" ca="1" si="61"/>
        <v/>
      </c>
      <c r="C214" s="7" t="str">
        <f t="shared" ca="1" si="62"/>
        <v/>
      </c>
      <c r="D214" s="55">
        <v>15</v>
      </c>
      <c r="E214" s="17">
        <f t="shared" si="63"/>
        <v>55</v>
      </c>
      <c r="F214" s="319" t="str">
        <f>IFERROR(VLOOKUP($A196&amp;E214,downloads!$A$1:$E$1000,2,FALSE),"")</f>
        <v/>
      </c>
      <c r="G214" s="18" t="str">
        <f t="shared" si="60"/>
        <v>Menai</v>
      </c>
      <c r="H214" s="464">
        <f ca="1">IFERROR(INDIRECT(CONCATENATE("'Distance Input'!"&amp;B198&amp;C198+14)),"")</f>
        <v>0</v>
      </c>
      <c r="I214" s="465"/>
      <c r="J214" s="464">
        <v>0</v>
      </c>
      <c r="K214" s="465"/>
      <c r="L214" s="464">
        <v>0</v>
      </c>
      <c r="M214" s="465"/>
      <c r="N214" s="470">
        <f t="shared" ca="1" si="64"/>
        <v>0</v>
      </c>
      <c r="O214" s="471"/>
      <c r="P214" s="55">
        <v>0</v>
      </c>
      <c r="Q214" s="472">
        <v>0</v>
      </c>
      <c r="R214" s="472"/>
      <c r="S214" s="472">
        <v>0</v>
      </c>
      <c r="T214" s="472"/>
      <c r="U214" s="472">
        <v>0</v>
      </c>
      <c r="V214" s="472"/>
      <c r="W214" s="464">
        <f t="shared" ca="1" si="65"/>
        <v>0</v>
      </c>
      <c r="X214" s="465"/>
      <c r="Y214" s="55">
        <f ca="1">IF(OR(W214="",W214=0),0,IF(W214="X",MatchDay!$U$2+MatchDay!$U$2+1-COUNTIF(Distance!W200:W214,"X"),RANK(W214,$W200:$X215,0)))</f>
        <v>0</v>
      </c>
      <c r="Z214" s="19">
        <f ca="1">IFERROR(IF(Y214=0,0,IF(VLOOKUP(AG214,E200:Y207,21,FALSE)=0,"A",IF(Y214&gt;=VLOOKUP(AG214,E200:Y207,21,FALSE),"B","A"))),"")</f>
        <v>0</v>
      </c>
      <c r="AA214" s="19" t="str">
        <f ca="1">IFERROR(IF(Z214="B","",RANK(AD214,AD200:AD215,1)),"")</f>
        <v/>
      </c>
      <c r="AB214" s="19" t="str">
        <f ca="1">IFERROR(IF(Z214="A","",RANK(AE214,AE200:AE215,1)),"")</f>
        <v/>
      </c>
      <c r="AD214" s="9" t="str">
        <f t="shared" ca="1" si="66"/>
        <v/>
      </c>
      <c r="AE214" s="9" t="str">
        <f t="shared" ca="1" si="67"/>
        <v/>
      </c>
      <c r="AF214" s="9" t="s">
        <v>138</v>
      </c>
      <c r="AG214" s="4">
        <f>IFERROR(IF(A199=0,E214/11,LEFT(E214,1)),"")</f>
        <v>5</v>
      </c>
    </row>
    <row r="215" spans="1:33" s="4" customFormat="1" ht="16.149999999999999" customHeight="1" x14ac:dyDescent="0.35">
      <c r="A215" s="8" t="str">
        <f>IFERROR(IF(A199=0,A207*11,A207&amp;A207),"-")</f>
        <v>-</v>
      </c>
      <c r="B215" s="7" t="str">
        <f t="shared" ca="1" si="61"/>
        <v/>
      </c>
      <c r="C215" s="7" t="str">
        <f t="shared" ca="1" si="62"/>
        <v/>
      </c>
      <c r="D215" s="55">
        <v>16</v>
      </c>
      <c r="E215" s="17" t="str">
        <f t="shared" si="63"/>
        <v>-</v>
      </c>
      <c r="F215" s="319" t="str">
        <f>IFERROR(VLOOKUP($A196&amp;E215,downloads!$A$1:$E$1000,2,FALSE),"")</f>
        <v/>
      </c>
      <c r="G215" s="18" t="str">
        <f t="shared" si="60"/>
        <v/>
      </c>
      <c r="H215" s="464">
        <f ca="1">IFERROR(INDIRECT(CONCATENATE("'Distance Input'!"&amp;B198&amp;C198+15)),"")</f>
        <v>0</v>
      </c>
      <c r="I215" s="465"/>
      <c r="J215" s="464">
        <v>0</v>
      </c>
      <c r="K215" s="465"/>
      <c r="L215" s="464">
        <v>0</v>
      </c>
      <c r="M215" s="465"/>
      <c r="N215" s="470">
        <f t="shared" ca="1" si="64"/>
        <v>0</v>
      </c>
      <c r="O215" s="471"/>
      <c r="P215" s="55">
        <v>0</v>
      </c>
      <c r="Q215" s="472">
        <v>0</v>
      </c>
      <c r="R215" s="472"/>
      <c r="S215" s="472">
        <v>0</v>
      </c>
      <c r="T215" s="472"/>
      <c r="U215" s="472">
        <v>0</v>
      </c>
      <c r="V215" s="472"/>
      <c r="W215" s="464">
        <f t="shared" ca="1" si="65"/>
        <v>0</v>
      </c>
      <c r="X215" s="465"/>
      <c r="Y215" s="55">
        <f ca="1">IF(OR(W215="",W215=0),0,IF(W215="X",MatchDay!$U$2+MatchDay!$U$2+1-COUNTIF(Distance!W200:W215,"X"),RANK(W215,$W200:$X215,0)))</f>
        <v>0</v>
      </c>
      <c r="Z215" s="19">
        <f ca="1">IFERROR(IF(Y215=0,0,IF(VLOOKUP(AG215,E200:Y207,21,FALSE)=0,"A",IF(Y215&gt;=VLOOKUP(AG215,E200:Y207,21,FALSE),"B","A"))),"")</f>
        <v>0</v>
      </c>
      <c r="AA215" s="19" t="str">
        <f ca="1">IFERROR(IF(Z215="B","",RANK(AD215,AD200:AD215,1)),"")</f>
        <v/>
      </c>
      <c r="AB215" s="19" t="str">
        <f ca="1">IFERROR(IF(Z215="A","",RANK(AE215,AE200:AE215,1)),"")</f>
        <v/>
      </c>
      <c r="AD215" s="9" t="str">
        <f t="shared" ca="1" si="66"/>
        <v/>
      </c>
      <c r="AE215" s="9" t="str">
        <f t="shared" ca="1" si="67"/>
        <v/>
      </c>
      <c r="AF215" s="9" t="s">
        <v>138</v>
      </c>
      <c r="AG215" s="4" t="str">
        <f>IFERROR(IF(A199=0,E215/11,LEFT(E215,1)),"")</f>
        <v/>
      </c>
    </row>
    <row r="216" spans="1:33" s="4" customFormat="1" x14ac:dyDescent="0.25">
      <c r="A216" s="8"/>
      <c r="B216" s="10"/>
      <c r="C216" s="3"/>
      <c r="D216" s="20"/>
      <c r="E216" s="20"/>
      <c r="F216" s="21"/>
      <c r="G216" s="21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2"/>
    </row>
    <row r="217" spans="1:33" s="4" customFormat="1" x14ac:dyDescent="0.25">
      <c r="A217" s="8"/>
      <c r="B217" s="10"/>
      <c r="C217" s="3"/>
      <c r="D217" s="469" t="s">
        <v>139</v>
      </c>
      <c r="E217" s="473"/>
      <c r="F217" s="473"/>
      <c r="G217" s="473"/>
      <c r="H217" s="473"/>
      <c r="I217" s="473"/>
      <c r="J217" s="466" t="s">
        <v>140</v>
      </c>
      <c r="K217" s="474"/>
      <c r="L217" s="474"/>
      <c r="M217" s="474"/>
      <c r="N217" s="474"/>
      <c r="O217" s="474"/>
      <c r="P217" s="474"/>
      <c r="Q217" s="474"/>
      <c r="R217" s="474"/>
      <c r="S217" s="474"/>
      <c r="T217" s="474"/>
      <c r="U217" s="475"/>
      <c r="V217" s="466" t="s">
        <v>1136</v>
      </c>
      <c r="W217" s="467"/>
      <c r="X217" s="467"/>
      <c r="Y217" s="467"/>
      <c r="Z217" s="467"/>
      <c r="AA217" s="467"/>
      <c r="AB217" s="468"/>
    </row>
    <row r="218" spans="1:33" s="4" customFormat="1" x14ac:dyDescent="0.25">
      <c r="A218" s="8" t="s">
        <v>55</v>
      </c>
      <c r="B218" s="10"/>
      <c r="C218" s="3"/>
      <c r="D218" s="12"/>
      <c r="E218" s="55" t="s">
        <v>141</v>
      </c>
      <c r="F218" s="55" t="s">
        <v>124</v>
      </c>
      <c r="G218" s="55" t="s">
        <v>125</v>
      </c>
      <c r="H218" s="469" t="s">
        <v>142</v>
      </c>
      <c r="I218" s="469"/>
      <c r="J218" s="23"/>
      <c r="K218" s="54" t="s">
        <v>141</v>
      </c>
      <c r="L218" s="466" t="s">
        <v>124</v>
      </c>
      <c r="M218" s="467"/>
      <c r="N218" s="467"/>
      <c r="O218" s="468"/>
      <c r="P218" s="466" t="s">
        <v>125</v>
      </c>
      <c r="Q218" s="467"/>
      <c r="R218" s="467"/>
      <c r="S218" s="468"/>
      <c r="T218" s="466" t="s">
        <v>142</v>
      </c>
      <c r="U218" s="468"/>
      <c r="V218" s="24"/>
      <c r="W218" s="25"/>
      <c r="X218" s="25"/>
      <c r="Y218" s="25"/>
      <c r="Z218" s="25"/>
      <c r="AA218" s="25"/>
      <c r="AB218" s="26"/>
    </row>
    <row r="219" spans="1:33" s="4" customFormat="1" ht="16.149999999999999" customHeight="1" x14ac:dyDescent="0.25">
      <c r="A219" s="11">
        <f>IFERROR(VLOOKUP(A196,standards,3,FALSE),"-")</f>
        <v>20</v>
      </c>
      <c r="B219" s="10">
        <v>1</v>
      </c>
      <c r="C219" s="3"/>
      <c r="D219" s="55">
        <v>1</v>
      </c>
      <c r="E219" s="19">
        <f ca="1">IFERROR(IF(OR(H200=98,H200=99),H200,VLOOKUP(B219,B200:E215,4,FALSE)),0)</f>
        <v>4</v>
      </c>
      <c r="F219" s="27" t="str">
        <f ca="1">IFERROR(VLOOKUP(E219,$E200:$F215,2,FALSE),"")</f>
        <v>Tristan LAMPRECHT</v>
      </c>
      <c r="G219" s="18" t="str">
        <f t="shared" ref="G219:G226" ca="1" si="68">IFERROR(VLOOKUP(E219,teamlookup,5,FALSE),"-")</f>
        <v>Macc</v>
      </c>
      <c r="H219" s="459">
        <f ca="1">IFERROR(VLOOKUP(E219,E200:X215,19,FALSE),"")</f>
        <v>37.17</v>
      </c>
      <c r="I219" s="460"/>
      <c r="J219" s="55">
        <v>1</v>
      </c>
      <c r="K219" s="55">
        <f ca="1">IFERROR(VLOOKUP(B219,C200:X215,3,FALSE),"")</f>
        <v>11</v>
      </c>
      <c r="L219" s="461" t="str">
        <f ca="1">IFERROR(VLOOKUP(K219,$E200:$F215,2,FALSE),"")</f>
        <v>Saif AL-BAYATTI</v>
      </c>
      <c r="M219" s="462"/>
      <c r="N219" s="462"/>
      <c r="O219" s="463"/>
      <c r="P219" s="461" t="str">
        <f t="shared" ref="P219:P226" ca="1" si="69">IFERROR(VLOOKUP(K219,teamlookup,5,FALSE),"-")</f>
        <v>C&amp;N</v>
      </c>
      <c r="Q219" s="462"/>
      <c r="R219" s="462"/>
      <c r="S219" s="463"/>
      <c r="T219" s="464">
        <f ca="1">IFERROR(VLOOKUP(K219,E200:X215,19,FALSE),"")</f>
        <v>15.71</v>
      </c>
      <c r="U219" s="465"/>
      <c r="V219" s="28"/>
      <c r="W219" s="29"/>
      <c r="X219" s="29"/>
      <c r="Y219" s="29"/>
      <c r="Z219" s="29"/>
      <c r="AA219" s="29"/>
      <c r="AB219" s="30"/>
    </row>
    <row r="220" spans="1:33" s="4" customFormat="1" ht="16.149999999999999" customHeight="1" x14ac:dyDescent="0.25">
      <c r="A220" s="11">
        <f>IFERROR(VLOOKUP(A196,standards,4,FALSE),"-")</f>
        <v>23</v>
      </c>
      <c r="B220" s="10">
        <v>2</v>
      </c>
      <c r="C220" s="3"/>
      <c r="D220" s="55">
        <v>2</v>
      </c>
      <c r="E220" s="19">
        <f ca="1">IFERROR(VLOOKUP(B220,B200:E215,4,FALSE),"")</f>
        <v>3</v>
      </c>
      <c r="F220" s="27" t="str">
        <f ca="1">IFERROR(VLOOKUP(E220,$E200:$F215,2,FALSE),"")</f>
        <v>Oliver SANDERSON</v>
      </c>
      <c r="G220" s="18" t="str">
        <f t="shared" ca="1" si="68"/>
        <v>Leigh</v>
      </c>
      <c r="H220" s="459">
        <f ca="1">IFERROR(VLOOKUP(E220,E200:X215,19,FALSE),"")</f>
        <v>29.79</v>
      </c>
      <c r="I220" s="460"/>
      <c r="J220" s="55">
        <v>2</v>
      </c>
      <c r="K220" s="55">
        <f ca="1">IFERROR(VLOOKUP(B220,C200:X215,3,FALSE),"")</f>
        <v>66</v>
      </c>
      <c r="L220" s="461" t="str">
        <f ca="1">IFERROR(VLOOKUP(K220,$E200:$F215,2,FALSE),"")</f>
        <v>Arthur WOLSTENHOLME</v>
      </c>
      <c r="M220" s="462"/>
      <c r="N220" s="462"/>
      <c r="O220" s="463"/>
      <c r="P220" s="461" t="str">
        <f t="shared" ca="1" si="69"/>
        <v>Stock</v>
      </c>
      <c r="Q220" s="462"/>
      <c r="R220" s="462"/>
      <c r="S220" s="463"/>
      <c r="T220" s="464">
        <f ca="1">IFERROR(VLOOKUP(K220,E200:X215,19,FALSE),"")</f>
        <v>12.48</v>
      </c>
      <c r="U220" s="465"/>
      <c r="V220" s="24"/>
      <c r="W220" s="25"/>
      <c r="X220" s="25"/>
      <c r="Y220" s="25"/>
      <c r="Z220" s="25"/>
      <c r="AA220" s="25"/>
      <c r="AB220" s="26"/>
    </row>
    <row r="221" spans="1:33" s="4" customFormat="1" ht="16.149999999999999" customHeight="1" x14ac:dyDescent="0.25">
      <c r="A221" s="11">
        <f>IFERROR(VLOOKUP(A196,standards,5,FALSE),"-")</f>
        <v>26</v>
      </c>
      <c r="B221" s="10">
        <v>3</v>
      </c>
      <c r="C221" s="3"/>
      <c r="D221" s="55">
        <v>3</v>
      </c>
      <c r="E221" s="19">
        <f ca="1">IFERROR(VLOOKUP(B221,B200:E215,4,FALSE),"")</f>
        <v>1</v>
      </c>
      <c r="F221" s="27" t="str">
        <f ca="1">IFERROR(VLOOKUP(E221,$E200:$F215,2,FALSE),"")</f>
        <v>Jack TILLEY</v>
      </c>
      <c r="G221" s="18" t="str">
        <f t="shared" ca="1" si="68"/>
        <v>C&amp;N</v>
      </c>
      <c r="H221" s="459">
        <f ca="1">IFERROR(VLOOKUP(E221,E200:X215,19,FALSE),"")</f>
        <v>19.510000000000002</v>
      </c>
      <c r="I221" s="460"/>
      <c r="J221" s="55">
        <v>3</v>
      </c>
      <c r="K221" s="55" t="str">
        <f ca="1">IFERROR(VLOOKUP(B221,C200:X215,3,FALSE),"")</f>
        <v/>
      </c>
      <c r="L221" s="461" t="str">
        <f ca="1">IFERROR(VLOOKUP(K221,$E200:$F215,2,FALSE),"")</f>
        <v/>
      </c>
      <c r="M221" s="462"/>
      <c r="N221" s="462"/>
      <c r="O221" s="463"/>
      <c r="P221" s="461" t="str">
        <f t="shared" ca="1" si="69"/>
        <v>-</v>
      </c>
      <c r="Q221" s="462"/>
      <c r="R221" s="462"/>
      <c r="S221" s="463"/>
      <c r="T221" s="464" t="str">
        <f ca="1">IFERROR(VLOOKUP(K221,E200:X215,19,FALSE),"")</f>
        <v/>
      </c>
      <c r="U221" s="465"/>
      <c r="V221" s="28"/>
      <c r="W221" s="29"/>
      <c r="X221" s="29"/>
      <c r="Y221" s="29"/>
      <c r="Z221" s="29"/>
      <c r="AA221" s="29"/>
      <c r="AB221" s="30"/>
    </row>
    <row r="222" spans="1:33" s="4" customFormat="1" ht="16.149999999999999" customHeight="1" x14ac:dyDescent="0.25">
      <c r="A222" s="11">
        <f>IFERROR(VLOOKUP(A196,EA!A:K,6,FALSE),"-")</f>
        <v>29</v>
      </c>
      <c r="B222" s="10">
        <v>4</v>
      </c>
      <c r="C222" s="3"/>
      <c r="D222" s="55">
        <v>4</v>
      </c>
      <c r="E222" s="19">
        <f ca="1">IFERROR(VLOOKUP(B222,B200:E215,4,FALSE),"")</f>
        <v>6</v>
      </c>
      <c r="F222" s="27" t="str">
        <f ca="1">IFERROR(VLOOKUP(E222,$E200:$F215,2,FALSE),"")</f>
        <v>Jacob HARWOOD-BRETNALL</v>
      </c>
      <c r="G222" s="18" t="str">
        <f t="shared" ca="1" si="68"/>
        <v>Stock</v>
      </c>
      <c r="H222" s="459">
        <f ca="1">IFERROR(VLOOKUP(E222,E200:X215,19,FALSE),"")</f>
        <v>17.87</v>
      </c>
      <c r="I222" s="460"/>
      <c r="J222" s="55">
        <v>4</v>
      </c>
      <c r="K222" s="55" t="str">
        <f ca="1">IFERROR(VLOOKUP(B222,C200:X215,3,FALSE),"")</f>
        <v/>
      </c>
      <c r="L222" s="461" t="str">
        <f ca="1">IFERROR(VLOOKUP(K222,$E200:$F215,2,FALSE),"")</f>
        <v/>
      </c>
      <c r="M222" s="462"/>
      <c r="N222" s="462"/>
      <c r="O222" s="463"/>
      <c r="P222" s="461" t="str">
        <f t="shared" ca="1" si="69"/>
        <v>-</v>
      </c>
      <c r="Q222" s="462"/>
      <c r="R222" s="462"/>
      <c r="S222" s="463"/>
      <c r="T222" s="464" t="str">
        <f ca="1">IFERROR(VLOOKUP(K222,E200:X215,19,FALSE),"")</f>
        <v/>
      </c>
      <c r="U222" s="465"/>
      <c r="V222" s="24"/>
      <c r="W222" s="25"/>
      <c r="X222" s="25"/>
      <c r="Y222" s="25"/>
      <c r="Z222" s="25"/>
      <c r="AA222" s="25"/>
      <c r="AB222" s="26"/>
    </row>
    <row r="223" spans="1:33" s="4" customFormat="1" ht="16.149999999999999" customHeight="1" x14ac:dyDescent="0.25">
      <c r="A223" s="8"/>
      <c r="B223" s="10">
        <v>5</v>
      </c>
      <c r="C223" s="3"/>
      <c r="D223" s="55">
        <v>5</v>
      </c>
      <c r="E223" s="19">
        <f ca="1">IFERROR(VLOOKUP(B223,B200:E215,4,FALSE),"")</f>
        <v>2</v>
      </c>
      <c r="F223" s="27" t="str">
        <f ca="1">IFERROR(VLOOKUP(E223,$E200:$F215,2,FALSE),"")</f>
        <v>Sebastian STEWART</v>
      </c>
      <c r="G223" s="18" t="str">
        <f t="shared" ca="1" si="68"/>
        <v>ECHT</v>
      </c>
      <c r="H223" s="459">
        <f ca="1">IFERROR(VLOOKUP(E223,E200:X215,19,FALSE),"")</f>
        <v>14.47</v>
      </c>
      <c r="I223" s="460"/>
      <c r="J223" s="55">
        <v>5</v>
      </c>
      <c r="K223" s="55" t="str">
        <f ca="1">IFERROR(VLOOKUP(B223,C200:X215,3,FALSE),"")</f>
        <v/>
      </c>
      <c r="L223" s="461" t="str">
        <f ca="1">IFERROR(VLOOKUP(K223,$E200:$F215,2,FALSE),"")</f>
        <v/>
      </c>
      <c r="M223" s="462"/>
      <c r="N223" s="462"/>
      <c r="O223" s="463"/>
      <c r="P223" s="461" t="str">
        <f t="shared" ca="1" si="69"/>
        <v>-</v>
      </c>
      <c r="Q223" s="462"/>
      <c r="R223" s="462"/>
      <c r="S223" s="463"/>
      <c r="T223" s="464" t="str">
        <f ca="1">IFERROR(VLOOKUP(K223,E200:X215,19,FALSE),"")</f>
        <v/>
      </c>
      <c r="U223" s="465"/>
      <c r="V223" s="28"/>
      <c r="W223" s="29"/>
      <c r="X223" s="29"/>
      <c r="Y223" s="29"/>
      <c r="Z223" s="29"/>
      <c r="AA223" s="29"/>
      <c r="AB223" s="30"/>
    </row>
    <row r="224" spans="1:33" s="4" customFormat="1" ht="16.149999999999999" customHeight="1" x14ac:dyDescent="0.25">
      <c r="A224" s="8" t="s">
        <v>151</v>
      </c>
      <c r="B224" s="10">
        <v>6</v>
      </c>
      <c r="C224" s="3"/>
      <c r="D224" s="55">
        <v>6</v>
      </c>
      <c r="E224" s="19">
        <f ca="1">IFERROR(VLOOKUP(B224,B200:E215,4,FALSE),"")</f>
        <v>5</v>
      </c>
      <c r="F224" s="27" t="str">
        <f ca="1">IFERROR(VLOOKUP(E224,$E200:$F215,2,FALSE),"")</f>
        <v>Alex BAYNHAM</v>
      </c>
      <c r="G224" s="18" t="str">
        <f t="shared" ca="1" si="68"/>
        <v>Menai</v>
      </c>
      <c r="H224" s="459">
        <f ca="1">IFERROR(VLOOKUP(E224,E200:X215,19,FALSE),"")</f>
        <v>7.28</v>
      </c>
      <c r="I224" s="460"/>
      <c r="J224" s="55">
        <v>6</v>
      </c>
      <c r="K224" s="55" t="str">
        <f ca="1">IFERROR(VLOOKUP(B224,C200:X215,3,FALSE),"")</f>
        <v/>
      </c>
      <c r="L224" s="461" t="str">
        <f ca="1">IFERROR(VLOOKUP(K224,$E200:$F215,2,FALSE),"")</f>
        <v/>
      </c>
      <c r="M224" s="462"/>
      <c r="N224" s="462"/>
      <c r="O224" s="463"/>
      <c r="P224" s="461" t="str">
        <f t="shared" ca="1" si="69"/>
        <v>-</v>
      </c>
      <c r="Q224" s="462"/>
      <c r="R224" s="462"/>
      <c r="S224" s="463"/>
      <c r="T224" s="464" t="str">
        <f ca="1">IFERROR(VLOOKUP(K224,E200:X215,19,FALSE),"")</f>
        <v/>
      </c>
      <c r="U224" s="465"/>
      <c r="V224" s="466" t="s">
        <v>1135</v>
      </c>
      <c r="W224" s="467"/>
      <c r="X224" s="467"/>
      <c r="Y224" s="467"/>
      <c r="Z224" s="467"/>
      <c r="AA224" s="467"/>
      <c r="AB224" s="468"/>
    </row>
    <row r="225" spans="1:33" s="4" customFormat="1" ht="16.149999999999999" customHeight="1" x14ac:dyDescent="0.25">
      <c r="A225" s="8">
        <f>IFERROR(VLOOKUP(A196,records,5,FALSE),"")</f>
        <v>61.4</v>
      </c>
      <c r="B225" s="10">
        <v>7</v>
      </c>
      <c r="C225" s="3"/>
      <c r="D225" s="55">
        <v>7</v>
      </c>
      <c r="E225" s="19">
        <f ca="1">IFERROR(VLOOKUP(B225,B200:E215,4,FALSE),"")</f>
        <v>7</v>
      </c>
      <c r="F225" s="27" t="str">
        <f ca="1">IFERROR(VLOOKUP(E225,$E200:$F215,2,FALSE),"")</f>
        <v>Joshua BOURNE</v>
      </c>
      <c r="G225" s="18" t="str">
        <f t="shared" ca="1" si="68"/>
        <v>Wigan</v>
      </c>
      <c r="H225" s="459" t="str">
        <f ca="1">IFERROR(VLOOKUP(E225,E200:X215,19,FALSE),"")</f>
        <v>X</v>
      </c>
      <c r="I225" s="460"/>
      <c r="J225" s="55">
        <v>7</v>
      </c>
      <c r="K225" s="55" t="str">
        <f ca="1">IFERROR(VLOOKUP(B225,C200:X215,3,FALSE),"")</f>
        <v/>
      </c>
      <c r="L225" s="461" t="str">
        <f ca="1">IFERROR(VLOOKUP(K225,$E200:$F215,2,FALSE),"")</f>
        <v/>
      </c>
      <c r="M225" s="462"/>
      <c r="N225" s="462"/>
      <c r="O225" s="463"/>
      <c r="P225" s="461" t="str">
        <f t="shared" ca="1" si="69"/>
        <v>-</v>
      </c>
      <c r="Q225" s="462"/>
      <c r="R225" s="462"/>
      <c r="S225" s="463"/>
      <c r="T225" s="464" t="str">
        <f ca="1">IFERROR(VLOOKUP(K225,E200:X215,19,FALSE),"")</f>
        <v/>
      </c>
      <c r="U225" s="465"/>
      <c r="V225" s="24"/>
      <c r="W225" s="25"/>
      <c r="X225" s="25"/>
      <c r="Y225" s="25"/>
      <c r="Z225" s="25"/>
      <c r="AA225" s="25"/>
      <c r="AB225" s="26"/>
    </row>
    <row r="226" spans="1:33" s="4" customFormat="1" ht="16.149999999999999" customHeight="1" x14ac:dyDescent="0.25">
      <c r="A226" s="8"/>
      <c r="B226" s="10">
        <v>8</v>
      </c>
      <c r="C226" s="3"/>
      <c r="D226" s="55">
        <v>8</v>
      </c>
      <c r="E226" s="19" t="str">
        <f ca="1">IFERROR(VLOOKUP(B226,B200:E215,4,FALSE),"")</f>
        <v/>
      </c>
      <c r="F226" s="27" t="str">
        <f ca="1">IFERROR(VLOOKUP(E226,$E200:$F215,2,FALSE),"")</f>
        <v/>
      </c>
      <c r="G226" s="18" t="str">
        <f t="shared" ca="1" si="68"/>
        <v>-</v>
      </c>
      <c r="H226" s="459" t="str">
        <f ca="1">IFERROR(VLOOKUP(E226,E200:X215,19,FALSE),"")</f>
        <v/>
      </c>
      <c r="I226" s="460"/>
      <c r="J226" s="55">
        <v>8</v>
      </c>
      <c r="K226" s="55" t="str">
        <f ca="1">IFERROR(VLOOKUP(B226,C200:X215,3,FALSE),"")</f>
        <v/>
      </c>
      <c r="L226" s="461" t="str">
        <f ca="1">IFERROR(VLOOKUP(K226,$E200:$F215,2,FALSE),"")</f>
        <v/>
      </c>
      <c r="M226" s="462"/>
      <c r="N226" s="462"/>
      <c r="O226" s="463"/>
      <c r="P226" s="461" t="str">
        <f t="shared" ca="1" si="69"/>
        <v>-</v>
      </c>
      <c r="Q226" s="462"/>
      <c r="R226" s="462"/>
      <c r="S226" s="463"/>
      <c r="T226" s="464" t="str">
        <f ca="1">IFERROR(VLOOKUP(K226,E200:X215,19,FALSE),"")</f>
        <v/>
      </c>
      <c r="U226" s="465"/>
      <c r="V226" s="28"/>
      <c r="W226" s="29"/>
      <c r="X226" s="29"/>
      <c r="Y226" s="29"/>
      <c r="Z226" s="29"/>
      <c r="AA226" s="29"/>
      <c r="AB226" s="30"/>
    </row>
    <row r="227" spans="1:33" s="4" customFormat="1" ht="21" x14ac:dyDescent="0.25">
      <c r="A227" s="2" t="str">
        <f>MatchDay!$U$6</f>
        <v>X</v>
      </c>
      <c r="B227" s="8"/>
      <c r="C227" s="3"/>
      <c r="D227" s="499" t="s">
        <v>143</v>
      </c>
      <c r="E227" s="500"/>
      <c r="F227" s="500"/>
      <c r="G227" s="500"/>
      <c r="H227" s="500"/>
      <c r="I227" s="500"/>
      <c r="J227" s="500"/>
      <c r="K227" s="501" t="s">
        <v>144</v>
      </c>
      <c r="L227" s="502"/>
      <c r="M227" s="502"/>
      <c r="N227" s="502"/>
      <c r="O227" s="503" t="str">
        <f>MatchDay!$C$2&amp;" "&amp;MatchDay!$C$3&amp;" "&amp;MatchDay!$C$4</f>
        <v>LOWER NORTH West 2</v>
      </c>
      <c r="P227" s="504"/>
      <c r="Q227" s="504"/>
      <c r="R227" s="504"/>
      <c r="S227" s="504"/>
      <c r="T227" s="504"/>
      <c r="U227" s="504"/>
      <c r="V227" s="504"/>
      <c r="W227" s="504"/>
      <c r="X227" s="504"/>
      <c r="Y227" s="504"/>
      <c r="Z227" s="504"/>
      <c r="AA227" s="504"/>
      <c r="AB227" s="505"/>
    </row>
    <row r="228" spans="1:33" s="4" customFormat="1" ht="15.75" customHeight="1" x14ac:dyDescent="0.25">
      <c r="A228" s="1" t="str">
        <f>IFERROR(IF(LEFT(MatchDay!$C$2,1)="L","L"&amp;A230,"U"&amp;A230),"")</f>
        <v>LFD08</v>
      </c>
      <c r="B228" s="10">
        <v>251</v>
      </c>
      <c r="C228" s="3"/>
      <c r="D228" s="466" t="s">
        <v>145</v>
      </c>
      <c r="E228" s="468"/>
      <c r="F228" s="467" t="str">
        <f>IFERROR(UPPER(VLOOKUP(A229,teamlookup,6,FALSE)),"")</f>
        <v/>
      </c>
      <c r="G228" s="468"/>
      <c r="H228" s="476" t="s">
        <v>149</v>
      </c>
      <c r="I228" s="480"/>
      <c r="J228" s="477"/>
      <c r="K228" s="466" t="str">
        <f>MatchDay!$C$8</f>
        <v>Macclesfield Leisure Centre</v>
      </c>
      <c r="L228" s="467"/>
      <c r="M228" s="467"/>
      <c r="N228" s="467"/>
      <c r="O228" s="467"/>
      <c r="P228" s="468"/>
      <c r="Q228" s="476" t="s">
        <v>119</v>
      </c>
      <c r="R228" s="477"/>
      <c r="S228" s="494">
        <f>MatchDay!$C$7</f>
        <v>45053</v>
      </c>
      <c r="T228" s="495"/>
      <c r="U228" s="495"/>
      <c r="V228" s="495"/>
      <c r="W228" s="495"/>
      <c r="X228" s="496"/>
      <c r="Y228" s="497" t="str">
        <f>IFERROR(IF(LEFT(A228,1)="L","",VLOOKUP(A228,EA!$A:$N,8,FALSE)),"")</f>
        <v/>
      </c>
      <c r="Z228" s="498"/>
      <c r="AA228" s="464" t="str">
        <f>IFERROR(IF(LEFT(A228,1)="L","",VLOOKUP(A228,standards,9,FALSE)),"")</f>
        <v/>
      </c>
      <c r="AB228" s="465"/>
      <c r="AC228" s="6"/>
      <c r="AD228" s="6"/>
    </row>
    <row r="229" spans="1:33" s="4" customFormat="1" ht="15.75" customHeight="1" x14ac:dyDescent="0.25">
      <c r="A229" s="5">
        <f>IFERROR(IF(A227=1,VLOOKUP(A228,judges,VLOOKUP(MatchDay!$U$2*10+MatchDay!$C$5,judgesp,5,FALSE),FALSE),VLOOKUP(Distance!A228,judges,VLOOKUP(MatchDay!$U$2*10+MatchDay!$C$5,judges2,5,FALSE),FALSE)),"")</f>
        <v>4</v>
      </c>
      <c r="B229" s="138"/>
      <c r="C229" s="3"/>
      <c r="D229" s="476" t="s">
        <v>120</v>
      </c>
      <c r="E229" s="477"/>
      <c r="F229" s="478" t="str">
        <f>IFERROR(VLOOKUP(A228,timetables,2,FALSE)&amp;" "&amp;VLOOKUP(A228,timetables,3,FALSE),"")</f>
        <v>Javelin U15 Girls</v>
      </c>
      <c r="G229" s="479"/>
      <c r="H229" s="476" t="s">
        <v>121</v>
      </c>
      <c r="I229" s="480"/>
      <c r="J229" s="477"/>
      <c r="K229" s="481">
        <f>IFERROR(IF(A227=1,VLOOKUP(A228,Timetables!$A:$G,6,FALSE),VLOOKUP(A228,Timetables!$A:$G,7,FALSE)),"")</f>
        <v>0.60416666666666663</v>
      </c>
      <c r="L229" s="481" t="e">
        <v>#N/A</v>
      </c>
      <c r="M229" s="476" t="s">
        <v>150</v>
      </c>
      <c r="N229" s="477"/>
      <c r="O229" s="482" t="str">
        <f>IFERROR(VLOOKUP(A228,records,3,FALSE)&amp;", "&amp;VLOOKUP(A228,records,4,FALSE)&amp;", "&amp;VLOOKUP(A228,records,5,FALSE)&amp;", "&amp;VLOOKUP(A228,records,6,FALSE)&amp;", "&amp;VLOOKUP(A228,records,7,FALSE)&amp;" "&amp;VLOOKUP(A228,records,8,FALSE),"")</f>
        <v/>
      </c>
      <c r="P229" s="482"/>
      <c r="Q229" s="482"/>
      <c r="R229" s="482"/>
      <c r="S229" s="482"/>
      <c r="T229" s="482"/>
      <c r="U229" s="482"/>
      <c r="V229" s="482"/>
      <c r="W229" s="482"/>
      <c r="X229" s="482"/>
      <c r="Y229" s="482"/>
      <c r="Z229" s="482"/>
      <c r="AA229" s="482"/>
      <c r="AB229" s="483"/>
    </row>
    <row r="230" spans="1:33" s="4" customFormat="1" ht="32.1" customHeight="1" x14ac:dyDescent="0.25">
      <c r="A230" s="5" t="s">
        <v>211</v>
      </c>
      <c r="B230" s="10" t="str">
        <f>IFERROR(VLOOKUP($A230,fdistance,2,FALSE),"")</f>
        <v>M</v>
      </c>
      <c r="C230" s="10">
        <f>IFERROR(VLOOKUP($A230,fdistance,3,FALSE),"")</f>
        <v>61</v>
      </c>
      <c r="D230" s="31" t="s">
        <v>122</v>
      </c>
      <c r="E230" s="13" t="s">
        <v>123</v>
      </c>
      <c r="F230" s="13" t="s">
        <v>124</v>
      </c>
      <c r="G230" s="14" t="s">
        <v>125</v>
      </c>
      <c r="H230" s="484" t="s">
        <v>126</v>
      </c>
      <c r="I230" s="485"/>
      <c r="J230" s="485" t="s">
        <v>127</v>
      </c>
      <c r="K230" s="485"/>
      <c r="L230" s="485" t="s">
        <v>128</v>
      </c>
      <c r="M230" s="485"/>
      <c r="N230" s="485" t="s">
        <v>129</v>
      </c>
      <c r="O230" s="485"/>
      <c r="P230" s="486" t="s">
        <v>130</v>
      </c>
      <c r="Q230" s="485" t="s">
        <v>131</v>
      </c>
      <c r="R230" s="485"/>
      <c r="S230" s="485" t="s">
        <v>132</v>
      </c>
      <c r="T230" s="485"/>
      <c r="U230" s="485" t="s">
        <v>133</v>
      </c>
      <c r="V230" s="485"/>
      <c r="W230" s="488" t="s">
        <v>134</v>
      </c>
      <c r="X230" s="489"/>
      <c r="Y230" s="490" t="s">
        <v>135</v>
      </c>
      <c r="Z230" s="492" t="s">
        <v>136</v>
      </c>
      <c r="AA230" s="493"/>
      <c r="AB230" s="484"/>
    </row>
    <row r="231" spans="1:33" s="4" customFormat="1" x14ac:dyDescent="0.3">
      <c r="A231" s="121">
        <f>IFERROR(SEARCH("U17",F229),0)</f>
        <v>0</v>
      </c>
      <c r="B231" s="7" t="s">
        <v>53</v>
      </c>
      <c r="C231" s="7" t="s">
        <v>54</v>
      </c>
      <c r="D231" s="56"/>
      <c r="E231" s="56"/>
      <c r="F231" s="15"/>
      <c r="G231" s="16"/>
      <c r="H231" s="468" t="s">
        <v>137</v>
      </c>
      <c r="I231" s="469"/>
      <c r="J231" s="469" t="s">
        <v>137</v>
      </c>
      <c r="K231" s="469"/>
      <c r="L231" s="469" t="s">
        <v>137</v>
      </c>
      <c r="M231" s="469"/>
      <c r="N231" s="469" t="s">
        <v>137</v>
      </c>
      <c r="O231" s="469"/>
      <c r="P231" s="487"/>
      <c r="Q231" s="469" t="s">
        <v>137</v>
      </c>
      <c r="R231" s="469"/>
      <c r="S231" s="469" t="s">
        <v>137</v>
      </c>
      <c r="T231" s="469"/>
      <c r="U231" s="469" t="s">
        <v>137</v>
      </c>
      <c r="V231" s="469"/>
      <c r="W231" s="469" t="s">
        <v>137</v>
      </c>
      <c r="X231" s="466"/>
      <c r="Y231" s="491"/>
      <c r="Z231" s="55"/>
      <c r="AA231" s="55" t="s">
        <v>53</v>
      </c>
      <c r="AB231" s="55" t="s">
        <v>54</v>
      </c>
    </row>
    <row r="232" spans="1:33" s="4" customFormat="1" ht="16.149999999999999" customHeight="1" x14ac:dyDescent="0.35">
      <c r="A232" s="8">
        <f>IFERROR(IF(D232&gt;MatchDay!$U$2,"-",VLOOKUP(A228,timetables,MatchDay!$U$4,FALSE)),0)</f>
        <v>1</v>
      </c>
      <c r="B232" s="7" t="str">
        <f ca="1">AA232</f>
        <v/>
      </c>
      <c r="C232" s="7">
        <f ca="1">AB232</f>
        <v>1</v>
      </c>
      <c r="D232" s="56">
        <v>1</v>
      </c>
      <c r="E232" s="17">
        <f>A232</f>
        <v>1</v>
      </c>
      <c r="F232" s="319" t="str">
        <f>IFERROR(VLOOKUP($A228&amp;E232,downloads!$A$1:$E$1000,2,FALSE),"")</f>
        <v>Elisha CARTER</v>
      </c>
      <c r="G232" s="18" t="str">
        <f t="shared" ref="G232:G247" si="70">IFERROR(VLOOKUP(E232,teamlookup,5,FALSE),"-")</f>
        <v>C&amp;N</v>
      </c>
      <c r="H232" s="464">
        <f ca="1">IFERROR(INDIRECT(CONCATENATE("'Distance Input'!"&amp;B230&amp;C230)),"")</f>
        <v>19.98</v>
      </c>
      <c r="I232" s="465"/>
      <c r="J232" s="464">
        <v>0</v>
      </c>
      <c r="K232" s="465"/>
      <c r="L232" s="464">
        <v>0</v>
      </c>
      <c r="M232" s="465"/>
      <c r="N232" s="470">
        <f ca="1">H232</f>
        <v>19.98</v>
      </c>
      <c r="O232" s="471"/>
      <c r="P232" s="55">
        <v>0</v>
      </c>
      <c r="Q232" s="472">
        <v>0</v>
      </c>
      <c r="R232" s="472"/>
      <c r="S232" s="472">
        <v>0</v>
      </c>
      <c r="T232" s="472"/>
      <c r="U232" s="472">
        <v>0</v>
      </c>
      <c r="V232" s="472"/>
      <c r="W232" s="464">
        <f ca="1">N232</f>
        <v>19.98</v>
      </c>
      <c r="X232" s="465"/>
      <c r="Y232" s="55">
        <f ca="1">IF(OR(W232="",W232=0),0,IF(W232="X",MatchDay!$U$2+MatchDay!$U$2+1-COUNTIF(Distance!W232:W232,"X"),RANK(W232,$W232:$X247,0)))</f>
        <v>3</v>
      </c>
      <c r="Z232" s="19" t="str">
        <f ca="1">IFERROR(IF(Y232=0,0,IF(OR(VLOOKUP(AG232,E240:Y247,21,FALSE)=0,Y232&lt;=VLOOKUP(AG232,E240:Y247,21,FALSE)),"A","B")),"")</f>
        <v>B</v>
      </c>
      <c r="AA232" s="19" t="str">
        <f ca="1">IFERROR(IF(Z232="B","",RANK(AD232,AD232:AD247,1)),"")</f>
        <v/>
      </c>
      <c r="AB232" s="19">
        <f ca="1">IFERROR(IF(Z232="A","",RANK(AE232,AE232:AE247,1)),"")</f>
        <v>1</v>
      </c>
      <c r="AC232" s="8"/>
      <c r="AD232" s="9" t="str">
        <f ca="1">IF(OR(W232=0,Y232=0,Z232="B"),"",Y232)</f>
        <v/>
      </c>
      <c r="AE232" s="9">
        <f ca="1">IF(OR(W232=0,Y232=0,Z232="A"),"",Y232)</f>
        <v>3</v>
      </c>
      <c r="AF232" s="9" t="s">
        <v>138</v>
      </c>
      <c r="AG232" s="4">
        <f>IFERROR(IF(A231=0,E232*11,E232&amp;E232),"")</f>
        <v>11</v>
      </c>
    </row>
    <row r="233" spans="1:33" s="4" customFormat="1" ht="16.149999999999999" customHeight="1" x14ac:dyDescent="0.35">
      <c r="A233" s="8">
        <f>IFERROR(IF(D233&gt;MatchDay!$U$2,"-",VLOOKUP(A228,timetables,MatchDay!$U$4+1,FALSE)),0)</f>
        <v>2</v>
      </c>
      <c r="B233" s="7">
        <f t="shared" ref="B233:B247" ca="1" si="71">AA233</f>
        <v>3</v>
      </c>
      <c r="C233" s="7" t="str">
        <f t="shared" ref="C233:C247" ca="1" si="72">AB233</f>
        <v/>
      </c>
      <c r="D233" s="55">
        <v>2</v>
      </c>
      <c r="E233" s="17">
        <f t="shared" ref="E233:E247" si="73">A233</f>
        <v>2</v>
      </c>
      <c r="F233" s="319" t="str">
        <f>IFERROR(VLOOKUP($A228&amp;E233,downloads!$A$1:$E$1000,2,FALSE),"")</f>
        <v>Anna ROOKE</v>
      </c>
      <c r="G233" s="18" t="str">
        <f t="shared" si="70"/>
        <v>ECHT</v>
      </c>
      <c r="H233" s="464">
        <f ca="1">IFERROR(INDIRECT(CONCATENATE("'Distance Input'!"&amp;B230&amp;C230+1)),"")</f>
        <v>15.6</v>
      </c>
      <c r="I233" s="465"/>
      <c r="J233" s="464">
        <v>0</v>
      </c>
      <c r="K233" s="465"/>
      <c r="L233" s="464">
        <v>0</v>
      </c>
      <c r="M233" s="465"/>
      <c r="N233" s="470">
        <f t="shared" ref="N233:N247" ca="1" si="74">H233</f>
        <v>15.6</v>
      </c>
      <c r="O233" s="471"/>
      <c r="P233" s="55">
        <v>0</v>
      </c>
      <c r="Q233" s="472">
        <v>0</v>
      </c>
      <c r="R233" s="472"/>
      <c r="S233" s="472">
        <v>0</v>
      </c>
      <c r="T233" s="472"/>
      <c r="U233" s="472">
        <v>0</v>
      </c>
      <c r="V233" s="472"/>
      <c r="W233" s="464">
        <f t="shared" ref="W233:W247" ca="1" si="75">N233</f>
        <v>15.6</v>
      </c>
      <c r="X233" s="465"/>
      <c r="Y233" s="55">
        <f ca="1">IF(OR(W233="",W233=0),0,IF(W233="X",MatchDay!$U$2+MatchDay!$U$2+1-COUNTIF(Distance!W232:W233,"X"),RANK(W233,$W232:$X247,0)))</f>
        <v>4</v>
      </c>
      <c r="Z233" s="19" t="str">
        <f ca="1">IFERROR(IF(Y233=0,0,IF(OR(VLOOKUP(AG233,E240:Y247,21,FALSE)=0,Y233&lt;=VLOOKUP(AG233,E240:Y247,21,FALSE)),"A","B")),"")</f>
        <v>A</v>
      </c>
      <c r="AA233" s="19">
        <f ca="1">IFERROR(IF(Z233="B","",RANK(AD233,AD232:AD247,1)),"")</f>
        <v>3</v>
      </c>
      <c r="AB233" s="19" t="str">
        <f ca="1">IFERROR(IF(Z233="A","",RANK(AE233,AE232:AE247,1)),"")</f>
        <v/>
      </c>
      <c r="AC233" s="8"/>
      <c r="AD233" s="9">
        <f t="shared" ref="AD233:AD247" ca="1" si="76">IF(OR(W233=0,Y233=0,Z233="B"),"",Y233)</f>
        <v>4</v>
      </c>
      <c r="AE233" s="9" t="str">
        <f t="shared" ref="AE233:AE247" ca="1" si="77">IF(OR(W233=0,Y233=0,Z233="A"),"",Y233)</f>
        <v/>
      </c>
      <c r="AF233" s="9" t="s">
        <v>138</v>
      </c>
      <c r="AG233" s="4">
        <f>IFERROR(IF(A231=0,E233*11,E233&amp;E233),"")</f>
        <v>22</v>
      </c>
    </row>
    <row r="234" spans="1:33" s="4" customFormat="1" ht="16.149999999999999" customHeight="1" x14ac:dyDescent="0.35">
      <c r="A234" s="8">
        <f>IFERROR(IF(D234&gt;MatchDay!$U$2,"-",VLOOKUP(A228,timetables,MatchDay!$U$4+2,FALSE)),0)</f>
        <v>6</v>
      </c>
      <c r="B234" s="7">
        <f t="shared" ca="1" si="71"/>
        <v>1</v>
      </c>
      <c r="C234" s="7" t="str">
        <f t="shared" ca="1" si="72"/>
        <v/>
      </c>
      <c r="D234" s="55">
        <v>3</v>
      </c>
      <c r="E234" s="17">
        <f t="shared" si="73"/>
        <v>6</v>
      </c>
      <c r="F234" s="319" t="str">
        <f>IFERROR(VLOOKUP($A228&amp;E234,downloads!$A$1:$E$1000,2,FALSE),"")</f>
        <v>Molly MILLS</v>
      </c>
      <c r="G234" s="18" t="str">
        <f t="shared" si="70"/>
        <v>Stock</v>
      </c>
      <c r="H234" s="464">
        <f ca="1">IFERROR(INDIRECT(CONCATENATE("'Distance Input'!"&amp;B230&amp;C230+2)),"")</f>
        <v>30.06</v>
      </c>
      <c r="I234" s="465"/>
      <c r="J234" s="464">
        <v>0</v>
      </c>
      <c r="K234" s="465"/>
      <c r="L234" s="464">
        <v>0</v>
      </c>
      <c r="M234" s="465"/>
      <c r="N234" s="470">
        <f t="shared" ca="1" si="74"/>
        <v>30.06</v>
      </c>
      <c r="O234" s="471"/>
      <c r="P234" s="55">
        <v>0</v>
      </c>
      <c r="Q234" s="472">
        <v>0</v>
      </c>
      <c r="R234" s="472"/>
      <c r="S234" s="472">
        <v>0</v>
      </c>
      <c r="T234" s="472"/>
      <c r="U234" s="472">
        <v>0</v>
      </c>
      <c r="V234" s="472"/>
      <c r="W234" s="464">
        <f t="shared" ca="1" si="75"/>
        <v>30.06</v>
      </c>
      <c r="X234" s="465"/>
      <c r="Y234" s="55">
        <f ca="1">IF(OR(W234="",W234=0),0,IF(W234="X",MatchDay!$U$2+MatchDay!$U$2+1-COUNTIF(Distance!W232:W234,"X"),RANK(W234,$W232:$X247,0)))</f>
        <v>1</v>
      </c>
      <c r="Z234" s="19" t="str">
        <f ca="1">IFERROR(IF(Y234=0,0,IF(OR(VLOOKUP(AG234,E240:Y247,21,FALSE)=0,Y234&lt;=VLOOKUP(AG234,E240:Y247,21,FALSE)),"A","B")),"")</f>
        <v>A</v>
      </c>
      <c r="AA234" s="19">
        <f ca="1">IFERROR(IF(Z234="B","",RANK(AD234,AD232:AD247,1)),"")</f>
        <v>1</v>
      </c>
      <c r="AB234" s="19" t="str">
        <f ca="1">IFERROR(IF(Z234="A","",RANK(AE234,AE232:AE247,1)),"")</f>
        <v/>
      </c>
      <c r="AD234" s="9">
        <f t="shared" ca="1" si="76"/>
        <v>1</v>
      </c>
      <c r="AE234" s="9" t="str">
        <f t="shared" ca="1" si="77"/>
        <v/>
      </c>
      <c r="AF234" s="9" t="s">
        <v>138</v>
      </c>
      <c r="AG234" s="4">
        <f>IFERROR(IF(A231=0,E234*11,E234&amp;E234),"")</f>
        <v>66</v>
      </c>
    </row>
    <row r="235" spans="1:33" s="4" customFormat="1" ht="16.149999999999999" customHeight="1" x14ac:dyDescent="0.35">
      <c r="A235" s="8">
        <f>IFERROR(IF(D235&gt;MatchDay!$U$2,"-",VLOOKUP(A228,timetables,MatchDay!$U$4+3,FALSE)),0)</f>
        <v>7</v>
      </c>
      <c r="B235" s="7" t="str">
        <f t="shared" ca="1" si="71"/>
        <v/>
      </c>
      <c r="C235" s="7">
        <f t="shared" ca="1" si="72"/>
        <v>4</v>
      </c>
      <c r="D235" s="55">
        <v>4</v>
      </c>
      <c r="E235" s="17">
        <f t="shared" si="73"/>
        <v>7</v>
      </c>
      <c r="F235" s="319" t="str">
        <f>IFERROR(VLOOKUP($A228&amp;E235,downloads!$A$1:$E$1000,2,FALSE),"")</f>
        <v>Niamh JOHNSON</v>
      </c>
      <c r="G235" s="18" t="str">
        <f t="shared" si="70"/>
        <v>Wigan</v>
      </c>
      <c r="H235" s="464" t="str">
        <f ca="1">IFERROR(INDIRECT(CONCATENATE("'Distance Input'!"&amp;B230&amp;C230+3)),"")</f>
        <v>X</v>
      </c>
      <c r="I235" s="465"/>
      <c r="J235" s="464">
        <v>0</v>
      </c>
      <c r="K235" s="465"/>
      <c r="L235" s="464">
        <v>0</v>
      </c>
      <c r="M235" s="465"/>
      <c r="N235" s="470" t="str">
        <f t="shared" ca="1" si="74"/>
        <v>X</v>
      </c>
      <c r="O235" s="471"/>
      <c r="P235" s="55">
        <v>0</v>
      </c>
      <c r="Q235" s="472">
        <v>0</v>
      </c>
      <c r="R235" s="472"/>
      <c r="S235" s="472">
        <v>0</v>
      </c>
      <c r="T235" s="472"/>
      <c r="U235" s="472">
        <v>0</v>
      </c>
      <c r="V235" s="472"/>
      <c r="W235" s="464" t="str">
        <f t="shared" ca="1" si="75"/>
        <v>X</v>
      </c>
      <c r="X235" s="465"/>
      <c r="Y235" s="55">
        <f ca="1">IF(OR(W235="",W235=0),0,IF(W235="X",MatchDay!$U$2+MatchDay!$U$2+1-COUNTIF(Distance!W232:W235,"X"),RANK(W235,$W232:$X247,0)))</f>
        <v>14</v>
      </c>
      <c r="Z235" s="19" t="str">
        <f ca="1">IFERROR(IF(Y235=0,0,IF(OR(VLOOKUP(AG235,E240:Y247,21,FALSE)=0,Y235&lt;=VLOOKUP(AG235,E240:Y247,21,FALSE)),"A","B")),"")</f>
        <v>B</v>
      </c>
      <c r="AA235" s="19" t="str">
        <f ca="1">IFERROR(IF(Z235="B","",RANK(AD235,AD232:AD247,1)),"")</f>
        <v/>
      </c>
      <c r="AB235" s="19">
        <f ca="1">IFERROR(IF(Z235="A","",RANK(AE235,AE232:AE247,1)),"")</f>
        <v>4</v>
      </c>
      <c r="AD235" s="9" t="str">
        <f t="shared" ca="1" si="76"/>
        <v/>
      </c>
      <c r="AE235" s="9">
        <f t="shared" ca="1" si="77"/>
        <v>14</v>
      </c>
      <c r="AF235" s="9" t="s">
        <v>138</v>
      </c>
      <c r="AG235" s="4">
        <f>IFERROR(IF(A231=0,E235*11,E235&amp;E235),"")</f>
        <v>77</v>
      </c>
    </row>
    <row r="236" spans="1:33" s="4" customFormat="1" ht="16.149999999999999" customHeight="1" x14ac:dyDescent="0.35">
      <c r="A236" s="8">
        <f>IFERROR(IF(D236&gt;MatchDay!$U$2,"-",VLOOKUP(A228,timetables,MatchDay!$U$4+4,FALSE)),0)</f>
        <v>3</v>
      </c>
      <c r="B236" s="7" t="str">
        <f t="shared" ca="1" si="71"/>
        <v/>
      </c>
      <c r="C236" s="7" t="str">
        <f t="shared" ca="1" si="72"/>
        <v/>
      </c>
      <c r="D236" s="55">
        <v>5</v>
      </c>
      <c r="E236" s="17">
        <f t="shared" si="73"/>
        <v>3</v>
      </c>
      <c r="F236" s="319" t="str">
        <f>IFERROR(VLOOKUP($A228&amp;E236,downloads!$A$1:$E$1000,2,FALSE),"")</f>
        <v/>
      </c>
      <c r="G236" s="18" t="str">
        <f t="shared" si="70"/>
        <v>Leigh</v>
      </c>
      <c r="H236" s="464">
        <f ca="1">IFERROR(INDIRECT(CONCATENATE("'Distance Input'!"&amp;B230&amp;C230+4)),"")</f>
        <v>0</v>
      </c>
      <c r="I236" s="465"/>
      <c r="J236" s="464">
        <v>0</v>
      </c>
      <c r="K236" s="465"/>
      <c r="L236" s="464">
        <v>0</v>
      </c>
      <c r="M236" s="465"/>
      <c r="N236" s="470">
        <f t="shared" ca="1" si="74"/>
        <v>0</v>
      </c>
      <c r="O236" s="471"/>
      <c r="P236" s="55">
        <v>0</v>
      </c>
      <c r="Q236" s="472">
        <v>0</v>
      </c>
      <c r="R236" s="472"/>
      <c r="S236" s="472">
        <v>0</v>
      </c>
      <c r="T236" s="472"/>
      <c r="U236" s="472">
        <v>0</v>
      </c>
      <c r="V236" s="472"/>
      <c r="W236" s="464">
        <f t="shared" ca="1" si="75"/>
        <v>0</v>
      </c>
      <c r="X236" s="465"/>
      <c r="Y236" s="55">
        <f ca="1">IF(OR(W236="",W236=0),0,IF(W236="X",MatchDay!$U$2+MatchDay!$U$2+1-COUNTIF(Distance!W232:W236,"X"),RANK(W236,$W232:$X247,0)))</f>
        <v>0</v>
      </c>
      <c r="Z236" s="19">
        <f ca="1">IFERROR(IF(Y236=0,0,IF(OR(VLOOKUP(AG236,E240:Y247,21,FALSE)=0,Y236&lt;=VLOOKUP(AG236,E240:Y247,21,FALSE)),"A","B")),"")</f>
        <v>0</v>
      </c>
      <c r="AA236" s="19" t="str">
        <f ca="1">IFERROR(IF(Z236="B","",RANK(AD236,AD232:AD247,1)),"")</f>
        <v/>
      </c>
      <c r="AB236" s="19" t="str">
        <f ca="1">IFERROR(IF(Z236="A","",RANK(AE236,AE232:AE247,1)),"")</f>
        <v/>
      </c>
      <c r="AD236" s="9" t="str">
        <f t="shared" ca="1" si="76"/>
        <v/>
      </c>
      <c r="AE236" s="9" t="str">
        <f t="shared" ca="1" si="77"/>
        <v/>
      </c>
      <c r="AF236" s="9" t="s">
        <v>138</v>
      </c>
      <c r="AG236" s="4">
        <f>IFERROR(IF(A231=0,E236*11,E236&amp;E236),"")</f>
        <v>33</v>
      </c>
    </row>
    <row r="237" spans="1:33" s="4" customFormat="1" ht="16.149999999999999" customHeight="1" x14ac:dyDescent="0.35">
      <c r="A237" s="8">
        <f>IFERROR(IF(D237&gt;MatchDay!$U$2,"-",VLOOKUP(A228,timetables,MatchDay!$U$4+5,FALSE)),0)</f>
        <v>4</v>
      </c>
      <c r="B237" s="7" t="str">
        <f t="shared" ca="1" si="71"/>
        <v/>
      </c>
      <c r="C237" s="7" t="str">
        <f t="shared" ca="1" si="72"/>
        <v/>
      </c>
      <c r="D237" s="55">
        <v>6</v>
      </c>
      <c r="E237" s="17">
        <f t="shared" si="73"/>
        <v>4</v>
      </c>
      <c r="F237" s="319" t="str">
        <f>IFERROR(VLOOKUP($A228&amp;E237,downloads!$A$1:$E$1000,2,FALSE),"")</f>
        <v/>
      </c>
      <c r="G237" s="18" t="str">
        <f t="shared" si="70"/>
        <v>Macc</v>
      </c>
      <c r="H237" s="464">
        <f ca="1">IFERROR(INDIRECT(CONCATENATE("'Distance Input'!"&amp;B230&amp;C230+5)),"")</f>
        <v>0</v>
      </c>
      <c r="I237" s="465"/>
      <c r="J237" s="464">
        <v>0</v>
      </c>
      <c r="K237" s="465"/>
      <c r="L237" s="464">
        <v>0</v>
      </c>
      <c r="M237" s="465"/>
      <c r="N237" s="470">
        <f t="shared" ca="1" si="74"/>
        <v>0</v>
      </c>
      <c r="O237" s="471"/>
      <c r="P237" s="55">
        <v>0</v>
      </c>
      <c r="Q237" s="472">
        <v>0</v>
      </c>
      <c r="R237" s="472"/>
      <c r="S237" s="472">
        <v>0</v>
      </c>
      <c r="T237" s="472"/>
      <c r="U237" s="472">
        <v>0</v>
      </c>
      <c r="V237" s="472"/>
      <c r="W237" s="464">
        <f t="shared" ca="1" si="75"/>
        <v>0</v>
      </c>
      <c r="X237" s="465"/>
      <c r="Y237" s="55">
        <f ca="1">IF(OR(W237="",W237=0),0,IF(W237="X",MatchDay!$U$2+MatchDay!$U$2+1-COUNTIF(Distance!W232:W237,"X"),RANK(W237,$W232:$X247,0)))</f>
        <v>0</v>
      </c>
      <c r="Z237" s="19">
        <f ca="1">IFERROR(IF(Y237=0,0,IF(OR(VLOOKUP(AG237,E240:Y247,21,FALSE)=0,Y237&lt;=VLOOKUP(AG237,E240:Y247,21,FALSE)),"A","B")),"")</f>
        <v>0</v>
      </c>
      <c r="AA237" s="19" t="str">
        <f ca="1">IFERROR(IF(Z237="B","",RANK(AD237,AD232:AD247,1)),"")</f>
        <v/>
      </c>
      <c r="AB237" s="19" t="str">
        <f ca="1">IFERROR(IF(Z237="A","",RANK(AE237,AE232:AE247,1)),"")</f>
        <v/>
      </c>
      <c r="AD237" s="9" t="str">
        <f t="shared" ca="1" si="76"/>
        <v/>
      </c>
      <c r="AE237" s="9" t="str">
        <f t="shared" ca="1" si="77"/>
        <v/>
      </c>
      <c r="AF237" s="9" t="s">
        <v>138</v>
      </c>
      <c r="AG237" s="4">
        <f>IFERROR(IF(A231=0,E237*11,E237&amp;E237),"")</f>
        <v>44</v>
      </c>
    </row>
    <row r="238" spans="1:33" s="4" customFormat="1" ht="16.149999999999999" customHeight="1" x14ac:dyDescent="0.35">
      <c r="A238" s="8">
        <f>IFERROR(IF(D238&gt;MatchDay!$U$2,"-",VLOOKUP(A228,timetables,MatchDay!$U$4+6,FALSE)),0)</f>
        <v>5</v>
      </c>
      <c r="B238" s="7">
        <f t="shared" ca="1" si="71"/>
        <v>4</v>
      </c>
      <c r="C238" s="7" t="str">
        <f t="shared" ca="1" si="72"/>
        <v/>
      </c>
      <c r="D238" s="55">
        <v>7</v>
      </c>
      <c r="E238" s="17">
        <f t="shared" si="73"/>
        <v>5</v>
      </c>
      <c r="F238" s="319" t="str">
        <f>IFERROR(VLOOKUP($A228&amp;E238,downloads!$A$1:$E$1000,2,FALSE),"")</f>
        <v>Erin JACOBS</v>
      </c>
      <c r="G238" s="18" t="str">
        <f t="shared" si="70"/>
        <v>Menai</v>
      </c>
      <c r="H238" s="464">
        <f ca="1">IFERROR(INDIRECT(CONCATENATE("'Distance Input'!"&amp;B230&amp;C230+6)),"")</f>
        <v>13.77</v>
      </c>
      <c r="I238" s="465"/>
      <c r="J238" s="464">
        <v>0</v>
      </c>
      <c r="K238" s="465"/>
      <c r="L238" s="464">
        <v>0</v>
      </c>
      <c r="M238" s="465"/>
      <c r="N238" s="470">
        <f t="shared" ca="1" si="74"/>
        <v>13.77</v>
      </c>
      <c r="O238" s="471"/>
      <c r="P238" s="55">
        <v>0</v>
      </c>
      <c r="Q238" s="472">
        <v>0</v>
      </c>
      <c r="R238" s="472"/>
      <c r="S238" s="472">
        <v>0</v>
      </c>
      <c r="T238" s="472"/>
      <c r="U238" s="472">
        <v>0</v>
      </c>
      <c r="V238" s="472"/>
      <c r="W238" s="464">
        <f t="shared" ca="1" si="75"/>
        <v>13.77</v>
      </c>
      <c r="X238" s="465"/>
      <c r="Y238" s="55">
        <f ca="1">IF(OR(W238="",W238=0),0,IF(W238="X",MatchDay!$U$2+MatchDay!$U$2+1-COUNTIF(Distance!W232:W238,"X"),RANK(W238,$W232:$X247,0)))</f>
        <v>5</v>
      </c>
      <c r="Z238" s="19" t="str">
        <f ca="1">IFERROR(IF(Y238=0,0,IF(OR(VLOOKUP(AG238,E240:Y247,21,FALSE)=0,Y238&lt;=VLOOKUP(AG238,E240:Y247,21,FALSE)),"A","B")),"")</f>
        <v>A</v>
      </c>
      <c r="AA238" s="19">
        <f ca="1">IFERROR(IF(Z238="B","",RANK(AD238,AD232:AD247,1)),"")</f>
        <v>4</v>
      </c>
      <c r="AB238" s="19" t="str">
        <f ca="1">IFERROR(IF(Z238="A","",RANK(AE238,AE232:AE247,1)),"")</f>
        <v/>
      </c>
      <c r="AD238" s="9">
        <f t="shared" ca="1" si="76"/>
        <v>5</v>
      </c>
      <c r="AE238" s="9" t="str">
        <f t="shared" ca="1" si="77"/>
        <v/>
      </c>
      <c r="AF238" s="9" t="s">
        <v>138</v>
      </c>
      <c r="AG238" s="4">
        <f>IFERROR(IF(A231=0,E238*11,E238&amp;E238),"")</f>
        <v>55</v>
      </c>
    </row>
    <row r="239" spans="1:33" s="4" customFormat="1" ht="16.149999999999999" customHeight="1" x14ac:dyDescent="0.35">
      <c r="A239" s="8" t="str">
        <f>IFERROR(IF(D239&gt;MatchDay!$U$2,"-",VLOOKUP(A228,timetables,MatchDay!$U$4+7,FALSE)),0)</f>
        <v>-</v>
      </c>
      <c r="B239" s="7" t="str">
        <f t="shared" ca="1" si="71"/>
        <v/>
      </c>
      <c r="C239" s="7" t="str">
        <f t="shared" ca="1" si="72"/>
        <v/>
      </c>
      <c r="D239" s="55">
        <v>8</v>
      </c>
      <c r="E239" s="17" t="str">
        <f t="shared" si="73"/>
        <v>-</v>
      </c>
      <c r="F239" s="319" t="str">
        <f>IFERROR(VLOOKUP($A228&amp;E239,downloads!$A$1:$E$1000,2,FALSE),"")</f>
        <v/>
      </c>
      <c r="G239" s="18" t="str">
        <f t="shared" si="70"/>
        <v/>
      </c>
      <c r="H239" s="464">
        <f ca="1">IFERROR(INDIRECT(CONCATENATE("'Distance Input'!"&amp;B230&amp;C230+7)),"")</f>
        <v>0</v>
      </c>
      <c r="I239" s="465"/>
      <c r="J239" s="464">
        <v>0</v>
      </c>
      <c r="K239" s="465"/>
      <c r="L239" s="464">
        <v>0</v>
      </c>
      <c r="M239" s="465"/>
      <c r="N239" s="470">
        <f t="shared" ca="1" si="74"/>
        <v>0</v>
      </c>
      <c r="O239" s="471"/>
      <c r="P239" s="55">
        <v>0</v>
      </c>
      <c r="Q239" s="472">
        <v>0</v>
      </c>
      <c r="R239" s="472"/>
      <c r="S239" s="472">
        <v>0</v>
      </c>
      <c r="T239" s="472"/>
      <c r="U239" s="472">
        <v>0</v>
      </c>
      <c r="V239" s="472"/>
      <c r="W239" s="464">
        <f t="shared" ca="1" si="75"/>
        <v>0</v>
      </c>
      <c r="X239" s="465"/>
      <c r="Y239" s="55">
        <f ca="1">IF(OR(W239="",W239=0),0,IF(W239="X",MatchDay!$U$2+MatchDay!$U$2+1-COUNTIF(Distance!W232:W239,"X"),RANK(W239,$W232:$X247,0)))</f>
        <v>0</v>
      </c>
      <c r="Z239" s="19">
        <f ca="1">IFERROR(IF(Y239=0,0,IF(OR(VLOOKUP(AG239,E240:Y247,21,FALSE)=0,Y239&lt;=VLOOKUP(AG239,E240:Y247,21,FALSE)),"A","B")),"")</f>
        <v>0</v>
      </c>
      <c r="AA239" s="19" t="str">
        <f ca="1">IFERROR(IF(Z239="B","",RANK(AD239,AD232:AD247,1)),"")</f>
        <v/>
      </c>
      <c r="AB239" s="19" t="str">
        <f ca="1">IFERROR(IF(Z239="A","",RANK(AE239,AE232:AE247,1)),"")</f>
        <v/>
      </c>
      <c r="AD239" s="9" t="str">
        <f t="shared" ca="1" si="76"/>
        <v/>
      </c>
      <c r="AE239" s="9" t="str">
        <f t="shared" ca="1" si="77"/>
        <v/>
      </c>
      <c r="AF239" s="9" t="s">
        <v>138</v>
      </c>
      <c r="AG239" s="4" t="str">
        <f>IFERROR(IF(A231=0,E239*11,E239&amp;E239),"")</f>
        <v/>
      </c>
    </row>
    <row r="240" spans="1:33" s="4" customFormat="1" ht="16.149999999999999" customHeight="1" x14ac:dyDescent="0.35">
      <c r="A240" s="8">
        <f>IFERROR(IF(A231=0,A232*11,A232&amp;A232),"-")</f>
        <v>11</v>
      </c>
      <c r="B240" s="7">
        <f t="shared" ca="1" si="71"/>
        <v>2</v>
      </c>
      <c r="C240" s="7" t="str">
        <f t="shared" ca="1" si="72"/>
        <v/>
      </c>
      <c r="D240" s="55">
        <v>9</v>
      </c>
      <c r="E240" s="17">
        <f t="shared" si="73"/>
        <v>11</v>
      </c>
      <c r="F240" s="319" t="str">
        <f>IFERROR(VLOOKUP($A228&amp;E240,downloads!$A$1:$E$1000,2,FALSE),"")</f>
        <v>Lucy HARDING</v>
      </c>
      <c r="G240" s="18" t="str">
        <f t="shared" si="70"/>
        <v>C&amp;N</v>
      </c>
      <c r="H240" s="464">
        <f ca="1">IFERROR(INDIRECT(CONCATENATE("'Distance Input'!"&amp;B230&amp;C230+8)),"")</f>
        <v>21.79</v>
      </c>
      <c r="I240" s="465"/>
      <c r="J240" s="464">
        <v>0</v>
      </c>
      <c r="K240" s="465"/>
      <c r="L240" s="464">
        <v>0</v>
      </c>
      <c r="M240" s="465"/>
      <c r="N240" s="470">
        <f t="shared" ca="1" si="74"/>
        <v>21.79</v>
      </c>
      <c r="O240" s="471"/>
      <c r="P240" s="55">
        <v>0</v>
      </c>
      <c r="Q240" s="472">
        <v>0</v>
      </c>
      <c r="R240" s="472"/>
      <c r="S240" s="472">
        <v>0</v>
      </c>
      <c r="T240" s="472"/>
      <c r="U240" s="472">
        <v>0</v>
      </c>
      <c r="V240" s="472"/>
      <c r="W240" s="464">
        <f t="shared" ca="1" si="75"/>
        <v>21.79</v>
      </c>
      <c r="X240" s="465"/>
      <c r="Y240" s="55">
        <f ca="1">IF(OR(W240="",W240=0),0,IF(W240="X",MatchDay!$U$2+MatchDay!$U$2+1-COUNTIF(Distance!W232:W240,"X"),RANK(W240,$W232:$X247,0)))</f>
        <v>2</v>
      </c>
      <c r="Z240" s="19" t="str">
        <f ca="1">IFERROR(IF(Y240=0,0,IF(VLOOKUP(AG240,E232:Y239,21,FALSE)=0,"A",IF(Y240&gt;=VLOOKUP(AG240,E232:Y239,21,FALSE),"B","A"))),"")</f>
        <v>A</v>
      </c>
      <c r="AA240" s="19">
        <f ca="1">IFERROR(IF(Z240="B","",RANK(AD240,AD232:AD247,1)),"")</f>
        <v>2</v>
      </c>
      <c r="AB240" s="19" t="str">
        <f ca="1">IFERROR(IF(Z240="A","",RANK(AE240,AE232:AE247,1)),"")</f>
        <v/>
      </c>
      <c r="AD240" s="9">
        <f t="shared" ca="1" si="76"/>
        <v>2</v>
      </c>
      <c r="AE240" s="9" t="str">
        <f t="shared" ca="1" si="77"/>
        <v/>
      </c>
      <c r="AF240" s="9" t="s">
        <v>138</v>
      </c>
      <c r="AG240" s="4">
        <f>IFERROR(IF(A231=0,E240/11,LEFT(E240,1)),"")</f>
        <v>1</v>
      </c>
    </row>
    <row r="241" spans="1:33" s="4" customFormat="1" ht="16.149999999999999" customHeight="1" x14ac:dyDescent="0.35">
      <c r="A241" s="8">
        <f>IFERROR(IF(A231=0,A233*11,A233&amp;A233),"-")</f>
        <v>22</v>
      </c>
      <c r="B241" s="7" t="str">
        <f t="shared" ca="1" si="71"/>
        <v/>
      </c>
      <c r="C241" s="7">
        <f t="shared" ca="1" si="72"/>
        <v>2</v>
      </c>
      <c r="D241" s="55">
        <v>10</v>
      </c>
      <c r="E241" s="17">
        <f t="shared" si="73"/>
        <v>22</v>
      </c>
      <c r="F241" s="319" t="str">
        <f>IFERROR(VLOOKUP($A228&amp;E241,downloads!$A$1:$E$1000,2,FALSE),"")</f>
        <v>Sophia GUSH</v>
      </c>
      <c r="G241" s="18" t="str">
        <f t="shared" si="70"/>
        <v>ECHT</v>
      </c>
      <c r="H241" s="464">
        <f ca="1">IFERROR(INDIRECT(CONCATENATE("'Distance Input'!"&amp;B230&amp;C230+9)),"")</f>
        <v>13.25</v>
      </c>
      <c r="I241" s="465"/>
      <c r="J241" s="464">
        <v>0</v>
      </c>
      <c r="K241" s="465"/>
      <c r="L241" s="464">
        <v>0</v>
      </c>
      <c r="M241" s="465"/>
      <c r="N241" s="470">
        <f t="shared" ca="1" si="74"/>
        <v>13.25</v>
      </c>
      <c r="O241" s="471"/>
      <c r="P241" s="55">
        <v>0</v>
      </c>
      <c r="Q241" s="472">
        <v>0</v>
      </c>
      <c r="R241" s="472"/>
      <c r="S241" s="472">
        <v>0</v>
      </c>
      <c r="T241" s="472"/>
      <c r="U241" s="472">
        <v>0</v>
      </c>
      <c r="V241" s="472"/>
      <c r="W241" s="464">
        <f t="shared" ca="1" si="75"/>
        <v>13.25</v>
      </c>
      <c r="X241" s="465"/>
      <c r="Y241" s="55">
        <f ca="1">IF(OR(W241="",W241=0),0,IF(W241="X",MatchDay!$U$2+MatchDay!$U$2+1-COUNTIF(Distance!W232:W241,"X"),RANK(W241,$W232:$X247,0)))</f>
        <v>6</v>
      </c>
      <c r="Z241" s="19" t="str">
        <f ca="1">IFERROR(IF(Y241=0,0,IF(VLOOKUP(AG241,E232:Y239,21,FALSE)=0,"A",IF(Y241&gt;=VLOOKUP(AG241,E232:Y239,21,FALSE),"B","A"))),"")</f>
        <v>B</v>
      </c>
      <c r="AA241" s="19" t="str">
        <f ca="1">IFERROR(IF(Z241="B","",RANK(AD241,AD232:AD247,1)),"")</f>
        <v/>
      </c>
      <c r="AB241" s="19">
        <f ca="1">IFERROR(IF(Z241="A","",RANK(AE241,AE232:AE247,1)),"")</f>
        <v>2</v>
      </c>
      <c r="AD241" s="9" t="str">
        <f t="shared" ca="1" si="76"/>
        <v/>
      </c>
      <c r="AE241" s="9">
        <f t="shared" ca="1" si="77"/>
        <v>6</v>
      </c>
      <c r="AF241" s="9" t="s">
        <v>138</v>
      </c>
      <c r="AG241" s="4">
        <f>IFERROR(IF(A231=0,E241/11,LEFT(E241,1)),"")</f>
        <v>2</v>
      </c>
    </row>
    <row r="242" spans="1:33" s="4" customFormat="1" ht="16.149999999999999" customHeight="1" x14ac:dyDescent="0.35">
      <c r="A242" s="8">
        <f>IFERROR(IF(A231=0,A234*11,A234&amp;A234),"-")</f>
        <v>66</v>
      </c>
      <c r="B242" s="7" t="str">
        <f t="shared" ca="1" si="71"/>
        <v/>
      </c>
      <c r="C242" s="7" t="str">
        <f t="shared" ca="1" si="72"/>
        <v/>
      </c>
      <c r="D242" s="55">
        <v>11</v>
      </c>
      <c r="E242" s="17">
        <f t="shared" si="73"/>
        <v>66</v>
      </c>
      <c r="F242" s="319" t="str">
        <f>IFERROR(VLOOKUP($A228&amp;E242,downloads!$A$1:$E$1000,2,FALSE),"")</f>
        <v/>
      </c>
      <c r="G242" s="18" t="str">
        <f t="shared" si="70"/>
        <v>Stock</v>
      </c>
      <c r="H242" s="464">
        <f ca="1">IFERROR(INDIRECT(CONCATENATE("'Distance Input'!"&amp;B230&amp;C230+10)),"")</f>
        <v>0</v>
      </c>
      <c r="I242" s="465"/>
      <c r="J242" s="464">
        <v>0</v>
      </c>
      <c r="K242" s="465"/>
      <c r="L242" s="464">
        <v>0</v>
      </c>
      <c r="M242" s="465"/>
      <c r="N242" s="470">
        <f t="shared" ca="1" si="74"/>
        <v>0</v>
      </c>
      <c r="O242" s="471"/>
      <c r="P242" s="55">
        <v>0</v>
      </c>
      <c r="Q242" s="472">
        <v>0</v>
      </c>
      <c r="R242" s="472"/>
      <c r="S242" s="472">
        <v>0</v>
      </c>
      <c r="T242" s="472"/>
      <c r="U242" s="472">
        <v>0</v>
      </c>
      <c r="V242" s="472"/>
      <c r="W242" s="464">
        <f t="shared" ca="1" si="75"/>
        <v>0</v>
      </c>
      <c r="X242" s="465"/>
      <c r="Y242" s="55">
        <f ca="1">IF(OR(W242="",W242=0),0,IF(W242="X",MatchDay!$U$2+MatchDay!$U$2+1-COUNTIF(Distance!W232:W242,"X"),RANK(W242,$W232:$X247,0)))</f>
        <v>0</v>
      </c>
      <c r="Z242" s="19">
        <f ca="1">IFERROR(IF(Y242=0,0,IF(VLOOKUP(AG242,E232:Y239,21,FALSE)=0,"A",IF(Y242&gt;=VLOOKUP(AG242,E232:Y239,21,FALSE),"B","A"))),"")</f>
        <v>0</v>
      </c>
      <c r="AA242" s="19" t="str">
        <f ca="1">IFERROR(IF(Z242="B","",RANK(AD242,AD232:AD247,1)),"")</f>
        <v/>
      </c>
      <c r="AB242" s="19" t="str">
        <f ca="1">IFERROR(IF(Z242="A","",RANK(AE242,AE232:AE247,1)),"")</f>
        <v/>
      </c>
      <c r="AD242" s="9" t="str">
        <f t="shared" ca="1" si="76"/>
        <v/>
      </c>
      <c r="AE242" s="9" t="str">
        <f t="shared" ca="1" si="77"/>
        <v/>
      </c>
      <c r="AF242" s="9" t="s">
        <v>138</v>
      </c>
      <c r="AG242" s="4">
        <f>IFERROR(IF(A231=0,E242/11,LEFT(E242,1)),"")</f>
        <v>6</v>
      </c>
    </row>
    <row r="243" spans="1:33" s="4" customFormat="1" ht="16.149999999999999" customHeight="1" x14ac:dyDescent="0.35">
      <c r="A243" s="8">
        <f>IFERROR(IF(A231=0,A235*11,A235&amp;A235),"-")</f>
        <v>77</v>
      </c>
      <c r="B243" s="7">
        <f t="shared" ca="1" si="71"/>
        <v>5</v>
      </c>
      <c r="C243" s="7" t="str">
        <f t="shared" ca="1" si="72"/>
        <v/>
      </c>
      <c r="D243" s="55">
        <v>12</v>
      </c>
      <c r="E243" s="17">
        <f t="shared" si="73"/>
        <v>77</v>
      </c>
      <c r="F243" s="319" t="str">
        <f>IFERROR(VLOOKUP($A228&amp;E243,downloads!$A$1:$E$1000,2,FALSE),"")</f>
        <v>Esme HARRIS</v>
      </c>
      <c r="G243" s="18" t="str">
        <f t="shared" si="70"/>
        <v>Wigan</v>
      </c>
      <c r="H243" s="464">
        <f ca="1">IFERROR(INDIRECT(CONCATENATE("'Distance Input'!"&amp;B230&amp;C230+11)),"")</f>
        <v>11.61</v>
      </c>
      <c r="I243" s="465"/>
      <c r="J243" s="464">
        <v>0</v>
      </c>
      <c r="K243" s="465"/>
      <c r="L243" s="464">
        <v>0</v>
      </c>
      <c r="M243" s="465"/>
      <c r="N243" s="470">
        <f t="shared" ca="1" si="74"/>
        <v>11.61</v>
      </c>
      <c r="O243" s="471"/>
      <c r="P243" s="55">
        <v>0</v>
      </c>
      <c r="Q243" s="472">
        <v>0</v>
      </c>
      <c r="R243" s="472"/>
      <c r="S243" s="472">
        <v>0</v>
      </c>
      <c r="T243" s="472"/>
      <c r="U243" s="472">
        <v>0</v>
      </c>
      <c r="V243" s="472"/>
      <c r="W243" s="464">
        <f t="shared" ca="1" si="75"/>
        <v>11.61</v>
      </c>
      <c r="X243" s="465"/>
      <c r="Y243" s="55">
        <f ca="1">IF(OR(W243="",W243=0),0,IF(W243="X",MatchDay!$U$2+MatchDay!$U$2+1-COUNTIF(Distance!W232:W243,"X"),RANK(W243,$W232:$X247,0)))</f>
        <v>7</v>
      </c>
      <c r="Z243" s="19" t="str">
        <f ca="1">IFERROR(IF(Y243=0,0,IF(VLOOKUP(AG243,E232:Y239,21,FALSE)=0,"A",IF(Y243&gt;=VLOOKUP(AG243,E232:Y239,21,FALSE),"B","A"))),"")</f>
        <v>A</v>
      </c>
      <c r="AA243" s="19">
        <f ca="1">IFERROR(IF(Z243="B","",RANK(AD243,AD232:AD247,1)),"")</f>
        <v>5</v>
      </c>
      <c r="AB243" s="19" t="str">
        <f ca="1">IFERROR(IF(Z243="A","",RANK(AE243,AE232:AE247,1)),"")</f>
        <v/>
      </c>
      <c r="AD243" s="9">
        <f t="shared" ca="1" si="76"/>
        <v>7</v>
      </c>
      <c r="AE243" s="9" t="str">
        <f t="shared" ca="1" si="77"/>
        <v/>
      </c>
      <c r="AF243" s="9" t="s">
        <v>138</v>
      </c>
      <c r="AG243" s="4">
        <f>IFERROR(IF(A231=0,E243/11,LEFT(E243,1)),"")</f>
        <v>7</v>
      </c>
    </row>
    <row r="244" spans="1:33" s="4" customFormat="1" ht="16.149999999999999" customHeight="1" x14ac:dyDescent="0.35">
      <c r="A244" s="8">
        <f>IFERROR(IF(A231=0,A236*11,A236&amp;A236),"-")</f>
        <v>33</v>
      </c>
      <c r="B244" s="7" t="str">
        <f t="shared" ca="1" si="71"/>
        <v/>
      </c>
      <c r="C244" s="7" t="str">
        <f t="shared" ca="1" si="72"/>
        <v/>
      </c>
      <c r="D244" s="55">
        <v>13</v>
      </c>
      <c r="E244" s="17">
        <f t="shared" si="73"/>
        <v>33</v>
      </c>
      <c r="F244" s="319" t="str">
        <f>IFERROR(VLOOKUP($A228&amp;E244,downloads!$A$1:$E$1000,2,FALSE),"")</f>
        <v/>
      </c>
      <c r="G244" s="18" t="str">
        <f t="shared" si="70"/>
        <v>Leigh</v>
      </c>
      <c r="H244" s="464">
        <f ca="1">IFERROR(INDIRECT(CONCATENATE("'Distance Input'!"&amp;B230&amp;C230+12)),"")</f>
        <v>0</v>
      </c>
      <c r="I244" s="465"/>
      <c r="J244" s="464">
        <v>0</v>
      </c>
      <c r="K244" s="465"/>
      <c r="L244" s="464">
        <v>0</v>
      </c>
      <c r="M244" s="465"/>
      <c r="N244" s="470">
        <f t="shared" ca="1" si="74"/>
        <v>0</v>
      </c>
      <c r="O244" s="471"/>
      <c r="P244" s="55">
        <v>0</v>
      </c>
      <c r="Q244" s="472">
        <v>0</v>
      </c>
      <c r="R244" s="472"/>
      <c r="S244" s="472">
        <v>0</v>
      </c>
      <c r="T244" s="472"/>
      <c r="U244" s="472">
        <v>0</v>
      </c>
      <c r="V244" s="472"/>
      <c r="W244" s="464">
        <f t="shared" ca="1" si="75"/>
        <v>0</v>
      </c>
      <c r="X244" s="465"/>
      <c r="Y244" s="55">
        <f ca="1">IF(OR(W244="",W244=0),0,IF(W244="X",MatchDay!$U$2+MatchDay!$U$2+1-COUNTIF(Distance!W232:W244,"X"),RANK(W244,$W232:$X247,0)))</f>
        <v>0</v>
      </c>
      <c r="Z244" s="19">
        <f ca="1">IFERROR(IF(Y244=0,0,IF(VLOOKUP(AG244,E232:Y239,21,FALSE)=0,"A",IF(Y244&gt;=VLOOKUP(AG244,E232:Y239,21,FALSE),"B","A"))),"")</f>
        <v>0</v>
      </c>
      <c r="AA244" s="19" t="str">
        <f ca="1">IFERROR(IF(Z244="B","",RANK(AD244,AD232:AD247,1)),"")</f>
        <v/>
      </c>
      <c r="AB244" s="19" t="str">
        <f ca="1">IFERROR(IF(Z244="A","",RANK(AE244,AE232:AE247,1)),"")</f>
        <v/>
      </c>
      <c r="AD244" s="9" t="str">
        <f t="shared" ca="1" si="76"/>
        <v/>
      </c>
      <c r="AE244" s="9" t="str">
        <f t="shared" ca="1" si="77"/>
        <v/>
      </c>
      <c r="AF244" s="9" t="s">
        <v>138</v>
      </c>
      <c r="AG244" s="4">
        <f>IFERROR(IF(A231=0,E244/11,LEFT(E244,1)),"")</f>
        <v>3</v>
      </c>
    </row>
    <row r="245" spans="1:33" s="4" customFormat="1" ht="16.149999999999999" customHeight="1" x14ac:dyDescent="0.35">
      <c r="A245" s="8">
        <f>IFERROR(IF(A231=0,A237*11,A237&amp;A237),"-")</f>
        <v>44</v>
      </c>
      <c r="B245" s="7" t="str">
        <f t="shared" ca="1" si="71"/>
        <v/>
      </c>
      <c r="C245" s="7" t="str">
        <f t="shared" ca="1" si="72"/>
        <v/>
      </c>
      <c r="D245" s="55">
        <v>14</v>
      </c>
      <c r="E245" s="17">
        <f t="shared" si="73"/>
        <v>44</v>
      </c>
      <c r="F245" s="319" t="str">
        <f>IFERROR(VLOOKUP($A228&amp;E245,downloads!$A$1:$E$1000,2,FALSE),"")</f>
        <v/>
      </c>
      <c r="G245" s="18" t="str">
        <f t="shared" si="70"/>
        <v>Macc</v>
      </c>
      <c r="H245" s="464">
        <f ca="1">IFERROR(INDIRECT(CONCATENATE("'Distance Input'!"&amp;B230&amp;C230+13)),"")</f>
        <v>0</v>
      </c>
      <c r="I245" s="465"/>
      <c r="J245" s="464">
        <v>0</v>
      </c>
      <c r="K245" s="465"/>
      <c r="L245" s="464">
        <v>0</v>
      </c>
      <c r="M245" s="465"/>
      <c r="N245" s="470">
        <f t="shared" ca="1" si="74"/>
        <v>0</v>
      </c>
      <c r="O245" s="471"/>
      <c r="P245" s="55">
        <v>0</v>
      </c>
      <c r="Q245" s="472">
        <v>0</v>
      </c>
      <c r="R245" s="472"/>
      <c r="S245" s="472">
        <v>0</v>
      </c>
      <c r="T245" s="472"/>
      <c r="U245" s="472">
        <v>0</v>
      </c>
      <c r="V245" s="472"/>
      <c r="W245" s="464">
        <f t="shared" ca="1" si="75"/>
        <v>0</v>
      </c>
      <c r="X245" s="465"/>
      <c r="Y245" s="55">
        <f ca="1">IF(OR(W245="",W245=0),0,IF(W245="X",MatchDay!$U$2+MatchDay!$U$2+1-COUNTIF(Distance!W232:W245,"X"),RANK(W245,$W232:$X247,0)))</f>
        <v>0</v>
      </c>
      <c r="Z245" s="19">
        <f ca="1">IFERROR(IF(Y245=0,0,IF(VLOOKUP(AG245,E232:Y239,21,FALSE)=0,"A",IF(Y245&gt;=VLOOKUP(AG245,E232:Y239,21,FALSE),"B","A"))),"")</f>
        <v>0</v>
      </c>
      <c r="AA245" s="19" t="str">
        <f ca="1">IFERROR(IF(Z245="B","",RANK(AD245,AD232:AD247,1)),"")</f>
        <v/>
      </c>
      <c r="AB245" s="19" t="str">
        <f ca="1">IFERROR(IF(Z245="A","",RANK(AE245,AE232:AE247,1)),"")</f>
        <v/>
      </c>
      <c r="AD245" s="9" t="str">
        <f t="shared" ca="1" si="76"/>
        <v/>
      </c>
      <c r="AE245" s="9" t="str">
        <f t="shared" ca="1" si="77"/>
        <v/>
      </c>
      <c r="AF245" s="9" t="s">
        <v>138</v>
      </c>
      <c r="AG245" s="4">
        <f>IFERROR(IF(A231=0,E245/11,LEFT(E245,1)),"")</f>
        <v>4</v>
      </c>
    </row>
    <row r="246" spans="1:33" s="4" customFormat="1" ht="16.149999999999999" customHeight="1" x14ac:dyDescent="0.35">
      <c r="A246" s="8">
        <f>IFERROR(IF(A231=0,A238*11,A238&amp;A238),"-")</f>
        <v>55</v>
      </c>
      <c r="B246" s="7" t="str">
        <f t="shared" ca="1" si="71"/>
        <v/>
      </c>
      <c r="C246" s="7">
        <f t="shared" ca="1" si="72"/>
        <v>3</v>
      </c>
      <c r="D246" s="55">
        <v>15</v>
      </c>
      <c r="E246" s="17">
        <f t="shared" si="73"/>
        <v>55</v>
      </c>
      <c r="F246" s="319" t="str">
        <f>IFERROR(VLOOKUP($A228&amp;E246,downloads!$A$1:$E$1000,2,FALSE),"")</f>
        <v>Elliw MOSS</v>
      </c>
      <c r="G246" s="18" t="str">
        <f t="shared" si="70"/>
        <v>Menai</v>
      </c>
      <c r="H246" s="464">
        <f ca="1">IFERROR(INDIRECT(CONCATENATE("'Distance Input'!"&amp;B230&amp;C230+14)),"")</f>
        <v>9.5500000000000007</v>
      </c>
      <c r="I246" s="465"/>
      <c r="J246" s="464">
        <v>0</v>
      </c>
      <c r="K246" s="465"/>
      <c r="L246" s="464">
        <v>0</v>
      </c>
      <c r="M246" s="465"/>
      <c r="N246" s="470">
        <f t="shared" ca="1" si="74"/>
        <v>9.5500000000000007</v>
      </c>
      <c r="O246" s="471"/>
      <c r="P246" s="55">
        <v>0</v>
      </c>
      <c r="Q246" s="472">
        <v>0</v>
      </c>
      <c r="R246" s="472"/>
      <c r="S246" s="472">
        <v>0</v>
      </c>
      <c r="T246" s="472"/>
      <c r="U246" s="472">
        <v>0</v>
      </c>
      <c r="V246" s="472"/>
      <c r="W246" s="464">
        <f t="shared" ca="1" si="75"/>
        <v>9.5500000000000007</v>
      </c>
      <c r="X246" s="465"/>
      <c r="Y246" s="55">
        <f ca="1">IF(OR(W246="",W246=0),0,IF(W246="X",MatchDay!$U$2+MatchDay!$U$2+1-COUNTIF(Distance!W232:W246,"X"),RANK(W246,$W232:$X247,0)))</f>
        <v>8</v>
      </c>
      <c r="Z246" s="19" t="str">
        <f ca="1">IFERROR(IF(Y246=0,0,IF(VLOOKUP(AG246,E232:Y239,21,FALSE)=0,"A",IF(Y246&gt;=VLOOKUP(AG246,E232:Y239,21,FALSE),"B","A"))),"")</f>
        <v>B</v>
      </c>
      <c r="AA246" s="19" t="str">
        <f ca="1">IFERROR(IF(Z246="B","",RANK(AD246,AD232:AD247,1)),"")</f>
        <v/>
      </c>
      <c r="AB246" s="19">
        <f ca="1">IFERROR(IF(Z246="A","",RANK(AE246,AE232:AE247,1)),"")</f>
        <v>3</v>
      </c>
      <c r="AD246" s="9" t="str">
        <f t="shared" ca="1" si="76"/>
        <v/>
      </c>
      <c r="AE246" s="9">
        <f t="shared" ca="1" si="77"/>
        <v>8</v>
      </c>
      <c r="AF246" s="9" t="s">
        <v>138</v>
      </c>
      <c r="AG246" s="4">
        <f>IFERROR(IF(A231=0,E246/11,LEFT(E246,1)),"")</f>
        <v>5</v>
      </c>
    </row>
    <row r="247" spans="1:33" s="4" customFormat="1" ht="16.149999999999999" customHeight="1" x14ac:dyDescent="0.35">
      <c r="A247" s="8" t="str">
        <f>IFERROR(IF(A231=0,A239*11,A239&amp;A239),"-")</f>
        <v>-</v>
      </c>
      <c r="B247" s="7" t="str">
        <f t="shared" ca="1" si="71"/>
        <v/>
      </c>
      <c r="C247" s="7" t="str">
        <f t="shared" ca="1" si="72"/>
        <v/>
      </c>
      <c r="D247" s="55">
        <v>16</v>
      </c>
      <c r="E247" s="17" t="str">
        <f t="shared" si="73"/>
        <v>-</v>
      </c>
      <c r="F247" s="319" t="str">
        <f>IFERROR(VLOOKUP($A228&amp;E247,downloads!$A$1:$E$1000,2,FALSE),"")</f>
        <v/>
      </c>
      <c r="G247" s="18" t="str">
        <f t="shared" si="70"/>
        <v/>
      </c>
      <c r="H247" s="464">
        <f ca="1">IFERROR(INDIRECT(CONCATENATE("'Distance Input'!"&amp;B230&amp;C230+15)),"")</f>
        <v>0</v>
      </c>
      <c r="I247" s="465"/>
      <c r="J247" s="464">
        <v>0</v>
      </c>
      <c r="K247" s="465"/>
      <c r="L247" s="464">
        <v>0</v>
      </c>
      <c r="M247" s="465"/>
      <c r="N247" s="470">
        <f t="shared" ca="1" si="74"/>
        <v>0</v>
      </c>
      <c r="O247" s="471"/>
      <c r="P247" s="55">
        <v>0</v>
      </c>
      <c r="Q247" s="472">
        <v>0</v>
      </c>
      <c r="R247" s="472"/>
      <c r="S247" s="472">
        <v>0</v>
      </c>
      <c r="T247" s="472"/>
      <c r="U247" s="472">
        <v>0</v>
      </c>
      <c r="V247" s="472"/>
      <c r="W247" s="464">
        <f t="shared" ca="1" si="75"/>
        <v>0</v>
      </c>
      <c r="X247" s="465"/>
      <c r="Y247" s="55">
        <f ca="1">IF(OR(W247="",W247=0),0,IF(W247="X",MatchDay!$U$2+MatchDay!$U$2+1-COUNTIF(Distance!W232:W247,"X"),RANK(W247,$W232:$X247,0)))</f>
        <v>0</v>
      </c>
      <c r="Z247" s="19">
        <f ca="1">IFERROR(IF(Y247=0,0,IF(VLOOKUP(AG247,E232:Y239,21,FALSE)=0,"A",IF(Y247&gt;=VLOOKUP(AG247,E232:Y239,21,FALSE),"B","A"))),"")</f>
        <v>0</v>
      </c>
      <c r="AA247" s="19" t="str">
        <f ca="1">IFERROR(IF(Z247="B","",RANK(AD247,AD232:AD247,1)),"")</f>
        <v/>
      </c>
      <c r="AB247" s="19" t="str">
        <f ca="1">IFERROR(IF(Z247="A","",RANK(AE247,AE232:AE247,1)),"")</f>
        <v/>
      </c>
      <c r="AD247" s="9" t="str">
        <f t="shared" ca="1" si="76"/>
        <v/>
      </c>
      <c r="AE247" s="9" t="str">
        <f t="shared" ca="1" si="77"/>
        <v/>
      </c>
      <c r="AF247" s="9" t="s">
        <v>138</v>
      </c>
      <c r="AG247" s="4" t="str">
        <f>IFERROR(IF(A231=0,E247/11,LEFT(E247,1)),"")</f>
        <v/>
      </c>
    </row>
    <row r="248" spans="1:33" s="4" customFormat="1" x14ac:dyDescent="0.25">
      <c r="A248" s="8"/>
      <c r="B248" s="10"/>
      <c r="C248" s="3"/>
      <c r="D248" s="20"/>
      <c r="E248" s="20"/>
      <c r="F248" s="21"/>
      <c r="G248" s="21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2"/>
    </row>
    <row r="249" spans="1:33" s="4" customFormat="1" x14ac:dyDescent="0.25">
      <c r="A249" s="8"/>
      <c r="B249" s="10"/>
      <c r="C249" s="3"/>
      <c r="D249" s="469" t="s">
        <v>139</v>
      </c>
      <c r="E249" s="473"/>
      <c r="F249" s="473"/>
      <c r="G249" s="473"/>
      <c r="H249" s="473"/>
      <c r="I249" s="473"/>
      <c r="J249" s="466" t="s">
        <v>140</v>
      </c>
      <c r="K249" s="474"/>
      <c r="L249" s="474"/>
      <c r="M249" s="474"/>
      <c r="N249" s="474"/>
      <c r="O249" s="474"/>
      <c r="P249" s="474"/>
      <c r="Q249" s="474"/>
      <c r="R249" s="474"/>
      <c r="S249" s="474"/>
      <c r="T249" s="474"/>
      <c r="U249" s="475"/>
      <c r="V249" s="466" t="s">
        <v>1136</v>
      </c>
      <c r="W249" s="467"/>
      <c r="X249" s="467"/>
      <c r="Y249" s="467"/>
      <c r="Z249" s="467"/>
      <c r="AA249" s="467"/>
      <c r="AB249" s="468"/>
    </row>
    <row r="250" spans="1:33" s="4" customFormat="1" x14ac:dyDescent="0.25">
      <c r="A250" s="8" t="s">
        <v>55</v>
      </c>
      <c r="B250" s="10"/>
      <c r="C250" s="3"/>
      <c r="D250" s="12"/>
      <c r="E250" s="55" t="s">
        <v>141</v>
      </c>
      <c r="F250" s="55" t="s">
        <v>124</v>
      </c>
      <c r="G250" s="55" t="s">
        <v>125</v>
      </c>
      <c r="H250" s="469" t="s">
        <v>142</v>
      </c>
      <c r="I250" s="469"/>
      <c r="J250" s="23"/>
      <c r="K250" s="54" t="s">
        <v>141</v>
      </c>
      <c r="L250" s="466" t="s">
        <v>124</v>
      </c>
      <c r="M250" s="467"/>
      <c r="N250" s="467"/>
      <c r="O250" s="468"/>
      <c r="P250" s="466" t="s">
        <v>125</v>
      </c>
      <c r="Q250" s="467"/>
      <c r="R250" s="467"/>
      <c r="S250" s="468"/>
      <c r="T250" s="466" t="s">
        <v>142</v>
      </c>
      <c r="U250" s="468"/>
      <c r="V250" s="24"/>
      <c r="W250" s="25"/>
      <c r="X250" s="25"/>
      <c r="Y250" s="25"/>
      <c r="Z250" s="25"/>
      <c r="AA250" s="25"/>
      <c r="AB250" s="26"/>
    </row>
    <row r="251" spans="1:33" s="4" customFormat="1" ht="16.149999999999999" customHeight="1" x14ac:dyDescent="0.25">
      <c r="A251" s="11">
        <f>IFERROR(VLOOKUP(A228,standards,3,FALSE),"-")</f>
        <v>16.5</v>
      </c>
      <c r="B251" s="10">
        <v>1</v>
      </c>
      <c r="C251" s="3"/>
      <c r="D251" s="55">
        <v>1</v>
      </c>
      <c r="E251" s="19">
        <f ca="1">IFERROR(IF(OR(H232=98,H232=99),H232,VLOOKUP(B251,B232:E247,4,FALSE)),0)</f>
        <v>6</v>
      </c>
      <c r="F251" s="27" t="str">
        <f ca="1">IFERROR(VLOOKUP(E251,$E232:$F247,2,FALSE),"")</f>
        <v>Molly MILLS</v>
      </c>
      <c r="G251" s="18" t="str">
        <f t="shared" ref="G251:G258" ca="1" si="78">IFERROR(VLOOKUP(E251,teamlookup,5,FALSE),"-")</f>
        <v>Stock</v>
      </c>
      <c r="H251" s="459">
        <f ca="1">IFERROR(VLOOKUP(E251,E232:X247,19,FALSE),"")</f>
        <v>30.06</v>
      </c>
      <c r="I251" s="460"/>
      <c r="J251" s="55">
        <v>1</v>
      </c>
      <c r="K251" s="55">
        <f ca="1">IFERROR(VLOOKUP(B251,C232:X247,3,FALSE),"")</f>
        <v>1</v>
      </c>
      <c r="L251" s="461" t="str">
        <f ca="1">IFERROR(VLOOKUP(K251,$E232:$F247,2,FALSE),"")</f>
        <v>Elisha CARTER</v>
      </c>
      <c r="M251" s="462"/>
      <c r="N251" s="462"/>
      <c r="O251" s="463"/>
      <c r="P251" s="461" t="str">
        <f t="shared" ref="P251:P258" ca="1" si="79">IFERROR(VLOOKUP(K251,teamlookup,5,FALSE),"-")</f>
        <v>C&amp;N</v>
      </c>
      <c r="Q251" s="462"/>
      <c r="R251" s="462"/>
      <c r="S251" s="463"/>
      <c r="T251" s="464">
        <f ca="1">IFERROR(VLOOKUP(K251,E232:X247,19,FALSE),"")</f>
        <v>19.98</v>
      </c>
      <c r="U251" s="465"/>
      <c r="V251" s="28"/>
      <c r="W251" s="29"/>
      <c r="X251" s="29"/>
      <c r="Y251" s="29"/>
      <c r="Z251" s="29"/>
      <c r="AA251" s="29"/>
      <c r="AB251" s="30"/>
    </row>
    <row r="252" spans="1:33" s="4" customFormat="1" ht="16.149999999999999" customHeight="1" x14ac:dyDescent="0.25">
      <c r="A252" s="11">
        <f>IFERROR(VLOOKUP(A228,standards,4,FALSE),"-")</f>
        <v>19</v>
      </c>
      <c r="B252" s="10">
        <v>2</v>
      </c>
      <c r="C252" s="3"/>
      <c r="D252" s="55">
        <v>2</v>
      </c>
      <c r="E252" s="19">
        <f ca="1">IFERROR(VLOOKUP(B252,B232:E247,4,FALSE),"")</f>
        <v>11</v>
      </c>
      <c r="F252" s="27" t="str">
        <f ca="1">IFERROR(VLOOKUP(E252,$E232:$F247,2,FALSE),"")</f>
        <v>Lucy HARDING</v>
      </c>
      <c r="G252" s="18" t="str">
        <f t="shared" ca="1" si="78"/>
        <v>C&amp;N</v>
      </c>
      <c r="H252" s="459">
        <f ca="1">IFERROR(VLOOKUP(E252,E232:X247,19,FALSE),"")</f>
        <v>21.79</v>
      </c>
      <c r="I252" s="460"/>
      <c r="J252" s="55">
        <v>2</v>
      </c>
      <c r="K252" s="55">
        <f ca="1">IFERROR(VLOOKUP(B252,C232:X247,3,FALSE),"")</f>
        <v>22</v>
      </c>
      <c r="L252" s="461" t="str">
        <f ca="1">IFERROR(VLOOKUP(K252,$E232:$F247,2,FALSE),"")</f>
        <v>Sophia GUSH</v>
      </c>
      <c r="M252" s="462"/>
      <c r="N252" s="462"/>
      <c r="O252" s="463"/>
      <c r="P252" s="461" t="str">
        <f t="shared" ca="1" si="79"/>
        <v>ECHT</v>
      </c>
      <c r="Q252" s="462"/>
      <c r="R252" s="462"/>
      <c r="S252" s="463"/>
      <c r="T252" s="464">
        <f ca="1">IFERROR(VLOOKUP(K252,E232:X247,19,FALSE),"")</f>
        <v>13.25</v>
      </c>
      <c r="U252" s="465"/>
      <c r="V252" s="24"/>
      <c r="W252" s="25"/>
      <c r="X252" s="25"/>
      <c r="Y252" s="25"/>
      <c r="Z252" s="25"/>
      <c r="AA252" s="25"/>
      <c r="AB252" s="26"/>
    </row>
    <row r="253" spans="1:33" s="4" customFormat="1" ht="16.149999999999999" customHeight="1" x14ac:dyDescent="0.25">
      <c r="A253" s="11">
        <f>IFERROR(VLOOKUP(A228,standards,5,FALSE),"-")</f>
        <v>21.5</v>
      </c>
      <c r="B253" s="10">
        <v>3</v>
      </c>
      <c r="C253" s="3"/>
      <c r="D253" s="55">
        <v>3</v>
      </c>
      <c r="E253" s="19">
        <f ca="1">IFERROR(VLOOKUP(B253,B232:E247,4,FALSE),"")</f>
        <v>2</v>
      </c>
      <c r="F253" s="27" t="str">
        <f ca="1">IFERROR(VLOOKUP(E253,$E232:$F247,2,FALSE),"")</f>
        <v>Anna ROOKE</v>
      </c>
      <c r="G253" s="18" t="str">
        <f t="shared" ca="1" si="78"/>
        <v>ECHT</v>
      </c>
      <c r="H253" s="459">
        <f ca="1">IFERROR(VLOOKUP(E253,E232:X247,19,FALSE),"")</f>
        <v>15.6</v>
      </c>
      <c r="I253" s="460"/>
      <c r="J253" s="55">
        <v>3</v>
      </c>
      <c r="K253" s="55">
        <f ca="1">IFERROR(VLOOKUP(B253,C232:X247,3,FALSE),"")</f>
        <v>55</v>
      </c>
      <c r="L253" s="461" t="str">
        <f ca="1">IFERROR(VLOOKUP(K253,$E232:$F247,2,FALSE),"")</f>
        <v>Elliw MOSS</v>
      </c>
      <c r="M253" s="462"/>
      <c r="N253" s="462"/>
      <c r="O253" s="463"/>
      <c r="P253" s="461" t="str">
        <f t="shared" ca="1" si="79"/>
        <v>Menai</v>
      </c>
      <c r="Q253" s="462"/>
      <c r="R253" s="462"/>
      <c r="S253" s="463"/>
      <c r="T253" s="464">
        <f ca="1">IFERROR(VLOOKUP(K253,E232:X247,19,FALSE),"")</f>
        <v>9.5500000000000007</v>
      </c>
      <c r="U253" s="465"/>
      <c r="V253" s="28"/>
      <c r="W253" s="29"/>
      <c r="X253" s="29"/>
      <c r="Y253" s="29"/>
      <c r="Z253" s="29"/>
      <c r="AA253" s="29"/>
      <c r="AB253" s="30"/>
    </row>
    <row r="254" spans="1:33" s="4" customFormat="1" ht="16.149999999999999" customHeight="1" x14ac:dyDescent="0.25">
      <c r="A254" s="11">
        <f>IFERROR(VLOOKUP(A228,EA!A:K,6,FALSE),"-")</f>
        <v>24</v>
      </c>
      <c r="B254" s="10">
        <v>4</v>
      </c>
      <c r="C254" s="3"/>
      <c r="D254" s="55">
        <v>4</v>
      </c>
      <c r="E254" s="19">
        <f ca="1">IFERROR(VLOOKUP(B254,B232:E247,4,FALSE),"")</f>
        <v>5</v>
      </c>
      <c r="F254" s="27" t="str">
        <f ca="1">IFERROR(VLOOKUP(E254,$E232:$F247,2,FALSE),"")</f>
        <v>Erin JACOBS</v>
      </c>
      <c r="G254" s="18" t="str">
        <f t="shared" ca="1" si="78"/>
        <v>Menai</v>
      </c>
      <c r="H254" s="459">
        <f ca="1">IFERROR(VLOOKUP(E254,E232:X247,19,FALSE),"")</f>
        <v>13.77</v>
      </c>
      <c r="I254" s="460"/>
      <c r="J254" s="55">
        <v>4</v>
      </c>
      <c r="K254" s="55">
        <f ca="1">IFERROR(VLOOKUP(B254,C232:X247,3,FALSE),"")</f>
        <v>7</v>
      </c>
      <c r="L254" s="461" t="str">
        <f ca="1">IFERROR(VLOOKUP(K254,$E232:$F247,2,FALSE),"")</f>
        <v>Niamh JOHNSON</v>
      </c>
      <c r="M254" s="462"/>
      <c r="N254" s="462"/>
      <c r="O254" s="463"/>
      <c r="P254" s="461" t="str">
        <f t="shared" ca="1" si="79"/>
        <v>Wigan</v>
      </c>
      <c r="Q254" s="462"/>
      <c r="R254" s="462"/>
      <c r="S254" s="463"/>
      <c r="T254" s="464" t="str">
        <f ca="1">IFERROR(VLOOKUP(K254,E232:X247,19,FALSE),"")</f>
        <v>X</v>
      </c>
      <c r="U254" s="465"/>
      <c r="V254" s="24"/>
      <c r="W254" s="25"/>
      <c r="X254" s="25"/>
      <c r="Y254" s="25"/>
      <c r="Z254" s="25"/>
      <c r="AA254" s="25"/>
      <c r="AB254" s="26"/>
    </row>
    <row r="255" spans="1:33" s="4" customFormat="1" ht="16.149999999999999" customHeight="1" x14ac:dyDescent="0.25">
      <c r="A255" s="8"/>
      <c r="B255" s="10">
        <v>5</v>
      </c>
      <c r="C255" s="3"/>
      <c r="D255" s="55">
        <v>5</v>
      </c>
      <c r="E255" s="19">
        <f ca="1">IFERROR(VLOOKUP(B255,B232:E247,4,FALSE),"")</f>
        <v>77</v>
      </c>
      <c r="F255" s="27" t="str">
        <f ca="1">IFERROR(VLOOKUP(E255,$E232:$F247,2,FALSE),"")</f>
        <v>Esme HARRIS</v>
      </c>
      <c r="G255" s="18" t="str">
        <f t="shared" ca="1" si="78"/>
        <v>Wigan</v>
      </c>
      <c r="H255" s="459">
        <f ca="1">IFERROR(VLOOKUP(E255,E232:X247,19,FALSE),"")</f>
        <v>11.61</v>
      </c>
      <c r="I255" s="460"/>
      <c r="J255" s="55">
        <v>5</v>
      </c>
      <c r="K255" s="55" t="str">
        <f ca="1">IFERROR(VLOOKUP(B255,C232:X247,3,FALSE),"")</f>
        <v/>
      </c>
      <c r="L255" s="461" t="str">
        <f ca="1">IFERROR(VLOOKUP(K255,$E232:$F247,2,FALSE),"")</f>
        <v/>
      </c>
      <c r="M255" s="462"/>
      <c r="N255" s="462"/>
      <c r="O255" s="463"/>
      <c r="P255" s="461" t="str">
        <f t="shared" ca="1" si="79"/>
        <v>-</v>
      </c>
      <c r="Q255" s="462"/>
      <c r="R255" s="462"/>
      <c r="S255" s="463"/>
      <c r="T255" s="464" t="str">
        <f ca="1">IFERROR(VLOOKUP(K255,E232:X247,19,FALSE),"")</f>
        <v/>
      </c>
      <c r="U255" s="465"/>
      <c r="V255" s="28"/>
      <c r="W255" s="29"/>
      <c r="X255" s="29"/>
      <c r="Y255" s="29"/>
      <c r="Z255" s="29"/>
      <c r="AA255" s="29"/>
      <c r="AB255" s="30"/>
    </row>
    <row r="256" spans="1:33" s="4" customFormat="1" ht="16.149999999999999" customHeight="1" x14ac:dyDescent="0.25">
      <c r="A256" s="8" t="s">
        <v>151</v>
      </c>
      <c r="B256" s="10">
        <v>6</v>
      </c>
      <c r="C256" s="3"/>
      <c r="D256" s="55">
        <v>6</v>
      </c>
      <c r="E256" s="19" t="str">
        <f ca="1">IFERROR(VLOOKUP(B256,B232:E247,4,FALSE),"")</f>
        <v/>
      </c>
      <c r="F256" s="27" t="str">
        <f ca="1">IFERROR(VLOOKUP(E256,$E232:$F247,2,FALSE),"")</f>
        <v/>
      </c>
      <c r="G256" s="18" t="str">
        <f t="shared" ca="1" si="78"/>
        <v>-</v>
      </c>
      <c r="H256" s="459" t="str">
        <f ca="1">IFERROR(VLOOKUP(E256,E232:X247,19,FALSE),"")</f>
        <v/>
      </c>
      <c r="I256" s="460"/>
      <c r="J256" s="55">
        <v>6</v>
      </c>
      <c r="K256" s="55" t="str">
        <f ca="1">IFERROR(VLOOKUP(B256,C232:X247,3,FALSE),"")</f>
        <v/>
      </c>
      <c r="L256" s="461" t="str">
        <f ca="1">IFERROR(VLOOKUP(K256,$E232:$F247,2,FALSE),"")</f>
        <v/>
      </c>
      <c r="M256" s="462"/>
      <c r="N256" s="462"/>
      <c r="O256" s="463"/>
      <c r="P256" s="461" t="str">
        <f t="shared" ca="1" si="79"/>
        <v>-</v>
      </c>
      <c r="Q256" s="462"/>
      <c r="R256" s="462"/>
      <c r="S256" s="463"/>
      <c r="T256" s="464" t="str">
        <f ca="1">IFERROR(VLOOKUP(K256,E232:X247,19,FALSE),"")</f>
        <v/>
      </c>
      <c r="U256" s="465"/>
      <c r="V256" s="466" t="s">
        <v>1135</v>
      </c>
      <c r="W256" s="467"/>
      <c r="X256" s="467"/>
      <c r="Y256" s="467"/>
      <c r="Z256" s="467"/>
      <c r="AA256" s="467"/>
      <c r="AB256" s="468"/>
    </row>
    <row r="257" spans="1:33" s="4" customFormat="1" ht="16.149999999999999" customHeight="1" x14ac:dyDescent="0.25">
      <c r="A257" s="8">
        <f>IFERROR(VLOOKUP(A228,records,5,FALSE),"")</f>
        <v>45.76</v>
      </c>
      <c r="B257" s="10">
        <v>7</v>
      </c>
      <c r="C257" s="3"/>
      <c r="D257" s="55">
        <v>7</v>
      </c>
      <c r="E257" s="19" t="str">
        <f ca="1">IFERROR(VLOOKUP(B257,B232:E247,4,FALSE),"")</f>
        <v/>
      </c>
      <c r="F257" s="27" t="str">
        <f ca="1">IFERROR(VLOOKUP(E257,$E232:$F247,2,FALSE),"")</f>
        <v/>
      </c>
      <c r="G257" s="18" t="str">
        <f t="shared" ca="1" si="78"/>
        <v>-</v>
      </c>
      <c r="H257" s="459" t="str">
        <f ca="1">IFERROR(VLOOKUP(E257,E232:X247,19,FALSE),"")</f>
        <v/>
      </c>
      <c r="I257" s="460"/>
      <c r="J257" s="55">
        <v>7</v>
      </c>
      <c r="K257" s="55" t="str">
        <f ca="1">IFERROR(VLOOKUP(B257,C232:X247,3,FALSE),"")</f>
        <v/>
      </c>
      <c r="L257" s="461" t="str">
        <f ca="1">IFERROR(VLOOKUP(K257,$E232:$F247,2,FALSE),"")</f>
        <v/>
      </c>
      <c r="M257" s="462"/>
      <c r="N257" s="462"/>
      <c r="O257" s="463"/>
      <c r="P257" s="461" t="str">
        <f t="shared" ca="1" si="79"/>
        <v>-</v>
      </c>
      <c r="Q257" s="462"/>
      <c r="R257" s="462"/>
      <c r="S257" s="463"/>
      <c r="T257" s="464" t="str">
        <f ca="1">IFERROR(VLOOKUP(K257,E232:X247,19,FALSE),"")</f>
        <v/>
      </c>
      <c r="U257" s="465"/>
      <c r="V257" s="24"/>
      <c r="W257" s="25"/>
      <c r="X257" s="25"/>
      <c r="Y257" s="25"/>
      <c r="Z257" s="25"/>
      <c r="AA257" s="25"/>
      <c r="AB257" s="26"/>
    </row>
    <row r="258" spans="1:33" s="4" customFormat="1" ht="16.149999999999999" customHeight="1" x14ac:dyDescent="0.25">
      <c r="A258" s="8"/>
      <c r="B258" s="10">
        <v>8</v>
      </c>
      <c r="C258" s="3"/>
      <c r="D258" s="55">
        <v>8</v>
      </c>
      <c r="E258" s="19" t="str">
        <f ca="1">IFERROR(VLOOKUP(B258,B232:E247,4,FALSE),"")</f>
        <v/>
      </c>
      <c r="F258" s="27" t="str">
        <f ca="1">IFERROR(VLOOKUP(E258,$E232:$F247,2,FALSE),"")</f>
        <v/>
      </c>
      <c r="G258" s="18" t="str">
        <f t="shared" ca="1" si="78"/>
        <v>-</v>
      </c>
      <c r="H258" s="459" t="str">
        <f ca="1">IFERROR(VLOOKUP(E258,E232:X247,19,FALSE),"")</f>
        <v/>
      </c>
      <c r="I258" s="460"/>
      <c r="J258" s="55">
        <v>8</v>
      </c>
      <c r="K258" s="55" t="str">
        <f ca="1">IFERROR(VLOOKUP(B258,C232:X247,3,FALSE),"")</f>
        <v/>
      </c>
      <c r="L258" s="461" t="str">
        <f ca="1">IFERROR(VLOOKUP(K258,$E232:$F247,2,FALSE),"")</f>
        <v/>
      </c>
      <c r="M258" s="462"/>
      <c r="N258" s="462"/>
      <c r="O258" s="463"/>
      <c r="P258" s="461" t="str">
        <f t="shared" ca="1" si="79"/>
        <v>-</v>
      </c>
      <c r="Q258" s="462"/>
      <c r="R258" s="462"/>
      <c r="S258" s="463"/>
      <c r="T258" s="464" t="str">
        <f ca="1">IFERROR(VLOOKUP(K258,E232:X247,19,FALSE),"")</f>
        <v/>
      </c>
      <c r="U258" s="465"/>
      <c r="V258" s="28"/>
      <c r="W258" s="29"/>
      <c r="X258" s="29"/>
      <c r="Y258" s="29"/>
      <c r="Z258" s="29"/>
      <c r="AA258" s="29"/>
      <c r="AB258" s="30"/>
    </row>
    <row r="259" spans="1:33" s="4" customFormat="1" ht="21" x14ac:dyDescent="0.25">
      <c r="A259" s="2" t="str">
        <f>MatchDay!$U$6</f>
        <v>X</v>
      </c>
      <c r="B259" s="8"/>
      <c r="C259" s="3"/>
      <c r="D259" s="499" t="s">
        <v>143</v>
      </c>
      <c r="E259" s="500"/>
      <c r="F259" s="500"/>
      <c r="G259" s="500"/>
      <c r="H259" s="500"/>
      <c r="I259" s="500"/>
      <c r="J259" s="500"/>
      <c r="K259" s="501" t="s">
        <v>144</v>
      </c>
      <c r="L259" s="502"/>
      <c r="M259" s="502"/>
      <c r="N259" s="502"/>
      <c r="O259" s="503" t="str">
        <f>MatchDay!$C$2&amp;" "&amp;MatchDay!$C$3&amp;" "&amp;MatchDay!$C$4</f>
        <v>LOWER NORTH West 2</v>
      </c>
      <c r="P259" s="504"/>
      <c r="Q259" s="504"/>
      <c r="R259" s="504"/>
      <c r="S259" s="504"/>
      <c r="T259" s="504"/>
      <c r="U259" s="504"/>
      <c r="V259" s="504"/>
      <c r="W259" s="504"/>
      <c r="X259" s="504"/>
      <c r="Y259" s="504"/>
      <c r="Z259" s="504"/>
      <c r="AA259" s="504"/>
      <c r="AB259" s="505"/>
    </row>
    <row r="260" spans="1:33" s="4" customFormat="1" ht="15.75" customHeight="1" x14ac:dyDescent="0.25">
      <c r="A260" s="1" t="str">
        <f>IFERROR(IF(LEFT(MatchDay!$C$2,1)="L","L"&amp;A262,"U"&amp;A262),"")</f>
        <v>LFD09</v>
      </c>
      <c r="B260" s="10">
        <v>283</v>
      </c>
      <c r="C260" s="3"/>
      <c r="D260" s="466" t="s">
        <v>145</v>
      </c>
      <c r="E260" s="468"/>
      <c r="F260" s="467" t="str">
        <f>IFERROR(UPPER(VLOOKUP(A261,teamlookup,6,FALSE)),"")</f>
        <v/>
      </c>
      <c r="G260" s="468"/>
      <c r="H260" s="476" t="s">
        <v>149</v>
      </c>
      <c r="I260" s="480"/>
      <c r="J260" s="477"/>
      <c r="K260" s="466" t="str">
        <f>MatchDay!$C$8</f>
        <v>Macclesfield Leisure Centre</v>
      </c>
      <c r="L260" s="467"/>
      <c r="M260" s="467"/>
      <c r="N260" s="467"/>
      <c r="O260" s="467"/>
      <c r="P260" s="468"/>
      <c r="Q260" s="476" t="s">
        <v>119</v>
      </c>
      <c r="R260" s="477"/>
      <c r="S260" s="494">
        <f>MatchDay!$C$7</f>
        <v>45053</v>
      </c>
      <c r="T260" s="495"/>
      <c r="U260" s="495"/>
      <c r="V260" s="495"/>
      <c r="W260" s="495"/>
      <c r="X260" s="496"/>
      <c r="Y260" s="497" t="str">
        <f>IFERROR(IF(LEFT(A260,1)="L","",VLOOKUP(A260,EA!$A:$N,8,FALSE)),"")</f>
        <v/>
      </c>
      <c r="Z260" s="498"/>
      <c r="AA260" s="464" t="str">
        <f>IFERROR(IF(LEFT(A260,1)="L","",VLOOKUP(A260,standards,9,FALSE)),"")</f>
        <v/>
      </c>
      <c r="AB260" s="465"/>
      <c r="AC260" s="6"/>
      <c r="AD260" s="6"/>
    </row>
    <row r="261" spans="1:33" s="4" customFormat="1" ht="15.75" customHeight="1" x14ac:dyDescent="0.25">
      <c r="A261" s="5">
        <f>IFERROR(IF(A259=1,VLOOKUP(A260,judges,VLOOKUP(MatchDay!$U$2*10+MatchDay!$C$5,judgesp,5,FALSE),FALSE),VLOOKUP(Distance!A260,judges,VLOOKUP(MatchDay!$U$2*10+MatchDay!$C$5,judges2,5,FALSE),FALSE)),"")</f>
        <v>6</v>
      </c>
      <c r="B261" s="138"/>
      <c r="C261" s="3"/>
      <c r="D261" s="476" t="s">
        <v>120</v>
      </c>
      <c r="E261" s="477"/>
      <c r="F261" s="478" t="str">
        <f>IFERROR(VLOOKUP(A260,timetables,2,FALSE)&amp;" "&amp;VLOOKUP(A260,timetables,3,FALSE),"")</f>
        <v>Shot U13 Boys</v>
      </c>
      <c r="G261" s="479"/>
      <c r="H261" s="476" t="s">
        <v>121</v>
      </c>
      <c r="I261" s="480"/>
      <c r="J261" s="477"/>
      <c r="K261" s="481">
        <f>IFERROR(IF(A259=1,VLOOKUP(A260,Timetables!$A:$G,6,FALSE),VLOOKUP(A260,Timetables!$A:$G,7,FALSE)),"")</f>
        <v>0.60416666666666663</v>
      </c>
      <c r="L261" s="481" t="e">
        <v>#N/A</v>
      </c>
      <c r="M261" s="476" t="s">
        <v>150</v>
      </c>
      <c r="N261" s="477"/>
      <c r="O261" s="482" t="str">
        <f>IFERROR(VLOOKUP(A260,records,3,FALSE)&amp;", "&amp;VLOOKUP(A260,records,4,FALSE)&amp;", "&amp;VLOOKUP(A260,records,5,FALSE)&amp;", "&amp;VLOOKUP(A260,records,6,FALSE)&amp;", "&amp;VLOOKUP(A260,records,7,FALSE)&amp;" "&amp;VLOOKUP(A260,records,8,FALSE),"")</f>
        <v/>
      </c>
      <c r="P261" s="482"/>
      <c r="Q261" s="482"/>
      <c r="R261" s="482"/>
      <c r="S261" s="482"/>
      <c r="T261" s="482"/>
      <c r="U261" s="482"/>
      <c r="V261" s="482"/>
      <c r="W261" s="482"/>
      <c r="X261" s="482"/>
      <c r="Y261" s="482"/>
      <c r="Z261" s="482"/>
      <c r="AA261" s="482"/>
      <c r="AB261" s="483"/>
    </row>
    <row r="262" spans="1:33" s="4" customFormat="1" ht="32.1" customHeight="1" x14ac:dyDescent="0.25">
      <c r="A262" s="5" t="s">
        <v>212</v>
      </c>
      <c r="B262" s="10" t="str">
        <f>IFERROR(VLOOKUP($A262,fdistance,2,FALSE),"")</f>
        <v>F</v>
      </c>
      <c r="C262" s="10">
        <f>IFERROR(VLOOKUP($A262,fdistance,3,FALSE),"")</f>
        <v>80</v>
      </c>
      <c r="D262" s="31" t="s">
        <v>122</v>
      </c>
      <c r="E262" s="13" t="s">
        <v>123</v>
      </c>
      <c r="F262" s="13" t="s">
        <v>124</v>
      </c>
      <c r="G262" s="14" t="s">
        <v>125</v>
      </c>
      <c r="H262" s="484" t="s">
        <v>126</v>
      </c>
      <c r="I262" s="485"/>
      <c r="J262" s="485" t="s">
        <v>127</v>
      </c>
      <c r="K262" s="485"/>
      <c r="L262" s="485" t="s">
        <v>128</v>
      </c>
      <c r="M262" s="485"/>
      <c r="N262" s="485" t="s">
        <v>129</v>
      </c>
      <c r="O262" s="485"/>
      <c r="P262" s="486" t="s">
        <v>130</v>
      </c>
      <c r="Q262" s="485" t="s">
        <v>131</v>
      </c>
      <c r="R262" s="485"/>
      <c r="S262" s="485" t="s">
        <v>132</v>
      </c>
      <c r="T262" s="485"/>
      <c r="U262" s="485" t="s">
        <v>133</v>
      </c>
      <c r="V262" s="485"/>
      <c r="W262" s="488" t="s">
        <v>134</v>
      </c>
      <c r="X262" s="489"/>
      <c r="Y262" s="490" t="s">
        <v>135</v>
      </c>
      <c r="Z262" s="492" t="s">
        <v>136</v>
      </c>
      <c r="AA262" s="493"/>
      <c r="AB262" s="484"/>
    </row>
    <row r="263" spans="1:33" s="4" customFormat="1" x14ac:dyDescent="0.3">
      <c r="A263" s="121">
        <f>IFERROR(SEARCH("U17",F261),0)</f>
        <v>0</v>
      </c>
      <c r="B263" s="7" t="s">
        <v>53</v>
      </c>
      <c r="C263" s="7" t="s">
        <v>54</v>
      </c>
      <c r="D263" s="56"/>
      <c r="E263" s="56"/>
      <c r="F263" s="15"/>
      <c r="G263" s="16"/>
      <c r="H263" s="468" t="s">
        <v>137</v>
      </c>
      <c r="I263" s="469"/>
      <c r="J263" s="469" t="s">
        <v>137</v>
      </c>
      <c r="K263" s="469"/>
      <c r="L263" s="469" t="s">
        <v>137</v>
      </c>
      <c r="M263" s="469"/>
      <c r="N263" s="469" t="s">
        <v>137</v>
      </c>
      <c r="O263" s="469"/>
      <c r="P263" s="487"/>
      <c r="Q263" s="469" t="s">
        <v>137</v>
      </c>
      <c r="R263" s="469"/>
      <c r="S263" s="469" t="s">
        <v>137</v>
      </c>
      <c r="T263" s="469"/>
      <c r="U263" s="469" t="s">
        <v>137</v>
      </c>
      <c r="V263" s="469"/>
      <c r="W263" s="469" t="s">
        <v>137</v>
      </c>
      <c r="X263" s="466"/>
      <c r="Y263" s="491"/>
      <c r="Z263" s="55"/>
      <c r="AA263" s="55" t="s">
        <v>53</v>
      </c>
      <c r="AB263" s="55" t="s">
        <v>54</v>
      </c>
    </row>
    <row r="264" spans="1:33" s="4" customFormat="1" ht="16.149999999999999" customHeight="1" x14ac:dyDescent="0.35">
      <c r="A264" s="8">
        <f>IFERROR(IF(D264&gt;MatchDay!$U$2,"-",VLOOKUP(A260,timetables,MatchDay!$U$4,FALSE)),0)</f>
        <v>4</v>
      </c>
      <c r="B264" s="7">
        <f ca="1">AA264</f>
        <v>1</v>
      </c>
      <c r="C264" s="7" t="str">
        <f ca="1">AB264</f>
        <v/>
      </c>
      <c r="D264" s="56">
        <v>1</v>
      </c>
      <c r="E264" s="17">
        <f>A264</f>
        <v>4</v>
      </c>
      <c r="F264" s="319" t="str">
        <f>IFERROR(VLOOKUP($A260&amp;E264,downloads!$A$1:$E$1000,2,FALSE),"")</f>
        <v>Samuel SAVAGE</v>
      </c>
      <c r="G264" s="18" t="str">
        <f t="shared" ref="G264:G279" si="80">IFERROR(VLOOKUP(E264,teamlookup,5,FALSE),"-")</f>
        <v>Macc</v>
      </c>
      <c r="H264" s="464">
        <f ca="1">IFERROR(INDIRECT(CONCATENATE("'Distance Input'!"&amp;B262&amp;C262)),"")</f>
        <v>9.2100000000000009</v>
      </c>
      <c r="I264" s="465"/>
      <c r="J264" s="464">
        <v>0</v>
      </c>
      <c r="K264" s="465"/>
      <c r="L264" s="464">
        <v>0</v>
      </c>
      <c r="M264" s="465"/>
      <c r="N264" s="470">
        <f ca="1">H264</f>
        <v>9.2100000000000009</v>
      </c>
      <c r="O264" s="471"/>
      <c r="P264" s="55">
        <v>0</v>
      </c>
      <c r="Q264" s="472">
        <v>0</v>
      </c>
      <c r="R264" s="472"/>
      <c r="S264" s="472">
        <v>0</v>
      </c>
      <c r="T264" s="472"/>
      <c r="U264" s="472">
        <v>0</v>
      </c>
      <c r="V264" s="472"/>
      <c r="W264" s="464">
        <f ca="1">N264</f>
        <v>9.2100000000000009</v>
      </c>
      <c r="X264" s="465"/>
      <c r="Y264" s="55">
        <f ca="1">IF(OR(W264="",W264=0),0,IF(W264="X",MatchDay!$U$2+MatchDay!$U$2+1-COUNTIF(Distance!W264:W264,"X"),RANK(W264,$W264:$X279,0)))</f>
        <v>1</v>
      </c>
      <c r="Z264" s="19" t="str">
        <f ca="1">IFERROR(IF(Y264=0,0,IF(OR(VLOOKUP(AG264,E272:Y279,21,FALSE)=0,Y264&lt;=VLOOKUP(AG264,E272:Y279,21,FALSE)),"A","B")),"")</f>
        <v>A</v>
      </c>
      <c r="AA264" s="19">
        <f ca="1">IFERROR(IF(Z264="B","",RANK(AD264,AD264:AD279,1)),"")</f>
        <v>1</v>
      </c>
      <c r="AB264" s="19" t="str">
        <f ca="1">IFERROR(IF(Z264="A","",RANK(AE264,AE264:AE279,1)),"")</f>
        <v/>
      </c>
      <c r="AC264" s="8"/>
      <c r="AD264" s="9">
        <f ca="1">IF(OR(W264=0,Y264=0,Z264="B"),"",Y264)</f>
        <v>1</v>
      </c>
      <c r="AE264" s="9" t="str">
        <f ca="1">IF(OR(W264=0,Y264=0,Z264="A"),"",Y264)</f>
        <v/>
      </c>
      <c r="AF264" s="9" t="s">
        <v>138</v>
      </c>
      <c r="AG264" s="4">
        <f>IFERROR(IF(A263=0,E264*11,E264&amp;E264),"")</f>
        <v>44</v>
      </c>
    </row>
    <row r="265" spans="1:33" s="4" customFormat="1" ht="16.149999999999999" customHeight="1" x14ac:dyDescent="0.35">
      <c r="A265" s="8">
        <f>IFERROR(IF(D265&gt;MatchDay!$U$2,"-",VLOOKUP(A260,timetables,MatchDay!$U$4+1,FALSE)),0)</f>
        <v>1</v>
      </c>
      <c r="B265" s="7">
        <f t="shared" ref="B265:B279" ca="1" si="81">AA265</f>
        <v>3</v>
      </c>
      <c r="C265" s="7" t="str">
        <f t="shared" ref="C265:C279" ca="1" si="82">AB265</f>
        <v/>
      </c>
      <c r="D265" s="55">
        <v>2</v>
      </c>
      <c r="E265" s="17">
        <f t="shared" ref="E265:E279" si="83">A265</f>
        <v>1</v>
      </c>
      <c r="F265" s="319" t="str">
        <f>IFERROR(VLOOKUP($A260&amp;E265,downloads!$A$1:$E$1000,2,FALSE),"")</f>
        <v>Ben JEFFS</v>
      </c>
      <c r="G265" s="18" t="str">
        <f t="shared" si="80"/>
        <v>C&amp;N</v>
      </c>
      <c r="H265" s="464">
        <f ca="1">IFERROR(INDIRECT(CONCATENATE("'Distance Input'!"&amp;B262&amp;C262+1)),"")</f>
        <v>7.23</v>
      </c>
      <c r="I265" s="465"/>
      <c r="J265" s="464">
        <v>0</v>
      </c>
      <c r="K265" s="465"/>
      <c r="L265" s="464">
        <v>0</v>
      </c>
      <c r="M265" s="465"/>
      <c r="N265" s="470">
        <f t="shared" ref="N265:N279" ca="1" si="84">H265</f>
        <v>7.23</v>
      </c>
      <c r="O265" s="471"/>
      <c r="P265" s="55">
        <v>0</v>
      </c>
      <c r="Q265" s="472">
        <v>0</v>
      </c>
      <c r="R265" s="472"/>
      <c r="S265" s="472">
        <v>0</v>
      </c>
      <c r="T265" s="472"/>
      <c r="U265" s="472">
        <v>0</v>
      </c>
      <c r="V265" s="472"/>
      <c r="W265" s="464">
        <f t="shared" ref="W265:W279" ca="1" si="85">N265</f>
        <v>7.23</v>
      </c>
      <c r="X265" s="465"/>
      <c r="Y265" s="55">
        <f ca="1">IF(OR(W265="",W265=0),0,IF(W265="X",MatchDay!$U$2+MatchDay!$U$2+1-COUNTIF(Distance!W264:W265,"X"),RANK(W265,$W264:$X279,0)))</f>
        <v>3</v>
      </c>
      <c r="Z265" s="19" t="str">
        <f ca="1">IFERROR(IF(Y265=0,0,IF(OR(VLOOKUP(AG265,E272:Y279,21,FALSE)=0,Y265&lt;=VLOOKUP(AG265,E272:Y279,21,FALSE)),"A","B")),"")</f>
        <v>A</v>
      </c>
      <c r="AA265" s="19">
        <f ca="1">IFERROR(IF(Z265="B","",RANK(AD265,AD264:AD279,1)),"")</f>
        <v>3</v>
      </c>
      <c r="AB265" s="19" t="str">
        <f ca="1">IFERROR(IF(Z265="A","",RANK(AE265,AE264:AE279,1)),"")</f>
        <v/>
      </c>
      <c r="AC265" s="8"/>
      <c r="AD265" s="9">
        <f t="shared" ref="AD265:AD279" ca="1" si="86">IF(OR(W265=0,Y265=0,Z265="B"),"",Y265)</f>
        <v>3</v>
      </c>
      <c r="AE265" s="9" t="str">
        <f t="shared" ref="AE265:AE279" ca="1" si="87">IF(OR(W265=0,Y265=0,Z265="A"),"",Y265)</f>
        <v/>
      </c>
      <c r="AF265" s="9" t="s">
        <v>138</v>
      </c>
      <c r="AG265" s="4">
        <f>IFERROR(IF(A263=0,E265*11,E265&amp;E265),"")</f>
        <v>11</v>
      </c>
    </row>
    <row r="266" spans="1:33" s="4" customFormat="1" ht="16.149999999999999" customHeight="1" x14ac:dyDescent="0.35">
      <c r="A266" s="8">
        <f>IFERROR(IF(D266&gt;MatchDay!$U$2,"-",VLOOKUP(A260,timetables,MatchDay!$U$4+2,FALSE)),0)</f>
        <v>5</v>
      </c>
      <c r="B266" s="7" t="str">
        <f t="shared" ca="1" si="81"/>
        <v/>
      </c>
      <c r="C266" s="7" t="str">
        <f t="shared" ca="1" si="82"/>
        <v/>
      </c>
      <c r="D266" s="55">
        <v>3</v>
      </c>
      <c r="E266" s="17">
        <f t="shared" si="83"/>
        <v>5</v>
      </c>
      <c r="F266" s="319" t="str">
        <f>IFERROR(VLOOKUP($A260&amp;E266,downloads!$A$1:$E$1000,2,FALSE),"")</f>
        <v/>
      </c>
      <c r="G266" s="18" t="str">
        <f t="shared" si="80"/>
        <v>Menai</v>
      </c>
      <c r="H266" s="464">
        <f ca="1">IFERROR(INDIRECT(CONCATENATE("'Distance Input'!"&amp;B262&amp;C262+2)),"")</f>
        <v>0</v>
      </c>
      <c r="I266" s="465"/>
      <c r="J266" s="464">
        <v>0</v>
      </c>
      <c r="K266" s="465"/>
      <c r="L266" s="464">
        <v>0</v>
      </c>
      <c r="M266" s="465"/>
      <c r="N266" s="470">
        <f t="shared" ca="1" si="84"/>
        <v>0</v>
      </c>
      <c r="O266" s="471"/>
      <c r="P266" s="55">
        <v>0</v>
      </c>
      <c r="Q266" s="472">
        <v>0</v>
      </c>
      <c r="R266" s="472"/>
      <c r="S266" s="472">
        <v>0</v>
      </c>
      <c r="T266" s="472"/>
      <c r="U266" s="472">
        <v>0</v>
      </c>
      <c r="V266" s="472"/>
      <c r="W266" s="464">
        <f t="shared" ca="1" si="85"/>
        <v>0</v>
      </c>
      <c r="X266" s="465"/>
      <c r="Y266" s="55">
        <f ca="1">IF(OR(W266="",W266=0),0,IF(W266="X",MatchDay!$U$2+MatchDay!$U$2+1-COUNTIF(Distance!W264:W266,"X"),RANK(W266,$W264:$X279,0)))</f>
        <v>0</v>
      </c>
      <c r="Z266" s="19">
        <f ca="1">IFERROR(IF(Y266=0,0,IF(OR(VLOOKUP(AG266,E272:Y279,21,FALSE)=0,Y266&lt;=VLOOKUP(AG266,E272:Y279,21,FALSE)),"A","B")),"")</f>
        <v>0</v>
      </c>
      <c r="AA266" s="19" t="str">
        <f ca="1">IFERROR(IF(Z266="B","",RANK(AD266,AD264:AD279,1)),"")</f>
        <v/>
      </c>
      <c r="AB266" s="19" t="str">
        <f ca="1">IFERROR(IF(Z266="A","",RANK(AE266,AE264:AE279,1)),"")</f>
        <v/>
      </c>
      <c r="AD266" s="9" t="str">
        <f t="shared" ca="1" si="86"/>
        <v/>
      </c>
      <c r="AE266" s="9" t="str">
        <f t="shared" ca="1" si="87"/>
        <v/>
      </c>
      <c r="AF266" s="9" t="s">
        <v>138</v>
      </c>
      <c r="AG266" s="4">
        <f>IFERROR(IF(A263=0,E266*11,E266&amp;E266),"")</f>
        <v>55</v>
      </c>
    </row>
    <row r="267" spans="1:33" s="4" customFormat="1" ht="16.149999999999999" customHeight="1" x14ac:dyDescent="0.35">
      <c r="A267" s="8">
        <f>IFERROR(IF(D267&gt;MatchDay!$U$2,"-",VLOOKUP(A260,timetables,MatchDay!$U$4+3,FALSE)),0)</f>
        <v>7</v>
      </c>
      <c r="B267" s="7" t="str">
        <f t="shared" ca="1" si="81"/>
        <v/>
      </c>
      <c r="C267" s="7">
        <f t="shared" ca="1" si="82"/>
        <v>5</v>
      </c>
      <c r="D267" s="55">
        <v>4</v>
      </c>
      <c r="E267" s="17">
        <f t="shared" si="83"/>
        <v>7</v>
      </c>
      <c r="F267" s="319" t="str">
        <f>IFERROR(VLOOKUP($A260&amp;E267,downloads!$A$1:$E$1000,2,FALSE),"")</f>
        <v>Charlie STRETTON</v>
      </c>
      <c r="G267" s="18" t="str">
        <f t="shared" si="80"/>
        <v>Wigan</v>
      </c>
      <c r="H267" s="464">
        <f ca="1">IFERROR(INDIRECT(CONCATENATE("'Distance Input'!"&amp;B262&amp;C262+3)),"")</f>
        <v>3.72</v>
      </c>
      <c r="I267" s="465"/>
      <c r="J267" s="464">
        <v>0</v>
      </c>
      <c r="K267" s="465"/>
      <c r="L267" s="464">
        <v>0</v>
      </c>
      <c r="M267" s="465"/>
      <c r="N267" s="470">
        <f t="shared" ca="1" si="84"/>
        <v>3.72</v>
      </c>
      <c r="O267" s="471"/>
      <c r="P267" s="55">
        <v>0</v>
      </c>
      <c r="Q267" s="472">
        <v>0</v>
      </c>
      <c r="R267" s="472"/>
      <c r="S267" s="472">
        <v>0</v>
      </c>
      <c r="T267" s="472"/>
      <c r="U267" s="472">
        <v>0</v>
      </c>
      <c r="V267" s="472"/>
      <c r="W267" s="464">
        <f t="shared" ca="1" si="85"/>
        <v>3.72</v>
      </c>
      <c r="X267" s="465"/>
      <c r="Y267" s="55">
        <f ca="1">IF(OR(W267="",W267=0),0,IF(W267="X",MatchDay!$U$2+MatchDay!$U$2+1-COUNTIF(Distance!W264:W267,"X"),RANK(W267,$W264:$X279,0)))</f>
        <v>10</v>
      </c>
      <c r="Z267" s="19" t="str">
        <f ca="1">IFERROR(IF(Y267=0,0,IF(OR(VLOOKUP(AG267,E272:Y279,21,FALSE)=0,Y267&lt;=VLOOKUP(AG267,E272:Y279,21,FALSE)),"A","B")),"")</f>
        <v>B</v>
      </c>
      <c r="AA267" s="19" t="str">
        <f ca="1">IFERROR(IF(Z267="B","",RANK(AD267,AD264:AD279,1)),"")</f>
        <v/>
      </c>
      <c r="AB267" s="19">
        <f ca="1">IFERROR(IF(Z267="A","",RANK(AE267,AE264:AE279,1)),"")</f>
        <v>5</v>
      </c>
      <c r="AD267" s="9" t="str">
        <f t="shared" ca="1" si="86"/>
        <v/>
      </c>
      <c r="AE267" s="9">
        <f t="shared" ca="1" si="87"/>
        <v>10</v>
      </c>
      <c r="AF267" s="9" t="s">
        <v>138</v>
      </c>
      <c r="AG267" s="4">
        <f>IFERROR(IF(A263=0,E267*11,E267&amp;E267),"")</f>
        <v>77</v>
      </c>
    </row>
    <row r="268" spans="1:33" s="4" customFormat="1" ht="16.149999999999999" customHeight="1" x14ac:dyDescent="0.35">
      <c r="A268" s="8">
        <f>IFERROR(IF(D268&gt;MatchDay!$U$2,"-",VLOOKUP(A260,timetables,MatchDay!$U$4+4,FALSE)),0)</f>
        <v>3</v>
      </c>
      <c r="B268" s="7" t="str">
        <f t="shared" ca="1" si="81"/>
        <v/>
      </c>
      <c r="C268" s="7">
        <f t="shared" ca="1" si="82"/>
        <v>2</v>
      </c>
      <c r="D268" s="55">
        <v>5</v>
      </c>
      <c r="E268" s="17">
        <f t="shared" si="83"/>
        <v>3</v>
      </c>
      <c r="F268" s="319" t="str">
        <f>IFERROR(VLOOKUP($A260&amp;E268,downloads!$A$1:$E$1000,2,FALSE),"")</f>
        <v>Henri MANNION</v>
      </c>
      <c r="G268" s="18" t="str">
        <f t="shared" si="80"/>
        <v>Leigh</v>
      </c>
      <c r="H268" s="464">
        <f ca="1">IFERROR(INDIRECT(CONCATENATE("'Distance Input'!"&amp;B262&amp;C262+4)),"")</f>
        <v>5.93</v>
      </c>
      <c r="I268" s="465"/>
      <c r="J268" s="464">
        <v>0</v>
      </c>
      <c r="K268" s="465"/>
      <c r="L268" s="464">
        <v>0</v>
      </c>
      <c r="M268" s="465"/>
      <c r="N268" s="470">
        <f t="shared" ca="1" si="84"/>
        <v>5.93</v>
      </c>
      <c r="O268" s="471"/>
      <c r="P268" s="55">
        <v>0</v>
      </c>
      <c r="Q268" s="472">
        <v>0</v>
      </c>
      <c r="R268" s="472"/>
      <c r="S268" s="472">
        <v>0</v>
      </c>
      <c r="T268" s="472"/>
      <c r="U268" s="472">
        <v>0</v>
      </c>
      <c r="V268" s="472"/>
      <c r="W268" s="464">
        <f t="shared" ca="1" si="85"/>
        <v>5.93</v>
      </c>
      <c r="X268" s="465"/>
      <c r="Y268" s="55">
        <f ca="1">IF(OR(W268="",W268=0),0,IF(W268="X",MatchDay!$U$2+MatchDay!$U$2+1-COUNTIF(Distance!W264:W268,"X"),RANK(W268,$W264:$X279,0)))</f>
        <v>7</v>
      </c>
      <c r="Z268" s="19" t="str">
        <f ca="1">IFERROR(IF(Y268=0,0,IF(OR(VLOOKUP(AG268,E272:Y279,21,FALSE)=0,Y268&lt;=VLOOKUP(AG268,E272:Y279,21,FALSE)),"A","B")),"")</f>
        <v>B</v>
      </c>
      <c r="AA268" s="19" t="str">
        <f ca="1">IFERROR(IF(Z268="B","",RANK(AD268,AD264:AD279,1)),"")</f>
        <v/>
      </c>
      <c r="AB268" s="19">
        <f ca="1">IFERROR(IF(Z268="A","",RANK(AE268,AE264:AE279,1)),"")</f>
        <v>2</v>
      </c>
      <c r="AD268" s="9" t="str">
        <f t="shared" ca="1" si="86"/>
        <v/>
      </c>
      <c r="AE268" s="9">
        <f t="shared" ca="1" si="87"/>
        <v>7</v>
      </c>
      <c r="AF268" s="9" t="s">
        <v>138</v>
      </c>
      <c r="AG268" s="4">
        <f>IFERROR(IF(A263=0,E268*11,E268&amp;E268),"")</f>
        <v>33</v>
      </c>
    </row>
    <row r="269" spans="1:33" s="4" customFormat="1" ht="16.149999999999999" customHeight="1" x14ac:dyDescent="0.35">
      <c r="A269" s="8">
        <f>IFERROR(IF(D269&gt;MatchDay!$U$2,"-",VLOOKUP(A260,timetables,MatchDay!$U$4+5,FALSE)),0)</f>
        <v>6</v>
      </c>
      <c r="B269" s="7" t="str">
        <f t="shared" ca="1" si="81"/>
        <v/>
      </c>
      <c r="C269" s="7" t="str">
        <f t="shared" ca="1" si="82"/>
        <v/>
      </c>
      <c r="D269" s="55">
        <v>6</v>
      </c>
      <c r="E269" s="17">
        <f t="shared" si="83"/>
        <v>6</v>
      </c>
      <c r="F269" s="319" t="str">
        <f>IFERROR(VLOOKUP($A260&amp;E269,downloads!$A$1:$E$1000,2,FALSE),"")</f>
        <v/>
      </c>
      <c r="G269" s="18" t="str">
        <f t="shared" si="80"/>
        <v>Stock</v>
      </c>
      <c r="H269" s="464">
        <f ca="1">IFERROR(INDIRECT(CONCATENATE("'Distance Input'!"&amp;B262&amp;C262+5)),"")</f>
        <v>0</v>
      </c>
      <c r="I269" s="465"/>
      <c r="J269" s="464">
        <v>0</v>
      </c>
      <c r="K269" s="465"/>
      <c r="L269" s="464">
        <v>0</v>
      </c>
      <c r="M269" s="465"/>
      <c r="N269" s="470">
        <f t="shared" ca="1" si="84"/>
        <v>0</v>
      </c>
      <c r="O269" s="471"/>
      <c r="P269" s="55">
        <v>0</v>
      </c>
      <c r="Q269" s="472">
        <v>0</v>
      </c>
      <c r="R269" s="472"/>
      <c r="S269" s="472">
        <v>0</v>
      </c>
      <c r="T269" s="472"/>
      <c r="U269" s="472">
        <v>0</v>
      </c>
      <c r="V269" s="472"/>
      <c r="W269" s="464">
        <f t="shared" ca="1" si="85"/>
        <v>0</v>
      </c>
      <c r="X269" s="465"/>
      <c r="Y269" s="55">
        <f ca="1">IF(OR(W269="",W269=0),0,IF(W269="X",MatchDay!$U$2+MatchDay!$U$2+1-COUNTIF(Distance!W264:W269,"X"),RANK(W269,$W264:$X279,0)))</f>
        <v>0</v>
      </c>
      <c r="Z269" s="19">
        <f ca="1">IFERROR(IF(Y269=0,0,IF(OR(VLOOKUP(AG269,E272:Y279,21,FALSE)=0,Y269&lt;=VLOOKUP(AG269,E272:Y279,21,FALSE)),"A","B")),"")</f>
        <v>0</v>
      </c>
      <c r="AA269" s="19" t="str">
        <f ca="1">IFERROR(IF(Z269="B","",RANK(AD269,AD264:AD279,1)),"")</f>
        <v/>
      </c>
      <c r="AB269" s="19" t="str">
        <f ca="1">IFERROR(IF(Z269="A","",RANK(AE269,AE264:AE279,1)),"")</f>
        <v/>
      </c>
      <c r="AD269" s="9" t="str">
        <f t="shared" ca="1" si="86"/>
        <v/>
      </c>
      <c r="AE269" s="9" t="str">
        <f t="shared" ca="1" si="87"/>
        <v/>
      </c>
      <c r="AF269" s="9" t="s">
        <v>138</v>
      </c>
      <c r="AG269" s="4">
        <f>IFERROR(IF(A263=0,E269*11,E269&amp;E269),"")</f>
        <v>66</v>
      </c>
    </row>
    <row r="270" spans="1:33" s="4" customFormat="1" ht="16.149999999999999" customHeight="1" x14ac:dyDescent="0.35">
      <c r="A270" s="8">
        <f>IFERROR(IF(D270&gt;MatchDay!$U$2,"-",VLOOKUP(A260,timetables,MatchDay!$U$4+6,FALSE)),0)</f>
        <v>2</v>
      </c>
      <c r="B270" s="7">
        <f t="shared" ca="1" si="81"/>
        <v>2</v>
      </c>
      <c r="C270" s="7" t="str">
        <f t="shared" ca="1" si="82"/>
        <v/>
      </c>
      <c r="D270" s="55">
        <v>7</v>
      </c>
      <c r="E270" s="17">
        <f t="shared" si="83"/>
        <v>2</v>
      </c>
      <c r="F270" s="319" t="str">
        <f>IFERROR(VLOOKUP($A260&amp;E270,downloads!$A$1:$E$1000,2,FALSE),"")</f>
        <v>Benjamin SYKES</v>
      </c>
      <c r="G270" s="18" t="str">
        <f t="shared" si="80"/>
        <v>ECHT</v>
      </c>
      <c r="H270" s="464">
        <f ca="1">IFERROR(INDIRECT(CONCATENATE("'Distance Input'!"&amp;B262&amp;C262+6)),"")</f>
        <v>7.25</v>
      </c>
      <c r="I270" s="465"/>
      <c r="J270" s="464">
        <v>0</v>
      </c>
      <c r="K270" s="465"/>
      <c r="L270" s="464">
        <v>0</v>
      </c>
      <c r="M270" s="465"/>
      <c r="N270" s="470">
        <f t="shared" ca="1" si="84"/>
        <v>7.25</v>
      </c>
      <c r="O270" s="471"/>
      <c r="P270" s="55">
        <v>0</v>
      </c>
      <c r="Q270" s="472">
        <v>0</v>
      </c>
      <c r="R270" s="472"/>
      <c r="S270" s="472">
        <v>0</v>
      </c>
      <c r="T270" s="472"/>
      <c r="U270" s="472">
        <v>0</v>
      </c>
      <c r="V270" s="472"/>
      <c r="W270" s="464">
        <f t="shared" ca="1" si="85"/>
        <v>7.25</v>
      </c>
      <c r="X270" s="465"/>
      <c r="Y270" s="55">
        <f ca="1">IF(OR(W270="",W270=0),0,IF(W270="X",MatchDay!$U$2+MatchDay!$U$2+1-COUNTIF(Distance!W264:W270,"X"),RANK(W270,$W264:$X279,0)))</f>
        <v>2</v>
      </c>
      <c r="Z270" s="19" t="str">
        <f ca="1">IFERROR(IF(Y270=0,0,IF(OR(VLOOKUP(AG270,E272:Y279,21,FALSE)=0,Y270&lt;=VLOOKUP(AG270,E272:Y279,21,FALSE)),"A","B")),"")</f>
        <v>A</v>
      </c>
      <c r="AA270" s="19">
        <f ca="1">IFERROR(IF(Z270="B","",RANK(AD270,AD264:AD279,1)),"")</f>
        <v>2</v>
      </c>
      <c r="AB270" s="19" t="str">
        <f ca="1">IFERROR(IF(Z270="A","",RANK(AE270,AE264:AE279,1)),"")</f>
        <v/>
      </c>
      <c r="AD270" s="9">
        <f t="shared" ca="1" si="86"/>
        <v>2</v>
      </c>
      <c r="AE270" s="9" t="str">
        <f t="shared" ca="1" si="87"/>
        <v/>
      </c>
      <c r="AF270" s="9" t="s">
        <v>138</v>
      </c>
      <c r="AG270" s="4">
        <f>IFERROR(IF(A263=0,E270*11,E270&amp;E270),"")</f>
        <v>22</v>
      </c>
    </row>
    <row r="271" spans="1:33" s="4" customFormat="1" ht="16.149999999999999" customHeight="1" x14ac:dyDescent="0.35">
      <c r="A271" s="8" t="str">
        <f>IFERROR(IF(D271&gt;MatchDay!$U$2,"-",VLOOKUP(A260,timetables,MatchDay!$U$4+7,FALSE)),0)</f>
        <v>-</v>
      </c>
      <c r="B271" s="7" t="str">
        <f t="shared" ca="1" si="81"/>
        <v/>
      </c>
      <c r="C271" s="7" t="str">
        <f t="shared" ca="1" si="82"/>
        <v/>
      </c>
      <c r="D271" s="55">
        <v>8</v>
      </c>
      <c r="E271" s="17" t="str">
        <f t="shared" si="83"/>
        <v>-</v>
      </c>
      <c r="F271" s="319" t="str">
        <f>IFERROR(VLOOKUP($A260&amp;E271,downloads!$A$1:$E$1000,2,FALSE),"")</f>
        <v/>
      </c>
      <c r="G271" s="18" t="str">
        <f t="shared" si="80"/>
        <v/>
      </c>
      <c r="H271" s="464">
        <f ca="1">IFERROR(INDIRECT(CONCATENATE("'Distance Input'!"&amp;B262&amp;C262+7)),"")</f>
        <v>0</v>
      </c>
      <c r="I271" s="465"/>
      <c r="J271" s="464">
        <v>0</v>
      </c>
      <c r="K271" s="465"/>
      <c r="L271" s="464">
        <v>0</v>
      </c>
      <c r="M271" s="465"/>
      <c r="N271" s="470">
        <f t="shared" ca="1" si="84"/>
        <v>0</v>
      </c>
      <c r="O271" s="471"/>
      <c r="P271" s="55">
        <v>0</v>
      </c>
      <c r="Q271" s="472">
        <v>0</v>
      </c>
      <c r="R271" s="472"/>
      <c r="S271" s="472">
        <v>0</v>
      </c>
      <c r="T271" s="472"/>
      <c r="U271" s="472">
        <v>0</v>
      </c>
      <c r="V271" s="472"/>
      <c r="W271" s="464">
        <f t="shared" ca="1" si="85"/>
        <v>0</v>
      </c>
      <c r="X271" s="465"/>
      <c r="Y271" s="55">
        <f ca="1">IF(OR(W271="",W271=0),0,IF(W271="X",MatchDay!$U$2+MatchDay!$U$2+1-COUNTIF(Distance!W264:W271,"X"),RANK(W271,$W264:$X279,0)))</f>
        <v>0</v>
      </c>
      <c r="Z271" s="19">
        <f ca="1">IFERROR(IF(Y271=0,0,IF(OR(VLOOKUP(AG271,E272:Y279,21,FALSE)=0,Y271&lt;=VLOOKUP(AG271,E272:Y279,21,FALSE)),"A","B")),"")</f>
        <v>0</v>
      </c>
      <c r="AA271" s="19" t="str">
        <f ca="1">IFERROR(IF(Z271="B","",RANK(AD271,AD264:AD279,1)),"")</f>
        <v/>
      </c>
      <c r="AB271" s="19" t="str">
        <f ca="1">IFERROR(IF(Z271="A","",RANK(AE271,AE264:AE279,1)),"")</f>
        <v/>
      </c>
      <c r="AD271" s="9" t="str">
        <f t="shared" ca="1" si="86"/>
        <v/>
      </c>
      <c r="AE271" s="9" t="str">
        <f t="shared" ca="1" si="87"/>
        <v/>
      </c>
      <c r="AF271" s="9" t="s">
        <v>138</v>
      </c>
      <c r="AG271" s="4" t="str">
        <f>IFERROR(IF(A263=0,E271*11,E271&amp;E271),"")</f>
        <v/>
      </c>
    </row>
    <row r="272" spans="1:33" s="4" customFormat="1" ht="16.149999999999999" customHeight="1" x14ac:dyDescent="0.35">
      <c r="A272" s="8">
        <f>IFERROR(IF(A263=0,A264*11,A264&amp;A264),"-")</f>
        <v>44</v>
      </c>
      <c r="B272" s="7" t="str">
        <f t="shared" ca="1" si="81"/>
        <v/>
      </c>
      <c r="C272" s="7">
        <f t="shared" ca="1" si="82"/>
        <v>1</v>
      </c>
      <c r="D272" s="55">
        <v>9</v>
      </c>
      <c r="E272" s="17">
        <f t="shared" si="83"/>
        <v>44</v>
      </c>
      <c r="F272" s="319" t="str">
        <f>IFERROR(VLOOKUP($A260&amp;E272,downloads!$A$1:$E$1000,2,FALSE),"")</f>
        <v>Robert NWANKWO</v>
      </c>
      <c r="G272" s="18" t="str">
        <f t="shared" si="80"/>
        <v>Macc</v>
      </c>
      <c r="H272" s="464">
        <f ca="1">IFERROR(INDIRECT(CONCATENATE("'Distance Input'!"&amp;B262&amp;C262+8)),"")</f>
        <v>7.04</v>
      </c>
      <c r="I272" s="465"/>
      <c r="J272" s="464">
        <v>0</v>
      </c>
      <c r="K272" s="465"/>
      <c r="L272" s="464">
        <v>0</v>
      </c>
      <c r="M272" s="465"/>
      <c r="N272" s="470">
        <f t="shared" ca="1" si="84"/>
        <v>7.04</v>
      </c>
      <c r="O272" s="471"/>
      <c r="P272" s="55">
        <v>0</v>
      </c>
      <c r="Q272" s="472">
        <v>0</v>
      </c>
      <c r="R272" s="472"/>
      <c r="S272" s="472">
        <v>0</v>
      </c>
      <c r="T272" s="472"/>
      <c r="U272" s="472">
        <v>0</v>
      </c>
      <c r="V272" s="472"/>
      <c r="W272" s="464">
        <f t="shared" ca="1" si="85"/>
        <v>7.04</v>
      </c>
      <c r="X272" s="465"/>
      <c r="Y272" s="55">
        <f ca="1">IF(OR(W272="",W272=0),0,IF(W272="X",MatchDay!$U$2+MatchDay!$U$2+1-COUNTIF(Distance!W264:W272,"X"),RANK(W272,$W264:$X279,0)))</f>
        <v>4</v>
      </c>
      <c r="Z272" s="19" t="str">
        <f ca="1">IFERROR(IF(Y272=0,0,IF(VLOOKUP(AG272,E264:Y271,21,FALSE)=0,"A",IF(Y272&gt;=VLOOKUP(AG272,E264:Y271,21,FALSE),"B","A"))),"")</f>
        <v>B</v>
      </c>
      <c r="AA272" s="19" t="str">
        <f ca="1">IFERROR(IF(Z272="B","",RANK(AD272,AD264:AD279,1)),"")</f>
        <v/>
      </c>
      <c r="AB272" s="19">
        <f ca="1">IFERROR(IF(Z272="A","",RANK(AE272,AE264:AE279,1)),"")</f>
        <v>1</v>
      </c>
      <c r="AD272" s="9" t="str">
        <f t="shared" ca="1" si="86"/>
        <v/>
      </c>
      <c r="AE272" s="9">
        <f t="shared" ca="1" si="87"/>
        <v>4</v>
      </c>
      <c r="AF272" s="9" t="s">
        <v>138</v>
      </c>
      <c r="AG272" s="4">
        <f>IFERROR(IF(A263=0,E272/11,LEFT(E272,1)),"")</f>
        <v>4</v>
      </c>
    </row>
    <row r="273" spans="1:33" s="4" customFormat="1" ht="16.149999999999999" customHeight="1" x14ac:dyDescent="0.35">
      <c r="A273" s="8">
        <f>IFERROR(IF(A263=0,A265*11,A265&amp;A265),"-")</f>
        <v>11</v>
      </c>
      <c r="B273" s="7" t="str">
        <f t="shared" ca="1" si="81"/>
        <v/>
      </c>
      <c r="C273" s="7">
        <f t="shared" ca="1" si="82"/>
        <v>3</v>
      </c>
      <c r="D273" s="55">
        <v>10</v>
      </c>
      <c r="E273" s="17">
        <f t="shared" si="83"/>
        <v>11</v>
      </c>
      <c r="F273" s="319" t="str">
        <f>IFERROR(VLOOKUP($A260&amp;E273,downloads!$A$1:$E$1000,2,FALSE),"")</f>
        <v>Ewan DAVIES</v>
      </c>
      <c r="G273" s="18" t="str">
        <f t="shared" si="80"/>
        <v>C&amp;N</v>
      </c>
      <c r="H273" s="464">
        <f ca="1">IFERROR(INDIRECT(CONCATENATE("'Distance Input'!"&amp;B262&amp;C262+9)),"")</f>
        <v>5.7</v>
      </c>
      <c r="I273" s="465"/>
      <c r="J273" s="464">
        <v>0</v>
      </c>
      <c r="K273" s="465"/>
      <c r="L273" s="464">
        <v>0</v>
      </c>
      <c r="M273" s="465"/>
      <c r="N273" s="470">
        <f t="shared" ca="1" si="84"/>
        <v>5.7</v>
      </c>
      <c r="O273" s="471"/>
      <c r="P273" s="55">
        <v>0</v>
      </c>
      <c r="Q273" s="472">
        <v>0</v>
      </c>
      <c r="R273" s="472"/>
      <c r="S273" s="472">
        <v>0</v>
      </c>
      <c r="T273" s="472"/>
      <c r="U273" s="472">
        <v>0</v>
      </c>
      <c r="V273" s="472"/>
      <c r="W273" s="464">
        <f t="shared" ca="1" si="85"/>
        <v>5.7</v>
      </c>
      <c r="X273" s="465"/>
      <c r="Y273" s="55">
        <f ca="1">IF(OR(W273="",W273=0),0,IF(W273="X",MatchDay!$U$2+MatchDay!$U$2+1-COUNTIF(Distance!W264:W273,"X"),RANK(W273,$W264:$X279,0)))</f>
        <v>8</v>
      </c>
      <c r="Z273" s="19" t="str">
        <f ca="1">IFERROR(IF(Y273=0,0,IF(VLOOKUP(AG273,E264:Y271,21,FALSE)=0,"A",IF(Y273&gt;=VLOOKUP(AG273,E264:Y271,21,FALSE),"B","A"))),"")</f>
        <v>B</v>
      </c>
      <c r="AA273" s="19" t="str">
        <f ca="1">IFERROR(IF(Z273="B","",RANK(AD273,AD264:AD279,1)),"")</f>
        <v/>
      </c>
      <c r="AB273" s="19">
        <f ca="1">IFERROR(IF(Z273="A","",RANK(AE273,AE264:AE279,1)),"")</f>
        <v>3</v>
      </c>
      <c r="AD273" s="9" t="str">
        <f t="shared" ca="1" si="86"/>
        <v/>
      </c>
      <c r="AE273" s="9">
        <f t="shared" ca="1" si="87"/>
        <v>8</v>
      </c>
      <c r="AF273" s="9" t="s">
        <v>138</v>
      </c>
      <c r="AG273" s="4">
        <f>IFERROR(IF(A263=0,E273/11,LEFT(E273,1)),"")</f>
        <v>1</v>
      </c>
    </row>
    <row r="274" spans="1:33" s="4" customFormat="1" ht="16.149999999999999" customHeight="1" x14ac:dyDescent="0.35">
      <c r="A274" s="8">
        <f>IFERROR(IF(A263=0,A266*11,A266&amp;A266),"-")</f>
        <v>55</v>
      </c>
      <c r="B274" s="7" t="str">
        <f t="shared" ca="1" si="81"/>
        <v/>
      </c>
      <c r="C274" s="7" t="str">
        <f t="shared" ca="1" si="82"/>
        <v/>
      </c>
      <c r="D274" s="55">
        <v>11</v>
      </c>
      <c r="E274" s="17">
        <f t="shared" si="83"/>
        <v>55</v>
      </c>
      <c r="F274" s="319" t="str">
        <f>IFERROR(VLOOKUP($A260&amp;E274,downloads!$A$1:$E$1000,2,FALSE),"")</f>
        <v/>
      </c>
      <c r="G274" s="18" t="str">
        <f t="shared" si="80"/>
        <v>Menai</v>
      </c>
      <c r="H274" s="464">
        <f ca="1">IFERROR(INDIRECT(CONCATENATE("'Distance Input'!"&amp;B262&amp;C262+10)),"")</f>
        <v>0</v>
      </c>
      <c r="I274" s="465"/>
      <c r="J274" s="464">
        <v>0</v>
      </c>
      <c r="K274" s="465"/>
      <c r="L274" s="464">
        <v>0</v>
      </c>
      <c r="M274" s="465"/>
      <c r="N274" s="470">
        <f t="shared" ca="1" si="84"/>
        <v>0</v>
      </c>
      <c r="O274" s="471"/>
      <c r="P274" s="55">
        <v>0</v>
      </c>
      <c r="Q274" s="472">
        <v>0</v>
      </c>
      <c r="R274" s="472"/>
      <c r="S274" s="472">
        <v>0</v>
      </c>
      <c r="T274" s="472"/>
      <c r="U274" s="472">
        <v>0</v>
      </c>
      <c r="V274" s="472"/>
      <c r="W274" s="464">
        <f t="shared" ca="1" si="85"/>
        <v>0</v>
      </c>
      <c r="X274" s="465"/>
      <c r="Y274" s="55">
        <f ca="1">IF(OR(W274="",W274=0),0,IF(W274="X",MatchDay!$U$2+MatchDay!$U$2+1-COUNTIF(Distance!W264:W274,"X"),RANK(W274,$W264:$X279,0)))</f>
        <v>0</v>
      </c>
      <c r="Z274" s="19">
        <f ca="1">IFERROR(IF(Y274=0,0,IF(VLOOKUP(AG274,E264:Y271,21,FALSE)=0,"A",IF(Y274&gt;=VLOOKUP(AG274,E264:Y271,21,FALSE),"B","A"))),"")</f>
        <v>0</v>
      </c>
      <c r="AA274" s="19" t="str">
        <f ca="1">IFERROR(IF(Z274="B","",RANK(AD274,AD264:AD279,1)),"")</f>
        <v/>
      </c>
      <c r="AB274" s="19" t="str">
        <f ca="1">IFERROR(IF(Z274="A","",RANK(AE274,AE264:AE279,1)),"")</f>
        <v/>
      </c>
      <c r="AD274" s="9" t="str">
        <f t="shared" ca="1" si="86"/>
        <v/>
      </c>
      <c r="AE274" s="9" t="str">
        <f t="shared" ca="1" si="87"/>
        <v/>
      </c>
      <c r="AF274" s="9" t="s">
        <v>138</v>
      </c>
      <c r="AG274" s="4">
        <f>IFERROR(IF(A263=0,E274/11,LEFT(E274,1)),"")</f>
        <v>5</v>
      </c>
    </row>
    <row r="275" spans="1:33" s="4" customFormat="1" ht="16.149999999999999" customHeight="1" x14ac:dyDescent="0.35">
      <c r="A275" s="8">
        <f>IFERROR(IF(A263=0,A267*11,A267&amp;A267),"-")</f>
        <v>77</v>
      </c>
      <c r="B275" s="7">
        <f t="shared" ca="1" si="81"/>
        <v>4</v>
      </c>
      <c r="C275" s="7" t="str">
        <f t="shared" ca="1" si="82"/>
        <v/>
      </c>
      <c r="D275" s="55">
        <v>12</v>
      </c>
      <c r="E275" s="17">
        <f t="shared" si="83"/>
        <v>77</v>
      </c>
      <c r="F275" s="319" t="str">
        <f>IFERROR(VLOOKUP($A260&amp;E275,downloads!$A$1:$E$1000,2,FALSE),"")</f>
        <v>Theo MORGAN</v>
      </c>
      <c r="G275" s="18" t="str">
        <f t="shared" si="80"/>
        <v>Wigan</v>
      </c>
      <c r="H275" s="464">
        <f ca="1">IFERROR(INDIRECT(CONCATENATE("'Distance Input'!"&amp;B262&amp;C262+11)),"")</f>
        <v>6.45</v>
      </c>
      <c r="I275" s="465"/>
      <c r="J275" s="464">
        <v>0</v>
      </c>
      <c r="K275" s="465"/>
      <c r="L275" s="464">
        <v>0</v>
      </c>
      <c r="M275" s="465"/>
      <c r="N275" s="470">
        <f t="shared" ca="1" si="84"/>
        <v>6.45</v>
      </c>
      <c r="O275" s="471"/>
      <c r="P275" s="55">
        <v>0</v>
      </c>
      <c r="Q275" s="472">
        <v>0</v>
      </c>
      <c r="R275" s="472"/>
      <c r="S275" s="472">
        <v>0</v>
      </c>
      <c r="T275" s="472"/>
      <c r="U275" s="472">
        <v>0</v>
      </c>
      <c r="V275" s="472"/>
      <c r="W275" s="464">
        <f t="shared" ca="1" si="85"/>
        <v>6.45</v>
      </c>
      <c r="X275" s="465"/>
      <c r="Y275" s="55">
        <f ca="1">IF(OR(W275="",W275=0),0,IF(W275="X",MatchDay!$U$2+MatchDay!$U$2+1-COUNTIF(Distance!W264:W275,"X"),RANK(W275,$W264:$X279,0)))</f>
        <v>5</v>
      </c>
      <c r="Z275" s="19" t="str">
        <f ca="1">IFERROR(IF(Y275=0,0,IF(VLOOKUP(AG275,E264:Y271,21,FALSE)=0,"A",IF(Y275&gt;=VLOOKUP(AG275,E264:Y271,21,FALSE),"B","A"))),"")</f>
        <v>A</v>
      </c>
      <c r="AA275" s="19">
        <f ca="1">IFERROR(IF(Z275="B","",RANK(AD275,AD264:AD279,1)),"")</f>
        <v>4</v>
      </c>
      <c r="AB275" s="19" t="str">
        <f ca="1">IFERROR(IF(Z275="A","",RANK(AE275,AE264:AE279,1)),"")</f>
        <v/>
      </c>
      <c r="AD275" s="9">
        <f t="shared" ca="1" si="86"/>
        <v>5</v>
      </c>
      <c r="AE275" s="9" t="str">
        <f t="shared" ca="1" si="87"/>
        <v/>
      </c>
      <c r="AF275" s="9" t="s">
        <v>138</v>
      </c>
      <c r="AG275" s="4">
        <f>IFERROR(IF(A263=0,E275/11,LEFT(E275,1)),"")</f>
        <v>7</v>
      </c>
    </row>
    <row r="276" spans="1:33" s="4" customFormat="1" ht="16.149999999999999" customHeight="1" x14ac:dyDescent="0.35">
      <c r="A276" s="8">
        <f>IFERROR(IF(A263=0,A268*11,A268&amp;A268),"-")</f>
        <v>33</v>
      </c>
      <c r="B276" s="7">
        <f t="shared" ca="1" si="81"/>
        <v>5</v>
      </c>
      <c r="C276" s="7" t="str">
        <f t="shared" ca="1" si="82"/>
        <v/>
      </c>
      <c r="D276" s="55">
        <v>13</v>
      </c>
      <c r="E276" s="17">
        <f t="shared" si="83"/>
        <v>33</v>
      </c>
      <c r="F276" s="319" t="str">
        <f>IFERROR(VLOOKUP($A260&amp;E276,downloads!$A$1:$E$1000,2,FALSE),"")</f>
        <v>Jack FLETCHER</v>
      </c>
      <c r="G276" s="18" t="str">
        <f t="shared" si="80"/>
        <v>Leigh</v>
      </c>
      <c r="H276" s="464">
        <f ca="1">IFERROR(INDIRECT(CONCATENATE("'Distance Input'!"&amp;B262&amp;C262+12)),"")</f>
        <v>6.01</v>
      </c>
      <c r="I276" s="465"/>
      <c r="J276" s="464">
        <v>0</v>
      </c>
      <c r="K276" s="465"/>
      <c r="L276" s="464">
        <v>0</v>
      </c>
      <c r="M276" s="465"/>
      <c r="N276" s="470">
        <f t="shared" ca="1" si="84"/>
        <v>6.01</v>
      </c>
      <c r="O276" s="471"/>
      <c r="P276" s="55">
        <v>0</v>
      </c>
      <c r="Q276" s="472">
        <v>0</v>
      </c>
      <c r="R276" s="472"/>
      <c r="S276" s="472">
        <v>0</v>
      </c>
      <c r="T276" s="472"/>
      <c r="U276" s="472">
        <v>0</v>
      </c>
      <c r="V276" s="472"/>
      <c r="W276" s="464">
        <f t="shared" ca="1" si="85"/>
        <v>6.01</v>
      </c>
      <c r="X276" s="465"/>
      <c r="Y276" s="55">
        <f ca="1">IF(OR(W276="",W276=0),0,IF(W276="X",MatchDay!$U$2+MatchDay!$U$2+1-COUNTIF(Distance!W264:W276,"X"),RANK(W276,$W264:$X279,0)))</f>
        <v>6</v>
      </c>
      <c r="Z276" s="19" t="str">
        <f ca="1">IFERROR(IF(Y276=0,0,IF(VLOOKUP(AG276,E264:Y271,21,FALSE)=0,"A",IF(Y276&gt;=VLOOKUP(AG276,E264:Y271,21,FALSE),"B","A"))),"")</f>
        <v>A</v>
      </c>
      <c r="AA276" s="19">
        <f ca="1">IFERROR(IF(Z276="B","",RANK(AD276,AD264:AD279,1)),"")</f>
        <v>5</v>
      </c>
      <c r="AB276" s="19" t="str">
        <f ca="1">IFERROR(IF(Z276="A","",RANK(AE276,AE264:AE279,1)),"")</f>
        <v/>
      </c>
      <c r="AD276" s="9">
        <f t="shared" ca="1" si="86"/>
        <v>6</v>
      </c>
      <c r="AE276" s="9" t="str">
        <f t="shared" ca="1" si="87"/>
        <v/>
      </c>
      <c r="AF276" s="9" t="s">
        <v>138</v>
      </c>
      <c r="AG276" s="4">
        <f>IFERROR(IF(A263=0,E276/11,LEFT(E276,1)),"")</f>
        <v>3</v>
      </c>
    </row>
    <row r="277" spans="1:33" s="4" customFormat="1" ht="16.149999999999999" customHeight="1" x14ac:dyDescent="0.35">
      <c r="A277" s="8">
        <f>IFERROR(IF(A263=0,A269*11,A269&amp;A269),"-")</f>
        <v>66</v>
      </c>
      <c r="B277" s="7" t="str">
        <f t="shared" ca="1" si="81"/>
        <v/>
      </c>
      <c r="C277" s="7" t="str">
        <f t="shared" ca="1" si="82"/>
        <v/>
      </c>
      <c r="D277" s="55">
        <v>14</v>
      </c>
      <c r="E277" s="17">
        <f t="shared" si="83"/>
        <v>66</v>
      </c>
      <c r="F277" s="319" t="str">
        <f>IFERROR(VLOOKUP($A260&amp;E277,downloads!$A$1:$E$1000,2,FALSE),"")</f>
        <v/>
      </c>
      <c r="G277" s="18" t="str">
        <f t="shared" si="80"/>
        <v>Stock</v>
      </c>
      <c r="H277" s="464">
        <f ca="1">IFERROR(INDIRECT(CONCATENATE("'Distance Input'!"&amp;B262&amp;C262+13)),"")</f>
        <v>0</v>
      </c>
      <c r="I277" s="465"/>
      <c r="J277" s="464">
        <v>0</v>
      </c>
      <c r="K277" s="465"/>
      <c r="L277" s="464">
        <v>0</v>
      </c>
      <c r="M277" s="465"/>
      <c r="N277" s="470">
        <f t="shared" ca="1" si="84"/>
        <v>0</v>
      </c>
      <c r="O277" s="471"/>
      <c r="P277" s="55">
        <v>0</v>
      </c>
      <c r="Q277" s="472">
        <v>0</v>
      </c>
      <c r="R277" s="472"/>
      <c r="S277" s="472">
        <v>0</v>
      </c>
      <c r="T277" s="472"/>
      <c r="U277" s="472">
        <v>0</v>
      </c>
      <c r="V277" s="472"/>
      <c r="W277" s="464">
        <f t="shared" ca="1" si="85"/>
        <v>0</v>
      </c>
      <c r="X277" s="465"/>
      <c r="Y277" s="55">
        <f ca="1">IF(OR(W277="",W277=0),0,IF(W277="X",MatchDay!$U$2+MatchDay!$U$2+1-COUNTIF(Distance!W264:W277,"X"),RANK(W277,$W264:$X279,0)))</f>
        <v>0</v>
      </c>
      <c r="Z277" s="19">
        <f ca="1">IFERROR(IF(Y277=0,0,IF(VLOOKUP(AG277,E264:Y271,21,FALSE)=0,"A",IF(Y277&gt;=VLOOKUP(AG277,E264:Y271,21,FALSE),"B","A"))),"")</f>
        <v>0</v>
      </c>
      <c r="AA277" s="19" t="str">
        <f ca="1">IFERROR(IF(Z277="B","",RANK(AD277,AD264:AD279,1)),"")</f>
        <v/>
      </c>
      <c r="AB277" s="19" t="str">
        <f ca="1">IFERROR(IF(Z277="A","",RANK(AE277,AE264:AE279,1)),"")</f>
        <v/>
      </c>
      <c r="AD277" s="9" t="str">
        <f t="shared" ca="1" si="86"/>
        <v/>
      </c>
      <c r="AE277" s="9" t="str">
        <f t="shared" ca="1" si="87"/>
        <v/>
      </c>
      <c r="AF277" s="9" t="s">
        <v>138</v>
      </c>
      <c r="AG277" s="4">
        <f>IFERROR(IF(A263=0,E277/11,LEFT(E277,1)),"")</f>
        <v>6</v>
      </c>
    </row>
    <row r="278" spans="1:33" s="4" customFormat="1" ht="16.149999999999999" customHeight="1" x14ac:dyDescent="0.35">
      <c r="A278" s="8">
        <f>IFERROR(IF(A263=0,A270*11,A270&amp;A270),"-")</f>
        <v>22</v>
      </c>
      <c r="B278" s="7" t="str">
        <f t="shared" ca="1" si="81"/>
        <v/>
      </c>
      <c r="C278" s="7">
        <f t="shared" ca="1" si="82"/>
        <v>4</v>
      </c>
      <c r="D278" s="55">
        <v>15</v>
      </c>
      <c r="E278" s="17">
        <f t="shared" si="83"/>
        <v>22</v>
      </c>
      <c r="F278" s="319" t="str">
        <f>IFERROR(VLOOKUP($A260&amp;E278,downloads!$A$1:$E$1000,2,FALSE),"")</f>
        <v>Oliver MANNION</v>
      </c>
      <c r="G278" s="18" t="str">
        <f t="shared" si="80"/>
        <v>ECHT</v>
      </c>
      <c r="H278" s="464">
        <f ca="1">IFERROR(INDIRECT(CONCATENATE("'Distance Input'!"&amp;B262&amp;C262+14)),"")</f>
        <v>5.15</v>
      </c>
      <c r="I278" s="465"/>
      <c r="J278" s="464">
        <v>0</v>
      </c>
      <c r="K278" s="465"/>
      <c r="L278" s="464">
        <v>0</v>
      </c>
      <c r="M278" s="465"/>
      <c r="N278" s="470">
        <f t="shared" ca="1" si="84"/>
        <v>5.15</v>
      </c>
      <c r="O278" s="471"/>
      <c r="P278" s="55">
        <v>0</v>
      </c>
      <c r="Q278" s="472">
        <v>0</v>
      </c>
      <c r="R278" s="472"/>
      <c r="S278" s="472">
        <v>0</v>
      </c>
      <c r="T278" s="472"/>
      <c r="U278" s="472">
        <v>0</v>
      </c>
      <c r="V278" s="472"/>
      <c r="W278" s="464">
        <f t="shared" ca="1" si="85"/>
        <v>5.15</v>
      </c>
      <c r="X278" s="465"/>
      <c r="Y278" s="55">
        <f ca="1">IF(OR(W278="",W278=0),0,IF(W278="X",MatchDay!$U$2+MatchDay!$U$2+1-COUNTIF(Distance!W264:W278,"X"),RANK(W278,$W264:$X279,0)))</f>
        <v>9</v>
      </c>
      <c r="Z278" s="19" t="str">
        <f ca="1">IFERROR(IF(Y278=0,0,IF(VLOOKUP(AG278,E264:Y271,21,FALSE)=0,"A",IF(Y278&gt;=VLOOKUP(AG278,E264:Y271,21,FALSE),"B","A"))),"")</f>
        <v>B</v>
      </c>
      <c r="AA278" s="19" t="str">
        <f ca="1">IFERROR(IF(Z278="B","",RANK(AD278,AD264:AD279,1)),"")</f>
        <v/>
      </c>
      <c r="AB278" s="19">
        <f ca="1">IFERROR(IF(Z278="A","",RANK(AE278,AE264:AE279,1)),"")</f>
        <v>4</v>
      </c>
      <c r="AD278" s="9" t="str">
        <f t="shared" ca="1" si="86"/>
        <v/>
      </c>
      <c r="AE278" s="9">
        <f t="shared" ca="1" si="87"/>
        <v>9</v>
      </c>
      <c r="AF278" s="9" t="s">
        <v>138</v>
      </c>
      <c r="AG278" s="4">
        <f>IFERROR(IF(A263=0,E278/11,LEFT(E278,1)),"")</f>
        <v>2</v>
      </c>
    </row>
    <row r="279" spans="1:33" s="4" customFormat="1" ht="16.149999999999999" customHeight="1" x14ac:dyDescent="0.35">
      <c r="A279" s="8" t="str">
        <f>IFERROR(IF(A263=0,A271*11,A271&amp;A271),"-")</f>
        <v>-</v>
      </c>
      <c r="B279" s="7" t="str">
        <f t="shared" ca="1" si="81"/>
        <v/>
      </c>
      <c r="C279" s="7" t="str">
        <f t="shared" ca="1" si="82"/>
        <v/>
      </c>
      <c r="D279" s="55">
        <v>16</v>
      </c>
      <c r="E279" s="17" t="str">
        <f t="shared" si="83"/>
        <v>-</v>
      </c>
      <c r="F279" s="319" t="str">
        <f>IFERROR(VLOOKUP($A260&amp;E279,downloads!$A$1:$E$1000,2,FALSE),"")</f>
        <v/>
      </c>
      <c r="G279" s="18" t="str">
        <f t="shared" si="80"/>
        <v/>
      </c>
      <c r="H279" s="464">
        <f ca="1">IFERROR(INDIRECT(CONCATENATE("'Distance Input'!"&amp;B262&amp;C262+15)),"")</f>
        <v>0</v>
      </c>
      <c r="I279" s="465"/>
      <c r="J279" s="464">
        <v>0</v>
      </c>
      <c r="K279" s="465"/>
      <c r="L279" s="464">
        <v>0</v>
      </c>
      <c r="M279" s="465"/>
      <c r="N279" s="470">
        <f t="shared" ca="1" si="84"/>
        <v>0</v>
      </c>
      <c r="O279" s="471"/>
      <c r="P279" s="55">
        <v>0</v>
      </c>
      <c r="Q279" s="472">
        <v>0</v>
      </c>
      <c r="R279" s="472"/>
      <c r="S279" s="472">
        <v>0</v>
      </c>
      <c r="T279" s="472"/>
      <c r="U279" s="472">
        <v>0</v>
      </c>
      <c r="V279" s="472"/>
      <c r="W279" s="464">
        <f t="shared" ca="1" si="85"/>
        <v>0</v>
      </c>
      <c r="X279" s="465"/>
      <c r="Y279" s="55">
        <f ca="1">IF(OR(W279="",W279=0),0,IF(W279="X",MatchDay!$U$2+MatchDay!$U$2+1-COUNTIF(Distance!W264:W279,"X"),RANK(W279,$W264:$X279,0)))</f>
        <v>0</v>
      </c>
      <c r="Z279" s="19">
        <f ca="1">IFERROR(IF(Y279=0,0,IF(VLOOKUP(AG279,E264:Y271,21,FALSE)=0,"A",IF(Y279&gt;=VLOOKUP(AG279,E264:Y271,21,FALSE),"B","A"))),"")</f>
        <v>0</v>
      </c>
      <c r="AA279" s="19" t="str">
        <f ca="1">IFERROR(IF(Z279="B","",RANK(AD279,AD264:AD279,1)),"")</f>
        <v/>
      </c>
      <c r="AB279" s="19" t="str">
        <f ca="1">IFERROR(IF(Z279="A","",RANK(AE279,AE264:AE279,1)),"")</f>
        <v/>
      </c>
      <c r="AD279" s="9" t="str">
        <f t="shared" ca="1" si="86"/>
        <v/>
      </c>
      <c r="AE279" s="9" t="str">
        <f t="shared" ca="1" si="87"/>
        <v/>
      </c>
      <c r="AF279" s="9" t="s">
        <v>138</v>
      </c>
      <c r="AG279" s="4" t="str">
        <f>IFERROR(IF(A263=0,E279/11,LEFT(E279,1)),"")</f>
        <v/>
      </c>
    </row>
    <row r="280" spans="1:33" s="4" customFormat="1" x14ac:dyDescent="0.25">
      <c r="A280" s="8"/>
      <c r="B280" s="10"/>
      <c r="C280" s="3"/>
      <c r="D280" s="20"/>
      <c r="E280" s="20"/>
      <c r="F280" s="21"/>
      <c r="G280" s="21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2"/>
    </row>
    <row r="281" spans="1:33" s="4" customFormat="1" x14ac:dyDescent="0.25">
      <c r="A281" s="8"/>
      <c r="B281" s="10"/>
      <c r="C281" s="3"/>
      <c r="D281" s="469" t="s">
        <v>139</v>
      </c>
      <c r="E281" s="473"/>
      <c r="F281" s="473"/>
      <c r="G281" s="473"/>
      <c r="H281" s="473"/>
      <c r="I281" s="473"/>
      <c r="J281" s="466" t="s">
        <v>140</v>
      </c>
      <c r="K281" s="474"/>
      <c r="L281" s="474"/>
      <c r="M281" s="474"/>
      <c r="N281" s="474"/>
      <c r="O281" s="474"/>
      <c r="P281" s="474"/>
      <c r="Q281" s="474"/>
      <c r="R281" s="474"/>
      <c r="S281" s="474"/>
      <c r="T281" s="474"/>
      <c r="U281" s="475"/>
      <c r="V281" s="466" t="s">
        <v>1136</v>
      </c>
      <c r="W281" s="467"/>
      <c r="X281" s="467"/>
      <c r="Y281" s="467"/>
      <c r="Z281" s="467"/>
      <c r="AA281" s="467"/>
      <c r="AB281" s="468"/>
    </row>
    <row r="282" spans="1:33" s="4" customFormat="1" x14ac:dyDescent="0.25">
      <c r="A282" s="8" t="s">
        <v>55</v>
      </c>
      <c r="B282" s="10"/>
      <c r="C282" s="3"/>
      <c r="D282" s="12"/>
      <c r="E282" s="55" t="s">
        <v>141</v>
      </c>
      <c r="F282" s="55" t="s">
        <v>124</v>
      </c>
      <c r="G282" s="55" t="s">
        <v>125</v>
      </c>
      <c r="H282" s="469" t="s">
        <v>142</v>
      </c>
      <c r="I282" s="469"/>
      <c r="J282" s="23"/>
      <c r="K282" s="54" t="s">
        <v>141</v>
      </c>
      <c r="L282" s="466" t="s">
        <v>124</v>
      </c>
      <c r="M282" s="467"/>
      <c r="N282" s="467"/>
      <c r="O282" s="468"/>
      <c r="P282" s="466" t="s">
        <v>125</v>
      </c>
      <c r="Q282" s="467"/>
      <c r="R282" s="467"/>
      <c r="S282" s="468"/>
      <c r="T282" s="466" t="s">
        <v>142</v>
      </c>
      <c r="U282" s="468"/>
      <c r="V282" s="24"/>
      <c r="W282" s="25"/>
      <c r="X282" s="25"/>
      <c r="Y282" s="25"/>
      <c r="Z282" s="25"/>
      <c r="AA282" s="25"/>
      <c r="AB282" s="26"/>
    </row>
    <row r="283" spans="1:33" s="4" customFormat="1" ht="16.149999999999999" customHeight="1" x14ac:dyDescent="0.25">
      <c r="A283" s="11">
        <f>IFERROR(VLOOKUP(A260,standards,3,FALSE),"-")</f>
        <v>6.2</v>
      </c>
      <c r="B283" s="10">
        <v>1</v>
      </c>
      <c r="C283" s="3"/>
      <c r="D283" s="55">
        <v>1</v>
      </c>
      <c r="E283" s="19">
        <f ca="1">IFERROR(IF(OR(H264=98,H264=99),H264,VLOOKUP(B283,B264:E279,4,FALSE)),0)</f>
        <v>4</v>
      </c>
      <c r="F283" s="27" t="str">
        <f ca="1">IFERROR(VLOOKUP(E283,$E264:$F279,2,FALSE),"")</f>
        <v>Samuel SAVAGE</v>
      </c>
      <c r="G283" s="18" t="str">
        <f t="shared" ref="G283:G290" ca="1" si="88">IFERROR(VLOOKUP(E283,teamlookup,5,FALSE),"-")</f>
        <v>Macc</v>
      </c>
      <c r="H283" s="459">
        <f ca="1">IFERROR(VLOOKUP(E283,E264:X279,19,FALSE),"")</f>
        <v>9.2100000000000009</v>
      </c>
      <c r="I283" s="460"/>
      <c r="J283" s="55">
        <v>1</v>
      </c>
      <c r="K283" s="55">
        <f ca="1">IFERROR(VLOOKUP(B283,C264:X279,3,FALSE),"")</f>
        <v>44</v>
      </c>
      <c r="L283" s="461" t="str">
        <f ca="1">IFERROR(VLOOKUP(K283,$E264:$F279,2,FALSE),"")</f>
        <v>Robert NWANKWO</v>
      </c>
      <c r="M283" s="462"/>
      <c r="N283" s="462"/>
      <c r="O283" s="463"/>
      <c r="P283" s="461" t="str">
        <f t="shared" ref="P283:P290" ca="1" si="89">IFERROR(VLOOKUP(K283,teamlookup,5,FALSE),"-")</f>
        <v>Macc</v>
      </c>
      <c r="Q283" s="462"/>
      <c r="R283" s="462"/>
      <c r="S283" s="463"/>
      <c r="T283" s="464">
        <f ca="1">IFERROR(VLOOKUP(K283,E264:X279,19,FALSE),"")</f>
        <v>7.04</v>
      </c>
      <c r="U283" s="465"/>
      <c r="V283" s="28"/>
      <c r="W283" s="29"/>
      <c r="X283" s="29"/>
      <c r="Y283" s="29"/>
      <c r="Z283" s="29"/>
      <c r="AA283" s="29"/>
      <c r="AB283" s="30"/>
    </row>
    <row r="284" spans="1:33" s="4" customFormat="1" ht="16.149999999999999" customHeight="1" x14ac:dyDescent="0.25">
      <c r="A284" s="11">
        <f>IFERROR(VLOOKUP(A260,standards,4,FALSE),"-")</f>
        <v>6.6</v>
      </c>
      <c r="B284" s="10">
        <v>2</v>
      </c>
      <c r="C284" s="3"/>
      <c r="D284" s="55">
        <v>2</v>
      </c>
      <c r="E284" s="19">
        <f ca="1">IFERROR(VLOOKUP(B284,B264:E279,4,FALSE),"")</f>
        <v>2</v>
      </c>
      <c r="F284" s="27" t="str">
        <f ca="1">IFERROR(VLOOKUP(E284,$E264:$F279,2,FALSE),"")</f>
        <v>Benjamin SYKES</v>
      </c>
      <c r="G284" s="18" t="str">
        <f t="shared" ca="1" si="88"/>
        <v>ECHT</v>
      </c>
      <c r="H284" s="459">
        <f ca="1">IFERROR(VLOOKUP(E284,E264:X279,19,FALSE),"")</f>
        <v>7.25</v>
      </c>
      <c r="I284" s="460"/>
      <c r="J284" s="55">
        <v>2</v>
      </c>
      <c r="K284" s="55">
        <f ca="1">IFERROR(VLOOKUP(B284,C264:X279,3,FALSE),"")</f>
        <v>3</v>
      </c>
      <c r="L284" s="461" t="str">
        <f ca="1">IFERROR(VLOOKUP(K284,$E264:$F279,2,FALSE),"")</f>
        <v>Henri MANNION</v>
      </c>
      <c r="M284" s="462"/>
      <c r="N284" s="462"/>
      <c r="O284" s="463"/>
      <c r="P284" s="461" t="str">
        <f t="shared" ca="1" si="89"/>
        <v>Leigh</v>
      </c>
      <c r="Q284" s="462"/>
      <c r="R284" s="462"/>
      <c r="S284" s="463"/>
      <c r="T284" s="464">
        <f ca="1">IFERROR(VLOOKUP(K284,E264:X279,19,FALSE),"")</f>
        <v>5.93</v>
      </c>
      <c r="U284" s="465"/>
      <c r="V284" s="24"/>
      <c r="W284" s="25"/>
      <c r="X284" s="25"/>
      <c r="Y284" s="25"/>
      <c r="Z284" s="25"/>
      <c r="AA284" s="25"/>
      <c r="AB284" s="26"/>
    </row>
    <row r="285" spans="1:33" s="4" customFormat="1" ht="16.149999999999999" customHeight="1" x14ac:dyDescent="0.25">
      <c r="A285" s="11">
        <f>IFERROR(VLOOKUP(A260,standards,5,FALSE),"-")</f>
        <v>7</v>
      </c>
      <c r="B285" s="10">
        <v>3</v>
      </c>
      <c r="C285" s="3"/>
      <c r="D285" s="55">
        <v>3</v>
      </c>
      <c r="E285" s="19">
        <f ca="1">IFERROR(VLOOKUP(B285,B264:E279,4,FALSE),"")</f>
        <v>1</v>
      </c>
      <c r="F285" s="27" t="str">
        <f ca="1">IFERROR(VLOOKUP(E285,$E264:$F279,2,FALSE),"")</f>
        <v>Ben JEFFS</v>
      </c>
      <c r="G285" s="18" t="str">
        <f t="shared" ca="1" si="88"/>
        <v>C&amp;N</v>
      </c>
      <c r="H285" s="459">
        <f ca="1">IFERROR(VLOOKUP(E285,E264:X279,19,FALSE),"")</f>
        <v>7.23</v>
      </c>
      <c r="I285" s="460"/>
      <c r="J285" s="55">
        <v>3</v>
      </c>
      <c r="K285" s="55">
        <f ca="1">IFERROR(VLOOKUP(B285,C264:X279,3,FALSE),"")</f>
        <v>11</v>
      </c>
      <c r="L285" s="461" t="str">
        <f ca="1">IFERROR(VLOOKUP(K285,$E264:$F279,2,FALSE),"")</f>
        <v>Ewan DAVIES</v>
      </c>
      <c r="M285" s="462"/>
      <c r="N285" s="462"/>
      <c r="O285" s="463"/>
      <c r="P285" s="461" t="str">
        <f t="shared" ca="1" si="89"/>
        <v>C&amp;N</v>
      </c>
      <c r="Q285" s="462"/>
      <c r="R285" s="462"/>
      <c r="S285" s="463"/>
      <c r="T285" s="464">
        <f ca="1">IFERROR(VLOOKUP(K285,E264:X279,19,FALSE),"")</f>
        <v>5.7</v>
      </c>
      <c r="U285" s="465"/>
      <c r="V285" s="28"/>
      <c r="W285" s="29"/>
      <c r="X285" s="29"/>
      <c r="Y285" s="29"/>
      <c r="Z285" s="29"/>
      <c r="AA285" s="29"/>
      <c r="AB285" s="30"/>
    </row>
    <row r="286" spans="1:33" s="4" customFormat="1" ht="16.149999999999999" customHeight="1" x14ac:dyDescent="0.25">
      <c r="A286" s="11">
        <f>IFERROR(VLOOKUP(A260,EA!A:K,6,FALSE),"-")</f>
        <v>7.4</v>
      </c>
      <c r="B286" s="10">
        <v>4</v>
      </c>
      <c r="C286" s="3"/>
      <c r="D286" s="55">
        <v>4</v>
      </c>
      <c r="E286" s="19">
        <f ca="1">IFERROR(VLOOKUP(B286,B264:E279,4,FALSE),"")</f>
        <v>77</v>
      </c>
      <c r="F286" s="27" t="str">
        <f ca="1">IFERROR(VLOOKUP(E286,$E264:$F279,2,FALSE),"")</f>
        <v>Theo MORGAN</v>
      </c>
      <c r="G286" s="18" t="str">
        <f t="shared" ca="1" si="88"/>
        <v>Wigan</v>
      </c>
      <c r="H286" s="459">
        <f ca="1">IFERROR(VLOOKUP(E286,E264:X279,19,FALSE),"")</f>
        <v>6.45</v>
      </c>
      <c r="I286" s="460"/>
      <c r="J286" s="55">
        <v>4</v>
      </c>
      <c r="K286" s="55">
        <f ca="1">IFERROR(VLOOKUP(B286,C264:X279,3,FALSE),"")</f>
        <v>22</v>
      </c>
      <c r="L286" s="461" t="str">
        <f ca="1">IFERROR(VLOOKUP(K286,$E264:$F279,2,FALSE),"")</f>
        <v>Oliver MANNION</v>
      </c>
      <c r="M286" s="462"/>
      <c r="N286" s="462"/>
      <c r="O286" s="463"/>
      <c r="P286" s="461" t="str">
        <f t="shared" ca="1" si="89"/>
        <v>ECHT</v>
      </c>
      <c r="Q286" s="462"/>
      <c r="R286" s="462"/>
      <c r="S286" s="463"/>
      <c r="T286" s="464">
        <f ca="1">IFERROR(VLOOKUP(K286,E264:X279,19,FALSE),"")</f>
        <v>5.15</v>
      </c>
      <c r="U286" s="465"/>
      <c r="V286" s="24"/>
      <c r="W286" s="25"/>
      <c r="X286" s="25"/>
      <c r="Y286" s="25"/>
      <c r="Z286" s="25"/>
      <c r="AA286" s="25"/>
      <c r="AB286" s="26"/>
    </row>
    <row r="287" spans="1:33" s="4" customFormat="1" ht="16.149999999999999" customHeight="1" x14ac:dyDescent="0.25">
      <c r="A287" s="8"/>
      <c r="B287" s="10">
        <v>5</v>
      </c>
      <c r="C287" s="3"/>
      <c r="D287" s="55">
        <v>5</v>
      </c>
      <c r="E287" s="19">
        <f ca="1">IFERROR(VLOOKUP(B287,B264:E279,4,FALSE),"")</f>
        <v>33</v>
      </c>
      <c r="F287" s="27" t="str">
        <f ca="1">IFERROR(VLOOKUP(E287,$E264:$F279,2,FALSE),"")</f>
        <v>Jack FLETCHER</v>
      </c>
      <c r="G287" s="18" t="str">
        <f t="shared" ca="1" si="88"/>
        <v>Leigh</v>
      </c>
      <c r="H287" s="459">
        <f ca="1">IFERROR(VLOOKUP(E287,E264:X279,19,FALSE),"")</f>
        <v>6.01</v>
      </c>
      <c r="I287" s="460"/>
      <c r="J287" s="55">
        <v>5</v>
      </c>
      <c r="K287" s="55">
        <f ca="1">IFERROR(VLOOKUP(B287,C264:X279,3,FALSE),"")</f>
        <v>7</v>
      </c>
      <c r="L287" s="461" t="str">
        <f ca="1">IFERROR(VLOOKUP(K287,$E264:$F279,2,FALSE),"")</f>
        <v>Charlie STRETTON</v>
      </c>
      <c r="M287" s="462"/>
      <c r="N287" s="462"/>
      <c r="O287" s="463"/>
      <c r="P287" s="461" t="str">
        <f t="shared" ca="1" si="89"/>
        <v>Wigan</v>
      </c>
      <c r="Q287" s="462"/>
      <c r="R287" s="462"/>
      <c r="S287" s="463"/>
      <c r="T287" s="464">
        <f ca="1">IFERROR(VLOOKUP(K287,E264:X279,19,FALSE),"")</f>
        <v>3.72</v>
      </c>
      <c r="U287" s="465"/>
      <c r="V287" s="28"/>
      <c r="W287" s="29"/>
      <c r="X287" s="29"/>
      <c r="Y287" s="29"/>
      <c r="Z287" s="29"/>
      <c r="AA287" s="29"/>
      <c r="AB287" s="30"/>
    </row>
    <row r="288" spans="1:33" s="4" customFormat="1" ht="16.149999999999999" customHeight="1" x14ac:dyDescent="0.25">
      <c r="A288" s="8" t="s">
        <v>151</v>
      </c>
      <c r="B288" s="10">
        <v>6</v>
      </c>
      <c r="C288" s="3"/>
      <c r="D288" s="55">
        <v>6</v>
      </c>
      <c r="E288" s="19" t="str">
        <f ca="1">IFERROR(VLOOKUP(B288,B264:E279,4,FALSE),"")</f>
        <v/>
      </c>
      <c r="F288" s="27" t="str">
        <f ca="1">IFERROR(VLOOKUP(E288,$E264:$F279,2,FALSE),"")</f>
        <v/>
      </c>
      <c r="G288" s="18" t="str">
        <f t="shared" ca="1" si="88"/>
        <v>-</v>
      </c>
      <c r="H288" s="459" t="str">
        <f ca="1">IFERROR(VLOOKUP(E288,E264:X279,19,FALSE),"")</f>
        <v/>
      </c>
      <c r="I288" s="460"/>
      <c r="J288" s="55">
        <v>6</v>
      </c>
      <c r="K288" s="55" t="str">
        <f ca="1">IFERROR(VLOOKUP(B288,C264:X279,3,FALSE),"")</f>
        <v/>
      </c>
      <c r="L288" s="461" t="str">
        <f ca="1">IFERROR(VLOOKUP(K288,$E264:$F279,2,FALSE),"")</f>
        <v/>
      </c>
      <c r="M288" s="462"/>
      <c r="N288" s="462"/>
      <c r="O288" s="463"/>
      <c r="P288" s="461" t="str">
        <f t="shared" ca="1" si="89"/>
        <v>-</v>
      </c>
      <c r="Q288" s="462"/>
      <c r="R288" s="462"/>
      <c r="S288" s="463"/>
      <c r="T288" s="464" t="str">
        <f ca="1">IFERROR(VLOOKUP(K288,E264:X279,19,FALSE),"")</f>
        <v/>
      </c>
      <c r="U288" s="465"/>
      <c r="V288" s="466" t="s">
        <v>1135</v>
      </c>
      <c r="W288" s="467"/>
      <c r="X288" s="467"/>
      <c r="Y288" s="467"/>
      <c r="Z288" s="467"/>
      <c r="AA288" s="467"/>
      <c r="AB288" s="468"/>
    </row>
    <row r="289" spans="1:33" s="4" customFormat="1" ht="16.149999999999999" customHeight="1" x14ac:dyDescent="0.25">
      <c r="A289" s="8">
        <f>IFERROR(VLOOKUP(A260,records,5,FALSE),"")</f>
        <v>12.35</v>
      </c>
      <c r="B289" s="10">
        <v>7</v>
      </c>
      <c r="C289" s="3"/>
      <c r="D289" s="55">
        <v>7</v>
      </c>
      <c r="E289" s="19" t="str">
        <f ca="1">IFERROR(VLOOKUP(B289,B264:E279,4,FALSE),"")</f>
        <v/>
      </c>
      <c r="F289" s="27" t="str">
        <f ca="1">IFERROR(VLOOKUP(E289,$E264:$F279,2,FALSE),"")</f>
        <v/>
      </c>
      <c r="G289" s="18" t="str">
        <f t="shared" ca="1" si="88"/>
        <v>-</v>
      </c>
      <c r="H289" s="459" t="str">
        <f ca="1">IFERROR(VLOOKUP(E289,E264:X279,19,FALSE),"")</f>
        <v/>
      </c>
      <c r="I289" s="460"/>
      <c r="J289" s="55">
        <v>7</v>
      </c>
      <c r="K289" s="55" t="str">
        <f ca="1">IFERROR(VLOOKUP(B289,C264:X279,3,FALSE),"")</f>
        <v/>
      </c>
      <c r="L289" s="461" t="str">
        <f ca="1">IFERROR(VLOOKUP(K289,$E264:$F279,2,FALSE),"")</f>
        <v/>
      </c>
      <c r="M289" s="462"/>
      <c r="N289" s="462"/>
      <c r="O289" s="463"/>
      <c r="P289" s="461" t="str">
        <f t="shared" ca="1" si="89"/>
        <v>-</v>
      </c>
      <c r="Q289" s="462"/>
      <c r="R289" s="462"/>
      <c r="S289" s="463"/>
      <c r="T289" s="464" t="str">
        <f ca="1">IFERROR(VLOOKUP(K289,E264:X279,19,FALSE),"")</f>
        <v/>
      </c>
      <c r="U289" s="465"/>
      <c r="V289" s="24"/>
      <c r="W289" s="25"/>
      <c r="X289" s="25"/>
      <c r="Y289" s="25"/>
      <c r="Z289" s="25"/>
      <c r="AA289" s="25"/>
      <c r="AB289" s="26"/>
    </row>
    <row r="290" spans="1:33" s="4" customFormat="1" ht="16.149999999999999" customHeight="1" x14ac:dyDescent="0.25">
      <c r="A290" s="8"/>
      <c r="B290" s="10">
        <v>8</v>
      </c>
      <c r="C290" s="3"/>
      <c r="D290" s="55">
        <v>8</v>
      </c>
      <c r="E290" s="19" t="str">
        <f ca="1">IFERROR(VLOOKUP(B290,B264:E279,4,FALSE),"")</f>
        <v/>
      </c>
      <c r="F290" s="27" t="str">
        <f ca="1">IFERROR(VLOOKUP(E290,$E264:$F279,2,FALSE),"")</f>
        <v/>
      </c>
      <c r="G290" s="18" t="str">
        <f t="shared" ca="1" si="88"/>
        <v>-</v>
      </c>
      <c r="H290" s="459" t="str">
        <f ca="1">IFERROR(VLOOKUP(E290,E264:X279,19,FALSE),"")</f>
        <v/>
      </c>
      <c r="I290" s="460"/>
      <c r="J290" s="55">
        <v>8</v>
      </c>
      <c r="K290" s="55" t="str">
        <f ca="1">IFERROR(VLOOKUP(B290,C264:X279,3,FALSE),"")</f>
        <v/>
      </c>
      <c r="L290" s="461" t="str">
        <f ca="1">IFERROR(VLOOKUP(K290,$E264:$F279,2,FALSE),"")</f>
        <v/>
      </c>
      <c r="M290" s="462"/>
      <c r="N290" s="462"/>
      <c r="O290" s="463"/>
      <c r="P290" s="461" t="str">
        <f t="shared" ca="1" si="89"/>
        <v>-</v>
      </c>
      <c r="Q290" s="462"/>
      <c r="R290" s="462"/>
      <c r="S290" s="463"/>
      <c r="T290" s="464" t="str">
        <f ca="1">IFERROR(VLOOKUP(K290,E264:X279,19,FALSE),"")</f>
        <v/>
      </c>
      <c r="U290" s="465"/>
      <c r="V290" s="28"/>
      <c r="W290" s="29"/>
      <c r="X290" s="29"/>
      <c r="Y290" s="29"/>
      <c r="Z290" s="29"/>
      <c r="AA290" s="29"/>
      <c r="AB290" s="30"/>
    </row>
    <row r="291" spans="1:33" s="4" customFormat="1" ht="21" x14ac:dyDescent="0.25">
      <c r="A291" s="2" t="str">
        <f>MatchDay!$U$6</f>
        <v>X</v>
      </c>
      <c r="B291" s="8"/>
      <c r="C291" s="3"/>
      <c r="D291" s="499" t="s">
        <v>143</v>
      </c>
      <c r="E291" s="500"/>
      <c r="F291" s="500"/>
      <c r="G291" s="500"/>
      <c r="H291" s="500"/>
      <c r="I291" s="500"/>
      <c r="J291" s="500"/>
      <c r="K291" s="501" t="s">
        <v>144</v>
      </c>
      <c r="L291" s="502"/>
      <c r="M291" s="502"/>
      <c r="N291" s="502"/>
      <c r="O291" s="503" t="str">
        <f>MatchDay!$C$2&amp;" "&amp;MatchDay!$C$3&amp;" "&amp;MatchDay!$C$4</f>
        <v>LOWER NORTH West 2</v>
      </c>
      <c r="P291" s="504"/>
      <c r="Q291" s="504"/>
      <c r="R291" s="504"/>
      <c r="S291" s="504"/>
      <c r="T291" s="504"/>
      <c r="U291" s="504"/>
      <c r="V291" s="504"/>
      <c r="W291" s="504"/>
      <c r="X291" s="504"/>
      <c r="Y291" s="504"/>
      <c r="Z291" s="504"/>
      <c r="AA291" s="504"/>
      <c r="AB291" s="505"/>
    </row>
    <row r="292" spans="1:33" s="4" customFormat="1" ht="15.75" customHeight="1" x14ac:dyDescent="0.25">
      <c r="A292" s="1" t="str">
        <f>IFERROR(IF(LEFT(MatchDay!$C$2,1)="L","L"&amp;A294,"U"&amp;A294),"")</f>
        <v>LFD10</v>
      </c>
      <c r="B292" s="10">
        <v>315</v>
      </c>
      <c r="C292" s="3"/>
      <c r="D292" s="466" t="s">
        <v>145</v>
      </c>
      <c r="E292" s="468"/>
      <c r="F292" s="467" t="str">
        <f>IFERROR(UPPER(VLOOKUP(A293,teamlookup,6,FALSE)),"")</f>
        <v/>
      </c>
      <c r="G292" s="468"/>
      <c r="H292" s="476" t="s">
        <v>149</v>
      </c>
      <c r="I292" s="480"/>
      <c r="J292" s="477"/>
      <c r="K292" s="466" t="str">
        <f>MatchDay!$C$8</f>
        <v>Macclesfield Leisure Centre</v>
      </c>
      <c r="L292" s="467"/>
      <c r="M292" s="467"/>
      <c r="N292" s="467"/>
      <c r="O292" s="467"/>
      <c r="P292" s="468"/>
      <c r="Q292" s="476" t="s">
        <v>119</v>
      </c>
      <c r="R292" s="477"/>
      <c r="S292" s="494">
        <f>MatchDay!$C$7</f>
        <v>45053</v>
      </c>
      <c r="T292" s="495"/>
      <c r="U292" s="495"/>
      <c r="V292" s="495"/>
      <c r="W292" s="495"/>
      <c r="X292" s="496"/>
      <c r="Y292" s="497" t="str">
        <f>IFERROR(IF(LEFT(A292,1)="L","",VLOOKUP(A292,EA!$A:$N,8,FALSE)),"")</f>
        <v/>
      </c>
      <c r="Z292" s="498"/>
      <c r="AA292" s="464" t="str">
        <f>IFERROR(IF(LEFT(A292,1)="L","",VLOOKUP(A292,standards,9,FALSE)),"")</f>
        <v/>
      </c>
      <c r="AB292" s="465"/>
      <c r="AC292" s="6"/>
      <c r="AD292" s="6"/>
    </row>
    <row r="293" spans="1:33" s="4" customFormat="1" ht="15.75" customHeight="1" x14ac:dyDescent="0.25">
      <c r="A293" s="5">
        <f>IFERROR(IF(A291=1,VLOOKUP(A292,judges,VLOOKUP(MatchDay!$U$2*10+MatchDay!$C$5,judgesp,5,FALSE),FALSE),VLOOKUP(Distance!A292,judges,VLOOKUP(MatchDay!$U$2*10+MatchDay!$C$5,judges2,5,FALSE),FALSE)),"")</f>
        <v>2</v>
      </c>
      <c r="B293" s="138"/>
      <c r="C293" s="3"/>
      <c r="D293" s="476" t="s">
        <v>120</v>
      </c>
      <c r="E293" s="477"/>
      <c r="F293" s="478" t="str">
        <f>IFERROR(VLOOKUP(A292,timetables,2,FALSE)&amp;" "&amp;VLOOKUP(A292,timetables,3,FALSE),"")</f>
        <v>Javelin U13 Boys</v>
      </c>
      <c r="G293" s="479"/>
      <c r="H293" s="476" t="s">
        <v>121</v>
      </c>
      <c r="I293" s="480"/>
      <c r="J293" s="477"/>
      <c r="K293" s="481">
        <f>IFERROR(IF(A291=1,VLOOKUP(A292,Timetables!$A:$G,6,FALSE),VLOOKUP(A292,Timetables!$A:$G,7,FALSE)),"")</f>
        <v>0.63541666666666663</v>
      </c>
      <c r="L293" s="481" t="e">
        <v>#N/A</v>
      </c>
      <c r="M293" s="476" t="s">
        <v>150</v>
      </c>
      <c r="N293" s="477"/>
      <c r="O293" s="482" t="str">
        <f>IFERROR(VLOOKUP(A292,records,3,FALSE)&amp;", "&amp;VLOOKUP(A292,records,4,FALSE)&amp;", "&amp;VLOOKUP(A292,records,5,FALSE)&amp;", "&amp;VLOOKUP(A292,records,6,FALSE)&amp;", "&amp;VLOOKUP(A292,records,7,FALSE)&amp;" "&amp;VLOOKUP(A292,records,8,FALSE),"")</f>
        <v/>
      </c>
      <c r="P293" s="482"/>
      <c r="Q293" s="482"/>
      <c r="R293" s="482"/>
      <c r="S293" s="482"/>
      <c r="T293" s="482"/>
      <c r="U293" s="482"/>
      <c r="V293" s="482"/>
      <c r="W293" s="482"/>
      <c r="X293" s="482"/>
      <c r="Y293" s="482"/>
      <c r="Z293" s="482"/>
      <c r="AA293" s="482"/>
      <c r="AB293" s="483"/>
    </row>
    <row r="294" spans="1:33" s="4" customFormat="1" ht="32.1" customHeight="1" x14ac:dyDescent="0.25">
      <c r="A294" s="5" t="s">
        <v>213</v>
      </c>
      <c r="B294" s="10" t="str">
        <f>IFERROR(VLOOKUP($A294,fdistance,2,FALSE),"")</f>
        <v>M</v>
      </c>
      <c r="C294" s="10">
        <f>IFERROR(VLOOKUP($A294,fdistance,3,FALSE),"")</f>
        <v>80</v>
      </c>
      <c r="D294" s="31" t="s">
        <v>122</v>
      </c>
      <c r="E294" s="13" t="s">
        <v>123</v>
      </c>
      <c r="F294" s="13" t="s">
        <v>124</v>
      </c>
      <c r="G294" s="14" t="s">
        <v>125</v>
      </c>
      <c r="H294" s="484" t="s">
        <v>126</v>
      </c>
      <c r="I294" s="485"/>
      <c r="J294" s="485" t="s">
        <v>127</v>
      </c>
      <c r="K294" s="485"/>
      <c r="L294" s="485" t="s">
        <v>128</v>
      </c>
      <c r="M294" s="485"/>
      <c r="N294" s="485" t="s">
        <v>129</v>
      </c>
      <c r="O294" s="485"/>
      <c r="P294" s="486" t="s">
        <v>130</v>
      </c>
      <c r="Q294" s="485" t="s">
        <v>131</v>
      </c>
      <c r="R294" s="485"/>
      <c r="S294" s="485" t="s">
        <v>132</v>
      </c>
      <c r="T294" s="485"/>
      <c r="U294" s="485" t="s">
        <v>133</v>
      </c>
      <c r="V294" s="485"/>
      <c r="W294" s="488" t="s">
        <v>134</v>
      </c>
      <c r="X294" s="489"/>
      <c r="Y294" s="490" t="s">
        <v>135</v>
      </c>
      <c r="Z294" s="492" t="s">
        <v>136</v>
      </c>
      <c r="AA294" s="493"/>
      <c r="AB294" s="484"/>
    </row>
    <row r="295" spans="1:33" s="4" customFormat="1" x14ac:dyDescent="0.3">
      <c r="A295" s="121">
        <f>IFERROR(SEARCH("U17",F293),0)</f>
        <v>0</v>
      </c>
      <c r="B295" s="7" t="s">
        <v>53</v>
      </c>
      <c r="C295" s="7" t="s">
        <v>54</v>
      </c>
      <c r="D295" s="56"/>
      <c r="E295" s="56"/>
      <c r="F295" s="15"/>
      <c r="G295" s="16"/>
      <c r="H295" s="468" t="s">
        <v>137</v>
      </c>
      <c r="I295" s="469"/>
      <c r="J295" s="469" t="s">
        <v>137</v>
      </c>
      <c r="K295" s="469"/>
      <c r="L295" s="469" t="s">
        <v>137</v>
      </c>
      <c r="M295" s="469"/>
      <c r="N295" s="469" t="s">
        <v>137</v>
      </c>
      <c r="O295" s="469"/>
      <c r="P295" s="487"/>
      <c r="Q295" s="469" t="s">
        <v>137</v>
      </c>
      <c r="R295" s="469"/>
      <c r="S295" s="469" t="s">
        <v>137</v>
      </c>
      <c r="T295" s="469"/>
      <c r="U295" s="469" t="s">
        <v>137</v>
      </c>
      <c r="V295" s="469"/>
      <c r="W295" s="469" t="s">
        <v>137</v>
      </c>
      <c r="X295" s="466"/>
      <c r="Y295" s="491"/>
      <c r="Z295" s="55"/>
      <c r="AA295" s="55" t="s">
        <v>53</v>
      </c>
      <c r="AB295" s="55" t="s">
        <v>54</v>
      </c>
    </row>
    <row r="296" spans="1:33" s="4" customFormat="1" ht="16.149999999999999" customHeight="1" x14ac:dyDescent="0.35">
      <c r="A296" s="8">
        <f>IFERROR(IF(D296&gt;MatchDay!$U$2,"-",VLOOKUP(A292,timetables,MatchDay!$U$4,FALSE)),0)</f>
        <v>1</v>
      </c>
      <c r="B296" s="7">
        <f ca="1">AA296</f>
        <v>5</v>
      </c>
      <c r="C296" s="7" t="str">
        <f ca="1">AB296</f>
        <v/>
      </c>
      <c r="D296" s="56">
        <v>1</v>
      </c>
      <c r="E296" s="17">
        <f>A296</f>
        <v>1</v>
      </c>
      <c r="F296" s="319" t="str">
        <f>IFERROR(VLOOKUP($A292&amp;E296,downloads!$A$1:$E$1000,2,FALSE),"")</f>
        <v>Kaidan DOS REIS</v>
      </c>
      <c r="G296" s="18" t="str">
        <f t="shared" ref="G296:G311" si="90">IFERROR(VLOOKUP(E296,teamlookup,5,FALSE),"-")</f>
        <v>C&amp;N</v>
      </c>
      <c r="H296" s="464">
        <f ca="1">IFERROR(INDIRECT(CONCATENATE("'Distance Input'!"&amp;B294&amp;C294)),"")</f>
        <v>17.399999999999999</v>
      </c>
      <c r="I296" s="465"/>
      <c r="J296" s="464">
        <v>0</v>
      </c>
      <c r="K296" s="465"/>
      <c r="L296" s="464">
        <v>0</v>
      </c>
      <c r="M296" s="465"/>
      <c r="N296" s="470">
        <f ca="1">H296</f>
        <v>17.399999999999999</v>
      </c>
      <c r="O296" s="471"/>
      <c r="P296" s="55">
        <v>0</v>
      </c>
      <c r="Q296" s="472">
        <v>0</v>
      </c>
      <c r="R296" s="472"/>
      <c r="S296" s="472">
        <v>0</v>
      </c>
      <c r="T296" s="472"/>
      <c r="U296" s="472">
        <v>0</v>
      </c>
      <c r="V296" s="472"/>
      <c r="W296" s="464">
        <f ca="1">N296</f>
        <v>17.399999999999999</v>
      </c>
      <c r="X296" s="465"/>
      <c r="Y296" s="55">
        <f ca="1">IF(OR(W296="",W296=0),0,IF(W296="X",MatchDay!$U$2+MatchDay!$U$2+1-COUNTIF(Distance!W296:W296,"X"),RANK(W296,$W296:$X311,0)))</f>
        <v>6</v>
      </c>
      <c r="Z296" s="19" t="str">
        <f ca="1">IFERROR(IF(Y296=0,0,IF(OR(VLOOKUP(AG296,E304:Y311,21,FALSE)=0,Y296&lt;=VLOOKUP(AG296,E304:Y311,21,FALSE)),"A","B")),"")</f>
        <v>A</v>
      </c>
      <c r="AA296" s="19">
        <f ca="1">IFERROR(IF(Z296="B","",RANK(AD296,AD296:AD311,1)),"")</f>
        <v>5</v>
      </c>
      <c r="AB296" s="19" t="str">
        <f ca="1">IFERROR(IF(Z296="A","",RANK(AE296,AE296:AE311,1)),"")</f>
        <v/>
      </c>
      <c r="AC296" s="8"/>
      <c r="AD296" s="9">
        <f ca="1">IF(OR(W296=0,Y296=0,Z296="B"),"",Y296)</f>
        <v>6</v>
      </c>
      <c r="AE296" s="9" t="str">
        <f ca="1">IF(OR(W296=0,Y296=0,Z296="A"),"",Y296)</f>
        <v/>
      </c>
      <c r="AF296" s="9" t="s">
        <v>138</v>
      </c>
      <c r="AG296" s="4">
        <f>IFERROR(IF(A295=0,E296*11,E296&amp;E296),"")</f>
        <v>11</v>
      </c>
    </row>
    <row r="297" spans="1:33" s="4" customFormat="1" ht="16.149999999999999" customHeight="1" x14ac:dyDescent="0.35">
      <c r="A297" s="8">
        <f>IFERROR(IF(D297&gt;MatchDay!$U$2,"-",VLOOKUP(A292,timetables,MatchDay!$U$4+1,FALSE)),0)</f>
        <v>2</v>
      </c>
      <c r="B297" s="7">
        <f t="shared" ref="B297:B311" ca="1" si="91">AA297</f>
        <v>2</v>
      </c>
      <c r="C297" s="7" t="str">
        <f t="shared" ref="C297:C311" ca="1" si="92">AB297</f>
        <v/>
      </c>
      <c r="D297" s="55">
        <v>2</v>
      </c>
      <c r="E297" s="17">
        <f t="shared" ref="E297:E311" si="93">A297</f>
        <v>2</v>
      </c>
      <c r="F297" s="319" t="str">
        <f>IFERROR(VLOOKUP($A292&amp;E297,downloads!$A$1:$E$1000,2,FALSE),"")</f>
        <v>Benjamin SYKES</v>
      </c>
      <c r="G297" s="18" t="str">
        <f t="shared" si="90"/>
        <v>ECHT</v>
      </c>
      <c r="H297" s="464">
        <f ca="1">IFERROR(INDIRECT(CONCATENATE("'Distance Input'!"&amp;B294&amp;C294+1)),"")</f>
        <v>29.44</v>
      </c>
      <c r="I297" s="465"/>
      <c r="J297" s="464">
        <v>0</v>
      </c>
      <c r="K297" s="465"/>
      <c r="L297" s="464">
        <v>0</v>
      </c>
      <c r="M297" s="465"/>
      <c r="N297" s="470">
        <f t="shared" ref="N297:N311" ca="1" si="94">H297</f>
        <v>29.44</v>
      </c>
      <c r="O297" s="471"/>
      <c r="P297" s="55">
        <v>0</v>
      </c>
      <c r="Q297" s="472">
        <v>0</v>
      </c>
      <c r="R297" s="472"/>
      <c r="S297" s="472">
        <v>0</v>
      </c>
      <c r="T297" s="472"/>
      <c r="U297" s="472">
        <v>0</v>
      </c>
      <c r="V297" s="472"/>
      <c r="W297" s="464">
        <f t="shared" ref="W297:W311" ca="1" si="95">N297</f>
        <v>29.44</v>
      </c>
      <c r="X297" s="465"/>
      <c r="Y297" s="55">
        <f ca="1">IF(OR(W297="",W297=0),0,IF(W297="X",MatchDay!$U$2+MatchDay!$U$2+1-COUNTIF(Distance!W296:W297,"X"),RANK(W297,$W296:$X311,0)))</f>
        <v>2</v>
      </c>
      <c r="Z297" s="19" t="str">
        <f ca="1">IFERROR(IF(Y297=0,0,IF(OR(VLOOKUP(AG297,E304:Y311,21,FALSE)=0,Y297&lt;=VLOOKUP(AG297,E304:Y311,21,FALSE)),"A","B")),"")</f>
        <v>A</v>
      </c>
      <c r="AA297" s="19">
        <f ca="1">IFERROR(IF(Z297="B","",RANK(AD297,AD296:AD311,1)),"")</f>
        <v>2</v>
      </c>
      <c r="AB297" s="19" t="str">
        <f ca="1">IFERROR(IF(Z297="A","",RANK(AE297,AE296:AE311,1)),"")</f>
        <v/>
      </c>
      <c r="AC297" s="8"/>
      <c r="AD297" s="9">
        <f t="shared" ref="AD297:AD311" ca="1" si="96">IF(OR(W297=0,Y297=0,Z297="B"),"",Y297)</f>
        <v>2</v>
      </c>
      <c r="AE297" s="9" t="str">
        <f t="shared" ref="AE297:AE311" ca="1" si="97">IF(OR(W297=0,Y297=0,Z297="A"),"",Y297)</f>
        <v/>
      </c>
      <c r="AF297" s="9" t="s">
        <v>138</v>
      </c>
      <c r="AG297" s="4">
        <f>IFERROR(IF(A295=0,E297*11,E297&amp;E297),"")</f>
        <v>22</v>
      </c>
    </row>
    <row r="298" spans="1:33" s="4" customFormat="1" ht="16.149999999999999" customHeight="1" x14ac:dyDescent="0.35">
      <c r="A298" s="8">
        <f>IFERROR(IF(D298&gt;MatchDay!$U$2,"-",VLOOKUP(A292,timetables,MatchDay!$U$4+2,FALSE)),0)</f>
        <v>6</v>
      </c>
      <c r="B298" s="7" t="str">
        <f t="shared" ca="1" si="91"/>
        <v/>
      </c>
      <c r="C298" s="7" t="str">
        <f t="shared" ca="1" si="92"/>
        <v/>
      </c>
      <c r="D298" s="55">
        <v>3</v>
      </c>
      <c r="E298" s="17">
        <f t="shared" si="93"/>
        <v>6</v>
      </c>
      <c r="F298" s="319" t="str">
        <f>IFERROR(VLOOKUP($A292&amp;E298,downloads!$A$1:$E$1000,2,FALSE),"")</f>
        <v/>
      </c>
      <c r="G298" s="18" t="str">
        <f t="shared" si="90"/>
        <v>Stock</v>
      </c>
      <c r="H298" s="464">
        <f ca="1">IFERROR(INDIRECT(CONCATENATE("'Distance Input'!"&amp;B294&amp;C294+2)),"")</f>
        <v>0</v>
      </c>
      <c r="I298" s="465"/>
      <c r="J298" s="464">
        <v>0</v>
      </c>
      <c r="K298" s="465"/>
      <c r="L298" s="464">
        <v>0</v>
      </c>
      <c r="M298" s="465"/>
      <c r="N298" s="470">
        <f t="shared" ca="1" si="94"/>
        <v>0</v>
      </c>
      <c r="O298" s="471"/>
      <c r="P298" s="55">
        <v>0</v>
      </c>
      <c r="Q298" s="472">
        <v>0</v>
      </c>
      <c r="R298" s="472"/>
      <c r="S298" s="472">
        <v>0</v>
      </c>
      <c r="T298" s="472"/>
      <c r="U298" s="472">
        <v>0</v>
      </c>
      <c r="V298" s="472"/>
      <c r="W298" s="464">
        <f t="shared" ca="1" si="95"/>
        <v>0</v>
      </c>
      <c r="X298" s="465"/>
      <c r="Y298" s="55">
        <f ca="1">IF(OR(W298="",W298=0),0,IF(W298="X",MatchDay!$U$2+MatchDay!$U$2+1-COUNTIF(Distance!W296:W298,"X"),RANK(W298,$W296:$X311,0)))</f>
        <v>0</v>
      </c>
      <c r="Z298" s="19">
        <f ca="1">IFERROR(IF(Y298=0,0,IF(OR(VLOOKUP(AG298,E304:Y311,21,FALSE)=0,Y298&lt;=VLOOKUP(AG298,E304:Y311,21,FALSE)),"A","B")),"")</f>
        <v>0</v>
      </c>
      <c r="AA298" s="19" t="str">
        <f ca="1">IFERROR(IF(Z298="B","",RANK(AD298,AD296:AD311,1)),"")</f>
        <v/>
      </c>
      <c r="AB298" s="19" t="str">
        <f ca="1">IFERROR(IF(Z298="A","",RANK(AE298,AE296:AE311,1)),"")</f>
        <v/>
      </c>
      <c r="AD298" s="9" t="str">
        <f t="shared" ca="1" si="96"/>
        <v/>
      </c>
      <c r="AE298" s="9" t="str">
        <f t="shared" ca="1" si="97"/>
        <v/>
      </c>
      <c r="AF298" s="9" t="s">
        <v>138</v>
      </c>
      <c r="AG298" s="4">
        <f>IFERROR(IF(A295=0,E298*11,E298&amp;E298),"")</f>
        <v>66</v>
      </c>
    </row>
    <row r="299" spans="1:33" s="4" customFormat="1" ht="16.149999999999999" customHeight="1" x14ac:dyDescent="0.35">
      <c r="A299" s="8">
        <f>IFERROR(IF(D299&gt;MatchDay!$U$2,"-",VLOOKUP(A292,timetables,MatchDay!$U$4+3,FALSE)),0)</f>
        <v>7</v>
      </c>
      <c r="B299" s="7">
        <f t="shared" ca="1" si="91"/>
        <v>3</v>
      </c>
      <c r="C299" s="7" t="str">
        <f t="shared" ca="1" si="92"/>
        <v/>
      </c>
      <c r="D299" s="55">
        <v>4</v>
      </c>
      <c r="E299" s="17">
        <f t="shared" si="93"/>
        <v>7</v>
      </c>
      <c r="F299" s="319" t="str">
        <f>IFERROR(VLOOKUP($A292&amp;E299,downloads!$A$1:$E$1000,2,FALSE),"")</f>
        <v>Samuel HODGKINSON</v>
      </c>
      <c r="G299" s="18" t="str">
        <f t="shared" si="90"/>
        <v>Wigan</v>
      </c>
      <c r="H299" s="464">
        <f ca="1">IFERROR(INDIRECT(CONCATENATE("'Distance Input'!"&amp;B294&amp;C294+3)),"")</f>
        <v>22.45</v>
      </c>
      <c r="I299" s="465"/>
      <c r="J299" s="464">
        <v>0</v>
      </c>
      <c r="K299" s="465"/>
      <c r="L299" s="464">
        <v>0</v>
      </c>
      <c r="M299" s="465"/>
      <c r="N299" s="470">
        <f t="shared" ca="1" si="94"/>
        <v>22.45</v>
      </c>
      <c r="O299" s="471"/>
      <c r="P299" s="55">
        <v>0</v>
      </c>
      <c r="Q299" s="472">
        <v>0</v>
      </c>
      <c r="R299" s="472"/>
      <c r="S299" s="472">
        <v>0</v>
      </c>
      <c r="T299" s="472"/>
      <c r="U299" s="472">
        <v>0</v>
      </c>
      <c r="V299" s="472"/>
      <c r="W299" s="464">
        <f t="shared" ca="1" si="95"/>
        <v>22.45</v>
      </c>
      <c r="X299" s="465"/>
      <c r="Y299" s="55">
        <f ca="1">IF(OR(W299="",W299=0),0,IF(W299="X",MatchDay!$U$2+MatchDay!$U$2+1-COUNTIF(Distance!W296:W299,"X"),RANK(W299,$W296:$X311,0)))</f>
        <v>4</v>
      </c>
      <c r="Z299" s="19" t="str">
        <f ca="1">IFERROR(IF(Y299=0,0,IF(OR(VLOOKUP(AG299,E304:Y311,21,FALSE)=0,Y299&lt;=VLOOKUP(AG299,E304:Y311,21,FALSE)),"A","B")),"")</f>
        <v>A</v>
      </c>
      <c r="AA299" s="19">
        <f ca="1">IFERROR(IF(Z299="B","",RANK(AD299,AD296:AD311,1)),"")</f>
        <v>3</v>
      </c>
      <c r="AB299" s="19" t="str">
        <f ca="1">IFERROR(IF(Z299="A","",RANK(AE299,AE296:AE311,1)),"")</f>
        <v/>
      </c>
      <c r="AD299" s="9">
        <f t="shared" ca="1" si="96"/>
        <v>4</v>
      </c>
      <c r="AE299" s="9" t="str">
        <f t="shared" ca="1" si="97"/>
        <v/>
      </c>
      <c r="AF299" s="9" t="s">
        <v>138</v>
      </c>
      <c r="AG299" s="4">
        <f>IFERROR(IF(A295=0,E299*11,E299&amp;E299),"")</f>
        <v>77</v>
      </c>
    </row>
    <row r="300" spans="1:33" s="4" customFormat="1" ht="16.149999999999999" customHeight="1" x14ac:dyDescent="0.35">
      <c r="A300" s="8">
        <f>IFERROR(IF(D300&gt;MatchDay!$U$2,"-",VLOOKUP(A292,timetables,MatchDay!$U$4+4,FALSE)),0)</f>
        <v>3</v>
      </c>
      <c r="B300" s="7">
        <f t="shared" ca="1" si="91"/>
        <v>1</v>
      </c>
      <c r="C300" s="7" t="str">
        <f t="shared" ca="1" si="92"/>
        <v/>
      </c>
      <c r="D300" s="55">
        <v>5</v>
      </c>
      <c r="E300" s="17">
        <f t="shared" si="93"/>
        <v>3</v>
      </c>
      <c r="F300" s="319" t="str">
        <f>IFERROR(VLOOKUP($A292&amp;E300,downloads!$A$1:$E$1000,2,FALSE),"")</f>
        <v>Oscar FINCH</v>
      </c>
      <c r="G300" s="18" t="str">
        <f t="shared" si="90"/>
        <v>Leigh</v>
      </c>
      <c r="H300" s="464">
        <f ca="1">IFERROR(INDIRECT(CONCATENATE("'Distance Input'!"&amp;B294&amp;C294+4)),"")</f>
        <v>31.74</v>
      </c>
      <c r="I300" s="465"/>
      <c r="J300" s="464">
        <v>0</v>
      </c>
      <c r="K300" s="465"/>
      <c r="L300" s="464">
        <v>0</v>
      </c>
      <c r="M300" s="465"/>
      <c r="N300" s="470">
        <f t="shared" ca="1" si="94"/>
        <v>31.74</v>
      </c>
      <c r="O300" s="471"/>
      <c r="P300" s="55">
        <v>0</v>
      </c>
      <c r="Q300" s="472">
        <v>0</v>
      </c>
      <c r="R300" s="472"/>
      <c r="S300" s="472">
        <v>0</v>
      </c>
      <c r="T300" s="472"/>
      <c r="U300" s="472">
        <v>0</v>
      </c>
      <c r="V300" s="472"/>
      <c r="W300" s="464">
        <f t="shared" ca="1" si="95"/>
        <v>31.74</v>
      </c>
      <c r="X300" s="465"/>
      <c r="Y300" s="55">
        <f ca="1">IF(OR(W300="",W300=0),0,IF(W300="X",MatchDay!$U$2+MatchDay!$U$2+1-COUNTIF(Distance!W296:W300,"X"),RANK(W300,$W296:$X311,0)))</f>
        <v>1</v>
      </c>
      <c r="Z300" s="19" t="str">
        <f ca="1">IFERROR(IF(Y300=0,0,IF(OR(VLOOKUP(AG300,E304:Y311,21,FALSE)=0,Y300&lt;=VLOOKUP(AG300,E304:Y311,21,FALSE)),"A","B")),"")</f>
        <v>A</v>
      </c>
      <c r="AA300" s="19">
        <f ca="1">IFERROR(IF(Z300="B","",RANK(AD300,AD296:AD311,1)),"")</f>
        <v>1</v>
      </c>
      <c r="AB300" s="19" t="str">
        <f ca="1">IFERROR(IF(Z300="A","",RANK(AE300,AE296:AE311,1)),"")</f>
        <v/>
      </c>
      <c r="AD300" s="9">
        <f t="shared" ca="1" si="96"/>
        <v>1</v>
      </c>
      <c r="AE300" s="9" t="str">
        <f t="shared" ca="1" si="97"/>
        <v/>
      </c>
      <c r="AF300" s="9" t="s">
        <v>138</v>
      </c>
      <c r="AG300" s="4">
        <f>IFERROR(IF(A295=0,E300*11,E300&amp;E300),"")</f>
        <v>33</v>
      </c>
    </row>
    <row r="301" spans="1:33" s="4" customFormat="1" ht="16.149999999999999" customHeight="1" x14ac:dyDescent="0.35">
      <c r="A301" s="8">
        <f>IFERROR(IF(D301&gt;MatchDay!$U$2,"-",VLOOKUP(A292,timetables,MatchDay!$U$4+5,FALSE)),0)</f>
        <v>4</v>
      </c>
      <c r="B301" s="7">
        <f t="shared" ca="1" si="91"/>
        <v>4</v>
      </c>
      <c r="C301" s="7" t="str">
        <f t="shared" ca="1" si="92"/>
        <v/>
      </c>
      <c r="D301" s="55">
        <v>6</v>
      </c>
      <c r="E301" s="17">
        <f t="shared" si="93"/>
        <v>4</v>
      </c>
      <c r="F301" s="319" t="str">
        <f>IFERROR(VLOOKUP($A292&amp;E301,downloads!$A$1:$E$1000,2,FALSE),"")</f>
        <v>Robert NWANKWO</v>
      </c>
      <c r="G301" s="18" t="str">
        <f t="shared" si="90"/>
        <v>Macc</v>
      </c>
      <c r="H301" s="464">
        <f ca="1">IFERROR(INDIRECT(CONCATENATE("'Distance Input'!"&amp;B294&amp;C294+5)),"")</f>
        <v>19.25</v>
      </c>
      <c r="I301" s="465"/>
      <c r="J301" s="464">
        <v>0</v>
      </c>
      <c r="K301" s="465"/>
      <c r="L301" s="464">
        <v>0</v>
      </c>
      <c r="M301" s="465"/>
      <c r="N301" s="470">
        <f t="shared" ca="1" si="94"/>
        <v>19.25</v>
      </c>
      <c r="O301" s="471"/>
      <c r="P301" s="55">
        <v>0</v>
      </c>
      <c r="Q301" s="472">
        <v>0</v>
      </c>
      <c r="R301" s="472"/>
      <c r="S301" s="472">
        <v>0</v>
      </c>
      <c r="T301" s="472"/>
      <c r="U301" s="472">
        <v>0</v>
      </c>
      <c r="V301" s="472"/>
      <c r="W301" s="464">
        <f t="shared" ca="1" si="95"/>
        <v>19.25</v>
      </c>
      <c r="X301" s="465"/>
      <c r="Y301" s="55">
        <f ca="1">IF(OR(W301="",W301=0),0,IF(W301="X",MatchDay!$U$2+MatchDay!$U$2+1-COUNTIF(Distance!W296:W301,"X"),RANK(W301,$W296:$X311,0)))</f>
        <v>5</v>
      </c>
      <c r="Z301" s="19" t="str">
        <f ca="1">IFERROR(IF(Y301=0,0,IF(OR(VLOOKUP(AG301,E304:Y311,21,FALSE)=0,Y301&lt;=VLOOKUP(AG301,E304:Y311,21,FALSE)),"A","B")),"")</f>
        <v>A</v>
      </c>
      <c r="AA301" s="19">
        <f ca="1">IFERROR(IF(Z301="B","",RANK(AD301,AD296:AD311,1)),"")</f>
        <v>4</v>
      </c>
      <c r="AB301" s="19" t="str">
        <f ca="1">IFERROR(IF(Z301="A","",RANK(AE301,AE296:AE311,1)),"")</f>
        <v/>
      </c>
      <c r="AD301" s="9">
        <f t="shared" ca="1" si="96"/>
        <v>5</v>
      </c>
      <c r="AE301" s="9" t="str">
        <f t="shared" ca="1" si="97"/>
        <v/>
      </c>
      <c r="AF301" s="9" t="s">
        <v>138</v>
      </c>
      <c r="AG301" s="4">
        <f>IFERROR(IF(A295=0,E301*11,E301&amp;E301),"")</f>
        <v>44</v>
      </c>
    </row>
    <row r="302" spans="1:33" s="4" customFormat="1" ht="16.149999999999999" customHeight="1" x14ac:dyDescent="0.35">
      <c r="A302" s="8">
        <f>IFERROR(IF(D302&gt;MatchDay!$U$2,"-",VLOOKUP(A292,timetables,MatchDay!$U$4+6,FALSE)),0)</f>
        <v>5</v>
      </c>
      <c r="B302" s="7" t="str">
        <f t="shared" ca="1" si="91"/>
        <v/>
      </c>
      <c r="C302" s="7" t="str">
        <f t="shared" ca="1" si="92"/>
        <v/>
      </c>
      <c r="D302" s="55">
        <v>7</v>
      </c>
      <c r="E302" s="17">
        <f t="shared" si="93"/>
        <v>5</v>
      </c>
      <c r="F302" s="319" t="str">
        <f>IFERROR(VLOOKUP($A292&amp;E302,downloads!$A$1:$E$1000,2,FALSE),"")</f>
        <v/>
      </c>
      <c r="G302" s="18" t="str">
        <f t="shared" si="90"/>
        <v>Menai</v>
      </c>
      <c r="H302" s="464">
        <f ca="1">IFERROR(INDIRECT(CONCATENATE("'Distance Input'!"&amp;B294&amp;C294+6)),"")</f>
        <v>0</v>
      </c>
      <c r="I302" s="465"/>
      <c r="J302" s="464">
        <v>0</v>
      </c>
      <c r="K302" s="465"/>
      <c r="L302" s="464">
        <v>0</v>
      </c>
      <c r="M302" s="465"/>
      <c r="N302" s="470">
        <f t="shared" ca="1" si="94"/>
        <v>0</v>
      </c>
      <c r="O302" s="471"/>
      <c r="P302" s="55">
        <v>0</v>
      </c>
      <c r="Q302" s="472">
        <v>0</v>
      </c>
      <c r="R302" s="472"/>
      <c r="S302" s="472">
        <v>0</v>
      </c>
      <c r="T302" s="472"/>
      <c r="U302" s="472">
        <v>0</v>
      </c>
      <c r="V302" s="472"/>
      <c r="W302" s="464">
        <f t="shared" ca="1" si="95"/>
        <v>0</v>
      </c>
      <c r="X302" s="465"/>
      <c r="Y302" s="55">
        <f ca="1">IF(OR(W302="",W302=0),0,IF(W302="X",MatchDay!$U$2+MatchDay!$U$2+1-COUNTIF(Distance!W296:W302,"X"),RANK(W302,$W296:$X311,0)))</f>
        <v>0</v>
      </c>
      <c r="Z302" s="19">
        <f ca="1">IFERROR(IF(Y302=0,0,IF(OR(VLOOKUP(AG302,E304:Y311,21,FALSE)=0,Y302&lt;=VLOOKUP(AG302,E304:Y311,21,FALSE)),"A","B")),"")</f>
        <v>0</v>
      </c>
      <c r="AA302" s="19" t="str">
        <f ca="1">IFERROR(IF(Z302="B","",RANK(AD302,AD296:AD311,1)),"")</f>
        <v/>
      </c>
      <c r="AB302" s="19" t="str">
        <f ca="1">IFERROR(IF(Z302="A","",RANK(AE302,AE296:AE311,1)),"")</f>
        <v/>
      </c>
      <c r="AD302" s="9" t="str">
        <f t="shared" ca="1" si="96"/>
        <v/>
      </c>
      <c r="AE302" s="9" t="str">
        <f t="shared" ca="1" si="97"/>
        <v/>
      </c>
      <c r="AF302" s="9" t="s">
        <v>138</v>
      </c>
      <c r="AG302" s="4">
        <f>IFERROR(IF(A295=0,E302*11,E302&amp;E302),"")</f>
        <v>55</v>
      </c>
    </row>
    <row r="303" spans="1:33" s="4" customFormat="1" ht="16.149999999999999" customHeight="1" x14ac:dyDescent="0.35">
      <c r="A303" s="8" t="str">
        <f>IFERROR(IF(D303&gt;MatchDay!$U$2,"-",VLOOKUP(A292,timetables,MatchDay!$U$4+7,FALSE)),0)</f>
        <v>-</v>
      </c>
      <c r="B303" s="7" t="str">
        <f t="shared" ca="1" si="91"/>
        <v/>
      </c>
      <c r="C303" s="7" t="str">
        <f t="shared" ca="1" si="92"/>
        <v/>
      </c>
      <c r="D303" s="55">
        <v>8</v>
      </c>
      <c r="E303" s="17" t="str">
        <f t="shared" si="93"/>
        <v>-</v>
      </c>
      <c r="F303" s="319" t="str">
        <f>IFERROR(VLOOKUP($A292&amp;E303,downloads!$A$1:$E$1000,2,FALSE),"")</f>
        <v/>
      </c>
      <c r="G303" s="18" t="str">
        <f t="shared" si="90"/>
        <v/>
      </c>
      <c r="H303" s="464">
        <f ca="1">IFERROR(INDIRECT(CONCATENATE("'Distance Input'!"&amp;B294&amp;C294+7)),"")</f>
        <v>0</v>
      </c>
      <c r="I303" s="465"/>
      <c r="J303" s="464">
        <v>0</v>
      </c>
      <c r="K303" s="465"/>
      <c r="L303" s="464">
        <v>0</v>
      </c>
      <c r="M303" s="465"/>
      <c r="N303" s="470">
        <f t="shared" ca="1" si="94"/>
        <v>0</v>
      </c>
      <c r="O303" s="471"/>
      <c r="P303" s="55">
        <v>0</v>
      </c>
      <c r="Q303" s="472">
        <v>0</v>
      </c>
      <c r="R303" s="472"/>
      <c r="S303" s="472">
        <v>0</v>
      </c>
      <c r="T303" s="472"/>
      <c r="U303" s="472">
        <v>0</v>
      </c>
      <c r="V303" s="472"/>
      <c r="W303" s="464">
        <f t="shared" ca="1" si="95"/>
        <v>0</v>
      </c>
      <c r="X303" s="465"/>
      <c r="Y303" s="55">
        <f ca="1">IF(OR(W303="",W303=0),0,IF(W303="X",MatchDay!$U$2+MatchDay!$U$2+1-COUNTIF(Distance!W296:W303,"X"),RANK(W303,$W296:$X311,0)))</f>
        <v>0</v>
      </c>
      <c r="Z303" s="19">
        <f ca="1">IFERROR(IF(Y303=0,0,IF(OR(VLOOKUP(AG303,E304:Y311,21,FALSE)=0,Y303&lt;=VLOOKUP(AG303,E304:Y311,21,FALSE)),"A","B")),"")</f>
        <v>0</v>
      </c>
      <c r="AA303" s="19" t="str">
        <f ca="1">IFERROR(IF(Z303="B","",RANK(AD303,AD296:AD311,1)),"")</f>
        <v/>
      </c>
      <c r="AB303" s="19" t="str">
        <f ca="1">IFERROR(IF(Z303="A","",RANK(AE303,AE296:AE311,1)),"")</f>
        <v/>
      </c>
      <c r="AD303" s="9" t="str">
        <f t="shared" ca="1" si="96"/>
        <v/>
      </c>
      <c r="AE303" s="9" t="str">
        <f t="shared" ca="1" si="97"/>
        <v/>
      </c>
      <c r="AF303" s="9" t="s">
        <v>138</v>
      </c>
      <c r="AG303" s="4" t="str">
        <f>IFERROR(IF(A295=0,E303*11,E303&amp;E303),"")</f>
        <v/>
      </c>
    </row>
    <row r="304" spans="1:33" s="4" customFormat="1" ht="16.149999999999999" customHeight="1" x14ac:dyDescent="0.35">
      <c r="A304" s="8">
        <f>IFERROR(IF(A295=0,A296*11,A296&amp;A296),"-")</f>
        <v>11</v>
      </c>
      <c r="B304" s="7" t="str">
        <f t="shared" ca="1" si="91"/>
        <v/>
      </c>
      <c r="C304" s="7">
        <f t="shared" ca="1" si="92"/>
        <v>4</v>
      </c>
      <c r="D304" s="55">
        <v>9</v>
      </c>
      <c r="E304" s="17">
        <f t="shared" si="93"/>
        <v>11</v>
      </c>
      <c r="F304" s="319" t="str">
        <f>IFERROR(VLOOKUP($A292&amp;E304,downloads!$A$1:$E$1000,2,FALSE),"")</f>
        <v>Gabriel BRZEZINSKI</v>
      </c>
      <c r="G304" s="18" t="str">
        <f t="shared" si="90"/>
        <v>C&amp;N</v>
      </c>
      <c r="H304" s="464">
        <f ca="1">IFERROR(INDIRECT(CONCATENATE("'Distance Input'!"&amp;B294&amp;C294+8)),"")</f>
        <v>12.41</v>
      </c>
      <c r="I304" s="465"/>
      <c r="J304" s="464">
        <v>0</v>
      </c>
      <c r="K304" s="465"/>
      <c r="L304" s="464">
        <v>0</v>
      </c>
      <c r="M304" s="465"/>
      <c r="N304" s="470">
        <f t="shared" ca="1" si="94"/>
        <v>12.41</v>
      </c>
      <c r="O304" s="471"/>
      <c r="P304" s="55">
        <v>0</v>
      </c>
      <c r="Q304" s="472">
        <v>0</v>
      </c>
      <c r="R304" s="472"/>
      <c r="S304" s="472">
        <v>0</v>
      </c>
      <c r="T304" s="472"/>
      <c r="U304" s="472">
        <v>0</v>
      </c>
      <c r="V304" s="472"/>
      <c r="W304" s="464">
        <f t="shared" ca="1" si="95"/>
        <v>12.41</v>
      </c>
      <c r="X304" s="465"/>
      <c r="Y304" s="55">
        <f ca="1">IF(OR(W304="",W304=0),0,IF(W304="X",MatchDay!$U$2+MatchDay!$U$2+1-COUNTIF(Distance!W296:W304,"X"),RANK(W304,$W296:$X311,0)))</f>
        <v>9</v>
      </c>
      <c r="Z304" s="19" t="str">
        <f ca="1">IFERROR(IF(Y304=0,0,IF(VLOOKUP(AG304,E296:Y303,21,FALSE)=0,"A",IF(Y304&gt;=VLOOKUP(AG304,E296:Y303,21,FALSE),"B","A"))),"")</f>
        <v>B</v>
      </c>
      <c r="AA304" s="19" t="str">
        <f ca="1">IFERROR(IF(Z304="B","",RANK(AD304,AD296:AD311,1)),"")</f>
        <v/>
      </c>
      <c r="AB304" s="19">
        <f ca="1">IFERROR(IF(Z304="A","",RANK(AE304,AE296:AE311,1)),"")</f>
        <v>4</v>
      </c>
      <c r="AD304" s="9" t="str">
        <f t="shared" ca="1" si="96"/>
        <v/>
      </c>
      <c r="AE304" s="9">
        <f t="shared" ca="1" si="97"/>
        <v>9</v>
      </c>
      <c r="AF304" s="9" t="s">
        <v>138</v>
      </c>
      <c r="AG304" s="4">
        <f>IFERROR(IF(A295=0,E304/11,LEFT(E304,1)),"")</f>
        <v>1</v>
      </c>
    </row>
    <row r="305" spans="1:33" s="4" customFormat="1" ht="16.149999999999999" customHeight="1" x14ac:dyDescent="0.35">
      <c r="A305" s="8">
        <f>IFERROR(IF(A295=0,A297*11,A297&amp;A297),"-")</f>
        <v>22</v>
      </c>
      <c r="B305" s="7" t="str">
        <f t="shared" ca="1" si="91"/>
        <v/>
      </c>
      <c r="C305" s="7">
        <f t="shared" ca="1" si="92"/>
        <v>3</v>
      </c>
      <c r="D305" s="55">
        <v>10</v>
      </c>
      <c r="E305" s="17">
        <f t="shared" si="93"/>
        <v>22</v>
      </c>
      <c r="F305" s="319" t="str">
        <f>IFERROR(VLOOKUP($A292&amp;E305,downloads!$A$1:$E$1000,2,FALSE),"")</f>
        <v>James NELSON</v>
      </c>
      <c r="G305" s="18" t="str">
        <f t="shared" si="90"/>
        <v>ECHT</v>
      </c>
      <c r="H305" s="464">
        <f ca="1">IFERROR(INDIRECT(CONCATENATE("'Distance Input'!"&amp;B294&amp;C294+9)),"")</f>
        <v>14.58</v>
      </c>
      <c r="I305" s="465"/>
      <c r="J305" s="464">
        <v>0</v>
      </c>
      <c r="K305" s="465"/>
      <c r="L305" s="464">
        <v>0</v>
      </c>
      <c r="M305" s="465"/>
      <c r="N305" s="470">
        <f t="shared" ca="1" si="94"/>
        <v>14.58</v>
      </c>
      <c r="O305" s="471"/>
      <c r="P305" s="55">
        <v>0</v>
      </c>
      <c r="Q305" s="472">
        <v>0</v>
      </c>
      <c r="R305" s="472"/>
      <c r="S305" s="472">
        <v>0</v>
      </c>
      <c r="T305" s="472"/>
      <c r="U305" s="472">
        <v>0</v>
      </c>
      <c r="V305" s="472"/>
      <c r="W305" s="464">
        <f t="shared" ca="1" si="95"/>
        <v>14.58</v>
      </c>
      <c r="X305" s="465"/>
      <c r="Y305" s="55">
        <f ca="1">IF(OR(W305="",W305=0),0,IF(W305="X",MatchDay!$U$2+MatchDay!$U$2+1-COUNTIF(Distance!W296:W305,"X"),RANK(W305,$W296:$X311,0)))</f>
        <v>8</v>
      </c>
      <c r="Z305" s="19" t="str">
        <f ca="1">IFERROR(IF(Y305=0,0,IF(VLOOKUP(AG305,E296:Y303,21,FALSE)=0,"A",IF(Y305&gt;=VLOOKUP(AG305,E296:Y303,21,FALSE),"B","A"))),"")</f>
        <v>B</v>
      </c>
      <c r="AA305" s="19" t="str">
        <f ca="1">IFERROR(IF(Z305="B","",RANK(AD305,AD296:AD311,1)),"")</f>
        <v/>
      </c>
      <c r="AB305" s="19">
        <f ca="1">IFERROR(IF(Z305="A","",RANK(AE305,AE296:AE311,1)),"")</f>
        <v>3</v>
      </c>
      <c r="AD305" s="9" t="str">
        <f t="shared" ca="1" si="96"/>
        <v/>
      </c>
      <c r="AE305" s="9">
        <f t="shared" ca="1" si="97"/>
        <v>8</v>
      </c>
      <c r="AF305" s="9" t="s">
        <v>138</v>
      </c>
      <c r="AG305" s="4">
        <f>IFERROR(IF(A295=0,E305/11,LEFT(E305,1)),"")</f>
        <v>2</v>
      </c>
    </row>
    <row r="306" spans="1:33" s="4" customFormat="1" ht="16.149999999999999" customHeight="1" x14ac:dyDescent="0.35">
      <c r="A306" s="8">
        <f>IFERROR(IF(A295=0,A298*11,A298&amp;A298),"-")</f>
        <v>66</v>
      </c>
      <c r="B306" s="7" t="str">
        <f t="shared" ca="1" si="91"/>
        <v/>
      </c>
      <c r="C306" s="7" t="str">
        <f t="shared" ca="1" si="92"/>
        <v/>
      </c>
      <c r="D306" s="55">
        <v>11</v>
      </c>
      <c r="E306" s="17">
        <f t="shared" si="93"/>
        <v>66</v>
      </c>
      <c r="F306" s="319" t="str">
        <f>IFERROR(VLOOKUP($A292&amp;E306,downloads!$A$1:$E$1000,2,FALSE),"")</f>
        <v/>
      </c>
      <c r="G306" s="18" t="str">
        <f t="shared" si="90"/>
        <v>Stock</v>
      </c>
      <c r="H306" s="464">
        <f ca="1">IFERROR(INDIRECT(CONCATENATE("'Distance Input'!"&amp;B294&amp;C294+10)),"")</f>
        <v>0</v>
      </c>
      <c r="I306" s="465"/>
      <c r="J306" s="464">
        <v>0</v>
      </c>
      <c r="K306" s="465"/>
      <c r="L306" s="464">
        <v>0</v>
      </c>
      <c r="M306" s="465"/>
      <c r="N306" s="470">
        <f t="shared" ca="1" si="94"/>
        <v>0</v>
      </c>
      <c r="O306" s="471"/>
      <c r="P306" s="55">
        <v>0</v>
      </c>
      <c r="Q306" s="472">
        <v>0</v>
      </c>
      <c r="R306" s="472"/>
      <c r="S306" s="472">
        <v>0</v>
      </c>
      <c r="T306" s="472"/>
      <c r="U306" s="472">
        <v>0</v>
      </c>
      <c r="V306" s="472"/>
      <c r="W306" s="464">
        <f t="shared" ca="1" si="95"/>
        <v>0</v>
      </c>
      <c r="X306" s="465"/>
      <c r="Y306" s="55">
        <f ca="1">IF(OR(W306="",W306=0),0,IF(W306="X",MatchDay!$U$2+MatchDay!$U$2+1-COUNTIF(Distance!W296:W306,"X"),RANK(W306,$W296:$X311,0)))</f>
        <v>0</v>
      </c>
      <c r="Z306" s="19">
        <f ca="1">IFERROR(IF(Y306=0,0,IF(VLOOKUP(AG306,E296:Y303,21,FALSE)=0,"A",IF(Y306&gt;=VLOOKUP(AG306,E296:Y303,21,FALSE),"B","A"))),"")</f>
        <v>0</v>
      </c>
      <c r="AA306" s="19" t="str">
        <f ca="1">IFERROR(IF(Z306="B","",RANK(AD306,AD296:AD311,1)),"")</f>
        <v/>
      </c>
      <c r="AB306" s="19" t="str">
        <f ca="1">IFERROR(IF(Z306="A","",RANK(AE306,AE296:AE311,1)),"")</f>
        <v/>
      </c>
      <c r="AD306" s="9" t="str">
        <f t="shared" ca="1" si="96"/>
        <v/>
      </c>
      <c r="AE306" s="9" t="str">
        <f t="shared" ca="1" si="97"/>
        <v/>
      </c>
      <c r="AF306" s="9" t="s">
        <v>138</v>
      </c>
      <c r="AG306" s="4">
        <f>IFERROR(IF(A295=0,E306/11,LEFT(E306,1)),"")</f>
        <v>6</v>
      </c>
    </row>
    <row r="307" spans="1:33" s="4" customFormat="1" ht="16.149999999999999" customHeight="1" x14ac:dyDescent="0.35">
      <c r="A307" s="8">
        <f>IFERROR(IF(A295=0,A299*11,A299&amp;A299),"-")</f>
        <v>77</v>
      </c>
      <c r="B307" s="7" t="str">
        <f t="shared" ca="1" si="91"/>
        <v/>
      </c>
      <c r="C307" s="7">
        <f t="shared" ca="1" si="92"/>
        <v>5</v>
      </c>
      <c r="D307" s="55">
        <v>12</v>
      </c>
      <c r="E307" s="17">
        <f t="shared" si="93"/>
        <v>77</v>
      </c>
      <c r="F307" s="319" t="str">
        <f>IFERROR(VLOOKUP($A292&amp;E307,downloads!$A$1:$E$1000,2,FALSE),"")</f>
        <v>Charlie STRETTON</v>
      </c>
      <c r="G307" s="18" t="str">
        <f t="shared" si="90"/>
        <v>Wigan</v>
      </c>
      <c r="H307" s="464">
        <f ca="1">IFERROR(INDIRECT(CONCATENATE("'Distance Input'!"&amp;B294&amp;C294+11)),"")</f>
        <v>10.91</v>
      </c>
      <c r="I307" s="465"/>
      <c r="J307" s="464">
        <v>0</v>
      </c>
      <c r="K307" s="465"/>
      <c r="L307" s="464">
        <v>0</v>
      </c>
      <c r="M307" s="465"/>
      <c r="N307" s="470">
        <f t="shared" ca="1" si="94"/>
        <v>10.91</v>
      </c>
      <c r="O307" s="471"/>
      <c r="P307" s="55">
        <v>0</v>
      </c>
      <c r="Q307" s="472">
        <v>0</v>
      </c>
      <c r="R307" s="472"/>
      <c r="S307" s="472">
        <v>0</v>
      </c>
      <c r="T307" s="472"/>
      <c r="U307" s="472">
        <v>0</v>
      </c>
      <c r="V307" s="472"/>
      <c r="W307" s="464">
        <f t="shared" ca="1" si="95"/>
        <v>10.91</v>
      </c>
      <c r="X307" s="465"/>
      <c r="Y307" s="55">
        <f ca="1">IF(OR(W307="",W307=0),0,IF(W307="X",MatchDay!$U$2+MatchDay!$U$2+1-COUNTIF(Distance!W296:W307,"X"),RANK(W307,$W296:$X311,0)))</f>
        <v>10</v>
      </c>
      <c r="Z307" s="19" t="str">
        <f ca="1">IFERROR(IF(Y307=0,0,IF(VLOOKUP(AG307,E296:Y303,21,FALSE)=0,"A",IF(Y307&gt;=VLOOKUP(AG307,E296:Y303,21,FALSE),"B","A"))),"")</f>
        <v>B</v>
      </c>
      <c r="AA307" s="19" t="str">
        <f ca="1">IFERROR(IF(Z307="B","",RANK(AD307,AD296:AD311,1)),"")</f>
        <v/>
      </c>
      <c r="AB307" s="19">
        <f ca="1">IFERROR(IF(Z307="A","",RANK(AE307,AE296:AE311,1)),"")</f>
        <v>5</v>
      </c>
      <c r="AD307" s="9" t="str">
        <f t="shared" ca="1" si="96"/>
        <v/>
      </c>
      <c r="AE307" s="9">
        <f t="shared" ca="1" si="97"/>
        <v>10</v>
      </c>
      <c r="AF307" s="9" t="s">
        <v>138</v>
      </c>
      <c r="AG307" s="4">
        <f>IFERROR(IF(A295=0,E307/11,LEFT(E307,1)),"")</f>
        <v>7</v>
      </c>
    </row>
    <row r="308" spans="1:33" s="4" customFormat="1" ht="16.149999999999999" customHeight="1" x14ac:dyDescent="0.35">
      <c r="A308" s="8">
        <f>IFERROR(IF(A295=0,A300*11,A300&amp;A300),"-")</f>
        <v>33</v>
      </c>
      <c r="B308" s="7" t="str">
        <f t="shared" ca="1" si="91"/>
        <v/>
      </c>
      <c r="C308" s="7">
        <f t="shared" ca="1" si="92"/>
        <v>1</v>
      </c>
      <c r="D308" s="55">
        <v>13</v>
      </c>
      <c r="E308" s="17">
        <f t="shared" si="93"/>
        <v>33</v>
      </c>
      <c r="F308" s="319" t="str">
        <f>IFERROR(VLOOKUP($A292&amp;E308,downloads!$A$1:$E$1000,2,FALSE),"")</f>
        <v>James HOWARTH-LINTON</v>
      </c>
      <c r="G308" s="18" t="str">
        <f t="shared" si="90"/>
        <v>Leigh</v>
      </c>
      <c r="H308" s="464">
        <f ca="1">IFERROR(INDIRECT(CONCATENATE("'Distance Input'!"&amp;B294&amp;C294+12)),"")</f>
        <v>25.74</v>
      </c>
      <c r="I308" s="465"/>
      <c r="J308" s="464">
        <v>0</v>
      </c>
      <c r="K308" s="465"/>
      <c r="L308" s="464">
        <v>0</v>
      </c>
      <c r="M308" s="465"/>
      <c r="N308" s="470">
        <f t="shared" ca="1" si="94"/>
        <v>25.74</v>
      </c>
      <c r="O308" s="471"/>
      <c r="P308" s="55">
        <v>0</v>
      </c>
      <c r="Q308" s="472">
        <v>0</v>
      </c>
      <c r="R308" s="472"/>
      <c r="S308" s="472">
        <v>0</v>
      </c>
      <c r="T308" s="472"/>
      <c r="U308" s="472">
        <v>0</v>
      </c>
      <c r="V308" s="472"/>
      <c r="W308" s="464">
        <f t="shared" ca="1" si="95"/>
        <v>25.74</v>
      </c>
      <c r="X308" s="465"/>
      <c r="Y308" s="55">
        <f ca="1">IF(OR(W308="",W308=0),0,IF(W308="X",MatchDay!$U$2+MatchDay!$U$2+1-COUNTIF(Distance!W296:W308,"X"),RANK(W308,$W296:$X311,0)))</f>
        <v>3</v>
      </c>
      <c r="Z308" s="19" t="str">
        <f ca="1">IFERROR(IF(Y308=0,0,IF(VLOOKUP(AG308,E296:Y303,21,FALSE)=0,"A",IF(Y308&gt;=VLOOKUP(AG308,E296:Y303,21,FALSE),"B","A"))),"")</f>
        <v>B</v>
      </c>
      <c r="AA308" s="19" t="str">
        <f ca="1">IFERROR(IF(Z308="B","",RANK(AD308,AD296:AD311,1)),"")</f>
        <v/>
      </c>
      <c r="AB308" s="19">
        <f ca="1">IFERROR(IF(Z308="A","",RANK(AE308,AE296:AE311,1)),"")</f>
        <v>1</v>
      </c>
      <c r="AD308" s="9" t="str">
        <f t="shared" ca="1" si="96"/>
        <v/>
      </c>
      <c r="AE308" s="9">
        <f t="shared" ca="1" si="97"/>
        <v>3</v>
      </c>
      <c r="AF308" s="9" t="s">
        <v>138</v>
      </c>
      <c r="AG308" s="4">
        <f>IFERROR(IF(A295=0,E308/11,LEFT(E308,1)),"")</f>
        <v>3</v>
      </c>
    </row>
    <row r="309" spans="1:33" s="4" customFormat="1" ht="16.149999999999999" customHeight="1" x14ac:dyDescent="0.35">
      <c r="A309" s="8">
        <f>IFERROR(IF(A295=0,A301*11,A301&amp;A301),"-")</f>
        <v>44</v>
      </c>
      <c r="B309" s="7" t="str">
        <f t="shared" ca="1" si="91"/>
        <v/>
      </c>
      <c r="C309" s="7">
        <f t="shared" ca="1" si="92"/>
        <v>2</v>
      </c>
      <c r="D309" s="55">
        <v>14</v>
      </c>
      <c r="E309" s="17">
        <f t="shared" si="93"/>
        <v>44</v>
      </c>
      <c r="F309" s="319" t="str">
        <f>IFERROR(VLOOKUP($A292&amp;E309,downloads!$A$1:$E$1000,2,FALSE),"")</f>
        <v>Isaac BAKER</v>
      </c>
      <c r="G309" s="18" t="str">
        <f t="shared" si="90"/>
        <v>Macc</v>
      </c>
      <c r="H309" s="464">
        <f ca="1">IFERROR(INDIRECT(CONCATENATE("'Distance Input'!"&amp;B294&amp;C294+13)),"")</f>
        <v>14.64</v>
      </c>
      <c r="I309" s="465"/>
      <c r="J309" s="464">
        <v>0</v>
      </c>
      <c r="K309" s="465"/>
      <c r="L309" s="464">
        <v>0</v>
      </c>
      <c r="M309" s="465"/>
      <c r="N309" s="470">
        <f t="shared" ca="1" si="94"/>
        <v>14.64</v>
      </c>
      <c r="O309" s="471"/>
      <c r="P309" s="55">
        <v>0</v>
      </c>
      <c r="Q309" s="472">
        <v>0</v>
      </c>
      <c r="R309" s="472"/>
      <c r="S309" s="472">
        <v>0</v>
      </c>
      <c r="T309" s="472"/>
      <c r="U309" s="472">
        <v>0</v>
      </c>
      <c r="V309" s="472"/>
      <c r="W309" s="464">
        <f t="shared" ca="1" si="95"/>
        <v>14.64</v>
      </c>
      <c r="X309" s="465"/>
      <c r="Y309" s="55">
        <f ca="1">IF(OR(W309="",W309=0),0,IF(W309="X",MatchDay!$U$2+MatchDay!$U$2+1-COUNTIF(Distance!W296:W309,"X"),RANK(W309,$W296:$X311,0)))</f>
        <v>7</v>
      </c>
      <c r="Z309" s="19" t="str">
        <f ca="1">IFERROR(IF(Y309=0,0,IF(VLOOKUP(AG309,E296:Y303,21,FALSE)=0,"A",IF(Y309&gt;=VLOOKUP(AG309,E296:Y303,21,FALSE),"B","A"))),"")</f>
        <v>B</v>
      </c>
      <c r="AA309" s="19" t="str">
        <f ca="1">IFERROR(IF(Z309="B","",RANK(AD309,AD296:AD311,1)),"")</f>
        <v/>
      </c>
      <c r="AB309" s="19">
        <f ca="1">IFERROR(IF(Z309="A","",RANK(AE309,AE296:AE311,1)),"")</f>
        <v>2</v>
      </c>
      <c r="AD309" s="9" t="str">
        <f t="shared" ca="1" si="96"/>
        <v/>
      </c>
      <c r="AE309" s="9">
        <f t="shared" ca="1" si="97"/>
        <v>7</v>
      </c>
      <c r="AF309" s="9" t="s">
        <v>138</v>
      </c>
      <c r="AG309" s="4">
        <f>IFERROR(IF(A295=0,E309/11,LEFT(E309,1)),"")</f>
        <v>4</v>
      </c>
    </row>
    <row r="310" spans="1:33" s="4" customFormat="1" ht="16.149999999999999" customHeight="1" x14ac:dyDescent="0.35">
      <c r="A310" s="8">
        <f>IFERROR(IF(A295=0,A302*11,A302&amp;A302),"-")</f>
        <v>55</v>
      </c>
      <c r="B310" s="7" t="str">
        <f t="shared" ca="1" si="91"/>
        <v/>
      </c>
      <c r="C310" s="7" t="str">
        <f t="shared" ca="1" si="92"/>
        <v/>
      </c>
      <c r="D310" s="55">
        <v>15</v>
      </c>
      <c r="E310" s="17">
        <f t="shared" si="93"/>
        <v>55</v>
      </c>
      <c r="F310" s="319" t="str">
        <f>IFERROR(VLOOKUP($A292&amp;E310,downloads!$A$1:$E$1000,2,FALSE),"")</f>
        <v/>
      </c>
      <c r="G310" s="18" t="str">
        <f t="shared" si="90"/>
        <v>Menai</v>
      </c>
      <c r="H310" s="464">
        <f ca="1">IFERROR(INDIRECT(CONCATENATE("'Distance Input'!"&amp;B294&amp;C294+14)),"")</f>
        <v>0</v>
      </c>
      <c r="I310" s="465"/>
      <c r="J310" s="464">
        <v>0</v>
      </c>
      <c r="K310" s="465"/>
      <c r="L310" s="464">
        <v>0</v>
      </c>
      <c r="M310" s="465"/>
      <c r="N310" s="470">
        <f t="shared" ca="1" si="94"/>
        <v>0</v>
      </c>
      <c r="O310" s="471"/>
      <c r="P310" s="55">
        <v>0</v>
      </c>
      <c r="Q310" s="472">
        <v>0</v>
      </c>
      <c r="R310" s="472"/>
      <c r="S310" s="472">
        <v>0</v>
      </c>
      <c r="T310" s="472"/>
      <c r="U310" s="472">
        <v>0</v>
      </c>
      <c r="V310" s="472"/>
      <c r="W310" s="464">
        <f t="shared" ca="1" si="95"/>
        <v>0</v>
      </c>
      <c r="X310" s="465"/>
      <c r="Y310" s="55">
        <f ca="1">IF(OR(W310="",W310=0),0,IF(W310="X",MatchDay!$U$2+MatchDay!$U$2+1-COUNTIF(Distance!W296:W310,"X"),RANK(W310,$W296:$X311,0)))</f>
        <v>0</v>
      </c>
      <c r="Z310" s="19">
        <f ca="1">IFERROR(IF(Y310=0,0,IF(VLOOKUP(AG310,E296:Y303,21,FALSE)=0,"A",IF(Y310&gt;=VLOOKUP(AG310,E296:Y303,21,FALSE),"B","A"))),"")</f>
        <v>0</v>
      </c>
      <c r="AA310" s="19" t="str">
        <f ca="1">IFERROR(IF(Z310="B","",RANK(AD310,AD296:AD311,1)),"")</f>
        <v/>
      </c>
      <c r="AB310" s="19" t="str">
        <f ca="1">IFERROR(IF(Z310="A","",RANK(AE310,AE296:AE311,1)),"")</f>
        <v/>
      </c>
      <c r="AD310" s="9" t="str">
        <f t="shared" ca="1" si="96"/>
        <v/>
      </c>
      <c r="AE310" s="9" t="str">
        <f t="shared" ca="1" si="97"/>
        <v/>
      </c>
      <c r="AF310" s="9" t="s">
        <v>138</v>
      </c>
      <c r="AG310" s="4">
        <f>IFERROR(IF(A295=0,E310/11,LEFT(E310,1)),"")</f>
        <v>5</v>
      </c>
    </row>
    <row r="311" spans="1:33" s="4" customFormat="1" ht="16.149999999999999" customHeight="1" x14ac:dyDescent="0.35">
      <c r="A311" s="8" t="str">
        <f>IFERROR(IF(A295=0,A303*11,A303&amp;A303),"-")</f>
        <v>-</v>
      </c>
      <c r="B311" s="7" t="str">
        <f t="shared" ca="1" si="91"/>
        <v/>
      </c>
      <c r="C311" s="7" t="str">
        <f t="shared" ca="1" si="92"/>
        <v/>
      </c>
      <c r="D311" s="55">
        <v>16</v>
      </c>
      <c r="E311" s="17" t="str">
        <f t="shared" si="93"/>
        <v>-</v>
      </c>
      <c r="F311" s="319" t="str">
        <f>IFERROR(VLOOKUP($A292&amp;E311,downloads!$A$1:$E$1000,2,FALSE),"")</f>
        <v/>
      </c>
      <c r="G311" s="18" t="str">
        <f t="shared" si="90"/>
        <v/>
      </c>
      <c r="H311" s="464">
        <f ca="1">IFERROR(INDIRECT(CONCATENATE("'Distance Input'!"&amp;B294&amp;C294+15)),"")</f>
        <v>0</v>
      </c>
      <c r="I311" s="465"/>
      <c r="J311" s="464">
        <v>0</v>
      </c>
      <c r="K311" s="465"/>
      <c r="L311" s="464">
        <v>0</v>
      </c>
      <c r="M311" s="465"/>
      <c r="N311" s="470">
        <f t="shared" ca="1" si="94"/>
        <v>0</v>
      </c>
      <c r="O311" s="471"/>
      <c r="P311" s="55">
        <v>0</v>
      </c>
      <c r="Q311" s="472">
        <v>0</v>
      </c>
      <c r="R311" s="472"/>
      <c r="S311" s="472">
        <v>0</v>
      </c>
      <c r="T311" s="472"/>
      <c r="U311" s="472">
        <v>0</v>
      </c>
      <c r="V311" s="472"/>
      <c r="W311" s="464">
        <f t="shared" ca="1" si="95"/>
        <v>0</v>
      </c>
      <c r="X311" s="465"/>
      <c r="Y311" s="55">
        <f ca="1">IF(OR(W311="",W311=0),0,IF(W311="X",MatchDay!$U$2+MatchDay!$U$2+1-COUNTIF(Distance!W296:W311,"X"),RANK(W311,$W296:$X311,0)))</f>
        <v>0</v>
      </c>
      <c r="Z311" s="19">
        <f ca="1">IFERROR(IF(Y311=0,0,IF(VLOOKUP(AG311,E296:Y303,21,FALSE)=0,"A",IF(Y311&gt;=VLOOKUP(AG311,E296:Y303,21,FALSE),"B","A"))),"")</f>
        <v>0</v>
      </c>
      <c r="AA311" s="19" t="str">
        <f ca="1">IFERROR(IF(Z311="B","",RANK(AD311,AD296:AD311,1)),"")</f>
        <v/>
      </c>
      <c r="AB311" s="19" t="str">
        <f ca="1">IFERROR(IF(Z311="A","",RANK(AE311,AE296:AE311,1)),"")</f>
        <v/>
      </c>
      <c r="AD311" s="9" t="str">
        <f t="shared" ca="1" si="96"/>
        <v/>
      </c>
      <c r="AE311" s="9" t="str">
        <f t="shared" ca="1" si="97"/>
        <v/>
      </c>
      <c r="AF311" s="9" t="s">
        <v>138</v>
      </c>
      <c r="AG311" s="4" t="str">
        <f>IFERROR(IF(A295=0,E311/11,LEFT(E311,1)),"")</f>
        <v/>
      </c>
    </row>
    <row r="312" spans="1:33" s="4" customFormat="1" x14ac:dyDescent="0.25">
      <c r="A312" s="8"/>
      <c r="B312" s="10"/>
      <c r="C312" s="3"/>
      <c r="D312" s="20"/>
      <c r="E312" s="20"/>
      <c r="F312" s="21"/>
      <c r="G312" s="21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2"/>
    </row>
    <row r="313" spans="1:33" s="4" customFormat="1" x14ac:dyDescent="0.25">
      <c r="A313" s="8"/>
      <c r="B313" s="10"/>
      <c r="C313" s="3"/>
      <c r="D313" s="469" t="s">
        <v>139</v>
      </c>
      <c r="E313" s="473"/>
      <c r="F313" s="473"/>
      <c r="G313" s="473"/>
      <c r="H313" s="473"/>
      <c r="I313" s="473"/>
      <c r="J313" s="466" t="s">
        <v>140</v>
      </c>
      <c r="K313" s="474"/>
      <c r="L313" s="474"/>
      <c r="M313" s="474"/>
      <c r="N313" s="474"/>
      <c r="O313" s="474"/>
      <c r="P313" s="474"/>
      <c r="Q313" s="474"/>
      <c r="R313" s="474"/>
      <c r="S313" s="474"/>
      <c r="T313" s="474"/>
      <c r="U313" s="475"/>
      <c r="V313" s="466" t="s">
        <v>1136</v>
      </c>
      <c r="W313" s="467"/>
      <c r="X313" s="467"/>
      <c r="Y313" s="467"/>
      <c r="Z313" s="467"/>
      <c r="AA313" s="467"/>
      <c r="AB313" s="468"/>
    </row>
    <row r="314" spans="1:33" s="4" customFormat="1" x14ac:dyDescent="0.25">
      <c r="A314" s="8" t="s">
        <v>55</v>
      </c>
      <c r="B314" s="10"/>
      <c r="C314" s="3"/>
      <c r="D314" s="12"/>
      <c r="E314" s="55" t="s">
        <v>141</v>
      </c>
      <c r="F314" s="55" t="s">
        <v>124</v>
      </c>
      <c r="G314" s="55" t="s">
        <v>125</v>
      </c>
      <c r="H314" s="469" t="s">
        <v>142</v>
      </c>
      <c r="I314" s="469"/>
      <c r="J314" s="23"/>
      <c r="K314" s="54" t="s">
        <v>141</v>
      </c>
      <c r="L314" s="466" t="s">
        <v>124</v>
      </c>
      <c r="M314" s="467"/>
      <c r="N314" s="467"/>
      <c r="O314" s="468"/>
      <c r="P314" s="466" t="s">
        <v>125</v>
      </c>
      <c r="Q314" s="467"/>
      <c r="R314" s="467"/>
      <c r="S314" s="468"/>
      <c r="T314" s="466" t="s">
        <v>142</v>
      </c>
      <c r="U314" s="468"/>
      <c r="V314" s="24"/>
      <c r="W314" s="25"/>
      <c r="X314" s="25"/>
      <c r="Y314" s="25"/>
      <c r="Z314" s="25"/>
      <c r="AA314" s="25"/>
      <c r="AB314" s="26"/>
    </row>
    <row r="315" spans="1:33" s="4" customFormat="1" ht="16.149999999999999" customHeight="1" x14ac:dyDescent="0.25">
      <c r="A315" s="11">
        <f>IFERROR(VLOOKUP(A292,standards,3,FALSE),"-")</f>
        <v>12</v>
      </c>
      <c r="B315" s="10">
        <v>1</v>
      </c>
      <c r="C315" s="3"/>
      <c r="D315" s="55">
        <v>1</v>
      </c>
      <c r="E315" s="19">
        <f ca="1">IFERROR(IF(OR(H296=98,H296=99),H296,VLOOKUP(B315,B296:E311,4,FALSE)),0)</f>
        <v>3</v>
      </c>
      <c r="F315" s="27" t="str">
        <f ca="1">IFERROR(VLOOKUP(E315,$E296:$F311,2,FALSE),"")</f>
        <v>Oscar FINCH</v>
      </c>
      <c r="G315" s="18" t="str">
        <f t="shared" ref="G315:G322" ca="1" si="98">IFERROR(VLOOKUP(E315,teamlookup,5,FALSE),"-")</f>
        <v>Leigh</v>
      </c>
      <c r="H315" s="459">
        <f ca="1">IFERROR(VLOOKUP(E315,E296:X311,19,FALSE),"")</f>
        <v>31.74</v>
      </c>
      <c r="I315" s="460"/>
      <c r="J315" s="55">
        <v>1</v>
      </c>
      <c r="K315" s="55">
        <f ca="1">IFERROR(VLOOKUP(B315,C296:X311,3,FALSE),"")</f>
        <v>33</v>
      </c>
      <c r="L315" s="461" t="str">
        <f ca="1">IFERROR(VLOOKUP(K315,$E296:$F311,2,FALSE),"")</f>
        <v>James HOWARTH-LINTON</v>
      </c>
      <c r="M315" s="462"/>
      <c r="N315" s="462"/>
      <c r="O315" s="463"/>
      <c r="P315" s="461" t="str">
        <f t="shared" ref="P315:P322" ca="1" si="99">IFERROR(VLOOKUP(K315,teamlookup,5,FALSE),"-")</f>
        <v>Leigh</v>
      </c>
      <c r="Q315" s="462"/>
      <c r="R315" s="462"/>
      <c r="S315" s="463"/>
      <c r="T315" s="464">
        <f ca="1">IFERROR(VLOOKUP(K315,E296:X311,19,FALSE),"")</f>
        <v>25.74</v>
      </c>
      <c r="U315" s="465"/>
      <c r="V315" s="28"/>
      <c r="W315" s="29"/>
      <c r="X315" s="29"/>
      <c r="Y315" s="29"/>
      <c r="Z315" s="29"/>
      <c r="AA315" s="29"/>
      <c r="AB315" s="30"/>
    </row>
    <row r="316" spans="1:33" s="4" customFormat="1" ht="16.149999999999999" customHeight="1" x14ac:dyDescent="0.25">
      <c r="A316" s="11">
        <f>IFERROR(VLOOKUP(A292,standards,4,FALSE),"-")</f>
        <v>14</v>
      </c>
      <c r="B316" s="10">
        <v>2</v>
      </c>
      <c r="C316" s="3"/>
      <c r="D316" s="55">
        <v>2</v>
      </c>
      <c r="E316" s="19">
        <f ca="1">IFERROR(VLOOKUP(B316,B296:E311,4,FALSE),"")</f>
        <v>2</v>
      </c>
      <c r="F316" s="27" t="str">
        <f ca="1">IFERROR(VLOOKUP(E316,$E296:$F311,2,FALSE),"")</f>
        <v>Benjamin SYKES</v>
      </c>
      <c r="G316" s="18" t="str">
        <f t="shared" ca="1" si="98"/>
        <v>ECHT</v>
      </c>
      <c r="H316" s="459">
        <f ca="1">IFERROR(VLOOKUP(E316,E296:X311,19,FALSE),"")</f>
        <v>29.44</v>
      </c>
      <c r="I316" s="460"/>
      <c r="J316" s="55">
        <v>2</v>
      </c>
      <c r="K316" s="55">
        <f ca="1">IFERROR(VLOOKUP(B316,C296:X311,3,FALSE),"")</f>
        <v>44</v>
      </c>
      <c r="L316" s="461" t="str">
        <f ca="1">IFERROR(VLOOKUP(K316,$E296:$F311,2,FALSE),"")</f>
        <v>Isaac BAKER</v>
      </c>
      <c r="M316" s="462"/>
      <c r="N316" s="462"/>
      <c r="O316" s="463"/>
      <c r="P316" s="461" t="str">
        <f t="shared" ca="1" si="99"/>
        <v>Macc</v>
      </c>
      <c r="Q316" s="462"/>
      <c r="R316" s="462"/>
      <c r="S316" s="463"/>
      <c r="T316" s="464">
        <f ca="1">IFERROR(VLOOKUP(K316,E296:X311,19,FALSE),"")</f>
        <v>14.64</v>
      </c>
      <c r="U316" s="465"/>
      <c r="V316" s="24"/>
      <c r="W316" s="25"/>
      <c r="X316" s="25"/>
      <c r="Y316" s="25"/>
      <c r="Z316" s="25"/>
      <c r="AA316" s="25"/>
      <c r="AB316" s="26"/>
    </row>
    <row r="317" spans="1:33" s="4" customFormat="1" ht="16.149999999999999" customHeight="1" x14ac:dyDescent="0.25">
      <c r="A317" s="11">
        <f>IFERROR(VLOOKUP(A292,standards,5,FALSE),"-")</f>
        <v>17</v>
      </c>
      <c r="B317" s="10">
        <v>3</v>
      </c>
      <c r="C317" s="3"/>
      <c r="D317" s="55">
        <v>3</v>
      </c>
      <c r="E317" s="19">
        <f ca="1">IFERROR(VLOOKUP(B317,B296:E311,4,FALSE),"")</f>
        <v>7</v>
      </c>
      <c r="F317" s="27" t="str">
        <f ca="1">IFERROR(VLOOKUP(E317,$E296:$F311,2,FALSE),"")</f>
        <v>Samuel HODGKINSON</v>
      </c>
      <c r="G317" s="18" t="str">
        <f t="shared" ca="1" si="98"/>
        <v>Wigan</v>
      </c>
      <c r="H317" s="459">
        <f ca="1">IFERROR(VLOOKUP(E317,E296:X311,19,FALSE),"")</f>
        <v>22.45</v>
      </c>
      <c r="I317" s="460"/>
      <c r="J317" s="55">
        <v>3</v>
      </c>
      <c r="K317" s="55">
        <f ca="1">IFERROR(VLOOKUP(B317,C296:X311,3,FALSE),"")</f>
        <v>22</v>
      </c>
      <c r="L317" s="461" t="str">
        <f ca="1">IFERROR(VLOOKUP(K317,$E296:$F311,2,FALSE),"")</f>
        <v>James NELSON</v>
      </c>
      <c r="M317" s="462"/>
      <c r="N317" s="462"/>
      <c r="O317" s="463"/>
      <c r="P317" s="461" t="str">
        <f t="shared" ca="1" si="99"/>
        <v>ECHT</v>
      </c>
      <c r="Q317" s="462"/>
      <c r="R317" s="462"/>
      <c r="S317" s="463"/>
      <c r="T317" s="464">
        <f ca="1">IFERROR(VLOOKUP(K317,E296:X311,19,FALSE),"")</f>
        <v>14.58</v>
      </c>
      <c r="U317" s="465"/>
      <c r="V317" s="28"/>
      <c r="W317" s="29"/>
      <c r="X317" s="29"/>
      <c r="Y317" s="29"/>
      <c r="Z317" s="29"/>
      <c r="AA317" s="29"/>
      <c r="AB317" s="30"/>
    </row>
    <row r="318" spans="1:33" s="4" customFormat="1" ht="16.149999999999999" customHeight="1" x14ac:dyDescent="0.25">
      <c r="A318" s="11">
        <f>IFERROR(VLOOKUP(A292,EA!A:K,6,FALSE),"-")</f>
        <v>20</v>
      </c>
      <c r="B318" s="10">
        <v>4</v>
      </c>
      <c r="C318" s="3"/>
      <c r="D318" s="55">
        <v>4</v>
      </c>
      <c r="E318" s="19">
        <f ca="1">IFERROR(VLOOKUP(B318,B296:E311,4,FALSE),"")</f>
        <v>4</v>
      </c>
      <c r="F318" s="27" t="str">
        <f ca="1">IFERROR(VLOOKUP(E318,$E296:$F311,2,FALSE),"")</f>
        <v>Robert NWANKWO</v>
      </c>
      <c r="G318" s="18" t="str">
        <f t="shared" ca="1" si="98"/>
        <v>Macc</v>
      </c>
      <c r="H318" s="459">
        <f ca="1">IFERROR(VLOOKUP(E318,E296:X311,19,FALSE),"")</f>
        <v>19.25</v>
      </c>
      <c r="I318" s="460"/>
      <c r="J318" s="55">
        <v>4</v>
      </c>
      <c r="K318" s="55">
        <f ca="1">IFERROR(VLOOKUP(B318,C296:X311,3,FALSE),"")</f>
        <v>11</v>
      </c>
      <c r="L318" s="461" t="str">
        <f ca="1">IFERROR(VLOOKUP(K318,$E296:$F311,2,FALSE),"")</f>
        <v>Gabriel BRZEZINSKI</v>
      </c>
      <c r="M318" s="462"/>
      <c r="N318" s="462"/>
      <c r="O318" s="463"/>
      <c r="P318" s="461" t="str">
        <f t="shared" ca="1" si="99"/>
        <v>C&amp;N</v>
      </c>
      <c r="Q318" s="462"/>
      <c r="R318" s="462"/>
      <c r="S318" s="463"/>
      <c r="T318" s="464">
        <f ca="1">IFERROR(VLOOKUP(K318,E296:X311,19,FALSE),"")</f>
        <v>12.41</v>
      </c>
      <c r="U318" s="465"/>
      <c r="V318" s="24"/>
      <c r="W318" s="25"/>
      <c r="X318" s="25"/>
      <c r="Y318" s="25"/>
      <c r="Z318" s="25"/>
      <c r="AA318" s="25"/>
      <c r="AB318" s="26"/>
    </row>
    <row r="319" spans="1:33" s="4" customFormat="1" ht="16.149999999999999" customHeight="1" x14ac:dyDescent="0.25">
      <c r="A319" s="8"/>
      <c r="B319" s="10">
        <v>5</v>
      </c>
      <c r="C319" s="3"/>
      <c r="D319" s="55">
        <v>5</v>
      </c>
      <c r="E319" s="19">
        <f ca="1">IFERROR(VLOOKUP(B319,B296:E311,4,FALSE),"")</f>
        <v>1</v>
      </c>
      <c r="F319" s="27" t="str">
        <f ca="1">IFERROR(VLOOKUP(E319,$E296:$F311,2,FALSE),"")</f>
        <v>Kaidan DOS REIS</v>
      </c>
      <c r="G319" s="18" t="str">
        <f t="shared" ca="1" si="98"/>
        <v>C&amp;N</v>
      </c>
      <c r="H319" s="459">
        <f ca="1">IFERROR(VLOOKUP(E319,E296:X311,19,FALSE),"")</f>
        <v>17.399999999999999</v>
      </c>
      <c r="I319" s="460"/>
      <c r="J319" s="55">
        <v>5</v>
      </c>
      <c r="K319" s="55">
        <f ca="1">IFERROR(VLOOKUP(B319,C296:X311,3,FALSE),"")</f>
        <v>77</v>
      </c>
      <c r="L319" s="461" t="str">
        <f ca="1">IFERROR(VLOOKUP(K319,$E296:$F311,2,FALSE),"")</f>
        <v>Charlie STRETTON</v>
      </c>
      <c r="M319" s="462"/>
      <c r="N319" s="462"/>
      <c r="O319" s="463"/>
      <c r="P319" s="461" t="str">
        <f t="shared" ca="1" si="99"/>
        <v>Wigan</v>
      </c>
      <c r="Q319" s="462"/>
      <c r="R319" s="462"/>
      <c r="S319" s="463"/>
      <c r="T319" s="464">
        <f ca="1">IFERROR(VLOOKUP(K319,E296:X311,19,FALSE),"")</f>
        <v>10.91</v>
      </c>
      <c r="U319" s="465"/>
      <c r="V319" s="28"/>
      <c r="W319" s="29"/>
      <c r="X319" s="29"/>
      <c r="Y319" s="29"/>
      <c r="Z319" s="29"/>
      <c r="AA319" s="29"/>
      <c r="AB319" s="30"/>
    </row>
    <row r="320" spans="1:33" s="4" customFormat="1" ht="16.149999999999999" customHeight="1" x14ac:dyDescent="0.25">
      <c r="A320" s="8" t="s">
        <v>151</v>
      </c>
      <c r="B320" s="10">
        <v>6</v>
      </c>
      <c r="C320" s="3"/>
      <c r="D320" s="55">
        <v>6</v>
      </c>
      <c r="E320" s="19" t="str">
        <f ca="1">IFERROR(VLOOKUP(B320,B296:E311,4,FALSE),"")</f>
        <v/>
      </c>
      <c r="F320" s="27" t="str">
        <f ca="1">IFERROR(VLOOKUP(E320,$E296:$F311,2,FALSE),"")</f>
        <v/>
      </c>
      <c r="G320" s="18" t="str">
        <f t="shared" ca="1" si="98"/>
        <v>-</v>
      </c>
      <c r="H320" s="459" t="str">
        <f ca="1">IFERROR(VLOOKUP(E320,E296:X311,19,FALSE),"")</f>
        <v/>
      </c>
      <c r="I320" s="460"/>
      <c r="J320" s="55">
        <v>6</v>
      </c>
      <c r="K320" s="55" t="str">
        <f ca="1">IFERROR(VLOOKUP(B320,C296:X311,3,FALSE),"")</f>
        <v/>
      </c>
      <c r="L320" s="461" t="str">
        <f ca="1">IFERROR(VLOOKUP(K320,$E296:$F311,2,FALSE),"")</f>
        <v/>
      </c>
      <c r="M320" s="462"/>
      <c r="N320" s="462"/>
      <c r="O320" s="463"/>
      <c r="P320" s="461" t="str">
        <f t="shared" ca="1" si="99"/>
        <v>-</v>
      </c>
      <c r="Q320" s="462"/>
      <c r="R320" s="462"/>
      <c r="S320" s="463"/>
      <c r="T320" s="464" t="str">
        <f ca="1">IFERROR(VLOOKUP(K320,E296:X311,19,FALSE),"")</f>
        <v/>
      </c>
      <c r="U320" s="465"/>
      <c r="V320" s="466" t="s">
        <v>1135</v>
      </c>
      <c r="W320" s="467"/>
      <c r="X320" s="467"/>
      <c r="Y320" s="467"/>
      <c r="Z320" s="467"/>
      <c r="AA320" s="467"/>
      <c r="AB320" s="468"/>
    </row>
    <row r="321" spans="1:33" s="4" customFormat="1" ht="16.149999999999999" customHeight="1" x14ac:dyDescent="0.25">
      <c r="A321" s="8">
        <f>IFERROR(VLOOKUP(A292,records,5,FALSE),"")</f>
        <v>49.49</v>
      </c>
      <c r="B321" s="10">
        <v>7</v>
      </c>
      <c r="C321" s="3"/>
      <c r="D321" s="55">
        <v>7</v>
      </c>
      <c r="E321" s="19" t="str">
        <f ca="1">IFERROR(VLOOKUP(B321,B296:E311,4,FALSE),"")</f>
        <v/>
      </c>
      <c r="F321" s="27" t="str">
        <f ca="1">IFERROR(VLOOKUP(E321,$E296:$F311,2,FALSE),"")</f>
        <v/>
      </c>
      <c r="G321" s="18" t="str">
        <f t="shared" ca="1" si="98"/>
        <v>-</v>
      </c>
      <c r="H321" s="459" t="str">
        <f ca="1">IFERROR(VLOOKUP(E321,E296:X311,19,FALSE),"")</f>
        <v/>
      </c>
      <c r="I321" s="460"/>
      <c r="J321" s="55">
        <v>7</v>
      </c>
      <c r="K321" s="55" t="str">
        <f ca="1">IFERROR(VLOOKUP(B321,C296:X311,3,FALSE),"")</f>
        <v/>
      </c>
      <c r="L321" s="461" t="str">
        <f ca="1">IFERROR(VLOOKUP(K321,$E296:$F311,2,FALSE),"")</f>
        <v/>
      </c>
      <c r="M321" s="462"/>
      <c r="N321" s="462"/>
      <c r="O321" s="463"/>
      <c r="P321" s="461" t="str">
        <f t="shared" ca="1" si="99"/>
        <v>-</v>
      </c>
      <c r="Q321" s="462"/>
      <c r="R321" s="462"/>
      <c r="S321" s="463"/>
      <c r="T321" s="464" t="str">
        <f ca="1">IFERROR(VLOOKUP(K321,E296:X311,19,FALSE),"")</f>
        <v/>
      </c>
      <c r="U321" s="465"/>
      <c r="V321" s="24"/>
      <c r="W321" s="25"/>
      <c r="X321" s="25"/>
      <c r="Y321" s="25"/>
      <c r="Z321" s="25"/>
      <c r="AA321" s="25"/>
      <c r="AB321" s="26"/>
    </row>
    <row r="322" spans="1:33" s="4" customFormat="1" ht="16.149999999999999" customHeight="1" x14ac:dyDescent="0.25">
      <c r="A322" s="8"/>
      <c r="B322" s="10">
        <v>8</v>
      </c>
      <c r="C322" s="3"/>
      <c r="D322" s="55">
        <v>8</v>
      </c>
      <c r="E322" s="19" t="str">
        <f ca="1">IFERROR(VLOOKUP(B322,B296:E311,4,FALSE),"")</f>
        <v/>
      </c>
      <c r="F322" s="27" t="str">
        <f ca="1">IFERROR(VLOOKUP(E322,$E296:$F311,2,FALSE),"")</f>
        <v/>
      </c>
      <c r="G322" s="18" t="str">
        <f t="shared" ca="1" si="98"/>
        <v>-</v>
      </c>
      <c r="H322" s="459" t="str">
        <f ca="1">IFERROR(VLOOKUP(E322,E296:X311,19,FALSE),"")</f>
        <v/>
      </c>
      <c r="I322" s="460"/>
      <c r="J322" s="55">
        <v>8</v>
      </c>
      <c r="K322" s="55" t="str">
        <f ca="1">IFERROR(VLOOKUP(B322,C296:X311,3,FALSE),"")</f>
        <v/>
      </c>
      <c r="L322" s="461" t="str">
        <f ca="1">IFERROR(VLOOKUP(K322,$E296:$F311,2,FALSE),"")</f>
        <v/>
      </c>
      <c r="M322" s="462"/>
      <c r="N322" s="462"/>
      <c r="O322" s="463"/>
      <c r="P322" s="461" t="str">
        <f t="shared" ca="1" si="99"/>
        <v>-</v>
      </c>
      <c r="Q322" s="462"/>
      <c r="R322" s="462"/>
      <c r="S322" s="463"/>
      <c r="T322" s="464" t="str">
        <f ca="1">IFERROR(VLOOKUP(K322,E296:X311,19,FALSE),"")</f>
        <v/>
      </c>
      <c r="U322" s="465"/>
      <c r="V322" s="28"/>
      <c r="W322" s="29"/>
      <c r="X322" s="29"/>
      <c r="Y322" s="29"/>
      <c r="Z322" s="29"/>
      <c r="AA322" s="29"/>
      <c r="AB322" s="30"/>
    </row>
    <row r="323" spans="1:33" s="4" customFormat="1" ht="21" x14ac:dyDescent="0.25">
      <c r="A323" s="2" t="str">
        <f>MatchDay!$U$6</f>
        <v>X</v>
      </c>
      <c r="B323" s="8"/>
      <c r="C323" s="3"/>
      <c r="D323" s="499" t="s">
        <v>143</v>
      </c>
      <c r="E323" s="500"/>
      <c r="F323" s="500"/>
      <c r="G323" s="500"/>
      <c r="H323" s="500"/>
      <c r="I323" s="500"/>
      <c r="J323" s="500"/>
      <c r="K323" s="501" t="s">
        <v>144</v>
      </c>
      <c r="L323" s="502"/>
      <c r="M323" s="502"/>
      <c r="N323" s="502"/>
      <c r="O323" s="503" t="str">
        <f>MatchDay!$C$2&amp;" "&amp;MatchDay!$C$3&amp;" "&amp;MatchDay!$C$4</f>
        <v>LOWER NORTH West 2</v>
      </c>
      <c r="P323" s="504"/>
      <c r="Q323" s="504"/>
      <c r="R323" s="504"/>
      <c r="S323" s="504"/>
      <c r="T323" s="504"/>
      <c r="U323" s="504"/>
      <c r="V323" s="504"/>
      <c r="W323" s="504"/>
      <c r="X323" s="504"/>
      <c r="Y323" s="504"/>
      <c r="Z323" s="504"/>
      <c r="AA323" s="504"/>
      <c r="AB323" s="505"/>
    </row>
    <row r="324" spans="1:33" s="4" customFormat="1" ht="15.75" customHeight="1" x14ac:dyDescent="0.25">
      <c r="A324" s="1" t="str">
        <f>IFERROR(IF(LEFT(MatchDay!$C$2,1)="L","L"&amp;A326,"U"&amp;A326),"")</f>
        <v>LFD11</v>
      </c>
      <c r="B324" s="10">
        <v>347</v>
      </c>
      <c r="C324" s="3"/>
      <c r="D324" s="466" t="s">
        <v>145</v>
      </c>
      <c r="E324" s="468"/>
      <c r="F324" s="467" t="str">
        <f>IFERROR(UPPER(VLOOKUP(A325,teamlookup,6,FALSE)),"")</f>
        <v/>
      </c>
      <c r="G324" s="468"/>
      <c r="H324" s="476" t="s">
        <v>149</v>
      </c>
      <c r="I324" s="480"/>
      <c r="J324" s="477"/>
      <c r="K324" s="466" t="str">
        <f>MatchDay!$C$8</f>
        <v>Macclesfield Leisure Centre</v>
      </c>
      <c r="L324" s="467"/>
      <c r="M324" s="467"/>
      <c r="N324" s="467"/>
      <c r="O324" s="467"/>
      <c r="P324" s="468"/>
      <c r="Q324" s="476" t="s">
        <v>119</v>
      </c>
      <c r="R324" s="477"/>
      <c r="S324" s="494">
        <f>MatchDay!$C$7</f>
        <v>45053</v>
      </c>
      <c r="T324" s="495"/>
      <c r="U324" s="495"/>
      <c r="V324" s="495"/>
      <c r="W324" s="495"/>
      <c r="X324" s="496"/>
      <c r="Y324" s="497" t="str">
        <f>IFERROR(IF(LEFT(A324,1)="L","",VLOOKUP(A324,EA!$A:$N,8,FALSE)),"")</f>
        <v/>
      </c>
      <c r="Z324" s="498"/>
      <c r="AA324" s="464" t="str">
        <f>IFERROR(IF(LEFT(A324,1)="L","",VLOOKUP(A324,standards,9,FALSE)),"")</f>
        <v/>
      </c>
      <c r="AB324" s="465"/>
      <c r="AC324" s="6"/>
      <c r="AD324" s="6"/>
    </row>
    <row r="325" spans="1:33" s="4" customFormat="1" ht="15.75" customHeight="1" x14ac:dyDescent="0.25">
      <c r="A325" s="5">
        <f>IFERROR(IF(A323=1,VLOOKUP(A324,judges,VLOOKUP(MatchDay!$U$2*10+MatchDay!$C$5,judgesp,5,FALSE),FALSE),VLOOKUP(Distance!A324,judges,VLOOKUP(MatchDay!$U$2*10+MatchDay!$C$5,judges2,5,FALSE),FALSE)),"")</f>
        <v>7</v>
      </c>
      <c r="B325" s="138"/>
      <c r="C325" s="3"/>
      <c r="D325" s="476" t="s">
        <v>120</v>
      </c>
      <c r="E325" s="477"/>
      <c r="F325" s="478" t="str">
        <f>IFERROR(VLOOKUP(A324,timetables,2,FALSE)&amp;" "&amp;VLOOKUP(A324,timetables,3,FALSE),"")</f>
        <v>Shot U15 Girls</v>
      </c>
      <c r="G325" s="479"/>
      <c r="H325" s="476" t="s">
        <v>121</v>
      </c>
      <c r="I325" s="480"/>
      <c r="J325" s="477"/>
      <c r="K325" s="481">
        <f>IFERROR(IF(A323=1,VLOOKUP(A324,Timetables!$A:$G,6,FALSE),VLOOKUP(A324,Timetables!$A:$G,7,FALSE)),"")</f>
        <v>0.64583333333333337</v>
      </c>
      <c r="L325" s="481" t="e">
        <v>#N/A</v>
      </c>
      <c r="M325" s="476" t="s">
        <v>150</v>
      </c>
      <c r="N325" s="477"/>
      <c r="O325" s="482" t="str">
        <f>IFERROR(VLOOKUP(A324,records,3,FALSE)&amp;", "&amp;VLOOKUP(A324,records,4,FALSE)&amp;", "&amp;VLOOKUP(A324,records,5,FALSE)&amp;", "&amp;VLOOKUP(A324,records,6,FALSE)&amp;", "&amp;VLOOKUP(A324,records,7,FALSE)&amp;" "&amp;VLOOKUP(A324,records,8,FALSE),"")</f>
        <v/>
      </c>
      <c r="P325" s="482"/>
      <c r="Q325" s="482"/>
      <c r="R325" s="482"/>
      <c r="S325" s="482"/>
      <c r="T325" s="482"/>
      <c r="U325" s="482"/>
      <c r="V325" s="482"/>
      <c r="W325" s="482"/>
      <c r="X325" s="482"/>
      <c r="Y325" s="482"/>
      <c r="Z325" s="482"/>
      <c r="AA325" s="482"/>
      <c r="AB325" s="483"/>
    </row>
    <row r="326" spans="1:33" s="4" customFormat="1" ht="32.1" customHeight="1" x14ac:dyDescent="0.25">
      <c r="A326" s="5" t="s">
        <v>214</v>
      </c>
      <c r="B326" s="10" t="str">
        <f>IFERROR(VLOOKUP($A326,fdistance,2,FALSE),"")</f>
        <v>F</v>
      </c>
      <c r="C326" s="10">
        <f>IFERROR(VLOOKUP($A326,fdistance,3,FALSE),"")</f>
        <v>99</v>
      </c>
      <c r="D326" s="31" t="s">
        <v>122</v>
      </c>
      <c r="E326" s="13" t="s">
        <v>123</v>
      </c>
      <c r="F326" s="13" t="s">
        <v>124</v>
      </c>
      <c r="G326" s="14" t="s">
        <v>125</v>
      </c>
      <c r="H326" s="484" t="s">
        <v>126</v>
      </c>
      <c r="I326" s="485"/>
      <c r="J326" s="485" t="s">
        <v>127</v>
      </c>
      <c r="K326" s="485"/>
      <c r="L326" s="485" t="s">
        <v>128</v>
      </c>
      <c r="M326" s="485"/>
      <c r="N326" s="485" t="s">
        <v>129</v>
      </c>
      <c r="O326" s="485"/>
      <c r="P326" s="486" t="s">
        <v>130</v>
      </c>
      <c r="Q326" s="485" t="s">
        <v>131</v>
      </c>
      <c r="R326" s="485"/>
      <c r="S326" s="485" t="s">
        <v>132</v>
      </c>
      <c r="T326" s="485"/>
      <c r="U326" s="485" t="s">
        <v>133</v>
      </c>
      <c r="V326" s="485"/>
      <c r="W326" s="488" t="s">
        <v>134</v>
      </c>
      <c r="X326" s="489"/>
      <c r="Y326" s="490" t="s">
        <v>135</v>
      </c>
      <c r="Z326" s="492" t="s">
        <v>136</v>
      </c>
      <c r="AA326" s="493"/>
      <c r="AB326" s="484"/>
    </row>
    <row r="327" spans="1:33" s="4" customFormat="1" x14ac:dyDescent="0.3">
      <c r="A327" s="121">
        <f>IFERROR(SEARCH("U17",F325),0)</f>
        <v>0</v>
      </c>
      <c r="B327" s="7" t="s">
        <v>53</v>
      </c>
      <c r="C327" s="7" t="s">
        <v>54</v>
      </c>
      <c r="D327" s="56"/>
      <c r="E327" s="56"/>
      <c r="F327" s="15"/>
      <c r="G327" s="16"/>
      <c r="H327" s="468" t="s">
        <v>137</v>
      </c>
      <c r="I327" s="469"/>
      <c r="J327" s="469" t="s">
        <v>137</v>
      </c>
      <c r="K327" s="469"/>
      <c r="L327" s="469" t="s">
        <v>137</v>
      </c>
      <c r="M327" s="469"/>
      <c r="N327" s="469" t="s">
        <v>137</v>
      </c>
      <c r="O327" s="469"/>
      <c r="P327" s="487"/>
      <c r="Q327" s="469" t="s">
        <v>137</v>
      </c>
      <c r="R327" s="469"/>
      <c r="S327" s="469" t="s">
        <v>137</v>
      </c>
      <c r="T327" s="469"/>
      <c r="U327" s="469" t="s">
        <v>137</v>
      </c>
      <c r="V327" s="469"/>
      <c r="W327" s="469" t="s">
        <v>137</v>
      </c>
      <c r="X327" s="466"/>
      <c r="Y327" s="491"/>
      <c r="Z327" s="55"/>
      <c r="AA327" s="55" t="s">
        <v>53</v>
      </c>
      <c r="AB327" s="55" t="s">
        <v>54</v>
      </c>
    </row>
    <row r="328" spans="1:33" s="4" customFormat="1" ht="16.149999999999999" customHeight="1" x14ac:dyDescent="0.35">
      <c r="A328" s="8">
        <f>IFERROR(IF(D328&gt;MatchDay!$U$2,"-",VLOOKUP(A324,timetables,MatchDay!$U$4,FALSE)),0)</f>
        <v>4</v>
      </c>
      <c r="B328" s="7" t="str">
        <f ca="1">AA328</f>
        <v/>
      </c>
      <c r="C328" s="7" t="str">
        <f ca="1">AB328</f>
        <v/>
      </c>
      <c r="D328" s="56">
        <v>1</v>
      </c>
      <c r="E328" s="17">
        <f>A328</f>
        <v>4</v>
      </c>
      <c r="F328" s="319" t="str">
        <f>IFERROR(VLOOKUP($A324&amp;E328,downloads!$A$1:$E$1000,2,FALSE),"")</f>
        <v/>
      </c>
      <c r="G328" s="18" t="str">
        <f t="shared" ref="G328:G343" si="100">IFERROR(VLOOKUP(E328,teamlookup,5,FALSE),"-")</f>
        <v>Macc</v>
      </c>
      <c r="H328" s="464">
        <f ca="1">IFERROR(INDIRECT(CONCATENATE("'Distance Input'!"&amp;B326&amp;C326)),"")</f>
        <v>0</v>
      </c>
      <c r="I328" s="465"/>
      <c r="J328" s="464">
        <v>0</v>
      </c>
      <c r="K328" s="465"/>
      <c r="L328" s="464">
        <v>0</v>
      </c>
      <c r="M328" s="465"/>
      <c r="N328" s="470">
        <f ca="1">H328</f>
        <v>0</v>
      </c>
      <c r="O328" s="471"/>
      <c r="P328" s="55">
        <v>0</v>
      </c>
      <c r="Q328" s="472">
        <v>0</v>
      </c>
      <c r="R328" s="472"/>
      <c r="S328" s="472">
        <v>0</v>
      </c>
      <c r="T328" s="472"/>
      <c r="U328" s="472">
        <v>0</v>
      </c>
      <c r="V328" s="472"/>
      <c r="W328" s="464">
        <f ca="1">N328</f>
        <v>0</v>
      </c>
      <c r="X328" s="465"/>
      <c r="Y328" s="55">
        <f ca="1">IF(OR(W328="",W328=0),0,IF(W328="X",MatchDay!$U$2+MatchDay!$U$2+1-COUNTIF(Distance!W328:W328,"X"),RANK(W328,$W328:$X343,0)))</f>
        <v>0</v>
      </c>
      <c r="Z328" s="19">
        <f ca="1">IFERROR(IF(Y328=0,0,IF(OR(VLOOKUP(AG328,E336:Y343,21,FALSE)=0,Y328&lt;=VLOOKUP(AG328,E336:Y343,21,FALSE)),"A","B")),"")</f>
        <v>0</v>
      </c>
      <c r="AA328" s="19" t="str">
        <f ca="1">IFERROR(IF(Z328="B","",RANK(AD328,AD328:AD343,1)),"")</f>
        <v/>
      </c>
      <c r="AB328" s="19" t="str">
        <f ca="1">IFERROR(IF(Z328="A","",RANK(AE328,AE328:AE343,1)),"")</f>
        <v/>
      </c>
      <c r="AC328" s="8"/>
      <c r="AD328" s="9" t="str">
        <f ca="1">IF(OR(W328=0,Y328=0,Z328="B"),"",Y328)</f>
        <v/>
      </c>
      <c r="AE328" s="9" t="str">
        <f ca="1">IF(OR(W328=0,Y328=0,Z328="A"),"",Y328)</f>
        <v/>
      </c>
      <c r="AF328" s="9" t="s">
        <v>138</v>
      </c>
      <c r="AG328" s="4">
        <f>IFERROR(IF(A327=0,E328*11,E328&amp;E328),"")</f>
        <v>44</v>
      </c>
    </row>
    <row r="329" spans="1:33" s="4" customFormat="1" ht="16.149999999999999" customHeight="1" x14ac:dyDescent="0.35">
      <c r="A329" s="8">
        <f>IFERROR(IF(D329&gt;MatchDay!$U$2,"-",VLOOKUP(A324,timetables,MatchDay!$U$4+1,FALSE)),0)</f>
        <v>1</v>
      </c>
      <c r="B329" s="7">
        <f t="shared" ref="B329:B343" ca="1" si="101">AA329</f>
        <v>3</v>
      </c>
      <c r="C329" s="7" t="str">
        <f t="shared" ref="C329:C343" ca="1" si="102">AB329</f>
        <v/>
      </c>
      <c r="D329" s="55">
        <v>2</v>
      </c>
      <c r="E329" s="17">
        <f t="shared" ref="E329:E343" si="103">A329</f>
        <v>1</v>
      </c>
      <c r="F329" s="319" t="str">
        <f>IFERROR(VLOOKUP($A324&amp;E329,downloads!$A$1:$E$1000,2,FALSE),"")</f>
        <v>Lucy HARDING</v>
      </c>
      <c r="G329" s="18" t="str">
        <f t="shared" si="100"/>
        <v>C&amp;N</v>
      </c>
      <c r="H329" s="464">
        <f ca="1">IFERROR(INDIRECT(CONCATENATE("'Distance Input'!"&amp;B326&amp;C326+1)),"")</f>
        <v>7.4</v>
      </c>
      <c r="I329" s="465"/>
      <c r="J329" s="464">
        <v>0</v>
      </c>
      <c r="K329" s="465"/>
      <c r="L329" s="464">
        <v>0</v>
      </c>
      <c r="M329" s="465"/>
      <c r="N329" s="470">
        <f t="shared" ref="N329:N343" ca="1" si="104">H329</f>
        <v>7.4</v>
      </c>
      <c r="O329" s="471"/>
      <c r="P329" s="55">
        <v>0</v>
      </c>
      <c r="Q329" s="472">
        <v>0</v>
      </c>
      <c r="R329" s="472"/>
      <c r="S329" s="472">
        <v>0</v>
      </c>
      <c r="T329" s="472"/>
      <c r="U329" s="472">
        <v>0</v>
      </c>
      <c r="V329" s="472"/>
      <c r="W329" s="464">
        <f t="shared" ref="W329:W343" ca="1" si="105">N329</f>
        <v>7.4</v>
      </c>
      <c r="X329" s="465"/>
      <c r="Y329" s="55">
        <f ca="1">IF(OR(W329="",W329=0),0,IF(W329="X",MatchDay!$U$2+MatchDay!$U$2+1-COUNTIF(Distance!W328:W329,"X"),RANK(W329,$W328:$X343,0)))</f>
        <v>3</v>
      </c>
      <c r="Z329" s="19" t="str">
        <f ca="1">IFERROR(IF(Y329=0,0,IF(OR(VLOOKUP(AG329,E336:Y343,21,FALSE)=0,Y329&lt;=VLOOKUP(AG329,E336:Y343,21,FALSE)),"A","B")),"")</f>
        <v>A</v>
      </c>
      <c r="AA329" s="19">
        <f ca="1">IFERROR(IF(Z329="B","",RANK(AD329,AD328:AD343,1)),"")</f>
        <v>3</v>
      </c>
      <c r="AB329" s="19" t="str">
        <f ca="1">IFERROR(IF(Z329="A","",RANK(AE329,AE328:AE343,1)),"")</f>
        <v/>
      </c>
      <c r="AC329" s="8"/>
      <c r="AD329" s="9">
        <f t="shared" ref="AD329:AD343" ca="1" si="106">IF(OR(W329=0,Y329=0,Z329="B"),"",Y329)</f>
        <v>3</v>
      </c>
      <c r="AE329" s="9" t="str">
        <f t="shared" ref="AE329:AE343" ca="1" si="107">IF(OR(W329=0,Y329=0,Z329="A"),"",Y329)</f>
        <v/>
      </c>
      <c r="AF329" s="9" t="s">
        <v>138</v>
      </c>
      <c r="AG329" s="4">
        <f>IFERROR(IF(A327=0,E329*11,E329&amp;E329),"")</f>
        <v>11</v>
      </c>
    </row>
    <row r="330" spans="1:33" s="4" customFormat="1" ht="16.149999999999999" customHeight="1" x14ac:dyDescent="0.35">
      <c r="A330" s="8">
        <f>IFERROR(IF(D330&gt;MatchDay!$U$2,"-",VLOOKUP(A324,timetables,MatchDay!$U$4+2,FALSE)),0)</f>
        <v>5</v>
      </c>
      <c r="B330" s="7">
        <f t="shared" ca="1" si="101"/>
        <v>4</v>
      </c>
      <c r="C330" s="7" t="str">
        <f t="shared" ca="1" si="102"/>
        <v/>
      </c>
      <c r="D330" s="55">
        <v>3</v>
      </c>
      <c r="E330" s="17">
        <f t="shared" si="103"/>
        <v>5</v>
      </c>
      <c r="F330" s="319" t="str">
        <f>IFERROR(VLOOKUP($A324&amp;E330,downloads!$A$1:$E$1000,2,FALSE),"")</f>
        <v>Erin JACOBS</v>
      </c>
      <c r="G330" s="18" t="str">
        <f t="shared" si="100"/>
        <v>Menai</v>
      </c>
      <c r="H330" s="464">
        <f ca="1">IFERROR(INDIRECT(CONCATENATE("'Distance Input'!"&amp;B326&amp;C326+2)),"")</f>
        <v>7.19</v>
      </c>
      <c r="I330" s="465"/>
      <c r="J330" s="464">
        <v>0</v>
      </c>
      <c r="K330" s="465"/>
      <c r="L330" s="464">
        <v>0</v>
      </c>
      <c r="M330" s="465"/>
      <c r="N330" s="470">
        <f t="shared" ca="1" si="104"/>
        <v>7.19</v>
      </c>
      <c r="O330" s="471"/>
      <c r="P330" s="55">
        <v>0</v>
      </c>
      <c r="Q330" s="472">
        <v>0</v>
      </c>
      <c r="R330" s="472"/>
      <c r="S330" s="472">
        <v>0</v>
      </c>
      <c r="T330" s="472"/>
      <c r="U330" s="472">
        <v>0</v>
      </c>
      <c r="V330" s="472"/>
      <c r="W330" s="464">
        <f t="shared" ca="1" si="105"/>
        <v>7.19</v>
      </c>
      <c r="X330" s="465"/>
      <c r="Y330" s="55">
        <f ca="1">IF(OR(W330="",W330=0),0,IF(W330="X",MatchDay!$U$2+MatchDay!$U$2+1-COUNTIF(Distance!W328:W330,"X"),RANK(W330,$W328:$X343,0)))</f>
        <v>4</v>
      </c>
      <c r="Z330" s="19" t="str">
        <f ca="1">IFERROR(IF(Y330=0,0,IF(OR(VLOOKUP(AG330,E336:Y343,21,FALSE)=0,Y330&lt;=VLOOKUP(AG330,E336:Y343,21,FALSE)),"A","B")),"")</f>
        <v>A</v>
      </c>
      <c r="AA330" s="19">
        <f ca="1">IFERROR(IF(Z330="B","",RANK(AD330,AD328:AD343,1)),"")</f>
        <v>4</v>
      </c>
      <c r="AB330" s="19" t="str">
        <f ca="1">IFERROR(IF(Z330="A","",RANK(AE330,AE328:AE343,1)),"")</f>
        <v/>
      </c>
      <c r="AD330" s="9">
        <f t="shared" ca="1" si="106"/>
        <v>4</v>
      </c>
      <c r="AE330" s="9" t="str">
        <f t="shared" ca="1" si="107"/>
        <v/>
      </c>
      <c r="AF330" s="9" t="s">
        <v>138</v>
      </c>
      <c r="AG330" s="4">
        <f>IFERROR(IF(A327=0,E330*11,E330&amp;E330),"")</f>
        <v>55</v>
      </c>
    </row>
    <row r="331" spans="1:33" s="4" customFormat="1" ht="16.149999999999999" customHeight="1" x14ac:dyDescent="0.35">
      <c r="A331" s="8">
        <f>IFERROR(IF(D331&gt;MatchDay!$U$2,"-",VLOOKUP(A324,timetables,MatchDay!$U$4+3,FALSE)),0)</f>
        <v>7</v>
      </c>
      <c r="B331" s="7">
        <f t="shared" ca="1" si="101"/>
        <v>1</v>
      </c>
      <c r="C331" s="7" t="str">
        <f t="shared" ca="1" si="102"/>
        <v/>
      </c>
      <c r="D331" s="55">
        <v>4</v>
      </c>
      <c r="E331" s="17">
        <f t="shared" si="103"/>
        <v>7</v>
      </c>
      <c r="F331" s="319" t="str">
        <f>IFERROR(VLOOKUP($A324&amp;E331,downloads!$A$1:$E$1000,2,FALSE),"")</f>
        <v>Lauren HEWITT</v>
      </c>
      <c r="G331" s="18" t="str">
        <f t="shared" si="100"/>
        <v>Wigan</v>
      </c>
      <c r="H331" s="464">
        <f ca="1">IFERROR(INDIRECT(CONCATENATE("'Distance Input'!"&amp;B326&amp;C326+3)),"")</f>
        <v>8.32</v>
      </c>
      <c r="I331" s="465"/>
      <c r="J331" s="464">
        <v>0</v>
      </c>
      <c r="K331" s="465"/>
      <c r="L331" s="464">
        <v>0</v>
      </c>
      <c r="M331" s="465"/>
      <c r="N331" s="470">
        <f t="shared" ca="1" si="104"/>
        <v>8.32</v>
      </c>
      <c r="O331" s="471"/>
      <c r="P331" s="55">
        <v>0</v>
      </c>
      <c r="Q331" s="472">
        <v>0</v>
      </c>
      <c r="R331" s="472"/>
      <c r="S331" s="472">
        <v>0</v>
      </c>
      <c r="T331" s="472"/>
      <c r="U331" s="472">
        <v>0</v>
      </c>
      <c r="V331" s="472"/>
      <c r="W331" s="464">
        <f t="shared" ca="1" si="105"/>
        <v>8.32</v>
      </c>
      <c r="X331" s="465"/>
      <c r="Y331" s="55">
        <f ca="1">IF(OR(W331="",W331=0),0,IF(W331="X",MatchDay!$U$2+MatchDay!$U$2+1-COUNTIF(Distance!W328:W331,"X"),RANK(W331,$W328:$X343,0)))</f>
        <v>1</v>
      </c>
      <c r="Z331" s="19" t="str">
        <f ca="1">IFERROR(IF(Y331=0,0,IF(OR(VLOOKUP(AG331,E336:Y343,21,FALSE)=0,Y331&lt;=VLOOKUP(AG331,E336:Y343,21,FALSE)),"A","B")),"")</f>
        <v>A</v>
      </c>
      <c r="AA331" s="19">
        <f ca="1">IFERROR(IF(Z331="B","",RANK(AD331,AD328:AD343,1)),"")</f>
        <v>1</v>
      </c>
      <c r="AB331" s="19" t="str">
        <f ca="1">IFERROR(IF(Z331="A","",RANK(AE331,AE328:AE343,1)),"")</f>
        <v/>
      </c>
      <c r="AD331" s="9">
        <f t="shared" ca="1" si="106"/>
        <v>1</v>
      </c>
      <c r="AE331" s="9" t="str">
        <f t="shared" ca="1" si="107"/>
        <v/>
      </c>
      <c r="AF331" s="9" t="s">
        <v>138</v>
      </c>
      <c r="AG331" s="4">
        <f>IFERROR(IF(A327=0,E331*11,E331&amp;E331),"")</f>
        <v>77</v>
      </c>
    </row>
    <row r="332" spans="1:33" s="4" customFormat="1" ht="16.149999999999999" customHeight="1" x14ac:dyDescent="0.35">
      <c r="A332" s="8">
        <f>IFERROR(IF(D332&gt;MatchDay!$U$2,"-",VLOOKUP(A324,timetables,MatchDay!$U$4+4,FALSE)),0)</f>
        <v>3</v>
      </c>
      <c r="B332" s="7" t="str">
        <f t="shared" ca="1" si="101"/>
        <v/>
      </c>
      <c r="C332" s="7">
        <f t="shared" ca="1" si="102"/>
        <v>2</v>
      </c>
      <c r="D332" s="55">
        <v>5</v>
      </c>
      <c r="E332" s="17">
        <f t="shared" si="103"/>
        <v>3</v>
      </c>
      <c r="F332" s="319" t="str">
        <f>IFERROR(VLOOKUP($A324&amp;E332,downloads!$A$1:$E$1000,2,FALSE),"")</f>
        <v>Eva MELLING</v>
      </c>
      <c r="G332" s="18" t="str">
        <f t="shared" si="100"/>
        <v>Leigh</v>
      </c>
      <c r="H332" s="464">
        <f ca="1">IFERROR(INDIRECT(CONCATENATE("'Distance Input'!"&amp;B326&amp;C326+4)),"")</f>
        <v>5.79</v>
      </c>
      <c r="I332" s="465"/>
      <c r="J332" s="464">
        <v>0</v>
      </c>
      <c r="K332" s="465"/>
      <c r="L332" s="464">
        <v>0</v>
      </c>
      <c r="M332" s="465"/>
      <c r="N332" s="470">
        <f t="shared" ca="1" si="104"/>
        <v>5.79</v>
      </c>
      <c r="O332" s="471"/>
      <c r="P332" s="55">
        <v>0</v>
      </c>
      <c r="Q332" s="472">
        <v>0</v>
      </c>
      <c r="R332" s="472"/>
      <c r="S332" s="472">
        <v>0</v>
      </c>
      <c r="T332" s="472"/>
      <c r="U332" s="472">
        <v>0</v>
      </c>
      <c r="V332" s="472"/>
      <c r="W332" s="464">
        <f t="shared" ca="1" si="105"/>
        <v>5.79</v>
      </c>
      <c r="X332" s="465"/>
      <c r="Y332" s="55">
        <f ca="1">IF(OR(W332="",W332=0),0,IF(W332="X",MatchDay!$U$2+MatchDay!$U$2+1-COUNTIF(Distance!W328:W332,"X"),RANK(W332,$W328:$X343,0)))</f>
        <v>7</v>
      </c>
      <c r="Z332" s="19" t="str">
        <f ca="1">IFERROR(IF(Y332=0,0,IF(OR(VLOOKUP(AG332,E336:Y343,21,FALSE)=0,Y332&lt;=VLOOKUP(AG332,E336:Y343,21,FALSE)),"A","B")),"")</f>
        <v>B</v>
      </c>
      <c r="AA332" s="19" t="str">
        <f ca="1">IFERROR(IF(Z332="B","",RANK(AD332,AD328:AD343,1)),"")</f>
        <v/>
      </c>
      <c r="AB332" s="19">
        <f ca="1">IFERROR(IF(Z332="A","",RANK(AE332,AE328:AE343,1)),"")</f>
        <v>2</v>
      </c>
      <c r="AD332" s="9" t="str">
        <f t="shared" ca="1" si="106"/>
        <v/>
      </c>
      <c r="AE332" s="9">
        <f t="shared" ca="1" si="107"/>
        <v>7</v>
      </c>
      <c r="AF332" s="9" t="s">
        <v>138</v>
      </c>
      <c r="AG332" s="4">
        <f>IFERROR(IF(A327=0,E332*11,E332&amp;E332),"")</f>
        <v>33</v>
      </c>
    </row>
    <row r="333" spans="1:33" s="4" customFormat="1" ht="16.149999999999999" customHeight="1" x14ac:dyDescent="0.35">
      <c r="A333" s="8">
        <f>IFERROR(IF(D333&gt;MatchDay!$U$2,"-",VLOOKUP(A324,timetables,MatchDay!$U$4+5,FALSE)),0)</f>
        <v>6</v>
      </c>
      <c r="B333" s="7">
        <f t="shared" ca="1" si="101"/>
        <v>2</v>
      </c>
      <c r="C333" s="7" t="str">
        <f t="shared" ca="1" si="102"/>
        <v/>
      </c>
      <c r="D333" s="55">
        <v>6</v>
      </c>
      <c r="E333" s="17">
        <f t="shared" si="103"/>
        <v>6</v>
      </c>
      <c r="F333" s="319" t="str">
        <f>IFERROR(VLOOKUP($A324&amp;E333,downloads!$A$1:$E$1000,2,FALSE),"")</f>
        <v>Lucy JONES</v>
      </c>
      <c r="G333" s="18" t="str">
        <f t="shared" si="100"/>
        <v>Stock</v>
      </c>
      <c r="H333" s="464">
        <f ca="1">IFERROR(INDIRECT(CONCATENATE("'Distance Input'!"&amp;B326&amp;C326+5)),"")</f>
        <v>7.86</v>
      </c>
      <c r="I333" s="465"/>
      <c r="J333" s="464">
        <v>0</v>
      </c>
      <c r="K333" s="465"/>
      <c r="L333" s="464">
        <v>0</v>
      </c>
      <c r="M333" s="465"/>
      <c r="N333" s="470">
        <f t="shared" ca="1" si="104"/>
        <v>7.86</v>
      </c>
      <c r="O333" s="471"/>
      <c r="P333" s="55">
        <v>0</v>
      </c>
      <c r="Q333" s="472">
        <v>0</v>
      </c>
      <c r="R333" s="472"/>
      <c r="S333" s="472">
        <v>0</v>
      </c>
      <c r="T333" s="472"/>
      <c r="U333" s="472">
        <v>0</v>
      </c>
      <c r="V333" s="472"/>
      <c r="W333" s="464">
        <f t="shared" ca="1" si="105"/>
        <v>7.86</v>
      </c>
      <c r="X333" s="465"/>
      <c r="Y333" s="55">
        <f ca="1">IF(OR(W333="",W333=0),0,IF(W333="X",MatchDay!$U$2+MatchDay!$U$2+1-COUNTIF(Distance!W328:W333,"X"),RANK(W333,$W328:$X343,0)))</f>
        <v>2</v>
      </c>
      <c r="Z333" s="19" t="str">
        <f ca="1">IFERROR(IF(Y333=0,0,IF(OR(VLOOKUP(AG333,E336:Y343,21,FALSE)=0,Y333&lt;=VLOOKUP(AG333,E336:Y343,21,FALSE)),"A","B")),"")</f>
        <v>A</v>
      </c>
      <c r="AA333" s="19">
        <f ca="1">IFERROR(IF(Z333="B","",RANK(AD333,AD328:AD343,1)),"")</f>
        <v>2</v>
      </c>
      <c r="AB333" s="19" t="str">
        <f ca="1">IFERROR(IF(Z333="A","",RANK(AE333,AE328:AE343,1)),"")</f>
        <v/>
      </c>
      <c r="AD333" s="9">
        <f t="shared" ca="1" si="106"/>
        <v>2</v>
      </c>
      <c r="AE333" s="9" t="str">
        <f t="shared" ca="1" si="107"/>
        <v/>
      </c>
      <c r="AF333" s="9" t="s">
        <v>138</v>
      </c>
      <c r="AG333" s="4">
        <f>IFERROR(IF(A327=0,E333*11,E333&amp;E333),"")</f>
        <v>66</v>
      </c>
    </row>
    <row r="334" spans="1:33" s="4" customFormat="1" ht="16.149999999999999" customHeight="1" x14ac:dyDescent="0.35">
      <c r="A334" s="8">
        <f>IFERROR(IF(D334&gt;MatchDay!$U$2,"-",VLOOKUP(A324,timetables,MatchDay!$U$4+6,FALSE)),0)</f>
        <v>2</v>
      </c>
      <c r="B334" s="7">
        <f t="shared" ca="1" si="101"/>
        <v>6</v>
      </c>
      <c r="C334" s="7" t="str">
        <f t="shared" ca="1" si="102"/>
        <v/>
      </c>
      <c r="D334" s="55">
        <v>7</v>
      </c>
      <c r="E334" s="17">
        <f t="shared" si="103"/>
        <v>2</v>
      </c>
      <c r="F334" s="319" t="str">
        <f>IFERROR(VLOOKUP($A324&amp;E334,downloads!$A$1:$E$1000,2,FALSE),"")</f>
        <v>Isla HERRING</v>
      </c>
      <c r="G334" s="18" t="str">
        <f t="shared" si="100"/>
        <v>ECHT</v>
      </c>
      <c r="H334" s="464">
        <f ca="1">IFERROR(INDIRECT(CONCATENATE("'Distance Input'!"&amp;B326&amp;C326+6)),"")</f>
        <v>4.34</v>
      </c>
      <c r="I334" s="465"/>
      <c r="J334" s="464">
        <v>0</v>
      </c>
      <c r="K334" s="465"/>
      <c r="L334" s="464">
        <v>0</v>
      </c>
      <c r="M334" s="465"/>
      <c r="N334" s="470">
        <f t="shared" ca="1" si="104"/>
        <v>4.34</v>
      </c>
      <c r="O334" s="471"/>
      <c r="P334" s="55">
        <v>0</v>
      </c>
      <c r="Q334" s="472">
        <v>0</v>
      </c>
      <c r="R334" s="472"/>
      <c r="S334" s="472">
        <v>0</v>
      </c>
      <c r="T334" s="472"/>
      <c r="U334" s="472">
        <v>0</v>
      </c>
      <c r="V334" s="472"/>
      <c r="W334" s="464">
        <f t="shared" ca="1" si="105"/>
        <v>4.34</v>
      </c>
      <c r="X334" s="465"/>
      <c r="Y334" s="55">
        <f ca="1">IF(OR(W334="",W334=0),0,IF(W334="X",MatchDay!$U$2+MatchDay!$U$2+1-COUNTIF(Distance!W328:W334,"X"),RANK(W334,$W328:$X343,0)))</f>
        <v>10</v>
      </c>
      <c r="Z334" s="19" t="str">
        <f ca="1">IFERROR(IF(Y334=0,0,IF(OR(VLOOKUP(AG334,E336:Y343,21,FALSE)=0,Y334&lt;=VLOOKUP(AG334,E336:Y343,21,FALSE)),"A","B")),"")</f>
        <v>A</v>
      </c>
      <c r="AA334" s="19">
        <f ca="1">IFERROR(IF(Z334="B","",RANK(AD334,AD328:AD343,1)),"")</f>
        <v>6</v>
      </c>
      <c r="AB334" s="19" t="str">
        <f ca="1">IFERROR(IF(Z334="A","",RANK(AE334,AE328:AE343,1)),"")</f>
        <v/>
      </c>
      <c r="AD334" s="9">
        <f t="shared" ca="1" si="106"/>
        <v>10</v>
      </c>
      <c r="AE334" s="9" t="str">
        <f t="shared" ca="1" si="107"/>
        <v/>
      </c>
      <c r="AF334" s="9" t="s">
        <v>138</v>
      </c>
      <c r="AG334" s="4">
        <f>IFERROR(IF(A327=0,E334*11,E334&amp;E334),"")</f>
        <v>22</v>
      </c>
    </row>
    <row r="335" spans="1:33" s="4" customFormat="1" ht="16.149999999999999" customHeight="1" x14ac:dyDescent="0.35">
      <c r="A335" s="8" t="str">
        <f>IFERROR(IF(D335&gt;MatchDay!$U$2,"-",VLOOKUP(A324,timetables,MatchDay!$U$4+7,FALSE)),0)</f>
        <v>-</v>
      </c>
      <c r="B335" s="7" t="str">
        <f t="shared" ca="1" si="101"/>
        <v/>
      </c>
      <c r="C335" s="7" t="str">
        <f t="shared" ca="1" si="102"/>
        <v/>
      </c>
      <c r="D335" s="55">
        <v>8</v>
      </c>
      <c r="E335" s="17" t="str">
        <f t="shared" si="103"/>
        <v>-</v>
      </c>
      <c r="F335" s="319" t="str">
        <f>IFERROR(VLOOKUP($A324&amp;E335,downloads!$A$1:$E$1000,2,FALSE),"")</f>
        <v/>
      </c>
      <c r="G335" s="18" t="str">
        <f t="shared" si="100"/>
        <v/>
      </c>
      <c r="H335" s="464">
        <f ca="1">IFERROR(INDIRECT(CONCATENATE("'Distance Input'!"&amp;B326&amp;C326+7)),"")</f>
        <v>0</v>
      </c>
      <c r="I335" s="465"/>
      <c r="J335" s="464">
        <v>0</v>
      </c>
      <c r="K335" s="465"/>
      <c r="L335" s="464">
        <v>0</v>
      </c>
      <c r="M335" s="465"/>
      <c r="N335" s="470">
        <f t="shared" ca="1" si="104"/>
        <v>0</v>
      </c>
      <c r="O335" s="471"/>
      <c r="P335" s="55">
        <v>0</v>
      </c>
      <c r="Q335" s="472">
        <v>0</v>
      </c>
      <c r="R335" s="472"/>
      <c r="S335" s="472">
        <v>0</v>
      </c>
      <c r="T335" s="472"/>
      <c r="U335" s="472">
        <v>0</v>
      </c>
      <c r="V335" s="472"/>
      <c r="W335" s="464">
        <f t="shared" ca="1" si="105"/>
        <v>0</v>
      </c>
      <c r="X335" s="465"/>
      <c r="Y335" s="55">
        <f ca="1">IF(OR(W335="",W335=0),0,IF(W335="X",MatchDay!$U$2+MatchDay!$U$2+1-COUNTIF(Distance!W328:W335,"X"),RANK(W335,$W328:$X343,0)))</f>
        <v>0</v>
      </c>
      <c r="Z335" s="19">
        <f ca="1">IFERROR(IF(Y335=0,0,IF(OR(VLOOKUP(AG335,E336:Y343,21,FALSE)=0,Y335&lt;=VLOOKUP(AG335,E336:Y343,21,FALSE)),"A","B")),"")</f>
        <v>0</v>
      </c>
      <c r="AA335" s="19" t="str">
        <f ca="1">IFERROR(IF(Z335="B","",RANK(AD335,AD328:AD343,1)),"")</f>
        <v/>
      </c>
      <c r="AB335" s="19" t="str">
        <f ca="1">IFERROR(IF(Z335="A","",RANK(AE335,AE328:AE343,1)),"")</f>
        <v/>
      </c>
      <c r="AD335" s="9" t="str">
        <f t="shared" ca="1" si="106"/>
        <v/>
      </c>
      <c r="AE335" s="9" t="str">
        <f t="shared" ca="1" si="107"/>
        <v/>
      </c>
      <c r="AF335" s="9" t="s">
        <v>138</v>
      </c>
      <c r="AG335" s="4" t="str">
        <f>IFERROR(IF(A327=0,E335*11,E335&amp;E335),"")</f>
        <v/>
      </c>
    </row>
    <row r="336" spans="1:33" s="4" customFormat="1" ht="16.149999999999999" customHeight="1" x14ac:dyDescent="0.35">
      <c r="A336" s="8">
        <f>IFERROR(IF(A327=0,A328*11,A328&amp;A328),"-")</f>
        <v>44</v>
      </c>
      <c r="B336" s="7" t="str">
        <f t="shared" ca="1" si="101"/>
        <v/>
      </c>
      <c r="C336" s="7" t="str">
        <f t="shared" ca="1" si="102"/>
        <v/>
      </c>
      <c r="D336" s="55">
        <v>9</v>
      </c>
      <c r="E336" s="17">
        <f t="shared" si="103"/>
        <v>44</v>
      </c>
      <c r="F336" s="319" t="str">
        <f>IFERROR(VLOOKUP($A324&amp;E336,downloads!$A$1:$E$1000,2,FALSE),"")</f>
        <v/>
      </c>
      <c r="G336" s="18" t="str">
        <f t="shared" si="100"/>
        <v>Macc</v>
      </c>
      <c r="H336" s="464">
        <f ca="1">IFERROR(INDIRECT(CONCATENATE("'Distance Input'!"&amp;B326&amp;C326+8)),"")</f>
        <v>0</v>
      </c>
      <c r="I336" s="465"/>
      <c r="J336" s="464">
        <v>0</v>
      </c>
      <c r="K336" s="465"/>
      <c r="L336" s="464">
        <v>0</v>
      </c>
      <c r="M336" s="465"/>
      <c r="N336" s="470">
        <f t="shared" ca="1" si="104"/>
        <v>0</v>
      </c>
      <c r="O336" s="471"/>
      <c r="P336" s="55">
        <v>0</v>
      </c>
      <c r="Q336" s="472">
        <v>0</v>
      </c>
      <c r="R336" s="472"/>
      <c r="S336" s="472">
        <v>0</v>
      </c>
      <c r="T336" s="472"/>
      <c r="U336" s="472">
        <v>0</v>
      </c>
      <c r="V336" s="472"/>
      <c r="W336" s="464">
        <f t="shared" ca="1" si="105"/>
        <v>0</v>
      </c>
      <c r="X336" s="465"/>
      <c r="Y336" s="55">
        <f ca="1">IF(OR(W336="",W336=0),0,IF(W336="X",MatchDay!$U$2+MatchDay!$U$2+1-COUNTIF(Distance!W328:W336,"X"),RANK(W336,$W328:$X343,0)))</f>
        <v>0</v>
      </c>
      <c r="Z336" s="19">
        <f ca="1">IFERROR(IF(Y336=0,0,IF(VLOOKUP(AG336,E328:Y335,21,FALSE)=0,"A",IF(Y336&gt;=VLOOKUP(AG336,E328:Y335,21,FALSE),"B","A"))),"")</f>
        <v>0</v>
      </c>
      <c r="AA336" s="19" t="str">
        <f ca="1">IFERROR(IF(Z336="B","",RANK(AD336,AD328:AD343,1)),"")</f>
        <v/>
      </c>
      <c r="AB336" s="19" t="str">
        <f ca="1">IFERROR(IF(Z336="A","",RANK(AE336,AE328:AE343,1)),"")</f>
        <v/>
      </c>
      <c r="AD336" s="9" t="str">
        <f t="shared" ca="1" si="106"/>
        <v/>
      </c>
      <c r="AE336" s="9" t="str">
        <f t="shared" ca="1" si="107"/>
        <v/>
      </c>
      <c r="AF336" s="9" t="s">
        <v>138</v>
      </c>
      <c r="AG336" s="4">
        <f>IFERROR(IF(A327=0,E336/11,LEFT(E336,1)),"")</f>
        <v>4</v>
      </c>
    </row>
    <row r="337" spans="1:33" s="4" customFormat="1" ht="16.149999999999999" customHeight="1" x14ac:dyDescent="0.35">
      <c r="A337" s="8">
        <f>IFERROR(IF(A327=0,A329*11,A329&amp;A329),"-")</f>
        <v>11</v>
      </c>
      <c r="B337" s="7" t="str">
        <f t="shared" ca="1" si="101"/>
        <v/>
      </c>
      <c r="C337" s="7">
        <f t="shared" ca="1" si="102"/>
        <v>1</v>
      </c>
      <c r="D337" s="55">
        <v>10</v>
      </c>
      <c r="E337" s="17">
        <f t="shared" si="103"/>
        <v>11</v>
      </c>
      <c r="F337" s="319" t="str">
        <f>IFERROR(VLOOKUP($A324&amp;E337,downloads!$A$1:$E$1000,2,FALSE),"")</f>
        <v>Bella VARLEY</v>
      </c>
      <c r="G337" s="18" t="str">
        <f t="shared" si="100"/>
        <v>C&amp;N</v>
      </c>
      <c r="H337" s="464">
        <f ca="1">IFERROR(INDIRECT(CONCATENATE("'Distance Input'!"&amp;B326&amp;C326+9)),"")</f>
        <v>6.49</v>
      </c>
      <c r="I337" s="465"/>
      <c r="J337" s="464">
        <v>0</v>
      </c>
      <c r="K337" s="465"/>
      <c r="L337" s="464">
        <v>0</v>
      </c>
      <c r="M337" s="465"/>
      <c r="N337" s="470">
        <f t="shared" ca="1" si="104"/>
        <v>6.49</v>
      </c>
      <c r="O337" s="471"/>
      <c r="P337" s="55">
        <v>0</v>
      </c>
      <c r="Q337" s="472">
        <v>0</v>
      </c>
      <c r="R337" s="472"/>
      <c r="S337" s="472">
        <v>0</v>
      </c>
      <c r="T337" s="472"/>
      <c r="U337" s="472">
        <v>0</v>
      </c>
      <c r="V337" s="472"/>
      <c r="W337" s="464">
        <f t="shared" ca="1" si="105"/>
        <v>6.49</v>
      </c>
      <c r="X337" s="465"/>
      <c r="Y337" s="55">
        <f ca="1">IF(OR(W337="",W337=0),0,IF(W337="X",MatchDay!$U$2+MatchDay!$U$2+1-COUNTIF(Distance!W328:W337,"X"),RANK(W337,$W328:$X343,0)))</f>
        <v>5</v>
      </c>
      <c r="Z337" s="19" t="str">
        <f ca="1">IFERROR(IF(Y337=0,0,IF(VLOOKUP(AG337,E328:Y335,21,FALSE)=0,"A",IF(Y337&gt;=VLOOKUP(AG337,E328:Y335,21,FALSE),"B","A"))),"")</f>
        <v>B</v>
      </c>
      <c r="AA337" s="19" t="str">
        <f ca="1">IFERROR(IF(Z337="B","",RANK(AD337,AD328:AD343,1)),"")</f>
        <v/>
      </c>
      <c r="AB337" s="19">
        <f ca="1">IFERROR(IF(Z337="A","",RANK(AE337,AE328:AE343,1)),"")</f>
        <v>1</v>
      </c>
      <c r="AD337" s="9" t="str">
        <f t="shared" ca="1" si="106"/>
        <v/>
      </c>
      <c r="AE337" s="9">
        <f t="shared" ca="1" si="107"/>
        <v>5</v>
      </c>
      <c r="AF337" s="9" t="s">
        <v>138</v>
      </c>
      <c r="AG337" s="4">
        <f>IFERROR(IF(A327=0,E337/11,LEFT(E337,1)),"")</f>
        <v>1</v>
      </c>
    </row>
    <row r="338" spans="1:33" s="4" customFormat="1" ht="16.149999999999999" customHeight="1" x14ac:dyDescent="0.35">
      <c r="A338" s="8">
        <f>IFERROR(IF(A327=0,A330*11,A330&amp;A330),"-")</f>
        <v>55</v>
      </c>
      <c r="B338" s="7" t="str">
        <f t="shared" ca="1" si="101"/>
        <v/>
      </c>
      <c r="C338" s="7">
        <f t="shared" ca="1" si="102"/>
        <v>4</v>
      </c>
      <c r="D338" s="55">
        <v>11</v>
      </c>
      <c r="E338" s="17">
        <f t="shared" si="103"/>
        <v>55</v>
      </c>
      <c r="F338" s="319" t="str">
        <f>IFERROR(VLOOKUP($A324&amp;E338,downloads!$A$1:$E$1000,2,FALSE),"")</f>
        <v>Krista JONES</v>
      </c>
      <c r="G338" s="18" t="str">
        <f t="shared" si="100"/>
        <v>Menai</v>
      </c>
      <c r="H338" s="464">
        <f ca="1">IFERROR(INDIRECT(CONCATENATE("'Distance Input'!"&amp;B326&amp;C326+10)),"")</f>
        <v>5.54</v>
      </c>
      <c r="I338" s="465"/>
      <c r="J338" s="464">
        <v>0</v>
      </c>
      <c r="K338" s="465"/>
      <c r="L338" s="464">
        <v>0</v>
      </c>
      <c r="M338" s="465"/>
      <c r="N338" s="470">
        <f t="shared" ca="1" si="104"/>
        <v>5.54</v>
      </c>
      <c r="O338" s="471"/>
      <c r="P338" s="55">
        <v>0</v>
      </c>
      <c r="Q338" s="472">
        <v>0</v>
      </c>
      <c r="R338" s="472"/>
      <c r="S338" s="472">
        <v>0</v>
      </c>
      <c r="T338" s="472"/>
      <c r="U338" s="472">
        <v>0</v>
      </c>
      <c r="V338" s="472"/>
      <c r="W338" s="464">
        <f t="shared" ca="1" si="105"/>
        <v>5.54</v>
      </c>
      <c r="X338" s="465"/>
      <c r="Y338" s="55">
        <f ca="1">IF(OR(W338="",W338=0),0,IF(W338="X",MatchDay!$U$2+MatchDay!$U$2+1-COUNTIF(Distance!W328:W338,"X"),RANK(W338,$W328:$X343,0)))</f>
        <v>9</v>
      </c>
      <c r="Z338" s="19" t="str">
        <f ca="1">IFERROR(IF(Y338=0,0,IF(VLOOKUP(AG338,E328:Y335,21,FALSE)=0,"A",IF(Y338&gt;=VLOOKUP(AG338,E328:Y335,21,FALSE),"B","A"))),"")</f>
        <v>B</v>
      </c>
      <c r="AA338" s="19" t="str">
        <f ca="1">IFERROR(IF(Z338="B","",RANK(AD338,AD328:AD343,1)),"")</f>
        <v/>
      </c>
      <c r="AB338" s="19">
        <f ca="1">IFERROR(IF(Z338="A","",RANK(AE338,AE328:AE343,1)),"")</f>
        <v>4</v>
      </c>
      <c r="AD338" s="9" t="str">
        <f t="shared" ca="1" si="106"/>
        <v/>
      </c>
      <c r="AE338" s="9">
        <f t="shared" ca="1" si="107"/>
        <v>9</v>
      </c>
      <c r="AF338" s="9" t="s">
        <v>138</v>
      </c>
      <c r="AG338" s="4">
        <f>IFERROR(IF(A327=0,E338/11,LEFT(E338,1)),"")</f>
        <v>5</v>
      </c>
    </row>
    <row r="339" spans="1:33" s="4" customFormat="1" ht="16.149999999999999" customHeight="1" x14ac:dyDescent="0.35">
      <c r="A339" s="8">
        <f>IFERROR(IF(A327=0,A331*11,A331&amp;A331),"-")</f>
        <v>77</v>
      </c>
      <c r="B339" s="7" t="str">
        <f t="shared" ca="1" si="101"/>
        <v/>
      </c>
      <c r="C339" s="7">
        <f t="shared" ca="1" si="102"/>
        <v>3</v>
      </c>
      <c r="D339" s="55">
        <v>12</v>
      </c>
      <c r="E339" s="17">
        <f t="shared" si="103"/>
        <v>77</v>
      </c>
      <c r="F339" s="319" t="str">
        <f>IFERROR(VLOOKUP($A324&amp;E339,downloads!$A$1:$E$1000,2,FALSE),"")</f>
        <v>Lucy STRETTON</v>
      </c>
      <c r="G339" s="18" t="str">
        <f t="shared" si="100"/>
        <v>Wigan</v>
      </c>
      <c r="H339" s="464">
        <f ca="1">IFERROR(INDIRECT(CONCATENATE("'Distance Input'!"&amp;B326&amp;C326+11)),"")</f>
        <v>5.72</v>
      </c>
      <c r="I339" s="465"/>
      <c r="J339" s="464">
        <v>0</v>
      </c>
      <c r="K339" s="465"/>
      <c r="L339" s="464">
        <v>0</v>
      </c>
      <c r="M339" s="465"/>
      <c r="N339" s="470">
        <f t="shared" ca="1" si="104"/>
        <v>5.72</v>
      </c>
      <c r="O339" s="471"/>
      <c r="P339" s="55">
        <v>0</v>
      </c>
      <c r="Q339" s="472">
        <v>0</v>
      </c>
      <c r="R339" s="472"/>
      <c r="S339" s="472">
        <v>0</v>
      </c>
      <c r="T339" s="472"/>
      <c r="U339" s="472">
        <v>0</v>
      </c>
      <c r="V339" s="472"/>
      <c r="W339" s="464">
        <f t="shared" ca="1" si="105"/>
        <v>5.72</v>
      </c>
      <c r="X339" s="465"/>
      <c r="Y339" s="55">
        <f ca="1">IF(OR(W339="",W339=0),0,IF(W339="X",MatchDay!$U$2+MatchDay!$U$2+1-COUNTIF(Distance!W328:W339,"X"),RANK(W339,$W328:$X343,0)))</f>
        <v>8</v>
      </c>
      <c r="Z339" s="19" t="str">
        <f ca="1">IFERROR(IF(Y339=0,0,IF(VLOOKUP(AG339,E328:Y335,21,FALSE)=0,"A",IF(Y339&gt;=VLOOKUP(AG339,E328:Y335,21,FALSE),"B","A"))),"")</f>
        <v>B</v>
      </c>
      <c r="AA339" s="19" t="str">
        <f ca="1">IFERROR(IF(Z339="B","",RANK(AD339,AD328:AD343,1)),"")</f>
        <v/>
      </c>
      <c r="AB339" s="19">
        <f ca="1">IFERROR(IF(Z339="A","",RANK(AE339,AE328:AE343,1)),"")</f>
        <v>3</v>
      </c>
      <c r="AD339" s="9" t="str">
        <f t="shared" ca="1" si="106"/>
        <v/>
      </c>
      <c r="AE339" s="9">
        <f t="shared" ca="1" si="107"/>
        <v>8</v>
      </c>
      <c r="AF339" s="9" t="s">
        <v>138</v>
      </c>
      <c r="AG339" s="4">
        <f>IFERROR(IF(A327=0,E339/11,LEFT(E339,1)),"")</f>
        <v>7</v>
      </c>
    </row>
    <row r="340" spans="1:33" s="4" customFormat="1" ht="16.149999999999999" customHeight="1" x14ac:dyDescent="0.35">
      <c r="A340" s="8">
        <f>IFERROR(IF(A327=0,A332*11,A332&amp;A332),"-")</f>
        <v>33</v>
      </c>
      <c r="B340" s="7">
        <f t="shared" ca="1" si="101"/>
        <v>5</v>
      </c>
      <c r="C340" s="7" t="str">
        <f t="shared" ca="1" si="102"/>
        <v/>
      </c>
      <c r="D340" s="55">
        <v>13</v>
      </c>
      <c r="E340" s="17">
        <f t="shared" si="103"/>
        <v>33</v>
      </c>
      <c r="F340" s="319" t="str">
        <f>IFERROR(VLOOKUP($A324&amp;E340,downloads!$A$1:$E$1000,2,FALSE),"")</f>
        <v>Olivia COPPER</v>
      </c>
      <c r="G340" s="18" t="str">
        <f t="shared" si="100"/>
        <v>Leigh</v>
      </c>
      <c r="H340" s="464">
        <f ca="1">IFERROR(INDIRECT(CONCATENATE("'Distance Input'!"&amp;B326&amp;C326+12)),"")</f>
        <v>6.11</v>
      </c>
      <c r="I340" s="465"/>
      <c r="J340" s="464">
        <v>0</v>
      </c>
      <c r="K340" s="465"/>
      <c r="L340" s="464">
        <v>0</v>
      </c>
      <c r="M340" s="465"/>
      <c r="N340" s="470">
        <f t="shared" ca="1" si="104"/>
        <v>6.11</v>
      </c>
      <c r="O340" s="471"/>
      <c r="P340" s="55">
        <v>0</v>
      </c>
      <c r="Q340" s="472">
        <v>0</v>
      </c>
      <c r="R340" s="472"/>
      <c r="S340" s="472">
        <v>0</v>
      </c>
      <c r="T340" s="472"/>
      <c r="U340" s="472">
        <v>0</v>
      </c>
      <c r="V340" s="472"/>
      <c r="W340" s="464">
        <f t="shared" ca="1" si="105"/>
        <v>6.11</v>
      </c>
      <c r="X340" s="465"/>
      <c r="Y340" s="55">
        <f ca="1">IF(OR(W340="",W340=0),0,IF(W340="X",MatchDay!$U$2+MatchDay!$U$2+1-COUNTIF(Distance!W328:W340,"X"),RANK(W340,$W328:$X343,0)))</f>
        <v>6</v>
      </c>
      <c r="Z340" s="19" t="str">
        <f ca="1">IFERROR(IF(Y340=0,0,IF(VLOOKUP(AG340,E328:Y335,21,FALSE)=0,"A",IF(Y340&gt;=VLOOKUP(AG340,E328:Y335,21,FALSE),"B","A"))),"")</f>
        <v>A</v>
      </c>
      <c r="AA340" s="19">
        <f ca="1">IFERROR(IF(Z340="B","",RANK(AD340,AD328:AD343,1)),"")</f>
        <v>5</v>
      </c>
      <c r="AB340" s="19" t="str">
        <f ca="1">IFERROR(IF(Z340="A","",RANK(AE340,AE328:AE343,1)),"")</f>
        <v/>
      </c>
      <c r="AD340" s="9">
        <f t="shared" ca="1" si="106"/>
        <v>6</v>
      </c>
      <c r="AE340" s="9" t="str">
        <f t="shared" ca="1" si="107"/>
        <v/>
      </c>
      <c r="AF340" s="9" t="s">
        <v>138</v>
      </c>
      <c r="AG340" s="4">
        <f>IFERROR(IF(A327=0,E340/11,LEFT(E340,1)),"")</f>
        <v>3</v>
      </c>
    </row>
    <row r="341" spans="1:33" s="4" customFormat="1" ht="16.149999999999999" customHeight="1" x14ac:dyDescent="0.35">
      <c r="A341" s="8">
        <f>IFERROR(IF(A327=0,A333*11,A333&amp;A333),"-")</f>
        <v>66</v>
      </c>
      <c r="B341" s="7" t="str">
        <f t="shared" ca="1" si="101"/>
        <v/>
      </c>
      <c r="C341" s="7" t="str">
        <f t="shared" ca="1" si="102"/>
        <v/>
      </c>
      <c r="D341" s="55">
        <v>14</v>
      </c>
      <c r="E341" s="17">
        <f t="shared" si="103"/>
        <v>66</v>
      </c>
      <c r="F341" s="319" t="str">
        <f>IFERROR(VLOOKUP($A324&amp;E341,downloads!$A$1:$E$1000,2,FALSE),"")</f>
        <v/>
      </c>
      <c r="G341" s="18" t="str">
        <f t="shared" si="100"/>
        <v>Stock</v>
      </c>
      <c r="H341" s="464">
        <f ca="1">IFERROR(INDIRECT(CONCATENATE("'Distance Input'!"&amp;B326&amp;C326+13)),"")</f>
        <v>0</v>
      </c>
      <c r="I341" s="465"/>
      <c r="J341" s="464">
        <v>0</v>
      </c>
      <c r="K341" s="465"/>
      <c r="L341" s="464">
        <v>0</v>
      </c>
      <c r="M341" s="465"/>
      <c r="N341" s="470">
        <f t="shared" ca="1" si="104"/>
        <v>0</v>
      </c>
      <c r="O341" s="471"/>
      <c r="P341" s="55">
        <v>0</v>
      </c>
      <c r="Q341" s="472">
        <v>0</v>
      </c>
      <c r="R341" s="472"/>
      <c r="S341" s="472">
        <v>0</v>
      </c>
      <c r="T341" s="472"/>
      <c r="U341" s="472">
        <v>0</v>
      </c>
      <c r="V341" s="472"/>
      <c r="W341" s="464">
        <f t="shared" ca="1" si="105"/>
        <v>0</v>
      </c>
      <c r="X341" s="465"/>
      <c r="Y341" s="55">
        <f ca="1">IF(OR(W341="",W341=0),0,IF(W341="X",MatchDay!$U$2+MatchDay!$U$2+1-COUNTIF(Distance!W328:W341,"X"),RANK(W341,$W328:$X343,0)))</f>
        <v>0</v>
      </c>
      <c r="Z341" s="19">
        <f ca="1">IFERROR(IF(Y341=0,0,IF(VLOOKUP(AG341,E328:Y335,21,FALSE)=0,"A",IF(Y341&gt;=VLOOKUP(AG341,E328:Y335,21,FALSE),"B","A"))),"")</f>
        <v>0</v>
      </c>
      <c r="AA341" s="19" t="str">
        <f ca="1">IFERROR(IF(Z341="B","",RANK(AD341,AD328:AD343,1)),"")</f>
        <v/>
      </c>
      <c r="AB341" s="19" t="str">
        <f ca="1">IFERROR(IF(Z341="A","",RANK(AE341,AE328:AE343,1)),"")</f>
        <v/>
      </c>
      <c r="AD341" s="9" t="str">
        <f t="shared" ca="1" si="106"/>
        <v/>
      </c>
      <c r="AE341" s="9" t="str">
        <f t="shared" ca="1" si="107"/>
        <v/>
      </c>
      <c r="AF341" s="9" t="s">
        <v>138</v>
      </c>
      <c r="AG341" s="4">
        <f>IFERROR(IF(A327=0,E341/11,LEFT(E341,1)),"")</f>
        <v>6</v>
      </c>
    </row>
    <row r="342" spans="1:33" s="4" customFormat="1" ht="16.149999999999999" customHeight="1" x14ac:dyDescent="0.35">
      <c r="A342" s="8">
        <f>IFERROR(IF(A327=0,A334*11,A334&amp;A334),"-")</f>
        <v>22</v>
      </c>
      <c r="B342" s="7" t="str">
        <f t="shared" ca="1" si="101"/>
        <v/>
      </c>
      <c r="C342" s="7" t="str">
        <f t="shared" ca="1" si="102"/>
        <v/>
      </c>
      <c r="D342" s="55">
        <v>15</v>
      </c>
      <c r="E342" s="17">
        <f t="shared" si="103"/>
        <v>22</v>
      </c>
      <c r="F342" s="319" t="str">
        <f>IFERROR(VLOOKUP($A324&amp;E342,downloads!$A$1:$E$1000,2,FALSE),"")</f>
        <v>Lily-grace POOLE</v>
      </c>
      <c r="G342" s="18" t="str">
        <f t="shared" si="100"/>
        <v>ECHT</v>
      </c>
      <c r="H342" s="464">
        <f ca="1">IFERROR(INDIRECT(CONCATENATE("'Distance Input'!"&amp;B326&amp;C326+14)),"")</f>
        <v>0</v>
      </c>
      <c r="I342" s="465"/>
      <c r="J342" s="464">
        <v>0</v>
      </c>
      <c r="K342" s="465"/>
      <c r="L342" s="464">
        <v>0</v>
      </c>
      <c r="M342" s="465"/>
      <c r="N342" s="470">
        <f t="shared" ca="1" si="104"/>
        <v>0</v>
      </c>
      <c r="O342" s="471"/>
      <c r="P342" s="55">
        <v>0</v>
      </c>
      <c r="Q342" s="472">
        <v>0</v>
      </c>
      <c r="R342" s="472"/>
      <c r="S342" s="472">
        <v>0</v>
      </c>
      <c r="T342" s="472"/>
      <c r="U342" s="472">
        <v>0</v>
      </c>
      <c r="V342" s="472"/>
      <c r="W342" s="464">
        <f t="shared" ca="1" si="105"/>
        <v>0</v>
      </c>
      <c r="X342" s="465"/>
      <c r="Y342" s="55">
        <f ca="1">IF(OR(W342="",W342=0),0,IF(W342="X",MatchDay!$U$2+MatchDay!$U$2+1-COUNTIF(Distance!W328:W342,"X"),RANK(W342,$W328:$X343,0)))</f>
        <v>0</v>
      </c>
      <c r="Z342" s="19">
        <f ca="1">IFERROR(IF(Y342=0,0,IF(VLOOKUP(AG342,E328:Y335,21,FALSE)=0,"A",IF(Y342&gt;=VLOOKUP(AG342,E328:Y335,21,FALSE),"B","A"))),"")</f>
        <v>0</v>
      </c>
      <c r="AA342" s="19" t="str">
        <f ca="1">IFERROR(IF(Z342="B","",RANK(AD342,AD328:AD343,1)),"")</f>
        <v/>
      </c>
      <c r="AB342" s="19" t="str">
        <f ca="1">IFERROR(IF(Z342="A","",RANK(AE342,AE328:AE343,1)),"")</f>
        <v/>
      </c>
      <c r="AD342" s="9" t="str">
        <f t="shared" ca="1" si="106"/>
        <v/>
      </c>
      <c r="AE342" s="9" t="str">
        <f t="shared" ca="1" si="107"/>
        <v/>
      </c>
      <c r="AF342" s="9" t="s">
        <v>138</v>
      </c>
      <c r="AG342" s="4">
        <f>IFERROR(IF(A327=0,E342/11,LEFT(E342,1)),"")</f>
        <v>2</v>
      </c>
    </row>
    <row r="343" spans="1:33" s="4" customFormat="1" ht="16.149999999999999" customHeight="1" x14ac:dyDescent="0.35">
      <c r="A343" s="8" t="str">
        <f>IFERROR(IF(A327=0,A335*11,A335&amp;A335),"-")</f>
        <v>-</v>
      </c>
      <c r="B343" s="7" t="str">
        <f t="shared" ca="1" si="101"/>
        <v/>
      </c>
      <c r="C343" s="7" t="str">
        <f t="shared" ca="1" si="102"/>
        <v/>
      </c>
      <c r="D343" s="55">
        <v>16</v>
      </c>
      <c r="E343" s="17" t="str">
        <f t="shared" si="103"/>
        <v>-</v>
      </c>
      <c r="F343" s="319" t="str">
        <f>IFERROR(VLOOKUP($A324&amp;E343,downloads!$A$1:$E$1000,2,FALSE),"")</f>
        <v/>
      </c>
      <c r="G343" s="18" t="str">
        <f t="shared" si="100"/>
        <v/>
      </c>
      <c r="H343" s="464">
        <f ca="1">IFERROR(INDIRECT(CONCATENATE("'Distance Input'!"&amp;B326&amp;C326+15)),"")</f>
        <v>0</v>
      </c>
      <c r="I343" s="465"/>
      <c r="J343" s="464">
        <v>0</v>
      </c>
      <c r="K343" s="465"/>
      <c r="L343" s="464">
        <v>0</v>
      </c>
      <c r="M343" s="465"/>
      <c r="N343" s="470">
        <f t="shared" ca="1" si="104"/>
        <v>0</v>
      </c>
      <c r="O343" s="471"/>
      <c r="P343" s="55">
        <v>0</v>
      </c>
      <c r="Q343" s="472">
        <v>0</v>
      </c>
      <c r="R343" s="472"/>
      <c r="S343" s="472">
        <v>0</v>
      </c>
      <c r="T343" s="472"/>
      <c r="U343" s="472">
        <v>0</v>
      </c>
      <c r="V343" s="472"/>
      <c r="W343" s="464">
        <f t="shared" ca="1" si="105"/>
        <v>0</v>
      </c>
      <c r="X343" s="465"/>
      <c r="Y343" s="55">
        <f ca="1">IF(OR(W343="",W343=0),0,IF(W343="X",MatchDay!$U$2+MatchDay!$U$2+1-COUNTIF(Distance!W328:W343,"X"),RANK(W343,$W328:$X343,0)))</f>
        <v>0</v>
      </c>
      <c r="Z343" s="19">
        <f ca="1">IFERROR(IF(Y343=0,0,IF(VLOOKUP(AG343,E328:Y335,21,FALSE)=0,"A",IF(Y343&gt;=VLOOKUP(AG343,E328:Y335,21,FALSE),"B","A"))),"")</f>
        <v>0</v>
      </c>
      <c r="AA343" s="19" t="str">
        <f ca="1">IFERROR(IF(Z343="B","",RANK(AD343,AD328:AD343,1)),"")</f>
        <v/>
      </c>
      <c r="AB343" s="19" t="str">
        <f ca="1">IFERROR(IF(Z343="A","",RANK(AE343,AE328:AE343,1)),"")</f>
        <v/>
      </c>
      <c r="AD343" s="9" t="str">
        <f t="shared" ca="1" si="106"/>
        <v/>
      </c>
      <c r="AE343" s="9" t="str">
        <f t="shared" ca="1" si="107"/>
        <v/>
      </c>
      <c r="AF343" s="9" t="s">
        <v>138</v>
      </c>
      <c r="AG343" s="4" t="str">
        <f>IFERROR(IF(A327=0,E343/11,LEFT(E343,1)),"")</f>
        <v/>
      </c>
    </row>
    <row r="344" spans="1:33" s="4" customFormat="1" x14ac:dyDescent="0.25">
      <c r="A344" s="8"/>
      <c r="B344" s="10"/>
      <c r="C344" s="3"/>
      <c r="D344" s="20"/>
      <c r="E344" s="20"/>
      <c r="F344" s="21"/>
      <c r="G344" s="21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2"/>
    </row>
    <row r="345" spans="1:33" s="4" customFormat="1" x14ac:dyDescent="0.25">
      <c r="A345" s="8"/>
      <c r="B345" s="10"/>
      <c r="C345" s="3"/>
      <c r="D345" s="469" t="s">
        <v>139</v>
      </c>
      <c r="E345" s="473"/>
      <c r="F345" s="473"/>
      <c r="G345" s="473"/>
      <c r="H345" s="473"/>
      <c r="I345" s="473"/>
      <c r="J345" s="466" t="s">
        <v>140</v>
      </c>
      <c r="K345" s="474"/>
      <c r="L345" s="474"/>
      <c r="M345" s="474"/>
      <c r="N345" s="474"/>
      <c r="O345" s="474"/>
      <c r="P345" s="474"/>
      <c r="Q345" s="474"/>
      <c r="R345" s="474"/>
      <c r="S345" s="474"/>
      <c r="T345" s="474"/>
      <c r="U345" s="475"/>
      <c r="V345" s="466" t="s">
        <v>1136</v>
      </c>
      <c r="W345" s="467"/>
      <c r="X345" s="467"/>
      <c r="Y345" s="467"/>
      <c r="Z345" s="467"/>
      <c r="AA345" s="467"/>
      <c r="AB345" s="468"/>
    </row>
    <row r="346" spans="1:33" s="4" customFormat="1" x14ac:dyDescent="0.25">
      <c r="A346" s="8" t="s">
        <v>55</v>
      </c>
      <c r="B346" s="10"/>
      <c r="C346" s="3"/>
      <c r="D346" s="12"/>
      <c r="E346" s="55" t="s">
        <v>141</v>
      </c>
      <c r="F346" s="55" t="s">
        <v>124</v>
      </c>
      <c r="G346" s="55" t="s">
        <v>125</v>
      </c>
      <c r="H346" s="469" t="s">
        <v>142</v>
      </c>
      <c r="I346" s="469"/>
      <c r="J346" s="23"/>
      <c r="K346" s="54" t="s">
        <v>141</v>
      </c>
      <c r="L346" s="466" t="s">
        <v>124</v>
      </c>
      <c r="M346" s="467"/>
      <c r="N346" s="467"/>
      <c r="O346" s="468"/>
      <c r="P346" s="466" t="s">
        <v>125</v>
      </c>
      <c r="Q346" s="467"/>
      <c r="R346" s="467"/>
      <c r="S346" s="468"/>
      <c r="T346" s="466" t="s">
        <v>142</v>
      </c>
      <c r="U346" s="468"/>
      <c r="V346" s="24"/>
      <c r="W346" s="25"/>
      <c r="X346" s="25"/>
      <c r="Y346" s="25"/>
      <c r="Z346" s="25"/>
      <c r="AA346" s="25"/>
      <c r="AB346" s="26"/>
    </row>
    <row r="347" spans="1:33" s="4" customFormat="1" ht="16.149999999999999" customHeight="1" x14ac:dyDescent="0.25">
      <c r="A347" s="11">
        <f>IFERROR(VLOOKUP(A324,standards,3,FALSE),"-")</f>
        <v>6</v>
      </c>
      <c r="B347" s="10">
        <v>1</v>
      </c>
      <c r="C347" s="3"/>
      <c r="D347" s="55">
        <v>1</v>
      </c>
      <c r="E347" s="19">
        <f ca="1">IFERROR(IF(OR(H328=98,H328=99),H328,VLOOKUP(B347,B328:E343,4,FALSE)),0)</f>
        <v>7</v>
      </c>
      <c r="F347" s="27" t="str">
        <f ca="1">IFERROR(VLOOKUP(E347,$E328:$F343,2,FALSE),"")</f>
        <v>Lauren HEWITT</v>
      </c>
      <c r="G347" s="18" t="str">
        <f t="shared" ref="G347:G354" ca="1" si="108">IFERROR(VLOOKUP(E347,teamlookup,5,FALSE),"-")</f>
        <v>Wigan</v>
      </c>
      <c r="H347" s="459">
        <f ca="1">IFERROR(VLOOKUP(E347,E328:X343,19,FALSE),"")</f>
        <v>8.32</v>
      </c>
      <c r="I347" s="460"/>
      <c r="J347" s="55">
        <v>1</v>
      </c>
      <c r="K347" s="55">
        <f ca="1">IFERROR(VLOOKUP(B347,C328:X343,3,FALSE),"")</f>
        <v>11</v>
      </c>
      <c r="L347" s="461" t="str">
        <f ca="1">IFERROR(VLOOKUP(K347,$E328:$F343,2,FALSE),"")</f>
        <v>Bella VARLEY</v>
      </c>
      <c r="M347" s="462"/>
      <c r="N347" s="462"/>
      <c r="O347" s="463"/>
      <c r="P347" s="461" t="str">
        <f t="shared" ref="P347:P354" ca="1" si="109">IFERROR(VLOOKUP(K347,teamlookup,5,FALSE),"-")</f>
        <v>C&amp;N</v>
      </c>
      <c r="Q347" s="462"/>
      <c r="R347" s="462"/>
      <c r="S347" s="463"/>
      <c r="T347" s="464">
        <f ca="1">IFERROR(VLOOKUP(K347,E328:X343,19,FALSE),"")</f>
        <v>6.49</v>
      </c>
      <c r="U347" s="465"/>
      <c r="V347" s="28"/>
      <c r="W347" s="29"/>
      <c r="X347" s="29"/>
      <c r="Y347" s="29"/>
      <c r="Z347" s="29"/>
      <c r="AA347" s="29"/>
      <c r="AB347" s="30"/>
    </row>
    <row r="348" spans="1:33" s="4" customFormat="1" ht="16.149999999999999" customHeight="1" x14ac:dyDescent="0.25">
      <c r="A348" s="11">
        <f>IFERROR(VLOOKUP(A324,standards,4,FALSE),"-")</f>
        <v>6.5</v>
      </c>
      <c r="B348" s="10">
        <v>2</v>
      </c>
      <c r="C348" s="3"/>
      <c r="D348" s="55">
        <v>2</v>
      </c>
      <c r="E348" s="19">
        <f ca="1">IFERROR(VLOOKUP(B348,B328:E343,4,FALSE),"")</f>
        <v>6</v>
      </c>
      <c r="F348" s="27" t="str">
        <f ca="1">IFERROR(VLOOKUP(E348,$E328:$F343,2,FALSE),"")</f>
        <v>Lucy JONES</v>
      </c>
      <c r="G348" s="18" t="str">
        <f t="shared" ca="1" si="108"/>
        <v>Stock</v>
      </c>
      <c r="H348" s="459">
        <f ca="1">IFERROR(VLOOKUP(E348,E328:X343,19,FALSE),"")</f>
        <v>7.86</v>
      </c>
      <c r="I348" s="460"/>
      <c r="J348" s="55">
        <v>2</v>
      </c>
      <c r="K348" s="55">
        <f ca="1">IFERROR(VLOOKUP(B348,C328:X343,3,FALSE),"")</f>
        <v>3</v>
      </c>
      <c r="L348" s="461" t="str">
        <f ca="1">IFERROR(VLOOKUP(K348,$E328:$F343,2,FALSE),"")</f>
        <v>Eva MELLING</v>
      </c>
      <c r="M348" s="462"/>
      <c r="N348" s="462"/>
      <c r="O348" s="463"/>
      <c r="P348" s="461" t="str">
        <f t="shared" ca="1" si="109"/>
        <v>Leigh</v>
      </c>
      <c r="Q348" s="462"/>
      <c r="R348" s="462"/>
      <c r="S348" s="463"/>
      <c r="T348" s="464">
        <f ca="1">IFERROR(VLOOKUP(K348,E328:X343,19,FALSE),"")</f>
        <v>5.79</v>
      </c>
      <c r="U348" s="465"/>
      <c r="V348" s="24"/>
      <c r="W348" s="25"/>
      <c r="X348" s="25"/>
      <c r="Y348" s="25"/>
      <c r="Z348" s="25"/>
      <c r="AA348" s="25"/>
      <c r="AB348" s="26"/>
    </row>
    <row r="349" spans="1:33" s="4" customFormat="1" ht="16.149999999999999" customHeight="1" x14ac:dyDescent="0.25">
      <c r="A349" s="11">
        <f>IFERROR(VLOOKUP(A324,standards,5,FALSE),"-")</f>
        <v>7</v>
      </c>
      <c r="B349" s="10">
        <v>3</v>
      </c>
      <c r="C349" s="3"/>
      <c r="D349" s="55">
        <v>3</v>
      </c>
      <c r="E349" s="19">
        <f ca="1">IFERROR(VLOOKUP(B349,B328:E343,4,FALSE),"")</f>
        <v>1</v>
      </c>
      <c r="F349" s="27" t="str">
        <f ca="1">IFERROR(VLOOKUP(E349,$E328:$F343,2,FALSE),"")</f>
        <v>Lucy HARDING</v>
      </c>
      <c r="G349" s="18" t="str">
        <f t="shared" ca="1" si="108"/>
        <v>C&amp;N</v>
      </c>
      <c r="H349" s="459">
        <f ca="1">IFERROR(VLOOKUP(E349,E328:X343,19,FALSE),"")</f>
        <v>7.4</v>
      </c>
      <c r="I349" s="460"/>
      <c r="J349" s="55">
        <v>3</v>
      </c>
      <c r="K349" s="55">
        <f ca="1">IFERROR(VLOOKUP(B349,C328:X343,3,FALSE),"")</f>
        <v>77</v>
      </c>
      <c r="L349" s="461" t="str">
        <f ca="1">IFERROR(VLOOKUP(K349,$E328:$F343,2,FALSE),"")</f>
        <v>Lucy STRETTON</v>
      </c>
      <c r="M349" s="462"/>
      <c r="N349" s="462"/>
      <c r="O349" s="463"/>
      <c r="P349" s="461" t="str">
        <f t="shared" ca="1" si="109"/>
        <v>Wigan</v>
      </c>
      <c r="Q349" s="462"/>
      <c r="R349" s="462"/>
      <c r="S349" s="463"/>
      <c r="T349" s="464">
        <f ca="1">IFERROR(VLOOKUP(K349,E328:X343,19,FALSE),"")</f>
        <v>5.72</v>
      </c>
      <c r="U349" s="465"/>
      <c r="V349" s="28"/>
      <c r="W349" s="29"/>
      <c r="X349" s="29"/>
      <c r="Y349" s="29"/>
      <c r="Z349" s="29"/>
      <c r="AA349" s="29"/>
      <c r="AB349" s="30"/>
    </row>
    <row r="350" spans="1:33" s="4" customFormat="1" ht="16.149999999999999" customHeight="1" x14ac:dyDescent="0.25">
      <c r="A350" s="11">
        <f>IFERROR(VLOOKUP(A324,EA!A:K,6,FALSE),"-")</f>
        <v>7.6</v>
      </c>
      <c r="B350" s="10">
        <v>4</v>
      </c>
      <c r="C350" s="3"/>
      <c r="D350" s="55">
        <v>4</v>
      </c>
      <c r="E350" s="19">
        <f ca="1">IFERROR(VLOOKUP(B350,B328:E343,4,FALSE),"")</f>
        <v>5</v>
      </c>
      <c r="F350" s="27" t="str">
        <f ca="1">IFERROR(VLOOKUP(E350,$E328:$F343,2,FALSE),"")</f>
        <v>Erin JACOBS</v>
      </c>
      <c r="G350" s="18" t="str">
        <f t="shared" ca="1" si="108"/>
        <v>Menai</v>
      </c>
      <c r="H350" s="459">
        <f ca="1">IFERROR(VLOOKUP(E350,E328:X343,19,FALSE),"")</f>
        <v>7.19</v>
      </c>
      <c r="I350" s="460"/>
      <c r="J350" s="55">
        <v>4</v>
      </c>
      <c r="K350" s="55">
        <f ca="1">IFERROR(VLOOKUP(B350,C328:X343,3,FALSE),"")</f>
        <v>55</v>
      </c>
      <c r="L350" s="461" t="str">
        <f ca="1">IFERROR(VLOOKUP(K350,$E328:$F343,2,FALSE),"")</f>
        <v>Krista JONES</v>
      </c>
      <c r="M350" s="462"/>
      <c r="N350" s="462"/>
      <c r="O350" s="463"/>
      <c r="P350" s="461" t="str">
        <f t="shared" ca="1" si="109"/>
        <v>Menai</v>
      </c>
      <c r="Q350" s="462"/>
      <c r="R350" s="462"/>
      <c r="S350" s="463"/>
      <c r="T350" s="464">
        <f ca="1">IFERROR(VLOOKUP(K350,E328:X343,19,FALSE),"")</f>
        <v>5.54</v>
      </c>
      <c r="U350" s="465"/>
      <c r="V350" s="24"/>
      <c r="W350" s="25"/>
      <c r="X350" s="25"/>
      <c r="Y350" s="25"/>
      <c r="Z350" s="25"/>
      <c r="AA350" s="25"/>
      <c r="AB350" s="26"/>
    </row>
    <row r="351" spans="1:33" s="4" customFormat="1" ht="16.149999999999999" customHeight="1" x14ac:dyDescent="0.25">
      <c r="A351" s="8"/>
      <c r="B351" s="10">
        <v>5</v>
      </c>
      <c r="C351" s="3"/>
      <c r="D351" s="55">
        <v>5</v>
      </c>
      <c r="E351" s="19">
        <f ca="1">IFERROR(VLOOKUP(B351,B328:E343,4,FALSE),"")</f>
        <v>33</v>
      </c>
      <c r="F351" s="27" t="str">
        <f ca="1">IFERROR(VLOOKUP(E351,$E328:$F343,2,FALSE),"")</f>
        <v>Olivia COPPER</v>
      </c>
      <c r="G351" s="18" t="str">
        <f t="shared" ca="1" si="108"/>
        <v>Leigh</v>
      </c>
      <c r="H351" s="459">
        <f ca="1">IFERROR(VLOOKUP(E351,E328:X343,19,FALSE),"")</f>
        <v>6.11</v>
      </c>
      <c r="I351" s="460"/>
      <c r="J351" s="55">
        <v>5</v>
      </c>
      <c r="K351" s="55" t="str">
        <f ca="1">IFERROR(VLOOKUP(B351,C328:X343,3,FALSE),"")</f>
        <v/>
      </c>
      <c r="L351" s="461" t="str">
        <f ca="1">IFERROR(VLOOKUP(K351,$E328:$F343,2,FALSE),"")</f>
        <v/>
      </c>
      <c r="M351" s="462"/>
      <c r="N351" s="462"/>
      <c r="O351" s="463"/>
      <c r="P351" s="461" t="str">
        <f t="shared" ca="1" si="109"/>
        <v>-</v>
      </c>
      <c r="Q351" s="462"/>
      <c r="R351" s="462"/>
      <c r="S351" s="463"/>
      <c r="T351" s="464" t="str">
        <f ca="1">IFERROR(VLOOKUP(K351,E328:X343,19,FALSE),"")</f>
        <v/>
      </c>
      <c r="U351" s="465"/>
      <c r="V351" s="28"/>
      <c r="W351" s="29"/>
      <c r="X351" s="29"/>
      <c r="Y351" s="29"/>
      <c r="Z351" s="29"/>
      <c r="AA351" s="29"/>
      <c r="AB351" s="30"/>
    </row>
    <row r="352" spans="1:33" s="4" customFormat="1" ht="16.149999999999999" customHeight="1" x14ac:dyDescent="0.25">
      <c r="A352" s="8" t="s">
        <v>151</v>
      </c>
      <c r="B352" s="10">
        <v>6</v>
      </c>
      <c r="C352" s="3"/>
      <c r="D352" s="55">
        <v>6</v>
      </c>
      <c r="E352" s="19">
        <f ca="1">IFERROR(VLOOKUP(B352,B328:E343,4,FALSE),"")</f>
        <v>2</v>
      </c>
      <c r="F352" s="27" t="str">
        <f ca="1">IFERROR(VLOOKUP(E352,$E328:$F343,2,FALSE),"")</f>
        <v>Isla HERRING</v>
      </c>
      <c r="G352" s="18" t="str">
        <f t="shared" ca="1" si="108"/>
        <v>ECHT</v>
      </c>
      <c r="H352" s="459">
        <f ca="1">IFERROR(VLOOKUP(E352,E328:X343,19,FALSE),"")</f>
        <v>4.34</v>
      </c>
      <c r="I352" s="460"/>
      <c r="J352" s="55">
        <v>6</v>
      </c>
      <c r="K352" s="55" t="str">
        <f ca="1">IFERROR(VLOOKUP(B352,C328:X343,3,FALSE),"")</f>
        <v/>
      </c>
      <c r="L352" s="461" t="str">
        <f ca="1">IFERROR(VLOOKUP(K352,$E328:$F343,2,FALSE),"")</f>
        <v/>
      </c>
      <c r="M352" s="462"/>
      <c r="N352" s="462"/>
      <c r="O352" s="463"/>
      <c r="P352" s="461" t="str">
        <f t="shared" ca="1" si="109"/>
        <v>-</v>
      </c>
      <c r="Q352" s="462"/>
      <c r="R352" s="462"/>
      <c r="S352" s="463"/>
      <c r="T352" s="464" t="str">
        <f ca="1">IFERROR(VLOOKUP(K352,E328:X343,19,FALSE),"")</f>
        <v/>
      </c>
      <c r="U352" s="465"/>
      <c r="V352" s="466" t="s">
        <v>1135</v>
      </c>
      <c r="W352" s="467"/>
      <c r="X352" s="467"/>
      <c r="Y352" s="467"/>
      <c r="Z352" s="467"/>
      <c r="AA352" s="467"/>
      <c r="AB352" s="468"/>
    </row>
    <row r="353" spans="1:33" s="4" customFormat="1" ht="16.149999999999999" customHeight="1" x14ac:dyDescent="0.25">
      <c r="A353" s="8">
        <f>IFERROR(VLOOKUP(A324,records,5,FALSE),"")</f>
        <v>13.72</v>
      </c>
      <c r="B353" s="10">
        <v>7</v>
      </c>
      <c r="C353" s="3"/>
      <c r="D353" s="55">
        <v>7</v>
      </c>
      <c r="E353" s="19" t="str">
        <f ca="1">IFERROR(VLOOKUP(B353,B328:E343,4,FALSE),"")</f>
        <v/>
      </c>
      <c r="F353" s="27" t="str">
        <f ca="1">IFERROR(VLOOKUP(E353,$E328:$F343,2,FALSE),"")</f>
        <v/>
      </c>
      <c r="G353" s="18" t="str">
        <f t="shared" ca="1" si="108"/>
        <v>-</v>
      </c>
      <c r="H353" s="459" t="str">
        <f ca="1">IFERROR(VLOOKUP(E353,E328:X343,19,FALSE),"")</f>
        <v/>
      </c>
      <c r="I353" s="460"/>
      <c r="J353" s="55">
        <v>7</v>
      </c>
      <c r="K353" s="55" t="str">
        <f ca="1">IFERROR(VLOOKUP(B353,C328:X343,3,FALSE),"")</f>
        <v/>
      </c>
      <c r="L353" s="461" t="str">
        <f ca="1">IFERROR(VLOOKUP(K353,$E328:$F343,2,FALSE),"")</f>
        <v/>
      </c>
      <c r="M353" s="462"/>
      <c r="N353" s="462"/>
      <c r="O353" s="463"/>
      <c r="P353" s="461" t="str">
        <f t="shared" ca="1" si="109"/>
        <v>-</v>
      </c>
      <c r="Q353" s="462"/>
      <c r="R353" s="462"/>
      <c r="S353" s="463"/>
      <c r="T353" s="464" t="str">
        <f ca="1">IFERROR(VLOOKUP(K353,E328:X343,19,FALSE),"")</f>
        <v/>
      </c>
      <c r="U353" s="465"/>
      <c r="V353" s="24"/>
      <c r="W353" s="25"/>
      <c r="X353" s="25"/>
      <c r="Y353" s="25"/>
      <c r="Z353" s="25"/>
      <c r="AA353" s="25"/>
      <c r="AB353" s="26"/>
    </row>
    <row r="354" spans="1:33" s="4" customFormat="1" ht="16.149999999999999" customHeight="1" x14ac:dyDescent="0.25">
      <c r="A354" s="8"/>
      <c r="B354" s="10">
        <v>8</v>
      </c>
      <c r="C354" s="3"/>
      <c r="D354" s="55">
        <v>8</v>
      </c>
      <c r="E354" s="19" t="str">
        <f ca="1">IFERROR(VLOOKUP(B354,B328:E343,4,FALSE),"")</f>
        <v/>
      </c>
      <c r="F354" s="27" t="str">
        <f ca="1">IFERROR(VLOOKUP(E354,$E328:$F343,2,FALSE),"")</f>
        <v/>
      </c>
      <c r="G354" s="18" t="str">
        <f t="shared" ca="1" si="108"/>
        <v>-</v>
      </c>
      <c r="H354" s="459" t="str">
        <f ca="1">IFERROR(VLOOKUP(E354,E328:X343,19,FALSE),"")</f>
        <v/>
      </c>
      <c r="I354" s="460"/>
      <c r="J354" s="55">
        <v>8</v>
      </c>
      <c r="K354" s="55" t="str">
        <f ca="1">IFERROR(VLOOKUP(B354,C328:X343,3,FALSE),"")</f>
        <v/>
      </c>
      <c r="L354" s="461" t="str">
        <f ca="1">IFERROR(VLOOKUP(K354,$E328:$F343,2,FALSE),"")</f>
        <v/>
      </c>
      <c r="M354" s="462"/>
      <c r="N354" s="462"/>
      <c r="O354" s="463"/>
      <c r="P354" s="461" t="str">
        <f t="shared" ca="1" si="109"/>
        <v>-</v>
      </c>
      <c r="Q354" s="462"/>
      <c r="R354" s="462"/>
      <c r="S354" s="463"/>
      <c r="T354" s="464" t="str">
        <f ca="1">IFERROR(VLOOKUP(K354,E328:X343,19,FALSE),"")</f>
        <v/>
      </c>
      <c r="U354" s="465"/>
      <c r="V354" s="28"/>
      <c r="W354" s="29"/>
      <c r="X354" s="29"/>
      <c r="Y354" s="29"/>
      <c r="Z354" s="29"/>
      <c r="AA354" s="29"/>
      <c r="AB354" s="30"/>
    </row>
    <row r="355" spans="1:33" s="4" customFormat="1" ht="21" x14ac:dyDescent="0.25">
      <c r="A355" s="2" t="str">
        <f>MatchDay!$U$6</f>
        <v>X</v>
      </c>
      <c r="B355" s="8"/>
      <c r="C355" s="3"/>
      <c r="D355" s="499" t="s">
        <v>143</v>
      </c>
      <c r="E355" s="500"/>
      <c r="F355" s="500"/>
      <c r="G355" s="500"/>
      <c r="H355" s="500"/>
      <c r="I355" s="500"/>
      <c r="J355" s="500"/>
      <c r="K355" s="501" t="s">
        <v>144</v>
      </c>
      <c r="L355" s="502"/>
      <c r="M355" s="502"/>
      <c r="N355" s="502"/>
      <c r="O355" s="503" t="str">
        <f>MatchDay!$C$2&amp;" "&amp;MatchDay!$C$3&amp;" "&amp;MatchDay!$C$4</f>
        <v>LOWER NORTH West 2</v>
      </c>
      <c r="P355" s="504"/>
      <c r="Q355" s="504"/>
      <c r="R355" s="504"/>
      <c r="S355" s="504"/>
      <c r="T355" s="504"/>
      <c r="U355" s="504"/>
      <c r="V355" s="504"/>
      <c r="W355" s="504"/>
      <c r="X355" s="504"/>
      <c r="Y355" s="504"/>
      <c r="Z355" s="504"/>
      <c r="AA355" s="504"/>
      <c r="AB355" s="505"/>
    </row>
    <row r="356" spans="1:33" s="4" customFormat="1" ht="15.75" customHeight="1" x14ac:dyDescent="0.25">
      <c r="A356" s="1" t="str">
        <f>IFERROR(IF(LEFT(MatchDay!$C$2,1)="L","L"&amp;A358,"U"&amp;A358),"")</f>
        <v>LFD12</v>
      </c>
      <c r="B356" s="10">
        <v>379</v>
      </c>
      <c r="C356" s="3"/>
      <c r="D356" s="466" t="s">
        <v>145</v>
      </c>
      <c r="E356" s="468"/>
      <c r="F356" s="467" t="str">
        <f>IFERROR(UPPER(VLOOKUP(A357,teamlookup,6,FALSE)),"")</f>
        <v/>
      </c>
      <c r="G356" s="468"/>
      <c r="H356" s="476" t="s">
        <v>149</v>
      </c>
      <c r="I356" s="480"/>
      <c r="J356" s="477"/>
      <c r="K356" s="466" t="str">
        <f>MatchDay!$C$8</f>
        <v>Macclesfield Leisure Centre</v>
      </c>
      <c r="L356" s="467"/>
      <c r="M356" s="467"/>
      <c r="N356" s="467"/>
      <c r="O356" s="467"/>
      <c r="P356" s="468"/>
      <c r="Q356" s="476" t="s">
        <v>119</v>
      </c>
      <c r="R356" s="477"/>
      <c r="S356" s="494">
        <f>MatchDay!$C$7</f>
        <v>45053</v>
      </c>
      <c r="T356" s="495"/>
      <c r="U356" s="495"/>
      <c r="V356" s="495"/>
      <c r="W356" s="495"/>
      <c r="X356" s="496"/>
      <c r="Y356" s="497" t="str">
        <f>IFERROR(IF(LEFT(A356,1)="L","",VLOOKUP(A356,EA!$A:$N,8,FALSE)),"")</f>
        <v/>
      </c>
      <c r="Z356" s="498"/>
      <c r="AA356" s="464" t="str">
        <f>IFERROR(IF(LEFT(A356,1)="L","",VLOOKUP(A356,standards,9,FALSE)),"")</f>
        <v/>
      </c>
      <c r="AB356" s="465"/>
      <c r="AC356" s="6"/>
      <c r="AD356" s="6"/>
    </row>
    <row r="357" spans="1:33" s="4" customFormat="1" ht="15.75" customHeight="1" x14ac:dyDescent="0.25">
      <c r="A357" s="5">
        <f>IFERROR(IF(A355=1,VLOOKUP(A356,judges,VLOOKUP(MatchDay!$U$2*10+MatchDay!$C$5,judgesp,5,FALSE),FALSE),VLOOKUP(Distance!A356,judges,VLOOKUP(MatchDay!$U$2*10+MatchDay!$C$5,judges2,5,FALSE),FALSE)),"")</f>
        <v>1</v>
      </c>
      <c r="B357" s="138"/>
      <c r="C357" s="3"/>
      <c r="D357" s="476" t="s">
        <v>120</v>
      </c>
      <c r="E357" s="477"/>
      <c r="F357" s="478" t="str">
        <f>IFERROR(VLOOKUP(A356,timetables,2,FALSE)&amp;" "&amp;VLOOKUP(A356,timetables,3,FALSE),"")</f>
        <v>Javelin U13 Girls</v>
      </c>
      <c r="G357" s="479"/>
      <c r="H357" s="476" t="s">
        <v>121</v>
      </c>
      <c r="I357" s="480"/>
      <c r="J357" s="477"/>
      <c r="K357" s="481">
        <f>IFERROR(IF(A355=1,VLOOKUP(A356,Timetables!$A:$G,6,FALSE),VLOOKUP(A356,Timetables!$A:$G,7,FALSE)),"")</f>
        <v>0.66666666666666663</v>
      </c>
      <c r="L357" s="481" t="e">
        <v>#N/A</v>
      </c>
      <c r="M357" s="476" t="s">
        <v>150</v>
      </c>
      <c r="N357" s="477"/>
      <c r="O357" s="482" t="str">
        <f>IFERROR(VLOOKUP(A356,records,3,FALSE)&amp;", "&amp;VLOOKUP(A356,records,4,FALSE)&amp;", "&amp;VLOOKUP(A356,records,5,FALSE)&amp;", "&amp;VLOOKUP(A356,records,6,FALSE)&amp;", "&amp;VLOOKUP(A356,records,7,FALSE)&amp;" "&amp;VLOOKUP(A356,records,8,FALSE),"")</f>
        <v/>
      </c>
      <c r="P357" s="482"/>
      <c r="Q357" s="482"/>
      <c r="R357" s="482"/>
      <c r="S357" s="482"/>
      <c r="T357" s="482"/>
      <c r="U357" s="482"/>
      <c r="V357" s="482"/>
      <c r="W357" s="482"/>
      <c r="X357" s="482"/>
      <c r="Y357" s="482"/>
      <c r="Z357" s="482"/>
      <c r="AA357" s="482"/>
      <c r="AB357" s="483"/>
    </row>
    <row r="358" spans="1:33" s="4" customFormat="1" ht="32.1" customHeight="1" x14ac:dyDescent="0.25">
      <c r="A358" s="5" t="s">
        <v>215</v>
      </c>
      <c r="B358" s="10" t="str">
        <f>IFERROR(VLOOKUP($A358,fdistance,2,FALSE),"")</f>
        <v>M</v>
      </c>
      <c r="C358" s="10">
        <f>IFERROR(VLOOKUP($A358,fdistance,3,FALSE),"")</f>
        <v>99</v>
      </c>
      <c r="D358" s="31" t="s">
        <v>122</v>
      </c>
      <c r="E358" s="13" t="s">
        <v>123</v>
      </c>
      <c r="F358" s="13" t="s">
        <v>124</v>
      </c>
      <c r="G358" s="14" t="s">
        <v>125</v>
      </c>
      <c r="H358" s="484" t="s">
        <v>126</v>
      </c>
      <c r="I358" s="485"/>
      <c r="J358" s="485" t="s">
        <v>127</v>
      </c>
      <c r="K358" s="485"/>
      <c r="L358" s="485" t="s">
        <v>128</v>
      </c>
      <c r="M358" s="485"/>
      <c r="N358" s="485" t="s">
        <v>129</v>
      </c>
      <c r="O358" s="485"/>
      <c r="P358" s="486" t="s">
        <v>130</v>
      </c>
      <c r="Q358" s="485" t="s">
        <v>131</v>
      </c>
      <c r="R358" s="485"/>
      <c r="S358" s="485" t="s">
        <v>132</v>
      </c>
      <c r="T358" s="485"/>
      <c r="U358" s="485" t="s">
        <v>133</v>
      </c>
      <c r="V358" s="485"/>
      <c r="W358" s="488" t="s">
        <v>134</v>
      </c>
      <c r="X358" s="489"/>
      <c r="Y358" s="490" t="s">
        <v>135</v>
      </c>
      <c r="Z358" s="492" t="s">
        <v>136</v>
      </c>
      <c r="AA358" s="493"/>
      <c r="AB358" s="484"/>
    </row>
    <row r="359" spans="1:33" s="4" customFormat="1" x14ac:dyDescent="0.3">
      <c r="A359" s="121">
        <f>IFERROR(SEARCH("U17",F357),0)</f>
        <v>0</v>
      </c>
      <c r="B359" s="7" t="s">
        <v>53</v>
      </c>
      <c r="C359" s="7" t="s">
        <v>54</v>
      </c>
      <c r="D359" s="56"/>
      <c r="E359" s="56"/>
      <c r="F359" s="15"/>
      <c r="G359" s="16"/>
      <c r="H359" s="468" t="s">
        <v>137</v>
      </c>
      <c r="I359" s="469"/>
      <c r="J359" s="469" t="s">
        <v>137</v>
      </c>
      <c r="K359" s="469"/>
      <c r="L359" s="469" t="s">
        <v>137</v>
      </c>
      <c r="M359" s="469"/>
      <c r="N359" s="469" t="s">
        <v>137</v>
      </c>
      <c r="O359" s="469"/>
      <c r="P359" s="487"/>
      <c r="Q359" s="469" t="s">
        <v>137</v>
      </c>
      <c r="R359" s="469"/>
      <c r="S359" s="469" t="s">
        <v>137</v>
      </c>
      <c r="T359" s="469"/>
      <c r="U359" s="469" t="s">
        <v>137</v>
      </c>
      <c r="V359" s="469"/>
      <c r="W359" s="469" t="s">
        <v>137</v>
      </c>
      <c r="X359" s="466"/>
      <c r="Y359" s="491"/>
      <c r="Z359" s="55"/>
      <c r="AA359" s="55" t="s">
        <v>53</v>
      </c>
      <c r="AB359" s="55" t="s">
        <v>54</v>
      </c>
    </row>
    <row r="360" spans="1:33" s="4" customFormat="1" ht="16.149999999999999" customHeight="1" x14ac:dyDescent="0.35">
      <c r="A360" s="8">
        <f>IFERROR(IF(D360&gt;MatchDay!$U$2,"-",VLOOKUP(A356,timetables,MatchDay!$U$4,FALSE)),0)</f>
        <v>1</v>
      </c>
      <c r="B360" s="7">
        <f ca="1">AA360</f>
        <v>1</v>
      </c>
      <c r="C360" s="7" t="str">
        <f ca="1">AB360</f>
        <v/>
      </c>
      <c r="D360" s="56">
        <v>1</v>
      </c>
      <c r="E360" s="17">
        <f>A360</f>
        <v>1</v>
      </c>
      <c r="F360" s="319" t="str">
        <f>IFERROR(VLOOKUP($A356&amp;E360,downloads!$A$1:$E$1000,2,FALSE),"")</f>
        <v>Ruby WILKINS</v>
      </c>
      <c r="G360" s="18" t="str">
        <f t="shared" ref="G360:G375" si="110">IFERROR(VLOOKUP(E360,teamlookup,5,FALSE),"-")</f>
        <v>C&amp;N</v>
      </c>
      <c r="H360" s="464">
        <f ca="1">IFERROR(INDIRECT(CONCATENATE("'Distance Input'!"&amp;B358&amp;C358)),"")</f>
        <v>15.32</v>
      </c>
      <c r="I360" s="465"/>
      <c r="J360" s="464">
        <v>0</v>
      </c>
      <c r="K360" s="465"/>
      <c r="L360" s="464">
        <v>0</v>
      </c>
      <c r="M360" s="465"/>
      <c r="N360" s="470">
        <f ca="1">H360</f>
        <v>15.32</v>
      </c>
      <c r="O360" s="471"/>
      <c r="P360" s="55">
        <v>0</v>
      </c>
      <c r="Q360" s="472">
        <v>0</v>
      </c>
      <c r="R360" s="472"/>
      <c r="S360" s="472">
        <v>0</v>
      </c>
      <c r="T360" s="472"/>
      <c r="U360" s="472">
        <v>0</v>
      </c>
      <c r="V360" s="472"/>
      <c r="W360" s="464">
        <f ca="1">N360</f>
        <v>15.32</v>
      </c>
      <c r="X360" s="465"/>
      <c r="Y360" s="55">
        <f ca="1">IF(OR(W360="",W360=0),0,IF(W360="X",MatchDay!$U$2+MatchDay!$U$2+1-COUNTIF(Distance!W360:W360,"X"),RANK(W360,$W360:$X375,0)))</f>
        <v>1</v>
      </c>
      <c r="Z360" s="19" t="str">
        <f ca="1">IFERROR(IF(Y360=0,0,IF(OR(VLOOKUP(AG360,E368:Y375,21,FALSE)=0,Y360&lt;=VLOOKUP(AG360,E368:Y375,21,FALSE)),"A","B")),"")</f>
        <v>A</v>
      </c>
      <c r="AA360" s="19">
        <f ca="1">IFERROR(IF(Z360="B","",RANK(AD360,AD360:AD375,1)),"")</f>
        <v>1</v>
      </c>
      <c r="AB360" s="19" t="str">
        <f ca="1">IFERROR(IF(Z360="A","",RANK(AE360,AE360:AE375,1)),"")</f>
        <v/>
      </c>
      <c r="AC360" s="8"/>
      <c r="AD360" s="9">
        <f ca="1">IF(OR(W360=0,Y360=0,Z360="B"),"",Y360)</f>
        <v>1</v>
      </c>
      <c r="AE360" s="9" t="str">
        <f ca="1">IF(OR(W360=0,Y360=0,Z360="A"),"",Y360)</f>
        <v/>
      </c>
      <c r="AF360" s="9" t="s">
        <v>138</v>
      </c>
      <c r="AG360" s="4">
        <f>IFERROR(IF(A359=0,E360*11,E360&amp;E360),"")</f>
        <v>11</v>
      </c>
    </row>
    <row r="361" spans="1:33" s="4" customFormat="1" ht="16.149999999999999" customHeight="1" x14ac:dyDescent="0.35">
      <c r="A361" s="8">
        <f>IFERROR(IF(D361&gt;MatchDay!$U$2,"-",VLOOKUP(A356,timetables,MatchDay!$U$4+1,FALSE)),0)</f>
        <v>2</v>
      </c>
      <c r="B361" s="7">
        <f t="shared" ref="B361:B375" ca="1" si="111">AA361</f>
        <v>3</v>
      </c>
      <c r="C361" s="7" t="str">
        <f t="shared" ref="C361:C375" ca="1" si="112">AB361</f>
        <v/>
      </c>
      <c r="D361" s="55">
        <v>2</v>
      </c>
      <c r="E361" s="17">
        <f t="shared" ref="E361:E375" si="113">A361</f>
        <v>2</v>
      </c>
      <c r="F361" s="319" t="str">
        <f>IFERROR(VLOOKUP($A356&amp;E361,downloads!$A$1:$E$1000,2,FALSE),"")</f>
        <v>Imogen MCBURNIE</v>
      </c>
      <c r="G361" s="18" t="str">
        <f t="shared" si="110"/>
        <v>ECHT</v>
      </c>
      <c r="H361" s="464">
        <f ca="1">IFERROR(INDIRECT(CONCATENATE("'Distance Input'!"&amp;B358&amp;C358+1)),"")</f>
        <v>14.02</v>
      </c>
      <c r="I361" s="465"/>
      <c r="J361" s="464">
        <v>0</v>
      </c>
      <c r="K361" s="465"/>
      <c r="L361" s="464">
        <v>0</v>
      </c>
      <c r="M361" s="465"/>
      <c r="N361" s="470">
        <f t="shared" ref="N361:N375" ca="1" si="114">H361</f>
        <v>14.02</v>
      </c>
      <c r="O361" s="471"/>
      <c r="P361" s="55">
        <v>0</v>
      </c>
      <c r="Q361" s="472">
        <v>0</v>
      </c>
      <c r="R361" s="472"/>
      <c r="S361" s="472">
        <v>0</v>
      </c>
      <c r="T361" s="472"/>
      <c r="U361" s="472">
        <v>0</v>
      </c>
      <c r="V361" s="472"/>
      <c r="W361" s="464">
        <f t="shared" ref="W361:W375" ca="1" si="115">N361</f>
        <v>14.02</v>
      </c>
      <c r="X361" s="465"/>
      <c r="Y361" s="55">
        <f ca="1">IF(OR(W361="",W361=0),0,IF(W361="X",MatchDay!$U$2+MatchDay!$U$2+1-COUNTIF(Distance!W360:W361,"X"),RANK(W361,$W360:$X375,0)))</f>
        <v>3</v>
      </c>
      <c r="Z361" s="19" t="str">
        <f ca="1">IFERROR(IF(Y361=0,0,IF(OR(VLOOKUP(AG361,E368:Y375,21,FALSE)=0,Y361&lt;=VLOOKUP(AG361,E368:Y375,21,FALSE)),"A","B")),"")</f>
        <v>A</v>
      </c>
      <c r="AA361" s="19">
        <f ca="1">IFERROR(IF(Z361="B","",RANK(AD361,AD360:AD375,1)),"")</f>
        <v>3</v>
      </c>
      <c r="AB361" s="19" t="str">
        <f ca="1">IFERROR(IF(Z361="A","",RANK(AE361,AE360:AE375,1)),"")</f>
        <v/>
      </c>
      <c r="AC361" s="8"/>
      <c r="AD361" s="9">
        <f t="shared" ref="AD361:AD375" ca="1" si="116">IF(OR(W361=0,Y361=0,Z361="B"),"",Y361)</f>
        <v>3</v>
      </c>
      <c r="AE361" s="9" t="str">
        <f t="shared" ref="AE361:AE375" ca="1" si="117">IF(OR(W361=0,Y361=0,Z361="A"),"",Y361)</f>
        <v/>
      </c>
      <c r="AF361" s="9" t="s">
        <v>138</v>
      </c>
      <c r="AG361" s="4">
        <f>IFERROR(IF(A359=0,E361*11,E361&amp;E361),"")</f>
        <v>22</v>
      </c>
    </row>
    <row r="362" spans="1:33" s="4" customFormat="1" ht="16.149999999999999" customHeight="1" x14ac:dyDescent="0.35">
      <c r="A362" s="8">
        <f>IFERROR(IF(D362&gt;MatchDay!$U$2,"-",VLOOKUP(A356,timetables,MatchDay!$U$4+2,FALSE)),0)</f>
        <v>6</v>
      </c>
      <c r="B362" s="7" t="str">
        <f t="shared" ca="1" si="111"/>
        <v/>
      </c>
      <c r="C362" s="7" t="str">
        <f t="shared" ca="1" si="112"/>
        <v/>
      </c>
      <c r="D362" s="55">
        <v>3</v>
      </c>
      <c r="E362" s="17">
        <f t="shared" si="113"/>
        <v>6</v>
      </c>
      <c r="F362" s="319" t="str">
        <f>IFERROR(VLOOKUP($A356&amp;E362,downloads!$A$1:$E$1000,2,FALSE),"")</f>
        <v/>
      </c>
      <c r="G362" s="18" t="str">
        <f t="shared" si="110"/>
        <v>Stock</v>
      </c>
      <c r="H362" s="464">
        <f ca="1">IFERROR(INDIRECT(CONCATENATE("'Distance Input'!"&amp;B358&amp;C358+2)),"")</f>
        <v>0</v>
      </c>
      <c r="I362" s="465"/>
      <c r="J362" s="464">
        <v>0</v>
      </c>
      <c r="K362" s="465"/>
      <c r="L362" s="464">
        <v>0</v>
      </c>
      <c r="M362" s="465"/>
      <c r="N362" s="470">
        <f t="shared" ca="1" si="114"/>
        <v>0</v>
      </c>
      <c r="O362" s="471"/>
      <c r="P362" s="55">
        <v>0</v>
      </c>
      <c r="Q362" s="472">
        <v>0</v>
      </c>
      <c r="R362" s="472"/>
      <c r="S362" s="472">
        <v>0</v>
      </c>
      <c r="T362" s="472"/>
      <c r="U362" s="472">
        <v>0</v>
      </c>
      <c r="V362" s="472"/>
      <c r="W362" s="464">
        <f t="shared" ca="1" si="115"/>
        <v>0</v>
      </c>
      <c r="X362" s="465"/>
      <c r="Y362" s="55">
        <f ca="1">IF(OR(W362="",W362=0),0,IF(W362="X",MatchDay!$U$2+MatchDay!$U$2+1-COUNTIF(Distance!W360:W362,"X"),RANK(W362,$W360:$X375,0)))</f>
        <v>0</v>
      </c>
      <c r="Z362" s="19">
        <f ca="1">IFERROR(IF(Y362=0,0,IF(OR(VLOOKUP(AG362,E368:Y375,21,FALSE)=0,Y362&lt;=VLOOKUP(AG362,E368:Y375,21,FALSE)),"A","B")),"")</f>
        <v>0</v>
      </c>
      <c r="AA362" s="19" t="str">
        <f ca="1">IFERROR(IF(Z362="B","",RANK(AD362,AD360:AD375,1)),"")</f>
        <v/>
      </c>
      <c r="AB362" s="19" t="str">
        <f ca="1">IFERROR(IF(Z362="A","",RANK(AE362,AE360:AE375,1)),"")</f>
        <v/>
      </c>
      <c r="AD362" s="9" t="str">
        <f t="shared" ca="1" si="116"/>
        <v/>
      </c>
      <c r="AE362" s="9" t="str">
        <f t="shared" ca="1" si="117"/>
        <v/>
      </c>
      <c r="AF362" s="9" t="s">
        <v>138</v>
      </c>
      <c r="AG362" s="4">
        <f>IFERROR(IF(A359=0,E362*11,E362&amp;E362),"")</f>
        <v>66</v>
      </c>
    </row>
    <row r="363" spans="1:33" s="4" customFormat="1" ht="16.149999999999999" customHeight="1" x14ac:dyDescent="0.35">
      <c r="A363" s="8">
        <f>IFERROR(IF(D363&gt;MatchDay!$U$2,"-",VLOOKUP(A356,timetables,MatchDay!$U$4+3,FALSE)),0)</f>
        <v>7</v>
      </c>
      <c r="B363" s="7">
        <f t="shared" ca="1" si="111"/>
        <v>4</v>
      </c>
      <c r="C363" s="7" t="str">
        <f t="shared" ca="1" si="112"/>
        <v/>
      </c>
      <c r="D363" s="55">
        <v>4</v>
      </c>
      <c r="E363" s="17">
        <f t="shared" si="113"/>
        <v>7</v>
      </c>
      <c r="F363" s="319" t="str">
        <f>IFERROR(VLOOKUP($A356&amp;E363,downloads!$A$1:$E$1000,2,FALSE),"")</f>
        <v>Maisie CADMAN</v>
      </c>
      <c r="G363" s="18" t="str">
        <f t="shared" si="110"/>
        <v>Wigan</v>
      </c>
      <c r="H363" s="464">
        <f ca="1">IFERROR(INDIRECT(CONCATENATE("'Distance Input'!"&amp;B358&amp;C358+3)),"")</f>
        <v>11.2</v>
      </c>
      <c r="I363" s="465"/>
      <c r="J363" s="464">
        <v>0</v>
      </c>
      <c r="K363" s="465"/>
      <c r="L363" s="464">
        <v>0</v>
      </c>
      <c r="M363" s="465"/>
      <c r="N363" s="470">
        <f t="shared" ca="1" si="114"/>
        <v>11.2</v>
      </c>
      <c r="O363" s="471"/>
      <c r="P363" s="55">
        <v>0</v>
      </c>
      <c r="Q363" s="472">
        <v>0</v>
      </c>
      <c r="R363" s="472"/>
      <c r="S363" s="472">
        <v>0</v>
      </c>
      <c r="T363" s="472"/>
      <c r="U363" s="472">
        <v>0</v>
      </c>
      <c r="V363" s="472"/>
      <c r="W363" s="464">
        <f t="shared" ca="1" si="115"/>
        <v>11.2</v>
      </c>
      <c r="X363" s="465"/>
      <c r="Y363" s="55">
        <f ca="1">IF(OR(W363="",W363=0),0,IF(W363="X",MatchDay!$U$2+MatchDay!$U$2+1-COUNTIF(Distance!W360:W363,"X"),RANK(W363,$W360:$X375,0)))</f>
        <v>7</v>
      </c>
      <c r="Z363" s="19" t="str">
        <f ca="1">IFERROR(IF(Y363=0,0,IF(OR(VLOOKUP(AG363,E368:Y375,21,FALSE)=0,Y363&lt;=VLOOKUP(AG363,E368:Y375,21,FALSE)),"A","B")),"")</f>
        <v>A</v>
      </c>
      <c r="AA363" s="19">
        <f ca="1">IFERROR(IF(Z363="B","",RANK(AD363,AD360:AD375,1)),"")</f>
        <v>4</v>
      </c>
      <c r="AB363" s="19" t="str">
        <f ca="1">IFERROR(IF(Z363="A","",RANK(AE363,AE360:AE375,1)),"")</f>
        <v/>
      </c>
      <c r="AD363" s="9">
        <f t="shared" ca="1" si="116"/>
        <v>7</v>
      </c>
      <c r="AE363" s="9" t="str">
        <f t="shared" ca="1" si="117"/>
        <v/>
      </c>
      <c r="AF363" s="9" t="s">
        <v>138</v>
      </c>
      <c r="AG363" s="4">
        <f>IFERROR(IF(A359=0,E363*11,E363&amp;E363),"")</f>
        <v>77</v>
      </c>
    </row>
    <row r="364" spans="1:33" s="4" customFormat="1" ht="16.149999999999999" customHeight="1" x14ac:dyDescent="0.35">
      <c r="A364" s="8">
        <f>IFERROR(IF(D364&gt;MatchDay!$U$2,"-",VLOOKUP(A356,timetables,MatchDay!$U$4+4,FALSE)),0)</f>
        <v>3</v>
      </c>
      <c r="B364" s="7">
        <f t="shared" ca="1" si="111"/>
        <v>2</v>
      </c>
      <c r="C364" s="7" t="str">
        <f t="shared" ca="1" si="112"/>
        <v/>
      </c>
      <c r="D364" s="55">
        <v>5</v>
      </c>
      <c r="E364" s="17">
        <f t="shared" si="113"/>
        <v>3</v>
      </c>
      <c r="F364" s="319" t="str">
        <f>IFERROR(VLOOKUP($A356&amp;E364,downloads!$A$1:$E$1000,2,FALSE),"")</f>
        <v>Emily ASHTON</v>
      </c>
      <c r="G364" s="18" t="str">
        <f t="shared" si="110"/>
        <v>Leigh</v>
      </c>
      <c r="H364" s="464">
        <f ca="1">IFERROR(INDIRECT(CONCATENATE("'Distance Input'!"&amp;B358&amp;C358+4)),"")</f>
        <v>15.31</v>
      </c>
      <c r="I364" s="465"/>
      <c r="J364" s="464">
        <v>0</v>
      </c>
      <c r="K364" s="465"/>
      <c r="L364" s="464">
        <v>0</v>
      </c>
      <c r="M364" s="465"/>
      <c r="N364" s="470">
        <f t="shared" ca="1" si="114"/>
        <v>15.31</v>
      </c>
      <c r="O364" s="471"/>
      <c r="P364" s="55">
        <v>0</v>
      </c>
      <c r="Q364" s="472">
        <v>0</v>
      </c>
      <c r="R364" s="472"/>
      <c r="S364" s="472">
        <v>0</v>
      </c>
      <c r="T364" s="472"/>
      <c r="U364" s="472">
        <v>0</v>
      </c>
      <c r="V364" s="472"/>
      <c r="W364" s="464">
        <f t="shared" ca="1" si="115"/>
        <v>15.31</v>
      </c>
      <c r="X364" s="465"/>
      <c r="Y364" s="55">
        <f ca="1">IF(OR(W364="",W364=0),0,IF(W364="X",MatchDay!$U$2+MatchDay!$U$2+1-COUNTIF(Distance!W360:W364,"X"),RANK(W364,$W360:$X375,0)))</f>
        <v>2</v>
      </c>
      <c r="Z364" s="19" t="str">
        <f ca="1">IFERROR(IF(Y364=0,0,IF(OR(VLOOKUP(AG364,E368:Y375,21,FALSE)=0,Y364&lt;=VLOOKUP(AG364,E368:Y375,21,FALSE)),"A","B")),"")</f>
        <v>A</v>
      </c>
      <c r="AA364" s="19">
        <f ca="1">IFERROR(IF(Z364="B","",RANK(AD364,AD360:AD375,1)),"")</f>
        <v>2</v>
      </c>
      <c r="AB364" s="19" t="str">
        <f ca="1">IFERROR(IF(Z364="A","",RANK(AE364,AE360:AE375,1)),"")</f>
        <v/>
      </c>
      <c r="AD364" s="9">
        <f t="shared" ca="1" si="116"/>
        <v>2</v>
      </c>
      <c r="AE364" s="9" t="str">
        <f t="shared" ca="1" si="117"/>
        <v/>
      </c>
      <c r="AF364" s="9" t="s">
        <v>138</v>
      </c>
      <c r="AG364" s="4">
        <f>IFERROR(IF(A359=0,E364*11,E364&amp;E364),"")</f>
        <v>33</v>
      </c>
    </row>
    <row r="365" spans="1:33" s="4" customFormat="1" ht="16.149999999999999" customHeight="1" x14ac:dyDescent="0.35">
      <c r="A365" s="8">
        <f>IFERROR(IF(D365&gt;MatchDay!$U$2,"-",VLOOKUP(A356,timetables,MatchDay!$U$4+5,FALSE)),0)</f>
        <v>4</v>
      </c>
      <c r="B365" s="7">
        <f t="shared" ca="1" si="111"/>
        <v>5</v>
      </c>
      <c r="C365" s="7" t="str">
        <f t="shared" ca="1" si="112"/>
        <v/>
      </c>
      <c r="D365" s="55">
        <v>6</v>
      </c>
      <c r="E365" s="17">
        <f t="shared" si="113"/>
        <v>4</v>
      </c>
      <c r="F365" s="319" t="str">
        <f>IFERROR(VLOOKUP($A356&amp;E365,downloads!$A$1:$E$1000,2,FALSE),"")</f>
        <v>Lauren HARPER</v>
      </c>
      <c r="G365" s="18" t="str">
        <f t="shared" si="110"/>
        <v>Macc</v>
      </c>
      <c r="H365" s="464">
        <f ca="1">IFERROR(INDIRECT(CONCATENATE("'Distance Input'!"&amp;B358&amp;C358+5)),"")</f>
        <v>8.4</v>
      </c>
      <c r="I365" s="465"/>
      <c r="J365" s="464">
        <v>0</v>
      </c>
      <c r="K365" s="465"/>
      <c r="L365" s="464">
        <v>0</v>
      </c>
      <c r="M365" s="465"/>
      <c r="N365" s="470">
        <f t="shared" ca="1" si="114"/>
        <v>8.4</v>
      </c>
      <c r="O365" s="471"/>
      <c r="P365" s="55">
        <v>0</v>
      </c>
      <c r="Q365" s="472">
        <v>0</v>
      </c>
      <c r="R365" s="472"/>
      <c r="S365" s="472">
        <v>0</v>
      </c>
      <c r="T365" s="472"/>
      <c r="U365" s="472">
        <v>0</v>
      </c>
      <c r="V365" s="472"/>
      <c r="W365" s="464">
        <f t="shared" ca="1" si="115"/>
        <v>8.4</v>
      </c>
      <c r="X365" s="465"/>
      <c r="Y365" s="55">
        <f ca="1">IF(OR(W365="",W365=0),0,IF(W365="X",MatchDay!$U$2+MatchDay!$U$2+1-COUNTIF(Distance!W360:W365,"X"),RANK(W365,$W360:$X375,0)))</f>
        <v>8</v>
      </c>
      <c r="Z365" s="19" t="str">
        <f ca="1">IFERROR(IF(Y365=0,0,IF(OR(VLOOKUP(AG365,E368:Y375,21,FALSE)=0,Y365&lt;=VLOOKUP(AG365,E368:Y375,21,FALSE)),"A","B")),"")</f>
        <v>A</v>
      </c>
      <c r="AA365" s="19">
        <f ca="1">IFERROR(IF(Z365="B","",RANK(AD365,AD360:AD375,1)),"")</f>
        <v>5</v>
      </c>
      <c r="AB365" s="19" t="str">
        <f ca="1">IFERROR(IF(Z365="A","",RANK(AE365,AE360:AE375,1)),"")</f>
        <v/>
      </c>
      <c r="AD365" s="9">
        <f t="shared" ca="1" si="116"/>
        <v>8</v>
      </c>
      <c r="AE365" s="9" t="str">
        <f t="shared" ca="1" si="117"/>
        <v/>
      </c>
      <c r="AF365" s="9" t="s">
        <v>138</v>
      </c>
      <c r="AG365" s="4">
        <f>IFERROR(IF(A359=0,E365*11,E365&amp;E365),"")</f>
        <v>44</v>
      </c>
    </row>
    <row r="366" spans="1:33" s="4" customFormat="1" ht="16.149999999999999" customHeight="1" x14ac:dyDescent="0.35">
      <c r="A366" s="8">
        <f>IFERROR(IF(D366&gt;MatchDay!$U$2,"-",VLOOKUP(A356,timetables,MatchDay!$U$4+6,FALSE)),0)</f>
        <v>5</v>
      </c>
      <c r="B366" s="7" t="str">
        <f t="shared" ca="1" si="111"/>
        <v/>
      </c>
      <c r="C366" s="7" t="str">
        <f t="shared" ca="1" si="112"/>
        <v/>
      </c>
      <c r="D366" s="55">
        <v>7</v>
      </c>
      <c r="E366" s="17">
        <f t="shared" si="113"/>
        <v>5</v>
      </c>
      <c r="F366" s="319" t="str">
        <f>IFERROR(VLOOKUP($A356&amp;E366,downloads!$A$1:$E$1000,2,FALSE),"")</f>
        <v/>
      </c>
      <c r="G366" s="18" t="str">
        <f t="shared" si="110"/>
        <v>Menai</v>
      </c>
      <c r="H366" s="464">
        <f ca="1">IFERROR(INDIRECT(CONCATENATE("'Distance Input'!"&amp;B358&amp;C358+6)),"")</f>
        <v>0</v>
      </c>
      <c r="I366" s="465"/>
      <c r="J366" s="464">
        <v>0</v>
      </c>
      <c r="K366" s="465"/>
      <c r="L366" s="464">
        <v>0</v>
      </c>
      <c r="M366" s="465"/>
      <c r="N366" s="470">
        <f t="shared" ca="1" si="114"/>
        <v>0</v>
      </c>
      <c r="O366" s="471"/>
      <c r="P366" s="55">
        <v>0</v>
      </c>
      <c r="Q366" s="472">
        <v>0</v>
      </c>
      <c r="R366" s="472"/>
      <c r="S366" s="472">
        <v>0</v>
      </c>
      <c r="T366" s="472"/>
      <c r="U366" s="472">
        <v>0</v>
      </c>
      <c r="V366" s="472"/>
      <c r="W366" s="464">
        <f t="shared" ca="1" si="115"/>
        <v>0</v>
      </c>
      <c r="X366" s="465"/>
      <c r="Y366" s="55">
        <f ca="1">IF(OR(W366="",W366=0),0,IF(W366="X",MatchDay!$U$2+MatchDay!$U$2+1-COUNTIF(Distance!W360:W366,"X"),RANK(W366,$W360:$X375,0)))</f>
        <v>0</v>
      </c>
      <c r="Z366" s="19">
        <f ca="1">IFERROR(IF(Y366=0,0,IF(OR(VLOOKUP(AG366,E368:Y375,21,FALSE)=0,Y366&lt;=VLOOKUP(AG366,E368:Y375,21,FALSE)),"A","B")),"")</f>
        <v>0</v>
      </c>
      <c r="AA366" s="19" t="str">
        <f ca="1">IFERROR(IF(Z366="B","",RANK(AD366,AD360:AD375,1)),"")</f>
        <v/>
      </c>
      <c r="AB366" s="19" t="str">
        <f ca="1">IFERROR(IF(Z366="A","",RANK(AE366,AE360:AE375,1)),"")</f>
        <v/>
      </c>
      <c r="AD366" s="9" t="str">
        <f t="shared" ca="1" si="116"/>
        <v/>
      </c>
      <c r="AE366" s="9" t="str">
        <f t="shared" ca="1" si="117"/>
        <v/>
      </c>
      <c r="AF366" s="9" t="s">
        <v>138</v>
      </c>
      <c r="AG366" s="4">
        <f>IFERROR(IF(A359=0,E366*11,E366&amp;E366),"")</f>
        <v>55</v>
      </c>
    </row>
    <row r="367" spans="1:33" s="4" customFormat="1" ht="16.149999999999999" customHeight="1" x14ac:dyDescent="0.35">
      <c r="A367" s="8" t="str">
        <f>IFERROR(IF(D367&gt;MatchDay!$U$2,"-",VLOOKUP(A356,timetables,MatchDay!$U$4+7,FALSE)),0)</f>
        <v>-</v>
      </c>
      <c r="B367" s="7" t="str">
        <f t="shared" ca="1" si="111"/>
        <v/>
      </c>
      <c r="C367" s="7" t="str">
        <f t="shared" ca="1" si="112"/>
        <v/>
      </c>
      <c r="D367" s="55">
        <v>8</v>
      </c>
      <c r="E367" s="17" t="str">
        <f t="shared" si="113"/>
        <v>-</v>
      </c>
      <c r="F367" s="319" t="str">
        <f>IFERROR(VLOOKUP($A356&amp;E367,downloads!$A$1:$E$1000,2,FALSE),"")</f>
        <v/>
      </c>
      <c r="G367" s="18" t="str">
        <f t="shared" si="110"/>
        <v/>
      </c>
      <c r="H367" s="464">
        <f ca="1">IFERROR(INDIRECT(CONCATENATE("'Distance Input'!"&amp;B358&amp;C358+7)),"")</f>
        <v>0</v>
      </c>
      <c r="I367" s="465"/>
      <c r="J367" s="464">
        <v>0</v>
      </c>
      <c r="K367" s="465"/>
      <c r="L367" s="464">
        <v>0</v>
      </c>
      <c r="M367" s="465"/>
      <c r="N367" s="470">
        <f t="shared" ca="1" si="114"/>
        <v>0</v>
      </c>
      <c r="O367" s="471"/>
      <c r="P367" s="55">
        <v>0</v>
      </c>
      <c r="Q367" s="472">
        <v>0</v>
      </c>
      <c r="R367" s="472"/>
      <c r="S367" s="472">
        <v>0</v>
      </c>
      <c r="T367" s="472"/>
      <c r="U367" s="472">
        <v>0</v>
      </c>
      <c r="V367" s="472"/>
      <c r="W367" s="464">
        <f t="shared" ca="1" si="115"/>
        <v>0</v>
      </c>
      <c r="X367" s="465"/>
      <c r="Y367" s="55">
        <f ca="1">IF(OR(W367="",W367=0),0,IF(W367="X",MatchDay!$U$2+MatchDay!$U$2+1-COUNTIF(Distance!W360:W367,"X"),RANK(W367,$W360:$X375,0)))</f>
        <v>0</v>
      </c>
      <c r="Z367" s="19">
        <f ca="1">IFERROR(IF(Y367=0,0,IF(OR(VLOOKUP(AG367,E368:Y375,21,FALSE)=0,Y367&lt;=VLOOKUP(AG367,E368:Y375,21,FALSE)),"A","B")),"")</f>
        <v>0</v>
      </c>
      <c r="AA367" s="19" t="str">
        <f ca="1">IFERROR(IF(Z367="B","",RANK(AD367,AD360:AD375,1)),"")</f>
        <v/>
      </c>
      <c r="AB367" s="19" t="str">
        <f ca="1">IFERROR(IF(Z367="A","",RANK(AE367,AE360:AE375,1)),"")</f>
        <v/>
      </c>
      <c r="AD367" s="9" t="str">
        <f t="shared" ca="1" si="116"/>
        <v/>
      </c>
      <c r="AE367" s="9" t="str">
        <f t="shared" ca="1" si="117"/>
        <v/>
      </c>
      <c r="AF367" s="9" t="s">
        <v>138</v>
      </c>
      <c r="AG367" s="4" t="str">
        <f>IFERROR(IF(A359=0,E367*11,E367&amp;E367),"")</f>
        <v/>
      </c>
    </row>
    <row r="368" spans="1:33" s="4" customFormat="1" ht="16.149999999999999" customHeight="1" x14ac:dyDescent="0.35">
      <c r="A368" s="8">
        <f>IFERROR(IF(A359=0,A360*11,A360&amp;A360),"-")</f>
        <v>11</v>
      </c>
      <c r="B368" s="7" t="str">
        <f t="shared" ca="1" si="111"/>
        <v/>
      </c>
      <c r="C368" s="7">
        <f t="shared" ca="1" si="112"/>
        <v>2</v>
      </c>
      <c r="D368" s="55">
        <v>9</v>
      </c>
      <c r="E368" s="17">
        <f t="shared" si="113"/>
        <v>11</v>
      </c>
      <c r="F368" s="319" t="str">
        <f>IFERROR(VLOOKUP($A356&amp;E368,downloads!$A$1:$E$1000,2,FALSE),"")</f>
        <v>Malkia HENRY</v>
      </c>
      <c r="G368" s="18" t="str">
        <f t="shared" si="110"/>
        <v>C&amp;N</v>
      </c>
      <c r="H368" s="464">
        <f ca="1">IFERROR(INDIRECT(CONCATENATE("'Distance Input'!"&amp;B358&amp;C358+8)),"")</f>
        <v>12.62</v>
      </c>
      <c r="I368" s="465"/>
      <c r="J368" s="464">
        <v>0</v>
      </c>
      <c r="K368" s="465"/>
      <c r="L368" s="464">
        <v>0</v>
      </c>
      <c r="M368" s="465"/>
      <c r="N368" s="470">
        <f t="shared" ca="1" si="114"/>
        <v>12.62</v>
      </c>
      <c r="O368" s="471"/>
      <c r="P368" s="55">
        <v>0</v>
      </c>
      <c r="Q368" s="472">
        <v>0</v>
      </c>
      <c r="R368" s="472"/>
      <c r="S368" s="472">
        <v>0</v>
      </c>
      <c r="T368" s="472"/>
      <c r="U368" s="472">
        <v>0</v>
      </c>
      <c r="V368" s="472"/>
      <c r="W368" s="464">
        <f t="shared" ca="1" si="115"/>
        <v>12.62</v>
      </c>
      <c r="X368" s="465"/>
      <c r="Y368" s="55">
        <f ca="1">IF(OR(W368="",W368=0),0,IF(W368="X",MatchDay!$U$2+MatchDay!$U$2+1-COUNTIF(Distance!W360:W368,"X"),RANK(W368,$W360:$X375,0)))</f>
        <v>5</v>
      </c>
      <c r="Z368" s="19" t="str">
        <f ca="1">IFERROR(IF(Y368=0,0,IF(VLOOKUP(AG368,E360:Y367,21,FALSE)=0,"A",IF(Y368&gt;=VLOOKUP(AG368,E360:Y367,21,FALSE),"B","A"))),"")</f>
        <v>B</v>
      </c>
      <c r="AA368" s="19" t="str">
        <f ca="1">IFERROR(IF(Z368="B","",RANK(AD368,AD360:AD375,1)),"")</f>
        <v/>
      </c>
      <c r="AB368" s="19">
        <f ca="1">IFERROR(IF(Z368="A","",RANK(AE368,AE360:AE375,1)),"")</f>
        <v>2</v>
      </c>
      <c r="AD368" s="9" t="str">
        <f t="shared" ca="1" si="116"/>
        <v/>
      </c>
      <c r="AE368" s="9">
        <f t="shared" ca="1" si="117"/>
        <v>5</v>
      </c>
      <c r="AF368" s="9" t="s">
        <v>138</v>
      </c>
      <c r="AG368" s="4">
        <f>IFERROR(IF(A359=0,E368/11,LEFT(E368,1)),"")</f>
        <v>1</v>
      </c>
    </row>
    <row r="369" spans="1:33" s="4" customFormat="1" ht="16.149999999999999" customHeight="1" x14ac:dyDescent="0.35">
      <c r="A369" s="8">
        <f>IFERROR(IF(A359=0,A361*11,A361&amp;A361),"-")</f>
        <v>22</v>
      </c>
      <c r="B369" s="7" t="str">
        <f t="shared" ca="1" si="111"/>
        <v/>
      </c>
      <c r="C369" s="7">
        <f t="shared" ca="1" si="112"/>
        <v>3</v>
      </c>
      <c r="D369" s="55">
        <v>10</v>
      </c>
      <c r="E369" s="17">
        <f t="shared" si="113"/>
        <v>22</v>
      </c>
      <c r="F369" s="319" t="str">
        <f>IFERROR(VLOOKUP($A356&amp;E369,downloads!$A$1:$E$1000,2,FALSE),"")</f>
        <v>Demi BAXTER</v>
      </c>
      <c r="G369" s="18" t="str">
        <f t="shared" si="110"/>
        <v>ECHT</v>
      </c>
      <c r="H369" s="464">
        <f ca="1">IFERROR(INDIRECT(CONCATENATE("'Distance Input'!"&amp;B358&amp;C358+9)),"")</f>
        <v>12.17</v>
      </c>
      <c r="I369" s="465"/>
      <c r="J369" s="464">
        <v>0</v>
      </c>
      <c r="K369" s="465"/>
      <c r="L369" s="464">
        <v>0</v>
      </c>
      <c r="M369" s="465"/>
      <c r="N369" s="470">
        <f t="shared" ca="1" si="114"/>
        <v>12.17</v>
      </c>
      <c r="O369" s="471"/>
      <c r="P369" s="55">
        <v>0</v>
      </c>
      <c r="Q369" s="472">
        <v>0</v>
      </c>
      <c r="R369" s="472"/>
      <c r="S369" s="472">
        <v>0</v>
      </c>
      <c r="T369" s="472"/>
      <c r="U369" s="472">
        <v>0</v>
      </c>
      <c r="V369" s="472"/>
      <c r="W369" s="464">
        <f t="shared" ca="1" si="115"/>
        <v>12.17</v>
      </c>
      <c r="X369" s="465"/>
      <c r="Y369" s="55">
        <f ca="1">IF(OR(W369="",W369=0),0,IF(W369="X",MatchDay!$U$2+MatchDay!$U$2+1-COUNTIF(Distance!W360:W369,"X"),RANK(W369,$W360:$X375,0)))</f>
        <v>6</v>
      </c>
      <c r="Z369" s="19" t="str">
        <f ca="1">IFERROR(IF(Y369=0,0,IF(VLOOKUP(AG369,E360:Y367,21,FALSE)=0,"A",IF(Y369&gt;=VLOOKUP(AG369,E360:Y367,21,FALSE),"B","A"))),"")</f>
        <v>B</v>
      </c>
      <c r="AA369" s="19" t="str">
        <f ca="1">IFERROR(IF(Z369="B","",RANK(AD369,AD360:AD375,1)),"")</f>
        <v/>
      </c>
      <c r="AB369" s="19">
        <f ca="1">IFERROR(IF(Z369="A","",RANK(AE369,AE360:AE375,1)),"")</f>
        <v>3</v>
      </c>
      <c r="AD369" s="9" t="str">
        <f t="shared" ca="1" si="116"/>
        <v/>
      </c>
      <c r="AE369" s="9">
        <f t="shared" ca="1" si="117"/>
        <v>6</v>
      </c>
      <c r="AF369" s="9" t="s">
        <v>138</v>
      </c>
      <c r="AG369" s="4">
        <f>IFERROR(IF(A359=0,E369/11,LEFT(E369,1)),"")</f>
        <v>2</v>
      </c>
    </row>
    <row r="370" spans="1:33" s="4" customFormat="1" ht="16.149999999999999" customHeight="1" x14ac:dyDescent="0.35">
      <c r="A370" s="8">
        <f>IFERROR(IF(A359=0,A362*11,A362&amp;A362),"-")</f>
        <v>66</v>
      </c>
      <c r="B370" s="7" t="str">
        <f t="shared" ca="1" si="111"/>
        <v/>
      </c>
      <c r="C370" s="7" t="str">
        <f t="shared" ca="1" si="112"/>
        <v/>
      </c>
      <c r="D370" s="55">
        <v>11</v>
      </c>
      <c r="E370" s="17">
        <f t="shared" si="113"/>
        <v>66</v>
      </c>
      <c r="F370" s="319" t="str">
        <f>IFERROR(VLOOKUP($A356&amp;E370,downloads!$A$1:$E$1000,2,FALSE),"")</f>
        <v/>
      </c>
      <c r="G370" s="18" t="str">
        <f t="shared" si="110"/>
        <v>Stock</v>
      </c>
      <c r="H370" s="464">
        <f ca="1">IFERROR(INDIRECT(CONCATENATE("'Distance Input'!"&amp;B358&amp;C358+10)),"")</f>
        <v>0</v>
      </c>
      <c r="I370" s="465"/>
      <c r="J370" s="464">
        <v>0</v>
      </c>
      <c r="K370" s="465"/>
      <c r="L370" s="464">
        <v>0</v>
      </c>
      <c r="M370" s="465"/>
      <c r="N370" s="470">
        <f t="shared" ca="1" si="114"/>
        <v>0</v>
      </c>
      <c r="O370" s="471"/>
      <c r="P370" s="55">
        <v>0</v>
      </c>
      <c r="Q370" s="472">
        <v>0</v>
      </c>
      <c r="R370" s="472"/>
      <c r="S370" s="472">
        <v>0</v>
      </c>
      <c r="T370" s="472"/>
      <c r="U370" s="472">
        <v>0</v>
      </c>
      <c r="V370" s="472"/>
      <c r="W370" s="464">
        <f t="shared" ca="1" si="115"/>
        <v>0</v>
      </c>
      <c r="X370" s="465"/>
      <c r="Y370" s="55">
        <f ca="1">IF(OR(W370="",W370=0),0,IF(W370="X",MatchDay!$U$2+MatchDay!$U$2+1-COUNTIF(Distance!W360:W370,"X"),RANK(W370,$W360:$X375,0)))</f>
        <v>0</v>
      </c>
      <c r="Z370" s="19">
        <f ca="1">IFERROR(IF(Y370=0,0,IF(VLOOKUP(AG370,E360:Y367,21,FALSE)=0,"A",IF(Y370&gt;=VLOOKUP(AG370,E360:Y367,21,FALSE),"B","A"))),"")</f>
        <v>0</v>
      </c>
      <c r="AA370" s="19" t="str">
        <f ca="1">IFERROR(IF(Z370="B","",RANK(AD370,AD360:AD375,1)),"")</f>
        <v/>
      </c>
      <c r="AB370" s="19" t="str">
        <f ca="1">IFERROR(IF(Z370="A","",RANK(AE370,AE360:AE375,1)),"")</f>
        <v/>
      </c>
      <c r="AD370" s="9" t="str">
        <f t="shared" ca="1" si="116"/>
        <v/>
      </c>
      <c r="AE370" s="9" t="str">
        <f t="shared" ca="1" si="117"/>
        <v/>
      </c>
      <c r="AF370" s="9" t="s">
        <v>138</v>
      </c>
      <c r="AG370" s="4">
        <f>IFERROR(IF(A359=0,E370/11,LEFT(E370,1)),"")</f>
        <v>6</v>
      </c>
    </row>
    <row r="371" spans="1:33" s="4" customFormat="1" ht="16.149999999999999" customHeight="1" x14ac:dyDescent="0.35">
      <c r="A371" s="8">
        <f>IFERROR(IF(A359=0,A363*11,A363&amp;A363),"-")</f>
        <v>77</v>
      </c>
      <c r="B371" s="7" t="str">
        <f t="shared" ca="1" si="111"/>
        <v/>
      </c>
      <c r="C371" s="7">
        <f t="shared" ca="1" si="112"/>
        <v>4</v>
      </c>
      <c r="D371" s="55">
        <v>12</v>
      </c>
      <c r="E371" s="17">
        <f t="shared" si="113"/>
        <v>77</v>
      </c>
      <c r="F371" s="319" t="str">
        <f>IFERROR(VLOOKUP($A356&amp;E371,downloads!$A$1:$E$1000,2,FALSE),"")</f>
        <v>Grace HARRIS</v>
      </c>
      <c r="G371" s="18" t="str">
        <f t="shared" si="110"/>
        <v>Wigan</v>
      </c>
      <c r="H371" s="464">
        <f ca="1">IFERROR(INDIRECT(CONCATENATE("'Distance Input'!"&amp;B358&amp;C358+11)),"")</f>
        <v>3.9</v>
      </c>
      <c r="I371" s="465"/>
      <c r="J371" s="464">
        <v>0</v>
      </c>
      <c r="K371" s="465"/>
      <c r="L371" s="464">
        <v>0</v>
      </c>
      <c r="M371" s="465"/>
      <c r="N371" s="470">
        <f t="shared" ca="1" si="114"/>
        <v>3.9</v>
      </c>
      <c r="O371" s="471"/>
      <c r="P371" s="55">
        <v>0</v>
      </c>
      <c r="Q371" s="472">
        <v>0</v>
      </c>
      <c r="R371" s="472"/>
      <c r="S371" s="472">
        <v>0</v>
      </c>
      <c r="T371" s="472"/>
      <c r="U371" s="472">
        <v>0</v>
      </c>
      <c r="V371" s="472"/>
      <c r="W371" s="464">
        <f t="shared" ca="1" si="115"/>
        <v>3.9</v>
      </c>
      <c r="X371" s="465"/>
      <c r="Y371" s="55">
        <f ca="1">IF(OR(W371="",W371=0),0,IF(W371="X",MatchDay!$U$2+MatchDay!$U$2+1-COUNTIF(Distance!W360:W371,"X"),RANK(W371,$W360:$X375,0)))</f>
        <v>9</v>
      </c>
      <c r="Z371" s="19" t="str">
        <f ca="1">IFERROR(IF(Y371=0,0,IF(VLOOKUP(AG371,E360:Y367,21,FALSE)=0,"A",IF(Y371&gt;=VLOOKUP(AG371,E360:Y367,21,FALSE),"B","A"))),"")</f>
        <v>B</v>
      </c>
      <c r="AA371" s="19" t="str">
        <f ca="1">IFERROR(IF(Z371="B","",RANK(AD371,AD360:AD375,1)),"")</f>
        <v/>
      </c>
      <c r="AB371" s="19">
        <f ca="1">IFERROR(IF(Z371="A","",RANK(AE371,AE360:AE375,1)),"")</f>
        <v>4</v>
      </c>
      <c r="AD371" s="9" t="str">
        <f t="shared" ca="1" si="116"/>
        <v/>
      </c>
      <c r="AE371" s="9">
        <f t="shared" ca="1" si="117"/>
        <v>9</v>
      </c>
      <c r="AF371" s="9" t="s">
        <v>138</v>
      </c>
      <c r="AG371" s="4">
        <f>IFERROR(IF(A359=0,E371/11,LEFT(E371,1)),"")</f>
        <v>7</v>
      </c>
    </row>
    <row r="372" spans="1:33" s="4" customFormat="1" ht="16.149999999999999" customHeight="1" x14ac:dyDescent="0.35">
      <c r="A372" s="8">
        <f>IFERROR(IF(A359=0,A364*11,A364&amp;A364),"-")</f>
        <v>33</v>
      </c>
      <c r="B372" s="7" t="str">
        <f t="shared" ca="1" si="111"/>
        <v/>
      </c>
      <c r="C372" s="7">
        <f t="shared" ca="1" si="112"/>
        <v>1</v>
      </c>
      <c r="D372" s="55">
        <v>13</v>
      </c>
      <c r="E372" s="17">
        <f t="shared" si="113"/>
        <v>33</v>
      </c>
      <c r="F372" s="319" t="str">
        <f>IFERROR(VLOOKUP($A356&amp;E372,downloads!$A$1:$E$1000,2,FALSE),"")</f>
        <v>Aniko BEHARRIE</v>
      </c>
      <c r="G372" s="18" t="str">
        <f t="shared" si="110"/>
        <v>Leigh</v>
      </c>
      <c r="H372" s="464">
        <f ca="1">IFERROR(INDIRECT(CONCATENATE("'Distance Input'!"&amp;B358&amp;C358+12)),"")</f>
        <v>13.7</v>
      </c>
      <c r="I372" s="465"/>
      <c r="J372" s="464">
        <v>0</v>
      </c>
      <c r="K372" s="465"/>
      <c r="L372" s="464">
        <v>0</v>
      </c>
      <c r="M372" s="465"/>
      <c r="N372" s="470">
        <f t="shared" ca="1" si="114"/>
        <v>13.7</v>
      </c>
      <c r="O372" s="471"/>
      <c r="P372" s="55">
        <v>0</v>
      </c>
      <c r="Q372" s="472">
        <v>0</v>
      </c>
      <c r="R372" s="472"/>
      <c r="S372" s="472">
        <v>0</v>
      </c>
      <c r="T372" s="472"/>
      <c r="U372" s="472">
        <v>0</v>
      </c>
      <c r="V372" s="472"/>
      <c r="W372" s="464">
        <f t="shared" ca="1" si="115"/>
        <v>13.7</v>
      </c>
      <c r="X372" s="465"/>
      <c r="Y372" s="55">
        <f ca="1">IF(OR(W372="",W372=0),0,IF(W372="X",MatchDay!$U$2+MatchDay!$U$2+1-COUNTIF(Distance!W360:W372,"X"),RANK(W372,$W360:$X375,0)))</f>
        <v>4</v>
      </c>
      <c r="Z372" s="19" t="str">
        <f ca="1">IFERROR(IF(Y372=0,0,IF(VLOOKUP(AG372,E360:Y367,21,FALSE)=0,"A",IF(Y372&gt;=VLOOKUP(AG372,E360:Y367,21,FALSE),"B","A"))),"")</f>
        <v>B</v>
      </c>
      <c r="AA372" s="19" t="str">
        <f ca="1">IFERROR(IF(Z372="B","",RANK(AD372,AD360:AD375,1)),"")</f>
        <v/>
      </c>
      <c r="AB372" s="19">
        <f ca="1">IFERROR(IF(Z372="A","",RANK(AE372,AE360:AE375,1)),"")</f>
        <v>1</v>
      </c>
      <c r="AD372" s="9" t="str">
        <f t="shared" ca="1" si="116"/>
        <v/>
      </c>
      <c r="AE372" s="9">
        <f t="shared" ca="1" si="117"/>
        <v>4</v>
      </c>
      <c r="AF372" s="9" t="s">
        <v>138</v>
      </c>
      <c r="AG372" s="4">
        <f>IFERROR(IF(A359=0,E372/11,LEFT(E372,1)),"")</f>
        <v>3</v>
      </c>
    </row>
    <row r="373" spans="1:33" s="4" customFormat="1" ht="16.149999999999999" customHeight="1" x14ac:dyDescent="0.35">
      <c r="A373" s="8">
        <f>IFERROR(IF(A359=0,A365*11,A365&amp;A365),"-")</f>
        <v>44</v>
      </c>
      <c r="B373" s="7" t="str">
        <f t="shared" ca="1" si="111"/>
        <v/>
      </c>
      <c r="C373" s="7">
        <f t="shared" ca="1" si="112"/>
        <v>5</v>
      </c>
      <c r="D373" s="55">
        <v>14</v>
      </c>
      <c r="E373" s="17">
        <f t="shared" si="113"/>
        <v>44</v>
      </c>
      <c r="F373" s="319" t="str">
        <f>IFERROR(VLOOKUP($A356&amp;E373,downloads!$A$1:$E$1000,2,FALSE),"")</f>
        <v>Charlotte RHODES</v>
      </c>
      <c r="G373" s="18" t="str">
        <f t="shared" si="110"/>
        <v>Macc</v>
      </c>
      <c r="H373" s="464">
        <f ca="1">IFERROR(INDIRECT(CONCATENATE("'Distance Input'!"&amp;B358&amp;C358+13)),"")</f>
        <v>3.15</v>
      </c>
      <c r="I373" s="465"/>
      <c r="J373" s="464">
        <v>0</v>
      </c>
      <c r="K373" s="465"/>
      <c r="L373" s="464">
        <v>0</v>
      </c>
      <c r="M373" s="465"/>
      <c r="N373" s="470">
        <f t="shared" ca="1" si="114"/>
        <v>3.15</v>
      </c>
      <c r="O373" s="471"/>
      <c r="P373" s="55">
        <v>0</v>
      </c>
      <c r="Q373" s="472">
        <v>0</v>
      </c>
      <c r="R373" s="472"/>
      <c r="S373" s="472">
        <v>0</v>
      </c>
      <c r="T373" s="472"/>
      <c r="U373" s="472">
        <v>0</v>
      </c>
      <c r="V373" s="472"/>
      <c r="W373" s="464">
        <f t="shared" ca="1" si="115"/>
        <v>3.15</v>
      </c>
      <c r="X373" s="465"/>
      <c r="Y373" s="55">
        <f ca="1">IF(OR(W373="",W373=0),0,IF(W373="X",MatchDay!$U$2+MatchDay!$U$2+1-COUNTIF(Distance!W360:W373,"X"),RANK(W373,$W360:$X375,0)))</f>
        <v>10</v>
      </c>
      <c r="Z373" s="19" t="str">
        <f ca="1">IFERROR(IF(Y373=0,0,IF(VLOOKUP(AG373,E360:Y367,21,FALSE)=0,"A",IF(Y373&gt;=VLOOKUP(AG373,E360:Y367,21,FALSE),"B","A"))),"")</f>
        <v>B</v>
      </c>
      <c r="AA373" s="19" t="str">
        <f ca="1">IFERROR(IF(Z373="B","",RANK(AD373,AD360:AD375,1)),"")</f>
        <v/>
      </c>
      <c r="AB373" s="19">
        <f ca="1">IFERROR(IF(Z373="A","",RANK(AE373,AE360:AE375,1)),"")</f>
        <v>5</v>
      </c>
      <c r="AD373" s="9" t="str">
        <f t="shared" ca="1" si="116"/>
        <v/>
      </c>
      <c r="AE373" s="9">
        <f t="shared" ca="1" si="117"/>
        <v>10</v>
      </c>
      <c r="AF373" s="9" t="s">
        <v>138</v>
      </c>
      <c r="AG373" s="4">
        <f>IFERROR(IF(A359=0,E373/11,LEFT(E373,1)),"")</f>
        <v>4</v>
      </c>
    </row>
    <row r="374" spans="1:33" s="4" customFormat="1" ht="16.149999999999999" customHeight="1" x14ac:dyDescent="0.35">
      <c r="A374" s="8">
        <f>IFERROR(IF(A359=0,A366*11,A366&amp;A366),"-")</f>
        <v>55</v>
      </c>
      <c r="B374" s="7" t="str">
        <f t="shared" ca="1" si="111"/>
        <v/>
      </c>
      <c r="C374" s="7" t="str">
        <f t="shared" ca="1" si="112"/>
        <v/>
      </c>
      <c r="D374" s="55">
        <v>15</v>
      </c>
      <c r="E374" s="17">
        <f t="shared" si="113"/>
        <v>55</v>
      </c>
      <c r="F374" s="319" t="str">
        <f>IFERROR(VLOOKUP($A356&amp;E374,downloads!$A$1:$E$1000,2,FALSE),"")</f>
        <v/>
      </c>
      <c r="G374" s="18" t="str">
        <f t="shared" si="110"/>
        <v>Menai</v>
      </c>
      <c r="H374" s="464">
        <f ca="1">IFERROR(INDIRECT(CONCATENATE("'Distance Input'!"&amp;B358&amp;C358+14)),"")</f>
        <v>0</v>
      </c>
      <c r="I374" s="465"/>
      <c r="J374" s="464">
        <v>0</v>
      </c>
      <c r="K374" s="465"/>
      <c r="L374" s="464">
        <v>0</v>
      </c>
      <c r="M374" s="465"/>
      <c r="N374" s="470">
        <f t="shared" ca="1" si="114"/>
        <v>0</v>
      </c>
      <c r="O374" s="471"/>
      <c r="P374" s="55">
        <v>0</v>
      </c>
      <c r="Q374" s="472">
        <v>0</v>
      </c>
      <c r="R374" s="472"/>
      <c r="S374" s="472">
        <v>0</v>
      </c>
      <c r="T374" s="472"/>
      <c r="U374" s="472">
        <v>0</v>
      </c>
      <c r="V374" s="472"/>
      <c r="W374" s="464">
        <f t="shared" ca="1" si="115"/>
        <v>0</v>
      </c>
      <c r="X374" s="465"/>
      <c r="Y374" s="55">
        <f ca="1">IF(OR(W374="",W374=0),0,IF(W374="X",MatchDay!$U$2+MatchDay!$U$2+1-COUNTIF(Distance!W360:W374,"X"),RANK(W374,$W360:$X375,0)))</f>
        <v>0</v>
      </c>
      <c r="Z374" s="19">
        <f ca="1">IFERROR(IF(Y374=0,0,IF(VLOOKUP(AG374,E360:Y367,21,FALSE)=0,"A",IF(Y374&gt;=VLOOKUP(AG374,E360:Y367,21,FALSE),"B","A"))),"")</f>
        <v>0</v>
      </c>
      <c r="AA374" s="19" t="str">
        <f ca="1">IFERROR(IF(Z374="B","",RANK(AD374,AD360:AD375,1)),"")</f>
        <v/>
      </c>
      <c r="AB374" s="19" t="str">
        <f ca="1">IFERROR(IF(Z374="A","",RANK(AE374,AE360:AE375,1)),"")</f>
        <v/>
      </c>
      <c r="AD374" s="9" t="str">
        <f t="shared" ca="1" si="116"/>
        <v/>
      </c>
      <c r="AE374" s="9" t="str">
        <f t="shared" ca="1" si="117"/>
        <v/>
      </c>
      <c r="AF374" s="9" t="s">
        <v>138</v>
      </c>
      <c r="AG374" s="4">
        <f>IFERROR(IF(A359=0,E374/11,LEFT(E374,1)),"")</f>
        <v>5</v>
      </c>
    </row>
    <row r="375" spans="1:33" s="4" customFormat="1" ht="16.149999999999999" customHeight="1" x14ac:dyDescent="0.35">
      <c r="A375" s="8" t="str">
        <f>IFERROR(IF(A359=0,A367*11,A367&amp;A367),"-")</f>
        <v>-</v>
      </c>
      <c r="B375" s="7" t="str">
        <f t="shared" ca="1" si="111"/>
        <v/>
      </c>
      <c r="C375" s="7" t="str">
        <f t="shared" ca="1" si="112"/>
        <v/>
      </c>
      <c r="D375" s="55">
        <v>16</v>
      </c>
      <c r="E375" s="17" t="str">
        <f t="shared" si="113"/>
        <v>-</v>
      </c>
      <c r="F375" s="319" t="str">
        <f>IFERROR(VLOOKUP($A356&amp;E375,downloads!$A$1:$E$1000,2,FALSE),"")</f>
        <v/>
      </c>
      <c r="G375" s="18" t="str">
        <f t="shared" si="110"/>
        <v/>
      </c>
      <c r="H375" s="464">
        <f ca="1">IFERROR(INDIRECT(CONCATENATE("'Distance Input'!"&amp;B358&amp;C358+15)),"")</f>
        <v>0</v>
      </c>
      <c r="I375" s="465"/>
      <c r="J375" s="464">
        <v>0</v>
      </c>
      <c r="K375" s="465"/>
      <c r="L375" s="464">
        <v>0</v>
      </c>
      <c r="M375" s="465"/>
      <c r="N375" s="470">
        <f t="shared" ca="1" si="114"/>
        <v>0</v>
      </c>
      <c r="O375" s="471"/>
      <c r="P375" s="55">
        <v>0</v>
      </c>
      <c r="Q375" s="472">
        <v>0</v>
      </c>
      <c r="R375" s="472"/>
      <c r="S375" s="472">
        <v>0</v>
      </c>
      <c r="T375" s="472"/>
      <c r="U375" s="472">
        <v>0</v>
      </c>
      <c r="V375" s="472"/>
      <c r="W375" s="464">
        <f t="shared" ca="1" si="115"/>
        <v>0</v>
      </c>
      <c r="X375" s="465"/>
      <c r="Y375" s="55">
        <f ca="1">IF(OR(W375="",W375=0),0,IF(W375="X",MatchDay!$U$2+MatchDay!$U$2+1-COUNTIF(Distance!W360:W375,"X"),RANK(W375,$W360:$X375,0)))</f>
        <v>0</v>
      </c>
      <c r="Z375" s="19">
        <f ca="1">IFERROR(IF(Y375=0,0,IF(VLOOKUP(AG375,E360:Y367,21,FALSE)=0,"A",IF(Y375&gt;=VLOOKUP(AG375,E360:Y367,21,FALSE),"B","A"))),"")</f>
        <v>0</v>
      </c>
      <c r="AA375" s="19" t="str">
        <f ca="1">IFERROR(IF(Z375="B","",RANK(AD375,AD360:AD375,1)),"")</f>
        <v/>
      </c>
      <c r="AB375" s="19" t="str">
        <f ca="1">IFERROR(IF(Z375="A","",RANK(AE375,AE360:AE375,1)),"")</f>
        <v/>
      </c>
      <c r="AD375" s="9" t="str">
        <f t="shared" ca="1" si="116"/>
        <v/>
      </c>
      <c r="AE375" s="9" t="str">
        <f t="shared" ca="1" si="117"/>
        <v/>
      </c>
      <c r="AF375" s="9" t="s">
        <v>138</v>
      </c>
      <c r="AG375" s="4" t="str">
        <f>IFERROR(IF(A359=0,E375/11,LEFT(E375,1)),"")</f>
        <v/>
      </c>
    </row>
    <row r="376" spans="1:33" s="4" customFormat="1" x14ac:dyDescent="0.25">
      <c r="A376" s="8"/>
      <c r="B376" s="10"/>
      <c r="C376" s="3"/>
      <c r="D376" s="20"/>
      <c r="E376" s="20"/>
      <c r="F376" s="21"/>
      <c r="G376" s="21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2"/>
    </row>
    <row r="377" spans="1:33" s="4" customFormat="1" x14ac:dyDescent="0.25">
      <c r="A377" s="8"/>
      <c r="B377" s="10"/>
      <c r="C377" s="3"/>
      <c r="D377" s="469" t="s">
        <v>139</v>
      </c>
      <c r="E377" s="473"/>
      <c r="F377" s="473"/>
      <c r="G377" s="473"/>
      <c r="H377" s="473"/>
      <c r="I377" s="473"/>
      <c r="J377" s="466" t="s">
        <v>140</v>
      </c>
      <c r="K377" s="474"/>
      <c r="L377" s="474"/>
      <c r="M377" s="474"/>
      <c r="N377" s="474"/>
      <c r="O377" s="474"/>
      <c r="P377" s="474"/>
      <c r="Q377" s="474"/>
      <c r="R377" s="474"/>
      <c r="S377" s="474"/>
      <c r="T377" s="474"/>
      <c r="U377" s="475"/>
      <c r="V377" s="466" t="s">
        <v>1136</v>
      </c>
      <c r="W377" s="467"/>
      <c r="X377" s="467"/>
      <c r="Y377" s="467"/>
      <c r="Z377" s="467"/>
      <c r="AA377" s="467"/>
      <c r="AB377" s="468"/>
    </row>
    <row r="378" spans="1:33" s="4" customFormat="1" x14ac:dyDescent="0.25">
      <c r="A378" s="8" t="s">
        <v>55</v>
      </c>
      <c r="B378" s="10"/>
      <c r="C378" s="3"/>
      <c r="D378" s="12"/>
      <c r="E378" s="55" t="s">
        <v>141</v>
      </c>
      <c r="F378" s="55" t="s">
        <v>124</v>
      </c>
      <c r="G378" s="55" t="s">
        <v>125</v>
      </c>
      <c r="H378" s="469" t="s">
        <v>142</v>
      </c>
      <c r="I378" s="469"/>
      <c r="J378" s="23"/>
      <c r="K378" s="54" t="s">
        <v>141</v>
      </c>
      <c r="L378" s="466" t="s">
        <v>124</v>
      </c>
      <c r="M378" s="467"/>
      <c r="N378" s="467"/>
      <c r="O378" s="468"/>
      <c r="P378" s="466" t="s">
        <v>125</v>
      </c>
      <c r="Q378" s="467"/>
      <c r="R378" s="467"/>
      <c r="S378" s="468"/>
      <c r="T378" s="466" t="s">
        <v>142</v>
      </c>
      <c r="U378" s="468"/>
      <c r="V378" s="24"/>
      <c r="W378" s="25"/>
      <c r="X378" s="25"/>
      <c r="Y378" s="25"/>
      <c r="Z378" s="25"/>
      <c r="AA378" s="25"/>
      <c r="AB378" s="26"/>
    </row>
    <row r="379" spans="1:33" s="4" customFormat="1" ht="16.149999999999999" customHeight="1" x14ac:dyDescent="0.25">
      <c r="A379" s="11">
        <f>IFERROR(VLOOKUP(A356,standards,3,FALSE),"-")</f>
        <v>9</v>
      </c>
      <c r="B379" s="10">
        <v>1</v>
      </c>
      <c r="C379" s="3"/>
      <c r="D379" s="55">
        <v>1</v>
      </c>
      <c r="E379" s="19">
        <f ca="1">IFERROR(IF(OR(H360=98,H360=99),H360,VLOOKUP(B379,B360:E375,4,FALSE)),0)</f>
        <v>1</v>
      </c>
      <c r="F379" s="27" t="str">
        <f ca="1">IFERROR(VLOOKUP(E379,$E360:$F375,2,FALSE),"")</f>
        <v>Ruby WILKINS</v>
      </c>
      <c r="G379" s="18" t="str">
        <f t="shared" ref="G379:G386" ca="1" si="118">IFERROR(VLOOKUP(E379,teamlookup,5,FALSE),"-")</f>
        <v>C&amp;N</v>
      </c>
      <c r="H379" s="459">
        <f ca="1">IFERROR(VLOOKUP(E379,E360:X375,19,FALSE),"")</f>
        <v>15.32</v>
      </c>
      <c r="I379" s="460"/>
      <c r="J379" s="55">
        <v>1</v>
      </c>
      <c r="K379" s="55">
        <f ca="1">IFERROR(VLOOKUP(B379,C360:X375,3,FALSE),"")</f>
        <v>33</v>
      </c>
      <c r="L379" s="461" t="str">
        <f ca="1">IFERROR(VLOOKUP(K379,$E360:$F375,2,FALSE),"")</f>
        <v>Aniko BEHARRIE</v>
      </c>
      <c r="M379" s="462"/>
      <c r="N379" s="462"/>
      <c r="O379" s="463"/>
      <c r="P379" s="461" t="str">
        <f t="shared" ref="P379:P386" ca="1" si="119">IFERROR(VLOOKUP(K379,teamlookup,5,FALSE),"-")</f>
        <v>Leigh</v>
      </c>
      <c r="Q379" s="462"/>
      <c r="R379" s="462"/>
      <c r="S379" s="463"/>
      <c r="T379" s="464">
        <f ca="1">IFERROR(VLOOKUP(K379,E360:X375,19,FALSE),"")</f>
        <v>13.7</v>
      </c>
      <c r="U379" s="465"/>
      <c r="V379" s="28"/>
      <c r="W379" s="29"/>
      <c r="X379" s="29"/>
      <c r="Y379" s="29"/>
      <c r="Z379" s="29"/>
      <c r="AA379" s="29"/>
      <c r="AB379" s="30"/>
    </row>
    <row r="380" spans="1:33" s="4" customFormat="1" ht="16.149999999999999" customHeight="1" x14ac:dyDescent="0.25">
      <c r="A380" s="11">
        <f>IFERROR(VLOOKUP(A356,standards,4,FALSE),"-")</f>
        <v>11.5</v>
      </c>
      <c r="B380" s="10">
        <v>2</v>
      </c>
      <c r="C380" s="3"/>
      <c r="D380" s="55">
        <v>2</v>
      </c>
      <c r="E380" s="19">
        <f ca="1">IFERROR(VLOOKUP(B380,B360:E375,4,FALSE),"")</f>
        <v>3</v>
      </c>
      <c r="F380" s="27" t="str">
        <f ca="1">IFERROR(VLOOKUP(E380,$E360:$F375,2,FALSE),"")</f>
        <v>Emily ASHTON</v>
      </c>
      <c r="G380" s="18" t="str">
        <f t="shared" ca="1" si="118"/>
        <v>Leigh</v>
      </c>
      <c r="H380" s="459">
        <f ca="1">IFERROR(VLOOKUP(E380,E360:X375,19,FALSE),"")</f>
        <v>15.31</v>
      </c>
      <c r="I380" s="460"/>
      <c r="J380" s="55">
        <v>2</v>
      </c>
      <c r="K380" s="55">
        <f ca="1">IFERROR(VLOOKUP(B380,C360:X375,3,FALSE),"")</f>
        <v>11</v>
      </c>
      <c r="L380" s="461" t="str">
        <f ca="1">IFERROR(VLOOKUP(K380,$E360:$F375,2,FALSE),"")</f>
        <v>Malkia HENRY</v>
      </c>
      <c r="M380" s="462"/>
      <c r="N380" s="462"/>
      <c r="O380" s="463"/>
      <c r="P380" s="461" t="str">
        <f t="shared" ca="1" si="119"/>
        <v>C&amp;N</v>
      </c>
      <c r="Q380" s="462"/>
      <c r="R380" s="462"/>
      <c r="S380" s="463"/>
      <c r="T380" s="464">
        <f ca="1">IFERROR(VLOOKUP(K380,E360:X375,19,FALSE),"")</f>
        <v>12.62</v>
      </c>
      <c r="U380" s="465"/>
      <c r="V380" s="24"/>
      <c r="W380" s="25"/>
      <c r="X380" s="25"/>
      <c r="Y380" s="25"/>
      <c r="Z380" s="25"/>
      <c r="AA380" s="25"/>
      <c r="AB380" s="26"/>
    </row>
    <row r="381" spans="1:33" s="4" customFormat="1" ht="16.149999999999999" customHeight="1" x14ac:dyDescent="0.25">
      <c r="A381" s="11">
        <f>IFERROR(VLOOKUP(A356,standards,5,FALSE),"-")</f>
        <v>14</v>
      </c>
      <c r="B381" s="10">
        <v>3</v>
      </c>
      <c r="C381" s="3"/>
      <c r="D381" s="55">
        <v>3</v>
      </c>
      <c r="E381" s="19">
        <f ca="1">IFERROR(VLOOKUP(B381,B360:E375,4,FALSE),"")</f>
        <v>2</v>
      </c>
      <c r="F381" s="27" t="str">
        <f ca="1">IFERROR(VLOOKUP(E381,$E360:$F375,2,FALSE),"")</f>
        <v>Imogen MCBURNIE</v>
      </c>
      <c r="G381" s="18" t="str">
        <f t="shared" ca="1" si="118"/>
        <v>ECHT</v>
      </c>
      <c r="H381" s="459">
        <f ca="1">IFERROR(VLOOKUP(E381,E360:X375,19,FALSE),"")</f>
        <v>14.02</v>
      </c>
      <c r="I381" s="460"/>
      <c r="J381" s="55">
        <v>3</v>
      </c>
      <c r="K381" s="55">
        <f ca="1">IFERROR(VLOOKUP(B381,C360:X375,3,FALSE),"")</f>
        <v>22</v>
      </c>
      <c r="L381" s="461" t="str">
        <f ca="1">IFERROR(VLOOKUP(K381,$E360:$F375,2,FALSE),"")</f>
        <v>Demi BAXTER</v>
      </c>
      <c r="M381" s="462"/>
      <c r="N381" s="462"/>
      <c r="O381" s="463"/>
      <c r="P381" s="461" t="str">
        <f t="shared" ca="1" si="119"/>
        <v>ECHT</v>
      </c>
      <c r="Q381" s="462"/>
      <c r="R381" s="462"/>
      <c r="S381" s="463"/>
      <c r="T381" s="464">
        <f ca="1">IFERROR(VLOOKUP(K381,E360:X375,19,FALSE),"")</f>
        <v>12.17</v>
      </c>
      <c r="U381" s="465"/>
      <c r="V381" s="28"/>
      <c r="W381" s="29"/>
      <c r="X381" s="29"/>
      <c r="Y381" s="29"/>
      <c r="Z381" s="29"/>
      <c r="AA381" s="29"/>
      <c r="AB381" s="30"/>
    </row>
    <row r="382" spans="1:33" s="4" customFormat="1" ht="16.149999999999999" customHeight="1" x14ac:dyDescent="0.25">
      <c r="A382" s="11">
        <f>IFERROR(VLOOKUP(A356,EA!A:K,6,FALSE),"-")</f>
        <v>16.5</v>
      </c>
      <c r="B382" s="10">
        <v>4</v>
      </c>
      <c r="C382" s="3"/>
      <c r="D382" s="55">
        <v>4</v>
      </c>
      <c r="E382" s="19">
        <f ca="1">IFERROR(VLOOKUP(B382,B360:E375,4,FALSE),"")</f>
        <v>7</v>
      </c>
      <c r="F382" s="27" t="str">
        <f ca="1">IFERROR(VLOOKUP(E382,$E360:$F375,2,FALSE),"")</f>
        <v>Maisie CADMAN</v>
      </c>
      <c r="G382" s="18" t="str">
        <f t="shared" ca="1" si="118"/>
        <v>Wigan</v>
      </c>
      <c r="H382" s="459">
        <f ca="1">IFERROR(VLOOKUP(E382,E360:X375,19,FALSE),"")</f>
        <v>11.2</v>
      </c>
      <c r="I382" s="460"/>
      <c r="J382" s="55">
        <v>4</v>
      </c>
      <c r="K382" s="55">
        <f ca="1">IFERROR(VLOOKUP(B382,C360:X375,3,FALSE),"")</f>
        <v>77</v>
      </c>
      <c r="L382" s="461" t="str">
        <f ca="1">IFERROR(VLOOKUP(K382,$E360:$F375,2,FALSE),"")</f>
        <v>Grace HARRIS</v>
      </c>
      <c r="M382" s="462"/>
      <c r="N382" s="462"/>
      <c r="O382" s="463"/>
      <c r="P382" s="461" t="str">
        <f t="shared" ca="1" si="119"/>
        <v>Wigan</v>
      </c>
      <c r="Q382" s="462"/>
      <c r="R382" s="462"/>
      <c r="S382" s="463"/>
      <c r="T382" s="464">
        <f ca="1">IFERROR(VLOOKUP(K382,E360:X375,19,FALSE),"")</f>
        <v>3.9</v>
      </c>
      <c r="U382" s="465"/>
      <c r="V382" s="24"/>
      <c r="W382" s="25"/>
      <c r="X382" s="25"/>
      <c r="Y382" s="25"/>
      <c r="Z382" s="25"/>
      <c r="AA382" s="25"/>
      <c r="AB382" s="26"/>
    </row>
    <row r="383" spans="1:33" s="4" customFormat="1" ht="16.149999999999999" customHeight="1" x14ac:dyDescent="0.25">
      <c r="A383" s="8"/>
      <c r="B383" s="10">
        <v>5</v>
      </c>
      <c r="C383" s="3"/>
      <c r="D383" s="55">
        <v>5</v>
      </c>
      <c r="E383" s="19">
        <f ca="1">IFERROR(VLOOKUP(B383,B360:E375,4,FALSE),"")</f>
        <v>4</v>
      </c>
      <c r="F383" s="27" t="str">
        <f ca="1">IFERROR(VLOOKUP(E383,$E360:$F375,2,FALSE),"")</f>
        <v>Lauren HARPER</v>
      </c>
      <c r="G383" s="18" t="str">
        <f t="shared" ca="1" si="118"/>
        <v>Macc</v>
      </c>
      <c r="H383" s="459">
        <f ca="1">IFERROR(VLOOKUP(E383,E360:X375,19,FALSE),"")</f>
        <v>8.4</v>
      </c>
      <c r="I383" s="460"/>
      <c r="J383" s="55">
        <v>5</v>
      </c>
      <c r="K383" s="55">
        <f ca="1">IFERROR(VLOOKUP(B383,C360:X375,3,FALSE),"")</f>
        <v>44</v>
      </c>
      <c r="L383" s="461" t="str">
        <f ca="1">IFERROR(VLOOKUP(K383,$E360:$F375,2,FALSE),"")</f>
        <v>Charlotte RHODES</v>
      </c>
      <c r="M383" s="462"/>
      <c r="N383" s="462"/>
      <c r="O383" s="463"/>
      <c r="P383" s="461" t="str">
        <f t="shared" ca="1" si="119"/>
        <v>Macc</v>
      </c>
      <c r="Q383" s="462"/>
      <c r="R383" s="462"/>
      <c r="S383" s="463"/>
      <c r="T383" s="464">
        <f ca="1">IFERROR(VLOOKUP(K383,E360:X375,19,FALSE),"")</f>
        <v>3.15</v>
      </c>
      <c r="U383" s="465"/>
      <c r="V383" s="28"/>
      <c r="W383" s="29"/>
      <c r="X383" s="29"/>
      <c r="Y383" s="29"/>
      <c r="Z383" s="29"/>
      <c r="AA383" s="29"/>
      <c r="AB383" s="30"/>
    </row>
    <row r="384" spans="1:33" s="4" customFormat="1" ht="16.149999999999999" customHeight="1" x14ac:dyDescent="0.25">
      <c r="A384" s="8" t="s">
        <v>151</v>
      </c>
      <c r="B384" s="10">
        <v>6</v>
      </c>
      <c r="C384" s="3"/>
      <c r="D384" s="55">
        <v>6</v>
      </c>
      <c r="E384" s="19" t="str">
        <f ca="1">IFERROR(VLOOKUP(B384,B360:E375,4,FALSE),"")</f>
        <v/>
      </c>
      <c r="F384" s="27" t="str">
        <f ca="1">IFERROR(VLOOKUP(E384,$E360:$F375,2,FALSE),"")</f>
        <v/>
      </c>
      <c r="G384" s="18" t="str">
        <f t="shared" ca="1" si="118"/>
        <v>-</v>
      </c>
      <c r="H384" s="459" t="str">
        <f ca="1">IFERROR(VLOOKUP(E384,E360:X375,19,FALSE),"")</f>
        <v/>
      </c>
      <c r="I384" s="460"/>
      <c r="J384" s="55">
        <v>6</v>
      </c>
      <c r="K384" s="55" t="str">
        <f ca="1">IFERROR(VLOOKUP(B384,C360:X375,3,FALSE),"")</f>
        <v/>
      </c>
      <c r="L384" s="461" t="str">
        <f ca="1">IFERROR(VLOOKUP(K384,$E360:$F375,2,FALSE),"")</f>
        <v/>
      </c>
      <c r="M384" s="462"/>
      <c r="N384" s="462"/>
      <c r="O384" s="463"/>
      <c r="P384" s="461" t="str">
        <f t="shared" ca="1" si="119"/>
        <v>-</v>
      </c>
      <c r="Q384" s="462"/>
      <c r="R384" s="462"/>
      <c r="S384" s="463"/>
      <c r="T384" s="464" t="str">
        <f ca="1">IFERROR(VLOOKUP(K384,E360:X375,19,FALSE),"")</f>
        <v/>
      </c>
      <c r="U384" s="465"/>
      <c r="V384" s="466" t="s">
        <v>1135</v>
      </c>
      <c r="W384" s="467"/>
      <c r="X384" s="467"/>
      <c r="Y384" s="467"/>
      <c r="Z384" s="467"/>
      <c r="AA384" s="467"/>
      <c r="AB384" s="468"/>
    </row>
    <row r="385" spans="1:33" s="4" customFormat="1" ht="16.149999999999999" customHeight="1" x14ac:dyDescent="0.25">
      <c r="A385" s="8">
        <f>IFERROR(VLOOKUP(A356,records,5,FALSE),"")</f>
        <v>44.02</v>
      </c>
      <c r="B385" s="10">
        <v>7</v>
      </c>
      <c r="C385" s="3"/>
      <c r="D385" s="55">
        <v>7</v>
      </c>
      <c r="E385" s="19" t="str">
        <f ca="1">IFERROR(VLOOKUP(B385,B360:E375,4,FALSE),"")</f>
        <v/>
      </c>
      <c r="F385" s="27" t="str">
        <f ca="1">IFERROR(VLOOKUP(E385,$E360:$F375,2,FALSE),"")</f>
        <v/>
      </c>
      <c r="G385" s="18" t="str">
        <f t="shared" ca="1" si="118"/>
        <v>-</v>
      </c>
      <c r="H385" s="459" t="str">
        <f ca="1">IFERROR(VLOOKUP(E385,E360:X375,19,FALSE),"")</f>
        <v/>
      </c>
      <c r="I385" s="460"/>
      <c r="J385" s="55">
        <v>7</v>
      </c>
      <c r="K385" s="55" t="str">
        <f ca="1">IFERROR(VLOOKUP(B385,C360:X375,3,FALSE),"")</f>
        <v/>
      </c>
      <c r="L385" s="461" t="str">
        <f ca="1">IFERROR(VLOOKUP(K385,$E360:$F375,2,FALSE),"")</f>
        <v/>
      </c>
      <c r="M385" s="462"/>
      <c r="N385" s="462"/>
      <c r="O385" s="463"/>
      <c r="P385" s="461" t="str">
        <f t="shared" ca="1" si="119"/>
        <v>-</v>
      </c>
      <c r="Q385" s="462"/>
      <c r="R385" s="462"/>
      <c r="S385" s="463"/>
      <c r="T385" s="464" t="str">
        <f ca="1">IFERROR(VLOOKUP(K385,E360:X375,19,FALSE),"")</f>
        <v/>
      </c>
      <c r="U385" s="465"/>
      <c r="V385" s="24"/>
      <c r="W385" s="25"/>
      <c r="X385" s="25"/>
      <c r="Y385" s="25"/>
      <c r="Z385" s="25"/>
      <c r="AA385" s="25"/>
      <c r="AB385" s="26"/>
    </row>
    <row r="386" spans="1:33" s="4" customFormat="1" ht="16.149999999999999" customHeight="1" x14ac:dyDescent="0.25">
      <c r="A386" s="8"/>
      <c r="B386" s="10">
        <v>8</v>
      </c>
      <c r="C386" s="3"/>
      <c r="D386" s="55">
        <v>8</v>
      </c>
      <c r="E386" s="19" t="str">
        <f ca="1">IFERROR(VLOOKUP(B386,B360:E375,4,FALSE),"")</f>
        <v/>
      </c>
      <c r="F386" s="27" t="str">
        <f ca="1">IFERROR(VLOOKUP(E386,$E360:$F375,2,FALSE),"")</f>
        <v/>
      </c>
      <c r="G386" s="18" t="str">
        <f t="shared" ca="1" si="118"/>
        <v>-</v>
      </c>
      <c r="H386" s="459" t="str">
        <f ca="1">IFERROR(VLOOKUP(E386,E360:X375,19,FALSE),"")</f>
        <v/>
      </c>
      <c r="I386" s="460"/>
      <c r="J386" s="55">
        <v>8</v>
      </c>
      <c r="K386" s="55" t="str">
        <f ca="1">IFERROR(VLOOKUP(B386,C360:X375,3,FALSE),"")</f>
        <v/>
      </c>
      <c r="L386" s="461" t="str">
        <f ca="1">IFERROR(VLOOKUP(K386,$E360:$F375,2,FALSE),"")</f>
        <v/>
      </c>
      <c r="M386" s="462"/>
      <c r="N386" s="462"/>
      <c r="O386" s="463"/>
      <c r="P386" s="461" t="str">
        <f t="shared" ca="1" si="119"/>
        <v>-</v>
      </c>
      <c r="Q386" s="462"/>
      <c r="R386" s="462"/>
      <c r="S386" s="463"/>
      <c r="T386" s="464" t="str">
        <f ca="1">IFERROR(VLOOKUP(K386,E360:X375,19,FALSE),"")</f>
        <v/>
      </c>
      <c r="U386" s="465"/>
      <c r="V386" s="28"/>
      <c r="W386" s="29"/>
      <c r="X386" s="29"/>
      <c r="Y386" s="29"/>
      <c r="Z386" s="29"/>
      <c r="AA386" s="29"/>
      <c r="AB386" s="30"/>
    </row>
    <row r="387" spans="1:33" s="4" customFormat="1" ht="21" x14ac:dyDescent="0.25">
      <c r="A387" s="2" t="str">
        <f>MatchDay!$U$6</f>
        <v>X</v>
      </c>
      <c r="B387" s="8"/>
      <c r="C387" s="3"/>
      <c r="D387" s="499" t="s">
        <v>143</v>
      </c>
      <c r="E387" s="500"/>
      <c r="F387" s="500"/>
      <c r="G387" s="500"/>
      <c r="H387" s="500"/>
      <c r="I387" s="500"/>
      <c r="J387" s="500"/>
      <c r="K387" s="501" t="s">
        <v>144</v>
      </c>
      <c r="L387" s="502"/>
      <c r="M387" s="502"/>
      <c r="N387" s="502"/>
      <c r="O387" s="503" t="str">
        <f>MatchDay!$C$2&amp;" "&amp;MatchDay!$C$3&amp;" "&amp;MatchDay!$C$4</f>
        <v>LOWER NORTH West 2</v>
      </c>
      <c r="P387" s="504"/>
      <c r="Q387" s="504"/>
      <c r="R387" s="504"/>
      <c r="S387" s="504"/>
      <c r="T387" s="504"/>
      <c r="U387" s="504"/>
      <c r="V387" s="504"/>
      <c r="W387" s="504"/>
      <c r="X387" s="504"/>
      <c r="Y387" s="504"/>
      <c r="Z387" s="504"/>
      <c r="AA387" s="504"/>
      <c r="AB387" s="505"/>
    </row>
    <row r="388" spans="1:33" s="4" customFormat="1" ht="15.75" customHeight="1" x14ac:dyDescent="0.25">
      <c r="A388" s="1" t="str">
        <f>IFERROR(IF(LEFT(MatchDay!$C$2,1)="L","L"&amp;A390,"U"&amp;A390),"")</f>
        <v>LFW01</v>
      </c>
      <c r="B388" s="10">
        <v>411</v>
      </c>
      <c r="C388" s="3"/>
      <c r="D388" s="466" t="s">
        <v>145</v>
      </c>
      <c r="E388" s="468"/>
      <c r="F388" s="467" t="str">
        <f>IFERROR(UPPER(VLOOKUP(A389,teamlookup,6,FALSE)),"")</f>
        <v/>
      </c>
      <c r="G388" s="468"/>
      <c r="H388" s="476" t="s">
        <v>149</v>
      </c>
      <c r="I388" s="480"/>
      <c r="J388" s="477"/>
      <c r="K388" s="466" t="str">
        <f>MatchDay!$C$8</f>
        <v>Macclesfield Leisure Centre</v>
      </c>
      <c r="L388" s="467"/>
      <c r="M388" s="467"/>
      <c r="N388" s="467"/>
      <c r="O388" s="467"/>
      <c r="P388" s="468"/>
      <c r="Q388" s="476" t="s">
        <v>119</v>
      </c>
      <c r="R388" s="477"/>
      <c r="S388" s="494">
        <f>MatchDay!$C$7</f>
        <v>45053</v>
      </c>
      <c r="T388" s="495"/>
      <c r="U388" s="495"/>
      <c r="V388" s="495"/>
      <c r="W388" s="495"/>
      <c r="X388" s="496"/>
      <c r="Y388" s="497" t="str">
        <f>IFERROR(IF(LEFT(A388,1)="L","",VLOOKUP(A388,EA!$A:$N,8,FALSE)),"")</f>
        <v/>
      </c>
      <c r="Z388" s="498"/>
      <c r="AA388" s="464" t="str">
        <f>IFERROR(IF(LEFT(A388,1)="L","",VLOOKUP(A388,standards,9,FALSE)),"")</f>
        <v/>
      </c>
      <c r="AB388" s="465"/>
      <c r="AC388" s="6"/>
      <c r="AD388" s="6"/>
    </row>
    <row r="389" spans="1:33" s="4" customFormat="1" ht="15.75" customHeight="1" x14ac:dyDescent="0.25">
      <c r="A389" s="5">
        <f>IFERROR(IF(A387=1,VLOOKUP(A388,judges,VLOOKUP(MatchDay!$U$2*10+MatchDay!$C$5,judgesp,5,FALSE),FALSE),VLOOKUP(Distance!A388,judges,VLOOKUP(MatchDay!$U$2*10+MatchDay!$C$5,judges2,5,FALSE),FALSE)),"")</f>
        <v>5</v>
      </c>
      <c r="B389" s="138"/>
      <c r="C389" s="3"/>
      <c r="D389" s="476" t="s">
        <v>120</v>
      </c>
      <c r="E389" s="477"/>
      <c r="F389" s="478" t="str">
        <f>IFERROR(VLOOKUP(A388,timetables,2,FALSE)&amp;" "&amp;VLOOKUP(A388,timetables,3,FALSE),"")</f>
        <v>Long Jump U13 Boys</v>
      </c>
      <c r="G389" s="479"/>
      <c r="H389" s="476" t="s">
        <v>121</v>
      </c>
      <c r="I389" s="480"/>
      <c r="J389" s="477"/>
      <c r="K389" s="481">
        <f>IFERROR(IF(A387=1,VLOOKUP(A388,Timetables!$A:$G,6,FALSE),VLOOKUP(A388,Timetables!$A:$G,7,FALSE)),"")</f>
        <v>0.47916666666666669</v>
      </c>
      <c r="L389" s="481" t="e">
        <v>#N/A</v>
      </c>
      <c r="M389" s="476" t="s">
        <v>150</v>
      </c>
      <c r="N389" s="477"/>
      <c r="O389" s="482" t="str">
        <f>IFERROR(VLOOKUP(A388,records,3,FALSE)&amp;", "&amp;VLOOKUP(A388,records,4,FALSE)&amp;", "&amp;VLOOKUP(A388,records,5,FALSE)&amp;", "&amp;VLOOKUP(A388,records,6,FALSE)&amp;", "&amp;VLOOKUP(A388,records,7,FALSE)&amp;" "&amp;VLOOKUP(A388,records,8,FALSE),"")</f>
        <v/>
      </c>
      <c r="P389" s="482"/>
      <c r="Q389" s="482"/>
      <c r="R389" s="482"/>
      <c r="S389" s="482"/>
      <c r="T389" s="482"/>
      <c r="U389" s="482"/>
      <c r="V389" s="482"/>
      <c r="W389" s="482"/>
      <c r="X389" s="482"/>
      <c r="Y389" s="482"/>
      <c r="Z389" s="482"/>
      <c r="AA389" s="482"/>
      <c r="AB389" s="483"/>
    </row>
    <row r="390" spans="1:33" s="4" customFormat="1" ht="32.1" customHeight="1" x14ac:dyDescent="0.25">
      <c r="A390" s="5" t="s">
        <v>248</v>
      </c>
      <c r="B390" s="10" t="str">
        <f>IFERROR(VLOOKUP($A390,fdistance,2,FALSE),"")</f>
        <v>T</v>
      </c>
      <c r="C390" s="10">
        <f>IFERROR(VLOOKUP($A390,fdistance,3,FALSE),"")</f>
        <v>4</v>
      </c>
      <c r="D390" s="31" t="s">
        <v>122</v>
      </c>
      <c r="E390" s="13" t="s">
        <v>123</v>
      </c>
      <c r="F390" s="13" t="s">
        <v>124</v>
      </c>
      <c r="G390" s="14" t="s">
        <v>125</v>
      </c>
      <c r="H390" s="484" t="s">
        <v>126</v>
      </c>
      <c r="I390" s="485"/>
      <c r="J390" s="485" t="s">
        <v>127</v>
      </c>
      <c r="K390" s="485"/>
      <c r="L390" s="485" t="s">
        <v>128</v>
      </c>
      <c r="M390" s="485"/>
      <c r="N390" s="485" t="s">
        <v>129</v>
      </c>
      <c r="O390" s="485"/>
      <c r="P390" s="486" t="s">
        <v>130</v>
      </c>
      <c r="Q390" s="485" t="s">
        <v>131</v>
      </c>
      <c r="R390" s="485"/>
      <c r="S390" s="485" t="s">
        <v>132</v>
      </c>
      <c r="T390" s="485"/>
      <c r="U390" s="485" t="s">
        <v>133</v>
      </c>
      <c r="V390" s="485"/>
      <c r="W390" s="488" t="s">
        <v>134</v>
      </c>
      <c r="X390" s="489"/>
      <c r="Y390" s="490" t="s">
        <v>135</v>
      </c>
      <c r="Z390" s="492" t="s">
        <v>136</v>
      </c>
      <c r="AA390" s="493"/>
      <c r="AB390" s="484"/>
    </row>
    <row r="391" spans="1:33" s="4" customFormat="1" x14ac:dyDescent="0.3">
      <c r="A391" s="121">
        <f>IFERROR(SEARCH("U17",F389),0)</f>
        <v>0</v>
      </c>
      <c r="B391" s="7" t="s">
        <v>53</v>
      </c>
      <c r="C391" s="7" t="s">
        <v>54</v>
      </c>
      <c r="D391" s="56"/>
      <c r="E391" s="56"/>
      <c r="F391" s="15"/>
      <c r="G391" s="16"/>
      <c r="H391" s="468" t="s">
        <v>137</v>
      </c>
      <c r="I391" s="469"/>
      <c r="J391" s="469" t="s">
        <v>137</v>
      </c>
      <c r="K391" s="469"/>
      <c r="L391" s="469" t="s">
        <v>137</v>
      </c>
      <c r="M391" s="469"/>
      <c r="N391" s="469" t="s">
        <v>137</v>
      </c>
      <c r="O391" s="469"/>
      <c r="P391" s="487"/>
      <c r="Q391" s="469" t="s">
        <v>137</v>
      </c>
      <c r="R391" s="469"/>
      <c r="S391" s="469" t="s">
        <v>137</v>
      </c>
      <c r="T391" s="469"/>
      <c r="U391" s="469" t="s">
        <v>137</v>
      </c>
      <c r="V391" s="469"/>
      <c r="W391" s="469" t="s">
        <v>137</v>
      </c>
      <c r="X391" s="466"/>
      <c r="Y391" s="491"/>
      <c r="Z391" s="55"/>
      <c r="AA391" s="55" t="s">
        <v>53</v>
      </c>
      <c r="AB391" s="55" t="s">
        <v>54</v>
      </c>
    </row>
    <row r="392" spans="1:33" s="4" customFormat="1" ht="16.149999999999999" customHeight="1" x14ac:dyDescent="0.35">
      <c r="A392" s="8">
        <f>IFERROR(IF(D392&gt;MatchDay!$U$2,"-",VLOOKUP(A388,timetables,MatchDay!$U$4,FALSE)),0)</f>
        <v>4</v>
      </c>
      <c r="B392" s="7">
        <f ca="1">AA392</f>
        <v>1</v>
      </c>
      <c r="C392" s="7" t="str">
        <f ca="1">AB392</f>
        <v/>
      </c>
      <c r="D392" s="56">
        <v>1</v>
      </c>
      <c r="E392" s="17">
        <f>A392</f>
        <v>4</v>
      </c>
      <c r="F392" s="319" t="str">
        <f>IFERROR(VLOOKUP($A388&amp;E392,downloads!$A$1:$E$1000,2,FALSE),"")</f>
        <v>Tomas BEDOYA</v>
      </c>
      <c r="G392" s="18" t="str">
        <f t="shared" ref="G392:G407" si="120">IFERROR(VLOOKUP(E392,teamlookup,5,FALSE),"-")</f>
        <v>Macc</v>
      </c>
      <c r="H392" s="464">
        <f ca="1">IFERROR(INDIRECT(CONCATENATE("'Distance Input'!"&amp;B390&amp;C390)),"")</f>
        <v>4.37</v>
      </c>
      <c r="I392" s="465"/>
      <c r="J392" s="464">
        <v>0</v>
      </c>
      <c r="K392" s="465"/>
      <c r="L392" s="464">
        <v>0</v>
      </c>
      <c r="M392" s="465"/>
      <c r="N392" s="470">
        <f ca="1">H392</f>
        <v>4.37</v>
      </c>
      <c r="O392" s="471"/>
      <c r="P392" s="55">
        <v>0</v>
      </c>
      <c r="Q392" s="472">
        <v>0</v>
      </c>
      <c r="R392" s="472"/>
      <c r="S392" s="472">
        <v>0</v>
      </c>
      <c r="T392" s="472"/>
      <c r="U392" s="472">
        <v>0</v>
      </c>
      <c r="V392" s="472"/>
      <c r="W392" s="464">
        <f ca="1">N392</f>
        <v>4.37</v>
      </c>
      <c r="X392" s="465"/>
      <c r="Y392" s="55">
        <f ca="1">IF(OR(W392="",W392=0),0,IF(W392="X",MatchDay!$U$2+MatchDay!$U$2+1-COUNTIF(Distance!W392:W392,"X"),RANK(W392,$W392:$X407,0)))</f>
        <v>1</v>
      </c>
      <c r="Z392" s="19" t="str">
        <f ca="1">IFERROR(IF(Y392=0,0,IF(OR(VLOOKUP(AG392,E400:Y407,21,FALSE)=0,Y392&lt;=VLOOKUP(AG392,E400:Y407,21,FALSE)),"A","B")),"")</f>
        <v>A</v>
      </c>
      <c r="AA392" s="19">
        <f ca="1">IFERROR(IF(Z392="B","",RANK(AD392,AD392:AD407,1)),"")</f>
        <v>1</v>
      </c>
      <c r="AB392" s="19" t="str">
        <f ca="1">IFERROR(IF(Z392="A","",RANK(AE392,AE392:AE407,1)),"")</f>
        <v/>
      </c>
      <c r="AC392" s="8"/>
      <c r="AD392" s="9">
        <f ca="1">IF(OR(W392=0,Y392=0,Z392="B"),"",Y392)</f>
        <v>1</v>
      </c>
      <c r="AE392" s="9" t="str">
        <f ca="1">IF(OR(W392=0,Y392=0,Z392="A"),"",Y392)</f>
        <v/>
      </c>
      <c r="AF392" s="9" t="s">
        <v>138</v>
      </c>
      <c r="AG392" s="4">
        <f>IFERROR(IF(A391=0,E392*11,E392&amp;E392),"")</f>
        <v>44</v>
      </c>
    </row>
    <row r="393" spans="1:33" s="4" customFormat="1" ht="16.149999999999999" customHeight="1" x14ac:dyDescent="0.35">
      <c r="A393" s="8">
        <f>IFERROR(IF(D393&gt;MatchDay!$U$2,"-",VLOOKUP(A388,timetables,MatchDay!$U$4+1,FALSE)),0)</f>
        <v>2</v>
      </c>
      <c r="B393" s="7">
        <f t="shared" ref="B393:B407" ca="1" si="121">AA393</f>
        <v>6</v>
      </c>
      <c r="C393" s="7" t="str">
        <f t="shared" ref="C393:C407" ca="1" si="122">AB393</f>
        <v/>
      </c>
      <c r="D393" s="55">
        <v>2</v>
      </c>
      <c r="E393" s="17">
        <f t="shared" ref="E393:E407" si="123">A393</f>
        <v>2</v>
      </c>
      <c r="F393" s="319" t="str">
        <f>IFERROR(VLOOKUP($A388&amp;E393,downloads!$A$1:$E$1000,2,FALSE),"")</f>
        <v>Oliver MANNION</v>
      </c>
      <c r="G393" s="18" t="str">
        <f t="shared" si="120"/>
        <v>ECHT</v>
      </c>
      <c r="H393" s="464">
        <f ca="1">IFERROR(INDIRECT(CONCATENATE("'Distance Input'!"&amp;B390&amp;C390+1)),"")</f>
        <v>3.42</v>
      </c>
      <c r="I393" s="465"/>
      <c r="J393" s="464">
        <v>0</v>
      </c>
      <c r="K393" s="465"/>
      <c r="L393" s="464">
        <v>0</v>
      </c>
      <c r="M393" s="465"/>
      <c r="N393" s="470">
        <f t="shared" ref="N393:N407" ca="1" si="124">H393</f>
        <v>3.42</v>
      </c>
      <c r="O393" s="471"/>
      <c r="P393" s="55">
        <v>0</v>
      </c>
      <c r="Q393" s="472">
        <v>0</v>
      </c>
      <c r="R393" s="472"/>
      <c r="S393" s="472">
        <v>0</v>
      </c>
      <c r="T393" s="472"/>
      <c r="U393" s="472">
        <v>0</v>
      </c>
      <c r="V393" s="472"/>
      <c r="W393" s="464">
        <f t="shared" ref="W393:W407" ca="1" si="125">N393</f>
        <v>3.42</v>
      </c>
      <c r="X393" s="465"/>
      <c r="Y393" s="55">
        <f ca="1">IF(OR(W393="",W393=0),0,IF(W393="X",MatchDay!$U$2+MatchDay!$U$2+1-COUNTIF(Distance!W392:W393,"X"),RANK(W393,$W392:$X407,0)))</f>
        <v>7</v>
      </c>
      <c r="Z393" s="19" t="str">
        <f ca="1">IFERROR(IF(Y393=0,0,IF(OR(VLOOKUP(AG393,E400:Y407,21,FALSE)=0,Y393&lt;=VLOOKUP(AG393,E400:Y407,21,FALSE)),"A","B")),"")</f>
        <v>A</v>
      </c>
      <c r="AA393" s="19">
        <f ca="1">IFERROR(IF(Z393="B","",RANK(AD393,AD392:AD407,1)),"")</f>
        <v>6</v>
      </c>
      <c r="AB393" s="19" t="str">
        <f ca="1">IFERROR(IF(Z393="A","",RANK(AE393,AE392:AE407,1)),"")</f>
        <v/>
      </c>
      <c r="AC393" s="8"/>
      <c r="AD393" s="9">
        <f t="shared" ref="AD393:AD407" ca="1" si="126">IF(OR(W393=0,Y393=0,Z393="B"),"",Y393)</f>
        <v>7</v>
      </c>
      <c r="AE393" s="9" t="str">
        <f t="shared" ref="AE393:AE407" ca="1" si="127">IF(OR(W393=0,Y393=0,Z393="A"),"",Y393)</f>
        <v/>
      </c>
      <c r="AF393" s="9" t="s">
        <v>138</v>
      </c>
      <c r="AG393" s="4">
        <f>IFERROR(IF(A391=0,E393*11,E393&amp;E393),"")</f>
        <v>22</v>
      </c>
    </row>
    <row r="394" spans="1:33" s="4" customFormat="1" ht="16.149999999999999" customHeight="1" x14ac:dyDescent="0.35">
      <c r="A394" s="8">
        <f>IFERROR(IF(D394&gt;MatchDay!$U$2,"-",VLOOKUP(A388,timetables,MatchDay!$U$4+2,FALSE)),0)</f>
        <v>3</v>
      </c>
      <c r="B394" s="7">
        <f t="shared" ca="1" si="121"/>
        <v>3</v>
      </c>
      <c r="C394" s="7" t="str">
        <f t="shared" ca="1" si="122"/>
        <v/>
      </c>
      <c r="D394" s="55">
        <v>3</v>
      </c>
      <c r="E394" s="17">
        <f t="shared" si="123"/>
        <v>3</v>
      </c>
      <c r="F394" s="319" t="str">
        <f>IFERROR(VLOOKUP($A388&amp;E394,downloads!$A$1:$E$1000,2,FALSE),"")</f>
        <v>Oscar FINCH</v>
      </c>
      <c r="G394" s="18" t="str">
        <f t="shared" si="120"/>
        <v>Leigh</v>
      </c>
      <c r="H394" s="464">
        <f ca="1">IFERROR(INDIRECT(CONCATENATE("'Distance Input'!"&amp;B390&amp;C390+2)),"")</f>
        <v>4.04</v>
      </c>
      <c r="I394" s="465"/>
      <c r="J394" s="464">
        <v>0</v>
      </c>
      <c r="K394" s="465"/>
      <c r="L394" s="464">
        <v>0</v>
      </c>
      <c r="M394" s="465"/>
      <c r="N394" s="470">
        <f t="shared" ca="1" si="124"/>
        <v>4.04</v>
      </c>
      <c r="O394" s="471"/>
      <c r="P394" s="55">
        <v>0</v>
      </c>
      <c r="Q394" s="472">
        <v>0</v>
      </c>
      <c r="R394" s="472"/>
      <c r="S394" s="472">
        <v>0</v>
      </c>
      <c r="T394" s="472"/>
      <c r="U394" s="472">
        <v>0</v>
      </c>
      <c r="V394" s="472"/>
      <c r="W394" s="464">
        <f t="shared" ca="1" si="125"/>
        <v>4.04</v>
      </c>
      <c r="X394" s="465"/>
      <c r="Y394" s="55">
        <f ca="1">IF(OR(W394="",W394=0),0,IF(W394="X",MatchDay!$U$2+MatchDay!$U$2+1-COUNTIF(Distance!W392:W394,"X"),RANK(W394,$W392:$X407,0)))</f>
        <v>3</v>
      </c>
      <c r="Z394" s="19" t="str">
        <f ca="1">IFERROR(IF(Y394=0,0,IF(OR(VLOOKUP(AG394,E400:Y407,21,FALSE)=0,Y394&lt;=VLOOKUP(AG394,E400:Y407,21,FALSE)),"A","B")),"")</f>
        <v>A</v>
      </c>
      <c r="AA394" s="19">
        <f ca="1">IFERROR(IF(Z394="B","",RANK(AD394,AD392:AD407,1)),"")</f>
        <v>3</v>
      </c>
      <c r="AB394" s="19" t="str">
        <f ca="1">IFERROR(IF(Z394="A","",RANK(AE394,AE392:AE407,1)),"")</f>
        <v/>
      </c>
      <c r="AD394" s="9">
        <f t="shared" ca="1" si="126"/>
        <v>3</v>
      </c>
      <c r="AE394" s="9" t="str">
        <f t="shared" ca="1" si="127"/>
        <v/>
      </c>
      <c r="AF394" s="9" t="s">
        <v>138</v>
      </c>
      <c r="AG394" s="4">
        <f>IFERROR(IF(A391=0,E394*11,E394&amp;E394),"")</f>
        <v>33</v>
      </c>
    </row>
    <row r="395" spans="1:33" s="4" customFormat="1" ht="16.149999999999999" customHeight="1" x14ac:dyDescent="0.35">
      <c r="A395" s="8">
        <f>IFERROR(IF(D395&gt;MatchDay!$U$2,"-",VLOOKUP(A388,timetables,MatchDay!$U$4+3,FALSE)),0)</f>
        <v>1</v>
      </c>
      <c r="B395" s="7" t="str">
        <f t="shared" ca="1" si="121"/>
        <v/>
      </c>
      <c r="C395" s="7">
        <f t="shared" ca="1" si="122"/>
        <v>4</v>
      </c>
      <c r="D395" s="55">
        <v>4</v>
      </c>
      <c r="E395" s="17">
        <f t="shared" si="123"/>
        <v>1</v>
      </c>
      <c r="F395" s="319" t="str">
        <f>IFERROR(VLOOKUP($A388&amp;E395,downloads!$A$1:$E$1000,2,FALSE),"")</f>
        <v>Charlie SMITH</v>
      </c>
      <c r="G395" s="18" t="str">
        <f t="shared" si="120"/>
        <v>C&amp;N</v>
      </c>
      <c r="H395" s="464">
        <f ca="1">IFERROR(INDIRECT(CONCATENATE("'Distance Input'!"&amp;B390&amp;C390+3)),"")</f>
        <v>3.22</v>
      </c>
      <c r="I395" s="465"/>
      <c r="J395" s="464">
        <v>0</v>
      </c>
      <c r="K395" s="465"/>
      <c r="L395" s="464">
        <v>0</v>
      </c>
      <c r="M395" s="465"/>
      <c r="N395" s="470">
        <f t="shared" ca="1" si="124"/>
        <v>3.22</v>
      </c>
      <c r="O395" s="471"/>
      <c r="P395" s="55">
        <v>0</v>
      </c>
      <c r="Q395" s="472">
        <v>0</v>
      </c>
      <c r="R395" s="472"/>
      <c r="S395" s="472">
        <v>0</v>
      </c>
      <c r="T395" s="472"/>
      <c r="U395" s="472">
        <v>0</v>
      </c>
      <c r="V395" s="472"/>
      <c r="W395" s="464">
        <f t="shared" ca="1" si="125"/>
        <v>3.22</v>
      </c>
      <c r="X395" s="465"/>
      <c r="Y395" s="55">
        <f ca="1">IF(OR(W395="",W395=0),0,IF(W395="X",MatchDay!$U$2+MatchDay!$U$2+1-COUNTIF(Distance!W392:W395,"X"),RANK(W395,$W392:$X407,0)))</f>
        <v>10</v>
      </c>
      <c r="Z395" s="19" t="str">
        <f ca="1">IFERROR(IF(Y395=0,0,IF(OR(VLOOKUP(AG395,E400:Y407,21,FALSE)=0,Y395&lt;=VLOOKUP(AG395,E400:Y407,21,FALSE)),"A","B")),"")</f>
        <v>B</v>
      </c>
      <c r="AA395" s="19" t="str">
        <f ca="1">IFERROR(IF(Z395="B","",RANK(AD395,AD392:AD407,1)),"")</f>
        <v/>
      </c>
      <c r="AB395" s="19">
        <f ca="1">IFERROR(IF(Z395="A","",RANK(AE395,AE392:AE407,1)),"")</f>
        <v>4</v>
      </c>
      <c r="AD395" s="9" t="str">
        <f t="shared" ca="1" si="126"/>
        <v/>
      </c>
      <c r="AE395" s="9">
        <f t="shared" ca="1" si="127"/>
        <v>10</v>
      </c>
      <c r="AF395" s="9" t="s">
        <v>138</v>
      </c>
      <c r="AG395" s="4">
        <f>IFERROR(IF(A391=0,E395*11,E395&amp;E395),"")</f>
        <v>11</v>
      </c>
    </row>
    <row r="396" spans="1:33" s="4" customFormat="1" ht="16.149999999999999" customHeight="1" x14ac:dyDescent="0.35">
      <c r="A396" s="8">
        <f>IFERROR(IF(D396&gt;MatchDay!$U$2,"-",VLOOKUP(A388,timetables,MatchDay!$U$4+4,FALSE)),0)</f>
        <v>7</v>
      </c>
      <c r="B396" s="7">
        <f t="shared" ca="1" si="121"/>
        <v>2</v>
      </c>
      <c r="C396" s="7" t="str">
        <f t="shared" ca="1" si="122"/>
        <v/>
      </c>
      <c r="D396" s="55">
        <v>5</v>
      </c>
      <c r="E396" s="17">
        <f t="shared" si="123"/>
        <v>7</v>
      </c>
      <c r="F396" s="319" t="str">
        <f>IFERROR(VLOOKUP($A388&amp;E396,downloads!$A$1:$E$1000,2,FALSE),"")</f>
        <v>Henry MORRIS</v>
      </c>
      <c r="G396" s="18" t="str">
        <f t="shared" si="120"/>
        <v>Wigan</v>
      </c>
      <c r="H396" s="464">
        <f ca="1">IFERROR(INDIRECT(CONCATENATE("'Distance Input'!"&amp;B390&amp;C390+4)),"")</f>
        <v>4.25</v>
      </c>
      <c r="I396" s="465"/>
      <c r="J396" s="464">
        <v>0</v>
      </c>
      <c r="K396" s="465"/>
      <c r="L396" s="464">
        <v>0</v>
      </c>
      <c r="M396" s="465"/>
      <c r="N396" s="470">
        <f t="shared" ca="1" si="124"/>
        <v>4.25</v>
      </c>
      <c r="O396" s="471"/>
      <c r="P396" s="55">
        <v>0</v>
      </c>
      <c r="Q396" s="472">
        <v>0</v>
      </c>
      <c r="R396" s="472"/>
      <c r="S396" s="472">
        <v>0</v>
      </c>
      <c r="T396" s="472"/>
      <c r="U396" s="472">
        <v>0</v>
      </c>
      <c r="V396" s="472"/>
      <c r="W396" s="464">
        <f t="shared" ca="1" si="125"/>
        <v>4.25</v>
      </c>
      <c r="X396" s="465"/>
      <c r="Y396" s="55">
        <f ca="1">IF(OR(W396="",W396=0),0,IF(W396="X",MatchDay!$U$2+MatchDay!$U$2+1-COUNTIF(Distance!W392:W396,"X"),RANK(W396,$W392:$X407,0)))</f>
        <v>2</v>
      </c>
      <c r="Z396" s="19" t="str">
        <f ca="1">IFERROR(IF(Y396=0,0,IF(OR(VLOOKUP(AG396,E400:Y407,21,FALSE)=0,Y396&lt;=VLOOKUP(AG396,E400:Y407,21,FALSE)),"A","B")),"")</f>
        <v>A</v>
      </c>
      <c r="AA396" s="19">
        <f ca="1">IFERROR(IF(Z396="B","",RANK(AD396,AD392:AD407,1)),"")</f>
        <v>2</v>
      </c>
      <c r="AB396" s="19" t="str">
        <f ca="1">IFERROR(IF(Z396="A","",RANK(AE396,AE392:AE407,1)),"")</f>
        <v/>
      </c>
      <c r="AD396" s="9">
        <f t="shared" ca="1" si="126"/>
        <v>2</v>
      </c>
      <c r="AE396" s="9" t="str">
        <f t="shared" ca="1" si="127"/>
        <v/>
      </c>
      <c r="AF396" s="9" t="s">
        <v>138</v>
      </c>
      <c r="AG396" s="4">
        <f>IFERROR(IF(A391=0,E396*11,E396&amp;E396),"")</f>
        <v>77</v>
      </c>
    </row>
    <row r="397" spans="1:33" s="4" customFormat="1" ht="16.149999999999999" customHeight="1" x14ac:dyDescent="0.35">
      <c r="A397" s="8">
        <f>IFERROR(IF(D397&gt;MatchDay!$U$2,"-",VLOOKUP(A388,timetables,MatchDay!$U$4+5,FALSE)),0)</f>
        <v>5</v>
      </c>
      <c r="B397" s="7" t="str">
        <f t="shared" ca="1" si="121"/>
        <v/>
      </c>
      <c r="C397" s="7" t="str">
        <f t="shared" ca="1" si="122"/>
        <v/>
      </c>
      <c r="D397" s="55">
        <v>6</v>
      </c>
      <c r="E397" s="17">
        <f t="shared" si="123"/>
        <v>5</v>
      </c>
      <c r="F397" s="319" t="str">
        <f>IFERROR(VLOOKUP($A388&amp;E397,downloads!$A$1:$E$1000,2,FALSE),"")</f>
        <v/>
      </c>
      <c r="G397" s="18" t="str">
        <f t="shared" si="120"/>
        <v>Menai</v>
      </c>
      <c r="H397" s="464">
        <f ca="1">IFERROR(INDIRECT(CONCATENATE("'Distance Input'!"&amp;B390&amp;C390+5)),"")</f>
        <v>0</v>
      </c>
      <c r="I397" s="465"/>
      <c r="J397" s="464">
        <v>0</v>
      </c>
      <c r="K397" s="465"/>
      <c r="L397" s="464">
        <v>0</v>
      </c>
      <c r="M397" s="465"/>
      <c r="N397" s="470">
        <f t="shared" ca="1" si="124"/>
        <v>0</v>
      </c>
      <c r="O397" s="471"/>
      <c r="P397" s="55">
        <v>0</v>
      </c>
      <c r="Q397" s="472">
        <v>0</v>
      </c>
      <c r="R397" s="472"/>
      <c r="S397" s="472">
        <v>0</v>
      </c>
      <c r="T397" s="472"/>
      <c r="U397" s="472">
        <v>0</v>
      </c>
      <c r="V397" s="472"/>
      <c r="W397" s="464">
        <f t="shared" ca="1" si="125"/>
        <v>0</v>
      </c>
      <c r="X397" s="465"/>
      <c r="Y397" s="55">
        <f ca="1">IF(OR(W397="",W397=0),0,IF(W397="X",MatchDay!$U$2+MatchDay!$U$2+1-COUNTIF(Distance!W392:W397,"X"),RANK(W397,$W392:$X407,0)))</f>
        <v>0</v>
      </c>
      <c r="Z397" s="19">
        <f ca="1">IFERROR(IF(Y397=0,0,IF(OR(VLOOKUP(AG397,E400:Y407,21,FALSE)=0,Y397&lt;=VLOOKUP(AG397,E400:Y407,21,FALSE)),"A","B")),"")</f>
        <v>0</v>
      </c>
      <c r="AA397" s="19" t="str">
        <f ca="1">IFERROR(IF(Z397="B","",RANK(AD397,AD392:AD407,1)),"")</f>
        <v/>
      </c>
      <c r="AB397" s="19" t="str">
        <f ca="1">IFERROR(IF(Z397="A","",RANK(AE397,AE392:AE407,1)),"")</f>
        <v/>
      </c>
      <c r="AD397" s="9" t="str">
        <f t="shared" ca="1" si="126"/>
        <v/>
      </c>
      <c r="AE397" s="9" t="str">
        <f t="shared" ca="1" si="127"/>
        <v/>
      </c>
      <c r="AF397" s="9" t="s">
        <v>138</v>
      </c>
      <c r="AG397" s="4">
        <f>IFERROR(IF(A391=0,E397*11,E397&amp;E397),"")</f>
        <v>55</v>
      </c>
    </row>
    <row r="398" spans="1:33" s="4" customFormat="1" ht="16.149999999999999" customHeight="1" x14ac:dyDescent="0.35">
      <c r="A398" s="8">
        <f>IFERROR(IF(D398&gt;MatchDay!$U$2,"-",VLOOKUP(A388,timetables,MatchDay!$U$4+6,FALSE)),0)</f>
        <v>6</v>
      </c>
      <c r="B398" s="7">
        <f t="shared" ca="1" si="121"/>
        <v>4</v>
      </c>
      <c r="C398" s="7" t="str">
        <f t="shared" ca="1" si="122"/>
        <v/>
      </c>
      <c r="D398" s="55">
        <v>7</v>
      </c>
      <c r="E398" s="17">
        <f t="shared" si="123"/>
        <v>6</v>
      </c>
      <c r="F398" s="319" t="str">
        <f>IFERROR(VLOOKUP($A388&amp;E398,downloads!$A$1:$E$1000,2,FALSE),"")</f>
        <v>Arthur CAMPBELL</v>
      </c>
      <c r="G398" s="18" t="str">
        <f t="shared" si="120"/>
        <v>Stock</v>
      </c>
      <c r="H398" s="464">
        <f ca="1">IFERROR(INDIRECT(CONCATENATE("'Distance Input'!"&amp;B390&amp;C390+6)),"")</f>
        <v>4</v>
      </c>
      <c r="I398" s="465"/>
      <c r="J398" s="464">
        <v>0</v>
      </c>
      <c r="K398" s="465"/>
      <c r="L398" s="464">
        <v>0</v>
      </c>
      <c r="M398" s="465"/>
      <c r="N398" s="470">
        <f t="shared" ca="1" si="124"/>
        <v>4</v>
      </c>
      <c r="O398" s="471"/>
      <c r="P398" s="55">
        <v>0</v>
      </c>
      <c r="Q398" s="472">
        <v>0</v>
      </c>
      <c r="R398" s="472"/>
      <c r="S398" s="472">
        <v>0</v>
      </c>
      <c r="T398" s="472"/>
      <c r="U398" s="472">
        <v>0</v>
      </c>
      <c r="V398" s="472"/>
      <c r="W398" s="464">
        <f t="shared" ca="1" si="125"/>
        <v>4</v>
      </c>
      <c r="X398" s="465"/>
      <c r="Y398" s="55">
        <f ca="1">IF(OR(W398="",W398=0),0,IF(W398="X",MatchDay!$U$2+MatchDay!$U$2+1-COUNTIF(Distance!W392:W398,"X"),RANK(W398,$W392:$X407,0)))</f>
        <v>4</v>
      </c>
      <c r="Z398" s="19" t="str">
        <f ca="1">IFERROR(IF(Y398=0,0,IF(OR(VLOOKUP(AG398,E400:Y407,21,FALSE)=0,Y398&lt;=VLOOKUP(AG398,E400:Y407,21,FALSE)),"A","B")),"")</f>
        <v>A</v>
      </c>
      <c r="AA398" s="19">
        <f ca="1">IFERROR(IF(Z398="B","",RANK(AD398,AD392:AD407,1)),"")</f>
        <v>4</v>
      </c>
      <c r="AB398" s="19" t="str">
        <f ca="1">IFERROR(IF(Z398="A","",RANK(AE398,AE392:AE407,1)),"")</f>
        <v/>
      </c>
      <c r="AD398" s="9">
        <f t="shared" ca="1" si="126"/>
        <v>4</v>
      </c>
      <c r="AE398" s="9" t="str">
        <f t="shared" ca="1" si="127"/>
        <v/>
      </c>
      <c r="AF398" s="9" t="s">
        <v>138</v>
      </c>
      <c r="AG398" s="4">
        <f>IFERROR(IF(A391=0,E398*11,E398&amp;E398),"")</f>
        <v>66</v>
      </c>
    </row>
    <row r="399" spans="1:33" s="4" customFormat="1" ht="16.149999999999999" customHeight="1" x14ac:dyDescent="0.35">
      <c r="A399" s="8" t="str">
        <f>IFERROR(IF(D399&gt;MatchDay!$U$2,"-",VLOOKUP(A388,timetables,MatchDay!$U$4+7,FALSE)),0)</f>
        <v>-</v>
      </c>
      <c r="B399" s="7" t="str">
        <f t="shared" ca="1" si="121"/>
        <v/>
      </c>
      <c r="C399" s="7" t="str">
        <f t="shared" ca="1" si="122"/>
        <v/>
      </c>
      <c r="D399" s="55">
        <v>8</v>
      </c>
      <c r="E399" s="17" t="str">
        <f t="shared" si="123"/>
        <v>-</v>
      </c>
      <c r="F399" s="319" t="str">
        <f>IFERROR(VLOOKUP($A388&amp;E399,downloads!$A$1:$E$1000,2,FALSE),"")</f>
        <v/>
      </c>
      <c r="G399" s="18" t="str">
        <f t="shared" si="120"/>
        <v/>
      </c>
      <c r="H399" s="464">
        <f ca="1">IFERROR(INDIRECT(CONCATENATE("'Distance Input'!"&amp;B390&amp;C390+7)),"")</f>
        <v>0</v>
      </c>
      <c r="I399" s="465"/>
      <c r="J399" s="464">
        <v>0</v>
      </c>
      <c r="K399" s="465"/>
      <c r="L399" s="464">
        <v>0</v>
      </c>
      <c r="M399" s="465"/>
      <c r="N399" s="470">
        <f t="shared" ca="1" si="124"/>
        <v>0</v>
      </c>
      <c r="O399" s="471"/>
      <c r="P399" s="55">
        <v>0</v>
      </c>
      <c r="Q399" s="472">
        <v>0</v>
      </c>
      <c r="R399" s="472"/>
      <c r="S399" s="472">
        <v>0</v>
      </c>
      <c r="T399" s="472"/>
      <c r="U399" s="472">
        <v>0</v>
      </c>
      <c r="V399" s="472"/>
      <c r="W399" s="464">
        <f t="shared" ca="1" si="125"/>
        <v>0</v>
      </c>
      <c r="X399" s="465"/>
      <c r="Y399" s="55">
        <f ca="1">IF(OR(W399="",W399=0),0,IF(W399="X",MatchDay!$U$2+MatchDay!$U$2+1-COUNTIF(Distance!W392:W399,"X"),RANK(W399,$W392:$X407,0)))</f>
        <v>0</v>
      </c>
      <c r="Z399" s="19">
        <f ca="1">IFERROR(IF(Y399=0,0,IF(OR(VLOOKUP(AG399,E400:Y407,21,FALSE)=0,Y399&lt;=VLOOKUP(AG399,E400:Y407,21,FALSE)),"A","B")),"")</f>
        <v>0</v>
      </c>
      <c r="AA399" s="19" t="str">
        <f ca="1">IFERROR(IF(Z399="B","",RANK(AD399,AD392:AD407,1)),"")</f>
        <v/>
      </c>
      <c r="AB399" s="19" t="str">
        <f ca="1">IFERROR(IF(Z399="A","",RANK(AE399,AE392:AE407,1)),"")</f>
        <v/>
      </c>
      <c r="AD399" s="9" t="str">
        <f t="shared" ca="1" si="126"/>
        <v/>
      </c>
      <c r="AE399" s="9" t="str">
        <f t="shared" ca="1" si="127"/>
        <v/>
      </c>
      <c r="AF399" s="9" t="s">
        <v>138</v>
      </c>
      <c r="AG399" s="4" t="str">
        <f>IFERROR(IF(A391=0,E399*11,E399&amp;E399),"")</f>
        <v/>
      </c>
    </row>
    <row r="400" spans="1:33" s="4" customFormat="1" ht="16.149999999999999" customHeight="1" x14ac:dyDescent="0.35">
      <c r="A400" s="8">
        <f>IFERROR(IF(A391=0,A392*11,A392&amp;A392),"-")</f>
        <v>44</v>
      </c>
      <c r="B400" s="7" t="str">
        <f t="shared" ca="1" si="121"/>
        <v/>
      </c>
      <c r="C400" s="7">
        <f t="shared" ca="1" si="122"/>
        <v>1</v>
      </c>
      <c r="D400" s="55">
        <v>9</v>
      </c>
      <c r="E400" s="17">
        <f t="shared" si="123"/>
        <v>44</v>
      </c>
      <c r="F400" s="319" t="str">
        <f>IFERROR(VLOOKUP($A388&amp;E400,downloads!$A$1:$E$1000,2,FALSE),"")</f>
        <v>Dylan BAKER</v>
      </c>
      <c r="G400" s="18" t="str">
        <f t="shared" si="120"/>
        <v>Macc</v>
      </c>
      <c r="H400" s="464">
        <f ca="1">IFERROR(INDIRECT(CONCATENATE("'Distance Input'!"&amp;B390&amp;C390+8)),"")</f>
        <v>3.86</v>
      </c>
      <c r="I400" s="465"/>
      <c r="J400" s="464">
        <v>0</v>
      </c>
      <c r="K400" s="465"/>
      <c r="L400" s="464">
        <v>0</v>
      </c>
      <c r="M400" s="465"/>
      <c r="N400" s="470">
        <f t="shared" ca="1" si="124"/>
        <v>3.86</v>
      </c>
      <c r="O400" s="471"/>
      <c r="P400" s="55">
        <v>0</v>
      </c>
      <c r="Q400" s="472">
        <v>0</v>
      </c>
      <c r="R400" s="472"/>
      <c r="S400" s="472">
        <v>0</v>
      </c>
      <c r="T400" s="472"/>
      <c r="U400" s="472">
        <v>0</v>
      </c>
      <c r="V400" s="472"/>
      <c r="W400" s="464">
        <f t="shared" ca="1" si="125"/>
        <v>3.86</v>
      </c>
      <c r="X400" s="465"/>
      <c r="Y400" s="55">
        <f ca="1">IF(OR(W400="",W400=0),0,IF(W400="X",MatchDay!$U$2+MatchDay!$U$2+1-COUNTIF(Distance!W392:W400,"X"),RANK(W400,$W392:$X407,0)))</f>
        <v>6</v>
      </c>
      <c r="Z400" s="19" t="str">
        <f ca="1">IFERROR(IF(Y400=0,0,IF(VLOOKUP(AG400,E392:Y399,21,FALSE)=0,"A",IF(Y400&gt;=VLOOKUP(AG400,E392:Y399,21,FALSE),"B","A"))),"")</f>
        <v>B</v>
      </c>
      <c r="AA400" s="19" t="str">
        <f ca="1">IFERROR(IF(Z400="B","",RANK(AD400,AD392:AD407,1)),"")</f>
        <v/>
      </c>
      <c r="AB400" s="19">
        <f ca="1">IFERROR(IF(Z400="A","",RANK(AE400,AE392:AE407,1)),"")</f>
        <v>1</v>
      </c>
      <c r="AD400" s="9" t="str">
        <f t="shared" ca="1" si="126"/>
        <v/>
      </c>
      <c r="AE400" s="9">
        <f t="shared" ca="1" si="127"/>
        <v>6</v>
      </c>
      <c r="AF400" s="9" t="s">
        <v>138</v>
      </c>
      <c r="AG400" s="4">
        <f>IFERROR(IF(A391=0,E400/11,LEFT(E400,1)),"")</f>
        <v>4</v>
      </c>
    </row>
    <row r="401" spans="1:33" s="4" customFormat="1" ht="16.149999999999999" customHeight="1" x14ac:dyDescent="0.35">
      <c r="A401" s="8">
        <f>IFERROR(IF(A391=0,A393*11,A393&amp;A393),"-")</f>
        <v>22</v>
      </c>
      <c r="B401" s="7" t="str">
        <f t="shared" ca="1" si="121"/>
        <v/>
      </c>
      <c r="C401" s="7">
        <f t="shared" ca="1" si="122"/>
        <v>5</v>
      </c>
      <c r="D401" s="55">
        <v>10</v>
      </c>
      <c r="E401" s="17">
        <f t="shared" si="123"/>
        <v>22</v>
      </c>
      <c r="F401" s="319" t="str">
        <f>IFERROR(VLOOKUP($A388&amp;E401,downloads!$A$1:$E$1000,2,FALSE),"")</f>
        <v>Sebastien GREGORY</v>
      </c>
      <c r="G401" s="18" t="str">
        <f t="shared" si="120"/>
        <v>ECHT</v>
      </c>
      <c r="H401" s="464">
        <f ca="1">IFERROR(INDIRECT(CONCATENATE("'Distance Input'!"&amp;B390&amp;C390+9)),"")</f>
        <v>2.5099999999999998</v>
      </c>
      <c r="I401" s="465"/>
      <c r="J401" s="464">
        <v>0</v>
      </c>
      <c r="K401" s="465"/>
      <c r="L401" s="464">
        <v>0</v>
      </c>
      <c r="M401" s="465"/>
      <c r="N401" s="470">
        <f t="shared" ca="1" si="124"/>
        <v>2.5099999999999998</v>
      </c>
      <c r="O401" s="471"/>
      <c r="P401" s="55">
        <v>0</v>
      </c>
      <c r="Q401" s="472">
        <v>0</v>
      </c>
      <c r="R401" s="472"/>
      <c r="S401" s="472">
        <v>0</v>
      </c>
      <c r="T401" s="472"/>
      <c r="U401" s="472">
        <v>0</v>
      </c>
      <c r="V401" s="472"/>
      <c r="W401" s="464">
        <f t="shared" ca="1" si="125"/>
        <v>2.5099999999999998</v>
      </c>
      <c r="X401" s="465"/>
      <c r="Y401" s="55">
        <f ca="1">IF(OR(W401="",W401=0),0,IF(W401="X",MatchDay!$U$2+MatchDay!$U$2+1-COUNTIF(Distance!W392:W401,"X"),RANK(W401,$W392:$X407,0)))</f>
        <v>11</v>
      </c>
      <c r="Z401" s="19" t="str">
        <f ca="1">IFERROR(IF(Y401=0,0,IF(VLOOKUP(AG401,E392:Y399,21,FALSE)=0,"A",IF(Y401&gt;=VLOOKUP(AG401,E392:Y399,21,FALSE),"B","A"))),"")</f>
        <v>B</v>
      </c>
      <c r="AA401" s="19" t="str">
        <f ca="1">IFERROR(IF(Z401="B","",RANK(AD401,AD392:AD407,1)),"")</f>
        <v/>
      </c>
      <c r="AB401" s="19">
        <f ca="1">IFERROR(IF(Z401="A","",RANK(AE401,AE392:AE407,1)),"")</f>
        <v>5</v>
      </c>
      <c r="AD401" s="9" t="str">
        <f t="shared" ca="1" si="126"/>
        <v/>
      </c>
      <c r="AE401" s="9">
        <f t="shared" ca="1" si="127"/>
        <v>11</v>
      </c>
      <c r="AF401" s="9" t="s">
        <v>138</v>
      </c>
      <c r="AG401" s="4">
        <f>IFERROR(IF(A391=0,E401/11,LEFT(E401,1)),"")</f>
        <v>2</v>
      </c>
    </row>
    <row r="402" spans="1:33" s="4" customFormat="1" ht="16.149999999999999" customHeight="1" x14ac:dyDescent="0.35">
      <c r="A402" s="8">
        <f>IFERROR(IF(A391=0,A394*11,A394&amp;A394),"-")</f>
        <v>33</v>
      </c>
      <c r="B402" s="7" t="str">
        <f t="shared" ca="1" si="121"/>
        <v/>
      </c>
      <c r="C402" s="7">
        <f t="shared" ca="1" si="122"/>
        <v>2</v>
      </c>
      <c r="D402" s="55">
        <v>11</v>
      </c>
      <c r="E402" s="17">
        <f t="shared" si="123"/>
        <v>33</v>
      </c>
      <c r="F402" s="319" t="str">
        <f>IFERROR(VLOOKUP($A388&amp;E402,downloads!$A$1:$E$1000,2,FALSE),"")</f>
        <v>Jack FLETCHER</v>
      </c>
      <c r="G402" s="18" t="str">
        <f t="shared" si="120"/>
        <v>Leigh</v>
      </c>
      <c r="H402" s="464">
        <f ca="1">IFERROR(INDIRECT(CONCATENATE("'Distance Input'!"&amp;B390&amp;C390+10)),"")</f>
        <v>3.32</v>
      </c>
      <c r="I402" s="465"/>
      <c r="J402" s="464">
        <v>0</v>
      </c>
      <c r="K402" s="465"/>
      <c r="L402" s="464">
        <v>0</v>
      </c>
      <c r="M402" s="465"/>
      <c r="N402" s="470">
        <f t="shared" ca="1" si="124"/>
        <v>3.32</v>
      </c>
      <c r="O402" s="471"/>
      <c r="P402" s="55">
        <v>0</v>
      </c>
      <c r="Q402" s="472">
        <v>0</v>
      </c>
      <c r="R402" s="472"/>
      <c r="S402" s="472">
        <v>0</v>
      </c>
      <c r="T402" s="472"/>
      <c r="U402" s="472">
        <v>0</v>
      </c>
      <c r="V402" s="472"/>
      <c r="W402" s="464">
        <f t="shared" ca="1" si="125"/>
        <v>3.32</v>
      </c>
      <c r="X402" s="465"/>
      <c r="Y402" s="55">
        <f ca="1">IF(OR(W402="",W402=0),0,IF(W402="X",MatchDay!$U$2+MatchDay!$U$2+1-COUNTIF(Distance!W392:W402,"X"),RANK(W402,$W392:$X407,0)))</f>
        <v>8</v>
      </c>
      <c r="Z402" s="19" t="str">
        <f ca="1">IFERROR(IF(Y402=0,0,IF(VLOOKUP(AG402,E392:Y399,21,FALSE)=0,"A",IF(Y402&gt;=VLOOKUP(AG402,E392:Y399,21,FALSE),"B","A"))),"")</f>
        <v>B</v>
      </c>
      <c r="AA402" s="19" t="str">
        <f ca="1">IFERROR(IF(Z402="B","",RANK(AD402,AD392:AD407,1)),"")</f>
        <v/>
      </c>
      <c r="AB402" s="19">
        <f ca="1">IFERROR(IF(Z402="A","",RANK(AE402,AE392:AE407,1)),"")</f>
        <v>2</v>
      </c>
      <c r="AD402" s="9" t="str">
        <f t="shared" ca="1" si="126"/>
        <v/>
      </c>
      <c r="AE402" s="9">
        <f t="shared" ca="1" si="127"/>
        <v>8</v>
      </c>
      <c r="AF402" s="9" t="s">
        <v>138</v>
      </c>
      <c r="AG402" s="4">
        <f>IFERROR(IF(A391=0,E402/11,LEFT(E402,1)),"")</f>
        <v>3</v>
      </c>
    </row>
    <row r="403" spans="1:33" s="4" customFormat="1" ht="16.149999999999999" customHeight="1" x14ac:dyDescent="0.35">
      <c r="A403" s="8">
        <f>IFERROR(IF(A391=0,A395*11,A395&amp;A395),"-")</f>
        <v>11</v>
      </c>
      <c r="B403" s="7">
        <f t="shared" ca="1" si="121"/>
        <v>5</v>
      </c>
      <c r="C403" s="7" t="str">
        <f t="shared" ca="1" si="122"/>
        <v/>
      </c>
      <c r="D403" s="55">
        <v>12</v>
      </c>
      <c r="E403" s="17">
        <f t="shared" si="123"/>
        <v>11</v>
      </c>
      <c r="F403" s="319" t="str">
        <f>IFERROR(VLOOKUP($A388&amp;E403,downloads!$A$1:$E$1000,2,FALSE),"")</f>
        <v>Kaidan DOS REIS</v>
      </c>
      <c r="G403" s="18" t="str">
        <f t="shared" si="120"/>
        <v>C&amp;N</v>
      </c>
      <c r="H403" s="464">
        <f ca="1">IFERROR(INDIRECT(CONCATENATE("'Distance Input'!"&amp;B390&amp;C390+11)),"")</f>
        <v>3.92</v>
      </c>
      <c r="I403" s="465"/>
      <c r="J403" s="464">
        <v>0</v>
      </c>
      <c r="K403" s="465"/>
      <c r="L403" s="464">
        <v>0</v>
      </c>
      <c r="M403" s="465"/>
      <c r="N403" s="470">
        <f t="shared" ca="1" si="124"/>
        <v>3.92</v>
      </c>
      <c r="O403" s="471"/>
      <c r="P403" s="55">
        <v>0</v>
      </c>
      <c r="Q403" s="472">
        <v>0</v>
      </c>
      <c r="R403" s="472"/>
      <c r="S403" s="472">
        <v>0</v>
      </c>
      <c r="T403" s="472"/>
      <c r="U403" s="472">
        <v>0</v>
      </c>
      <c r="V403" s="472"/>
      <c r="W403" s="464">
        <f t="shared" ca="1" si="125"/>
        <v>3.92</v>
      </c>
      <c r="X403" s="465"/>
      <c r="Y403" s="55">
        <f ca="1">IF(OR(W403="",W403=0),0,IF(W403="X",MatchDay!$U$2+MatchDay!$U$2+1-COUNTIF(Distance!W392:W403,"X"),RANK(W403,$W392:$X407,0)))</f>
        <v>5</v>
      </c>
      <c r="Z403" s="19" t="str">
        <f ca="1">IFERROR(IF(Y403=0,0,IF(VLOOKUP(AG403,E392:Y399,21,FALSE)=0,"A",IF(Y403&gt;=VLOOKUP(AG403,E392:Y399,21,FALSE),"B","A"))),"")</f>
        <v>A</v>
      </c>
      <c r="AA403" s="19">
        <f ca="1">IFERROR(IF(Z403="B","",RANK(AD403,AD392:AD407,1)),"")</f>
        <v>5</v>
      </c>
      <c r="AB403" s="19" t="str">
        <f ca="1">IFERROR(IF(Z403="A","",RANK(AE403,AE392:AE407,1)),"")</f>
        <v/>
      </c>
      <c r="AD403" s="9">
        <f t="shared" ca="1" si="126"/>
        <v>5</v>
      </c>
      <c r="AE403" s="9" t="str">
        <f t="shared" ca="1" si="127"/>
        <v/>
      </c>
      <c r="AF403" s="9" t="s">
        <v>138</v>
      </c>
      <c r="AG403" s="4">
        <f>IFERROR(IF(A391=0,E403/11,LEFT(E403,1)),"")</f>
        <v>1</v>
      </c>
    </row>
    <row r="404" spans="1:33" s="4" customFormat="1" ht="16.149999999999999" customHeight="1" x14ac:dyDescent="0.35">
      <c r="A404" s="8">
        <f>IFERROR(IF(A391=0,A396*11,A396&amp;A396),"-")</f>
        <v>77</v>
      </c>
      <c r="B404" s="7" t="str">
        <f t="shared" ca="1" si="121"/>
        <v/>
      </c>
      <c r="C404" s="7">
        <f t="shared" ca="1" si="122"/>
        <v>6</v>
      </c>
      <c r="D404" s="55">
        <v>13</v>
      </c>
      <c r="E404" s="17">
        <f t="shared" si="123"/>
        <v>77</v>
      </c>
      <c r="F404" s="319" t="str">
        <f>IFERROR(VLOOKUP($A388&amp;E404,downloads!$A$1:$E$1000,2,FALSE),"")</f>
        <v>Evan BARNETT</v>
      </c>
      <c r="G404" s="18" t="str">
        <f t="shared" si="120"/>
        <v>Wigan</v>
      </c>
      <c r="H404" s="464">
        <f ca="1">IFERROR(INDIRECT(CONCATENATE("'Distance Input'!"&amp;B390&amp;C390+12)),"")</f>
        <v>2.37</v>
      </c>
      <c r="I404" s="465"/>
      <c r="J404" s="464">
        <v>0</v>
      </c>
      <c r="K404" s="465"/>
      <c r="L404" s="464">
        <v>0</v>
      </c>
      <c r="M404" s="465"/>
      <c r="N404" s="470">
        <f t="shared" ca="1" si="124"/>
        <v>2.37</v>
      </c>
      <c r="O404" s="471"/>
      <c r="P404" s="55">
        <v>0</v>
      </c>
      <c r="Q404" s="472">
        <v>0</v>
      </c>
      <c r="R404" s="472"/>
      <c r="S404" s="472">
        <v>0</v>
      </c>
      <c r="T404" s="472"/>
      <c r="U404" s="472">
        <v>0</v>
      </c>
      <c r="V404" s="472"/>
      <c r="W404" s="464">
        <f t="shared" ca="1" si="125"/>
        <v>2.37</v>
      </c>
      <c r="X404" s="465"/>
      <c r="Y404" s="55">
        <f ca="1">IF(OR(W404="",W404=0),0,IF(W404="X",MatchDay!$U$2+MatchDay!$U$2+1-COUNTIF(Distance!W392:W404,"X"),RANK(W404,$W392:$X407,0)))</f>
        <v>12</v>
      </c>
      <c r="Z404" s="19" t="str">
        <f ca="1">IFERROR(IF(Y404=0,0,IF(VLOOKUP(AG404,E392:Y399,21,FALSE)=0,"A",IF(Y404&gt;=VLOOKUP(AG404,E392:Y399,21,FALSE),"B","A"))),"")</f>
        <v>B</v>
      </c>
      <c r="AA404" s="19" t="str">
        <f ca="1">IFERROR(IF(Z404="B","",RANK(AD404,AD392:AD407,1)),"")</f>
        <v/>
      </c>
      <c r="AB404" s="19">
        <f ca="1">IFERROR(IF(Z404="A","",RANK(AE404,AE392:AE407,1)),"")</f>
        <v>6</v>
      </c>
      <c r="AD404" s="9" t="str">
        <f t="shared" ca="1" si="126"/>
        <v/>
      </c>
      <c r="AE404" s="9">
        <f t="shared" ca="1" si="127"/>
        <v>12</v>
      </c>
      <c r="AF404" s="9" t="s">
        <v>138</v>
      </c>
      <c r="AG404" s="4">
        <f>IFERROR(IF(A391=0,E404/11,LEFT(E404,1)),"")</f>
        <v>7</v>
      </c>
    </row>
    <row r="405" spans="1:33" s="4" customFormat="1" ht="16.149999999999999" customHeight="1" x14ac:dyDescent="0.35">
      <c r="A405" s="8">
        <f>IFERROR(IF(A391=0,A397*11,A397&amp;A397),"-")</f>
        <v>55</v>
      </c>
      <c r="B405" s="7" t="str">
        <f t="shared" ca="1" si="121"/>
        <v/>
      </c>
      <c r="C405" s="7" t="str">
        <f t="shared" ca="1" si="122"/>
        <v/>
      </c>
      <c r="D405" s="55">
        <v>14</v>
      </c>
      <c r="E405" s="17">
        <f t="shared" si="123"/>
        <v>55</v>
      </c>
      <c r="F405" s="319" t="str">
        <f>IFERROR(VLOOKUP($A388&amp;E405,downloads!$A$1:$E$1000,2,FALSE),"")</f>
        <v/>
      </c>
      <c r="G405" s="18" t="str">
        <f t="shared" si="120"/>
        <v>Menai</v>
      </c>
      <c r="H405" s="464">
        <f ca="1">IFERROR(INDIRECT(CONCATENATE("'Distance Input'!"&amp;B390&amp;C390+13)),"")</f>
        <v>0</v>
      </c>
      <c r="I405" s="465"/>
      <c r="J405" s="464">
        <v>0</v>
      </c>
      <c r="K405" s="465"/>
      <c r="L405" s="464">
        <v>0</v>
      </c>
      <c r="M405" s="465"/>
      <c r="N405" s="470">
        <f t="shared" ca="1" si="124"/>
        <v>0</v>
      </c>
      <c r="O405" s="471"/>
      <c r="P405" s="55">
        <v>0</v>
      </c>
      <c r="Q405" s="472">
        <v>0</v>
      </c>
      <c r="R405" s="472"/>
      <c r="S405" s="472">
        <v>0</v>
      </c>
      <c r="T405" s="472"/>
      <c r="U405" s="472">
        <v>0</v>
      </c>
      <c r="V405" s="472"/>
      <c r="W405" s="464">
        <f t="shared" ca="1" si="125"/>
        <v>0</v>
      </c>
      <c r="X405" s="465"/>
      <c r="Y405" s="55">
        <f ca="1">IF(OR(W405="",W405=0),0,IF(W405="X",MatchDay!$U$2+MatchDay!$U$2+1-COUNTIF(Distance!W392:W405,"X"),RANK(W405,$W392:$X407,0)))</f>
        <v>0</v>
      </c>
      <c r="Z405" s="19">
        <f ca="1">IFERROR(IF(Y405=0,0,IF(VLOOKUP(AG405,E392:Y399,21,FALSE)=0,"A",IF(Y405&gt;=VLOOKUP(AG405,E392:Y399,21,FALSE),"B","A"))),"")</f>
        <v>0</v>
      </c>
      <c r="AA405" s="19" t="str">
        <f ca="1">IFERROR(IF(Z405="B","",RANK(AD405,AD392:AD407,1)),"")</f>
        <v/>
      </c>
      <c r="AB405" s="19" t="str">
        <f ca="1">IFERROR(IF(Z405="A","",RANK(AE405,AE392:AE407,1)),"")</f>
        <v/>
      </c>
      <c r="AD405" s="9" t="str">
        <f t="shared" ca="1" si="126"/>
        <v/>
      </c>
      <c r="AE405" s="9" t="str">
        <f t="shared" ca="1" si="127"/>
        <v/>
      </c>
      <c r="AF405" s="9" t="s">
        <v>138</v>
      </c>
      <c r="AG405" s="4">
        <f>IFERROR(IF(A391=0,E405/11,LEFT(E405,1)),"")</f>
        <v>5</v>
      </c>
    </row>
    <row r="406" spans="1:33" s="4" customFormat="1" ht="16.149999999999999" customHeight="1" x14ac:dyDescent="0.35">
      <c r="A406" s="8">
        <f>IFERROR(IF(A391=0,A398*11,A398&amp;A398),"-")</f>
        <v>66</v>
      </c>
      <c r="B406" s="7" t="str">
        <f t="shared" ca="1" si="121"/>
        <v/>
      </c>
      <c r="C406" s="7">
        <f t="shared" ca="1" si="122"/>
        <v>3</v>
      </c>
      <c r="D406" s="55">
        <v>15</v>
      </c>
      <c r="E406" s="17">
        <f t="shared" si="123"/>
        <v>66</v>
      </c>
      <c r="F406" s="319" t="str">
        <f>IFERROR(VLOOKUP($A388&amp;E406,downloads!$A$1:$E$1000,2,FALSE),"")</f>
        <v>Alex KITCHEN</v>
      </c>
      <c r="G406" s="18" t="str">
        <f t="shared" si="120"/>
        <v>Stock</v>
      </c>
      <c r="H406" s="464">
        <f ca="1">IFERROR(INDIRECT(CONCATENATE("'Distance Input'!"&amp;B390&amp;C390+14)),"")</f>
        <v>3.28</v>
      </c>
      <c r="I406" s="465"/>
      <c r="J406" s="464">
        <v>0</v>
      </c>
      <c r="K406" s="465"/>
      <c r="L406" s="464">
        <v>0</v>
      </c>
      <c r="M406" s="465"/>
      <c r="N406" s="470">
        <f t="shared" ca="1" si="124"/>
        <v>3.28</v>
      </c>
      <c r="O406" s="471"/>
      <c r="P406" s="55">
        <v>0</v>
      </c>
      <c r="Q406" s="472">
        <v>0</v>
      </c>
      <c r="R406" s="472"/>
      <c r="S406" s="472">
        <v>0</v>
      </c>
      <c r="T406" s="472"/>
      <c r="U406" s="472">
        <v>0</v>
      </c>
      <c r="V406" s="472"/>
      <c r="W406" s="464">
        <f t="shared" ca="1" si="125"/>
        <v>3.28</v>
      </c>
      <c r="X406" s="465"/>
      <c r="Y406" s="55">
        <f ca="1">IF(OR(W406="",W406=0),0,IF(W406="X",MatchDay!$U$2+MatchDay!$U$2+1-COUNTIF(Distance!W392:W406,"X"),RANK(W406,$W392:$X407,0)))</f>
        <v>9</v>
      </c>
      <c r="Z406" s="19" t="str">
        <f ca="1">IFERROR(IF(Y406=0,0,IF(VLOOKUP(AG406,E392:Y399,21,FALSE)=0,"A",IF(Y406&gt;=VLOOKUP(AG406,E392:Y399,21,FALSE),"B","A"))),"")</f>
        <v>B</v>
      </c>
      <c r="AA406" s="19" t="str">
        <f ca="1">IFERROR(IF(Z406="B","",RANK(AD406,AD392:AD407,1)),"")</f>
        <v/>
      </c>
      <c r="AB406" s="19">
        <f ca="1">IFERROR(IF(Z406="A","",RANK(AE406,AE392:AE407,1)),"")</f>
        <v>3</v>
      </c>
      <c r="AD406" s="9" t="str">
        <f t="shared" ca="1" si="126"/>
        <v/>
      </c>
      <c r="AE406" s="9">
        <f t="shared" ca="1" si="127"/>
        <v>9</v>
      </c>
      <c r="AF406" s="9" t="s">
        <v>138</v>
      </c>
      <c r="AG406" s="4">
        <f>IFERROR(IF(A391=0,E406/11,LEFT(E406,1)),"")</f>
        <v>6</v>
      </c>
    </row>
    <row r="407" spans="1:33" s="4" customFormat="1" ht="16.149999999999999" customHeight="1" x14ac:dyDescent="0.35">
      <c r="A407" s="8" t="str">
        <f>IFERROR(IF(A391=0,A399*11,A399&amp;A399),"-")</f>
        <v>-</v>
      </c>
      <c r="B407" s="7" t="str">
        <f t="shared" ca="1" si="121"/>
        <v/>
      </c>
      <c r="C407" s="7" t="str">
        <f t="shared" ca="1" si="122"/>
        <v/>
      </c>
      <c r="D407" s="55">
        <v>16</v>
      </c>
      <c r="E407" s="17" t="str">
        <f t="shared" si="123"/>
        <v>-</v>
      </c>
      <c r="F407" s="319" t="str">
        <f>IFERROR(VLOOKUP($A388&amp;E407,downloads!$A$1:$E$1000,2,FALSE),"")</f>
        <v/>
      </c>
      <c r="G407" s="18" t="str">
        <f t="shared" si="120"/>
        <v/>
      </c>
      <c r="H407" s="464">
        <f ca="1">IFERROR(INDIRECT(CONCATENATE("'Distance Input'!"&amp;B390&amp;C390+15)),"")</f>
        <v>0</v>
      </c>
      <c r="I407" s="465"/>
      <c r="J407" s="464">
        <v>0</v>
      </c>
      <c r="K407" s="465"/>
      <c r="L407" s="464">
        <v>0</v>
      </c>
      <c r="M407" s="465"/>
      <c r="N407" s="470">
        <f t="shared" ca="1" si="124"/>
        <v>0</v>
      </c>
      <c r="O407" s="471"/>
      <c r="P407" s="55">
        <v>0</v>
      </c>
      <c r="Q407" s="472">
        <v>0</v>
      </c>
      <c r="R407" s="472"/>
      <c r="S407" s="472">
        <v>0</v>
      </c>
      <c r="T407" s="472"/>
      <c r="U407" s="472">
        <v>0</v>
      </c>
      <c r="V407" s="472"/>
      <c r="W407" s="464">
        <f t="shared" ca="1" si="125"/>
        <v>0</v>
      </c>
      <c r="X407" s="465"/>
      <c r="Y407" s="55">
        <f ca="1">IF(OR(W407="",W407=0),0,IF(W407="X",MatchDay!$U$2+MatchDay!$U$2+1-COUNTIF(Distance!W392:W407,"X"),RANK(W407,$W392:$X407,0)))</f>
        <v>0</v>
      </c>
      <c r="Z407" s="19">
        <f ca="1">IFERROR(IF(Y407=0,0,IF(VLOOKUP(AG407,E392:Y399,21,FALSE)=0,"A",IF(Y407&gt;=VLOOKUP(AG407,E392:Y399,21,FALSE),"B","A"))),"")</f>
        <v>0</v>
      </c>
      <c r="AA407" s="19" t="str">
        <f ca="1">IFERROR(IF(Z407="B","",RANK(AD407,AD392:AD407,1)),"")</f>
        <v/>
      </c>
      <c r="AB407" s="19" t="str">
        <f ca="1">IFERROR(IF(Z407="A","",RANK(AE407,AE392:AE407,1)),"")</f>
        <v/>
      </c>
      <c r="AD407" s="9" t="str">
        <f t="shared" ca="1" si="126"/>
        <v/>
      </c>
      <c r="AE407" s="9" t="str">
        <f t="shared" ca="1" si="127"/>
        <v/>
      </c>
      <c r="AF407" s="9" t="s">
        <v>138</v>
      </c>
      <c r="AG407" s="4" t="str">
        <f>IFERROR(IF(A391=0,E407/11,LEFT(E407,1)),"")</f>
        <v/>
      </c>
    </row>
    <row r="408" spans="1:33" s="4" customFormat="1" x14ac:dyDescent="0.25">
      <c r="A408" s="8"/>
      <c r="B408" s="10"/>
      <c r="C408" s="3"/>
      <c r="D408" s="20"/>
      <c r="E408" s="20"/>
      <c r="F408" s="21"/>
      <c r="G408" s="21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2"/>
    </row>
    <row r="409" spans="1:33" s="4" customFormat="1" x14ac:dyDescent="0.25">
      <c r="A409" s="8"/>
      <c r="B409" s="10"/>
      <c r="C409" s="3"/>
      <c r="D409" s="469" t="s">
        <v>139</v>
      </c>
      <c r="E409" s="473"/>
      <c r="F409" s="473"/>
      <c r="G409" s="473"/>
      <c r="H409" s="473"/>
      <c r="I409" s="473"/>
      <c r="J409" s="466" t="s">
        <v>140</v>
      </c>
      <c r="K409" s="474"/>
      <c r="L409" s="474"/>
      <c r="M409" s="474"/>
      <c r="N409" s="474"/>
      <c r="O409" s="474"/>
      <c r="P409" s="474"/>
      <c r="Q409" s="474"/>
      <c r="R409" s="474"/>
      <c r="S409" s="474"/>
      <c r="T409" s="474"/>
      <c r="U409" s="475"/>
      <c r="V409" s="466" t="s">
        <v>1136</v>
      </c>
      <c r="W409" s="467"/>
      <c r="X409" s="467"/>
      <c r="Y409" s="467"/>
      <c r="Z409" s="467"/>
      <c r="AA409" s="467"/>
      <c r="AB409" s="468"/>
    </row>
    <row r="410" spans="1:33" s="4" customFormat="1" x14ac:dyDescent="0.25">
      <c r="A410" s="8" t="s">
        <v>55</v>
      </c>
      <c r="B410" s="10"/>
      <c r="C410" s="3"/>
      <c r="D410" s="12"/>
      <c r="E410" s="55" t="s">
        <v>141</v>
      </c>
      <c r="F410" s="55" t="s">
        <v>124</v>
      </c>
      <c r="G410" s="55" t="s">
        <v>125</v>
      </c>
      <c r="H410" s="469" t="s">
        <v>142</v>
      </c>
      <c r="I410" s="469"/>
      <c r="J410" s="23"/>
      <c r="K410" s="54" t="s">
        <v>141</v>
      </c>
      <c r="L410" s="466" t="s">
        <v>124</v>
      </c>
      <c r="M410" s="467"/>
      <c r="N410" s="467"/>
      <c r="O410" s="468"/>
      <c r="P410" s="466" t="s">
        <v>125</v>
      </c>
      <c r="Q410" s="467"/>
      <c r="R410" s="467"/>
      <c r="S410" s="468"/>
      <c r="T410" s="466" t="s">
        <v>142</v>
      </c>
      <c r="U410" s="468"/>
      <c r="V410" s="24"/>
      <c r="W410" s="25"/>
      <c r="X410" s="25"/>
      <c r="Y410" s="25"/>
      <c r="Z410" s="25"/>
      <c r="AA410" s="25"/>
      <c r="AB410" s="26"/>
    </row>
    <row r="411" spans="1:33" s="4" customFormat="1" ht="16.149999999999999" customHeight="1" x14ac:dyDescent="0.25">
      <c r="A411" s="11">
        <f>IFERROR(VLOOKUP(A388,standards,3,FALSE),"-")</f>
        <v>3</v>
      </c>
      <c r="B411" s="10">
        <v>1</v>
      </c>
      <c r="C411" s="3"/>
      <c r="D411" s="55">
        <v>1</v>
      </c>
      <c r="E411" s="19">
        <f ca="1">IFERROR(IF(OR(H392=98,H392=99),H392,VLOOKUP(B411,B392:E407,4,FALSE)),0)</f>
        <v>4</v>
      </c>
      <c r="F411" s="27" t="str">
        <f ca="1">IFERROR(VLOOKUP(E411,$E392:$F407,2,FALSE),"")</f>
        <v>Tomas BEDOYA</v>
      </c>
      <c r="G411" s="18" t="str">
        <f t="shared" ref="G411:G418" ca="1" si="128">IFERROR(VLOOKUP(E411,teamlookup,5,FALSE),"-")</f>
        <v>Macc</v>
      </c>
      <c r="H411" s="459">
        <f ca="1">IFERROR(VLOOKUP(E411,E392:X407,19,FALSE),"")</f>
        <v>4.37</v>
      </c>
      <c r="I411" s="460"/>
      <c r="J411" s="55">
        <v>1</v>
      </c>
      <c r="K411" s="55">
        <f ca="1">IFERROR(VLOOKUP(B411,C392:X407,3,FALSE),"")</f>
        <v>44</v>
      </c>
      <c r="L411" s="461" t="str">
        <f ca="1">IFERROR(VLOOKUP(K411,$E392:$F407,2,FALSE),"")</f>
        <v>Dylan BAKER</v>
      </c>
      <c r="M411" s="462"/>
      <c r="N411" s="462"/>
      <c r="O411" s="463"/>
      <c r="P411" s="461" t="str">
        <f t="shared" ref="P411:P418" ca="1" si="129">IFERROR(VLOOKUP(K411,teamlookup,5,FALSE),"-")</f>
        <v>Macc</v>
      </c>
      <c r="Q411" s="462"/>
      <c r="R411" s="462"/>
      <c r="S411" s="463"/>
      <c r="T411" s="464">
        <f ca="1">IFERROR(VLOOKUP(K411,E392:X407,19,FALSE),"")</f>
        <v>3.86</v>
      </c>
      <c r="U411" s="465"/>
      <c r="V411" s="28"/>
      <c r="W411" s="29"/>
      <c r="X411" s="29"/>
      <c r="Y411" s="29"/>
      <c r="Z411" s="29"/>
      <c r="AA411" s="29"/>
      <c r="AB411" s="30"/>
    </row>
    <row r="412" spans="1:33" s="4" customFormat="1" ht="16.149999999999999" customHeight="1" x14ac:dyDescent="0.25">
      <c r="A412" s="11">
        <f>IFERROR(VLOOKUP(A388,standards,4,FALSE),"-")</f>
        <v>3.25</v>
      </c>
      <c r="B412" s="10">
        <v>2</v>
      </c>
      <c r="C412" s="3"/>
      <c r="D412" s="55">
        <v>2</v>
      </c>
      <c r="E412" s="19">
        <f ca="1">IFERROR(VLOOKUP(B412,B392:E407,4,FALSE),"")</f>
        <v>7</v>
      </c>
      <c r="F412" s="27" t="str">
        <f ca="1">IFERROR(VLOOKUP(E412,$E392:$F407,2,FALSE),"")</f>
        <v>Henry MORRIS</v>
      </c>
      <c r="G412" s="18" t="str">
        <f t="shared" ca="1" si="128"/>
        <v>Wigan</v>
      </c>
      <c r="H412" s="459">
        <f ca="1">IFERROR(VLOOKUP(E412,E392:X407,19,FALSE),"")</f>
        <v>4.25</v>
      </c>
      <c r="I412" s="460"/>
      <c r="J412" s="55">
        <v>2</v>
      </c>
      <c r="K412" s="55">
        <f ca="1">IFERROR(VLOOKUP(B412,C392:X407,3,FALSE),"")</f>
        <v>33</v>
      </c>
      <c r="L412" s="461" t="str">
        <f ca="1">IFERROR(VLOOKUP(K412,$E392:$F407,2,FALSE),"")</f>
        <v>Jack FLETCHER</v>
      </c>
      <c r="M412" s="462"/>
      <c r="N412" s="462"/>
      <c r="O412" s="463"/>
      <c r="P412" s="461" t="str">
        <f t="shared" ca="1" si="129"/>
        <v>Leigh</v>
      </c>
      <c r="Q412" s="462"/>
      <c r="R412" s="462"/>
      <c r="S412" s="463"/>
      <c r="T412" s="464">
        <f ca="1">IFERROR(VLOOKUP(K412,E392:X407,19,FALSE),"")</f>
        <v>3.32</v>
      </c>
      <c r="U412" s="465"/>
      <c r="V412" s="24"/>
      <c r="W412" s="25"/>
      <c r="X412" s="25"/>
      <c r="Y412" s="25"/>
      <c r="Z412" s="25"/>
      <c r="AA412" s="25"/>
      <c r="AB412" s="26"/>
    </row>
    <row r="413" spans="1:33" s="4" customFormat="1" ht="16.149999999999999" customHeight="1" x14ac:dyDescent="0.25">
      <c r="A413" s="11">
        <f>IFERROR(VLOOKUP(A388,standards,5,FALSE),"-")</f>
        <v>3.5</v>
      </c>
      <c r="B413" s="10">
        <v>3</v>
      </c>
      <c r="C413" s="3"/>
      <c r="D413" s="55">
        <v>3</v>
      </c>
      <c r="E413" s="19">
        <f ca="1">IFERROR(VLOOKUP(B413,B392:E407,4,FALSE),"")</f>
        <v>3</v>
      </c>
      <c r="F413" s="27" t="str">
        <f ca="1">IFERROR(VLOOKUP(E413,$E392:$F407,2,FALSE),"")</f>
        <v>Oscar FINCH</v>
      </c>
      <c r="G413" s="18" t="str">
        <f t="shared" ca="1" si="128"/>
        <v>Leigh</v>
      </c>
      <c r="H413" s="459">
        <f ca="1">IFERROR(VLOOKUP(E413,E392:X407,19,FALSE),"")</f>
        <v>4.04</v>
      </c>
      <c r="I413" s="460"/>
      <c r="J413" s="55">
        <v>3</v>
      </c>
      <c r="K413" s="55">
        <f ca="1">IFERROR(VLOOKUP(B413,C392:X407,3,FALSE),"")</f>
        <v>66</v>
      </c>
      <c r="L413" s="461" t="str">
        <f ca="1">IFERROR(VLOOKUP(K413,$E392:$F407,2,FALSE),"")</f>
        <v>Alex KITCHEN</v>
      </c>
      <c r="M413" s="462"/>
      <c r="N413" s="462"/>
      <c r="O413" s="463"/>
      <c r="P413" s="461" t="str">
        <f t="shared" ca="1" si="129"/>
        <v>Stock</v>
      </c>
      <c r="Q413" s="462"/>
      <c r="R413" s="462"/>
      <c r="S413" s="463"/>
      <c r="T413" s="464">
        <f ca="1">IFERROR(VLOOKUP(K413,E392:X407,19,FALSE),"")</f>
        <v>3.28</v>
      </c>
      <c r="U413" s="465"/>
      <c r="V413" s="28"/>
      <c r="W413" s="29"/>
      <c r="X413" s="29"/>
      <c r="Y413" s="29"/>
      <c r="Z413" s="29"/>
      <c r="AA413" s="29"/>
      <c r="AB413" s="30"/>
    </row>
    <row r="414" spans="1:33" s="4" customFormat="1" ht="16.149999999999999" customHeight="1" x14ac:dyDescent="0.25">
      <c r="A414" s="11">
        <f>IFERROR(VLOOKUP(A388,EA!A:K,6,FALSE),"-")</f>
        <v>3.75</v>
      </c>
      <c r="B414" s="10">
        <v>4</v>
      </c>
      <c r="C414" s="3"/>
      <c r="D414" s="55">
        <v>4</v>
      </c>
      <c r="E414" s="19">
        <f ca="1">IFERROR(VLOOKUP(B414,B392:E407,4,FALSE),"")</f>
        <v>6</v>
      </c>
      <c r="F414" s="27" t="str">
        <f ca="1">IFERROR(VLOOKUP(E414,$E392:$F407,2,FALSE),"")</f>
        <v>Arthur CAMPBELL</v>
      </c>
      <c r="G414" s="18" t="str">
        <f t="shared" ca="1" si="128"/>
        <v>Stock</v>
      </c>
      <c r="H414" s="459">
        <f ca="1">IFERROR(VLOOKUP(E414,E392:X407,19,FALSE),"")</f>
        <v>4</v>
      </c>
      <c r="I414" s="460"/>
      <c r="J414" s="55">
        <v>4</v>
      </c>
      <c r="K414" s="55">
        <f ca="1">IFERROR(VLOOKUP(B414,C392:X407,3,FALSE),"")</f>
        <v>1</v>
      </c>
      <c r="L414" s="461" t="str">
        <f ca="1">IFERROR(VLOOKUP(K414,$E392:$F407,2,FALSE),"")</f>
        <v>Charlie SMITH</v>
      </c>
      <c r="M414" s="462"/>
      <c r="N414" s="462"/>
      <c r="O414" s="463"/>
      <c r="P414" s="461" t="str">
        <f t="shared" ca="1" si="129"/>
        <v>C&amp;N</v>
      </c>
      <c r="Q414" s="462"/>
      <c r="R414" s="462"/>
      <c r="S414" s="463"/>
      <c r="T414" s="464">
        <f ca="1">IFERROR(VLOOKUP(K414,E392:X407,19,FALSE),"")</f>
        <v>3.22</v>
      </c>
      <c r="U414" s="465"/>
      <c r="V414" s="24"/>
      <c r="W414" s="25"/>
      <c r="X414" s="25"/>
      <c r="Y414" s="25"/>
      <c r="Z414" s="25"/>
      <c r="AA414" s="25"/>
      <c r="AB414" s="26"/>
    </row>
    <row r="415" spans="1:33" s="4" customFormat="1" ht="16.149999999999999" customHeight="1" x14ac:dyDescent="0.25">
      <c r="A415" s="8"/>
      <c r="B415" s="10">
        <v>5</v>
      </c>
      <c r="C415" s="3"/>
      <c r="D415" s="55">
        <v>5</v>
      </c>
      <c r="E415" s="19">
        <f ca="1">IFERROR(VLOOKUP(B415,B392:E407,4,FALSE),"")</f>
        <v>11</v>
      </c>
      <c r="F415" s="27" t="str">
        <f ca="1">IFERROR(VLOOKUP(E415,$E392:$F407,2,FALSE),"")</f>
        <v>Kaidan DOS REIS</v>
      </c>
      <c r="G415" s="18" t="str">
        <f t="shared" ca="1" si="128"/>
        <v>C&amp;N</v>
      </c>
      <c r="H415" s="459">
        <f ca="1">IFERROR(VLOOKUP(E415,E392:X407,19,FALSE),"")</f>
        <v>3.92</v>
      </c>
      <c r="I415" s="460"/>
      <c r="J415" s="55">
        <v>5</v>
      </c>
      <c r="K415" s="55">
        <f ca="1">IFERROR(VLOOKUP(B415,C392:X407,3,FALSE),"")</f>
        <v>22</v>
      </c>
      <c r="L415" s="461" t="str">
        <f ca="1">IFERROR(VLOOKUP(K415,$E392:$F407,2,FALSE),"")</f>
        <v>Sebastien GREGORY</v>
      </c>
      <c r="M415" s="462"/>
      <c r="N415" s="462"/>
      <c r="O415" s="463"/>
      <c r="P415" s="461" t="str">
        <f t="shared" ca="1" si="129"/>
        <v>ECHT</v>
      </c>
      <c r="Q415" s="462"/>
      <c r="R415" s="462"/>
      <c r="S415" s="463"/>
      <c r="T415" s="464">
        <f ca="1">IFERROR(VLOOKUP(K415,E392:X407,19,FALSE),"")</f>
        <v>2.5099999999999998</v>
      </c>
      <c r="U415" s="465"/>
      <c r="V415" s="28"/>
      <c r="W415" s="29"/>
      <c r="X415" s="29"/>
      <c r="Y415" s="29"/>
      <c r="Z415" s="29"/>
      <c r="AA415" s="29"/>
      <c r="AB415" s="30"/>
    </row>
    <row r="416" spans="1:33" s="4" customFormat="1" ht="16.149999999999999" customHeight="1" x14ac:dyDescent="0.25">
      <c r="A416" s="8" t="s">
        <v>151</v>
      </c>
      <c r="B416" s="10">
        <v>6</v>
      </c>
      <c r="C416" s="3"/>
      <c r="D416" s="55">
        <v>6</v>
      </c>
      <c r="E416" s="19">
        <f ca="1">IFERROR(VLOOKUP(B416,B392:E407,4,FALSE),"")</f>
        <v>2</v>
      </c>
      <c r="F416" s="27" t="str">
        <f ca="1">IFERROR(VLOOKUP(E416,$E392:$F407,2,FALSE),"")</f>
        <v>Oliver MANNION</v>
      </c>
      <c r="G416" s="18" t="str">
        <f t="shared" ca="1" si="128"/>
        <v>ECHT</v>
      </c>
      <c r="H416" s="459">
        <f ca="1">IFERROR(VLOOKUP(E416,E392:X407,19,FALSE),"")</f>
        <v>3.42</v>
      </c>
      <c r="I416" s="460"/>
      <c r="J416" s="55">
        <v>6</v>
      </c>
      <c r="K416" s="55">
        <f ca="1">IFERROR(VLOOKUP(B416,C392:X407,3,FALSE),"")</f>
        <v>77</v>
      </c>
      <c r="L416" s="461" t="str">
        <f ca="1">IFERROR(VLOOKUP(K416,$E392:$F407,2,FALSE),"")</f>
        <v>Evan BARNETT</v>
      </c>
      <c r="M416" s="462"/>
      <c r="N416" s="462"/>
      <c r="O416" s="463"/>
      <c r="P416" s="461" t="str">
        <f t="shared" ca="1" si="129"/>
        <v>Wigan</v>
      </c>
      <c r="Q416" s="462"/>
      <c r="R416" s="462"/>
      <c r="S416" s="463"/>
      <c r="T416" s="464">
        <f ca="1">IFERROR(VLOOKUP(K416,E392:X407,19,FALSE),"")</f>
        <v>2.37</v>
      </c>
      <c r="U416" s="465"/>
      <c r="V416" s="466" t="s">
        <v>1135</v>
      </c>
      <c r="W416" s="467"/>
      <c r="X416" s="467"/>
      <c r="Y416" s="467"/>
      <c r="Z416" s="467"/>
      <c r="AA416" s="467"/>
      <c r="AB416" s="468"/>
    </row>
    <row r="417" spans="1:33" s="4" customFormat="1" ht="16.149999999999999" customHeight="1" x14ac:dyDescent="0.25">
      <c r="A417" s="8">
        <f>IFERROR(VLOOKUP(A388,records,5,FALSE),"")</f>
        <v>5.45</v>
      </c>
      <c r="B417" s="10">
        <v>7</v>
      </c>
      <c r="C417" s="3"/>
      <c r="D417" s="55">
        <v>7</v>
      </c>
      <c r="E417" s="19" t="str">
        <f ca="1">IFERROR(VLOOKUP(B417,B392:E407,4,FALSE),"")</f>
        <v/>
      </c>
      <c r="F417" s="27" t="str">
        <f ca="1">IFERROR(VLOOKUP(E417,$E392:$F407,2,FALSE),"")</f>
        <v/>
      </c>
      <c r="G417" s="18" t="str">
        <f t="shared" ca="1" si="128"/>
        <v>-</v>
      </c>
      <c r="H417" s="459" t="str">
        <f ca="1">IFERROR(VLOOKUP(E417,E392:X407,19,FALSE),"")</f>
        <v/>
      </c>
      <c r="I417" s="460"/>
      <c r="J417" s="55">
        <v>7</v>
      </c>
      <c r="K417" s="55" t="str">
        <f ca="1">IFERROR(VLOOKUP(B417,C392:X407,3,FALSE),"")</f>
        <v/>
      </c>
      <c r="L417" s="461" t="str">
        <f ca="1">IFERROR(VLOOKUP(K417,$E392:$F407,2,FALSE),"")</f>
        <v/>
      </c>
      <c r="M417" s="462"/>
      <c r="N417" s="462"/>
      <c r="O417" s="463"/>
      <c r="P417" s="461" t="str">
        <f t="shared" ca="1" si="129"/>
        <v>-</v>
      </c>
      <c r="Q417" s="462"/>
      <c r="R417" s="462"/>
      <c r="S417" s="463"/>
      <c r="T417" s="464" t="str">
        <f ca="1">IFERROR(VLOOKUP(K417,E392:X407,19,FALSE),"")</f>
        <v/>
      </c>
      <c r="U417" s="465"/>
      <c r="V417" s="24"/>
      <c r="W417" s="25"/>
      <c r="X417" s="25"/>
      <c r="Y417" s="25"/>
      <c r="Z417" s="25"/>
      <c r="AA417" s="25"/>
      <c r="AB417" s="26"/>
    </row>
    <row r="418" spans="1:33" s="4" customFormat="1" ht="16.149999999999999" customHeight="1" x14ac:dyDescent="0.25">
      <c r="A418" s="8"/>
      <c r="B418" s="10">
        <v>8</v>
      </c>
      <c r="C418" s="3"/>
      <c r="D418" s="55">
        <v>8</v>
      </c>
      <c r="E418" s="19" t="str">
        <f ca="1">IFERROR(VLOOKUP(B418,B392:E407,4,FALSE),"")</f>
        <v/>
      </c>
      <c r="F418" s="27" t="str">
        <f ca="1">IFERROR(VLOOKUP(E418,$E392:$F407,2,FALSE),"")</f>
        <v/>
      </c>
      <c r="G418" s="18" t="str">
        <f t="shared" ca="1" si="128"/>
        <v>-</v>
      </c>
      <c r="H418" s="459" t="str">
        <f ca="1">IFERROR(VLOOKUP(E418,E392:X407,19,FALSE),"")</f>
        <v/>
      </c>
      <c r="I418" s="460"/>
      <c r="J418" s="55">
        <v>8</v>
      </c>
      <c r="K418" s="55" t="str">
        <f ca="1">IFERROR(VLOOKUP(B418,C392:X407,3,FALSE),"")</f>
        <v/>
      </c>
      <c r="L418" s="461" t="str">
        <f ca="1">IFERROR(VLOOKUP(K418,$E392:$F407,2,FALSE),"")</f>
        <v/>
      </c>
      <c r="M418" s="462"/>
      <c r="N418" s="462"/>
      <c r="O418" s="463"/>
      <c r="P418" s="461" t="str">
        <f t="shared" ca="1" si="129"/>
        <v>-</v>
      </c>
      <c r="Q418" s="462"/>
      <c r="R418" s="462"/>
      <c r="S418" s="463"/>
      <c r="T418" s="464" t="str">
        <f ca="1">IFERROR(VLOOKUP(K418,E392:X407,19,FALSE),"")</f>
        <v/>
      </c>
      <c r="U418" s="465"/>
      <c r="V418" s="28"/>
      <c r="W418" s="29"/>
      <c r="X418" s="29"/>
      <c r="Y418" s="29"/>
      <c r="Z418" s="29"/>
      <c r="AA418" s="29"/>
      <c r="AB418" s="30"/>
    </row>
    <row r="419" spans="1:33" s="4" customFormat="1" ht="21" x14ac:dyDescent="0.25">
      <c r="A419" s="2" t="str">
        <f>MatchDay!$U$6</f>
        <v>X</v>
      </c>
      <c r="B419" s="8"/>
      <c r="C419" s="3"/>
      <c r="D419" s="499" t="s">
        <v>143</v>
      </c>
      <c r="E419" s="500"/>
      <c r="F419" s="500"/>
      <c r="G419" s="500"/>
      <c r="H419" s="500"/>
      <c r="I419" s="500"/>
      <c r="J419" s="500"/>
      <c r="K419" s="501" t="s">
        <v>144</v>
      </c>
      <c r="L419" s="502"/>
      <c r="M419" s="502"/>
      <c r="N419" s="502"/>
      <c r="O419" s="503" t="str">
        <f>MatchDay!$C$2&amp;" "&amp;MatchDay!$C$3&amp;" "&amp;MatchDay!$C$4</f>
        <v>LOWER NORTH West 2</v>
      </c>
      <c r="P419" s="504"/>
      <c r="Q419" s="504"/>
      <c r="R419" s="504"/>
      <c r="S419" s="504"/>
      <c r="T419" s="504"/>
      <c r="U419" s="504"/>
      <c r="V419" s="504"/>
      <c r="W419" s="504"/>
      <c r="X419" s="504"/>
      <c r="Y419" s="504"/>
      <c r="Z419" s="504"/>
      <c r="AA419" s="504"/>
      <c r="AB419" s="505"/>
    </row>
    <row r="420" spans="1:33" s="4" customFormat="1" ht="15.75" customHeight="1" x14ac:dyDescent="0.25">
      <c r="A420" s="1" t="str">
        <f>IFERROR(IF(LEFT(MatchDay!$C$2,1)="L","L"&amp;A422,"U"&amp;A422),"")</f>
        <v>LFW02</v>
      </c>
      <c r="B420" s="10">
        <v>443</v>
      </c>
      <c r="C420" s="3"/>
      <c r="D420" s="466" t="s">
        <v>145</v>
      </c>
      <c r="E420" s="468"/>
      <c r="F420" s="467" t="str">
        <f>IFERROR(UPPER(VLOOKUP(A421,teamlookup,6,FALSE)),"")</f>
        <v/>
      </c>
      <c r="G420" s="468"/>
      <c r="H420" s="476" t="s">
        <v>149</v>
      </c>
      <c r="I420" s="480"/>
      <c r="J420" s="477"/>
      <c r="K420" s="466" t="str">
        <f>MatchDay!$C$8</f>
        <v>Macclesfield Leisure Centre</v>
      </c>
      <c r="L420" s="467"/>
      <c r="M420" s="467"/>
      <c r="N420" s="467"/>
      <c r="O420" s="467"/>
      <c r="P420" s="468"/>
      <c r="Q420" s="476" t="s">
        <v>119</v>
      </c>
      <c r="R420" s="477"/>
      <c r="S420" s="494">
        <f>MatchDay!$C$7</f>
        <v>45053</v>
      </c>
      <c r="T420" s="495"/>
      <c r="U420" s="495"/>
      <c r="V420" s="495"/>
      <c r="W420" s="495"/>
      <c r="X420" s="496"/>
      <c r="Y420" s="497" t="str">
        <f>IFERROR(IF(LEFT(A420,1)="L","",VLOOKUP(A420,EA!$A:$N,8,FALSE)),"")</f>
        <v/>
      </c>
      <c r="Z420" s="498"/>
      <c r="AA420" s="464" t="str">
        <f>IFERROR(IF(LEFT(A420,1)="L","",VLOOKUP(A420,standards,9,FALSE)),"")</f>
        <v/>
      </c>
      <c r="AB420" s="465"/>
      <c r="AC420" s="6"/>
      <c r="AD420" s="6"/>
    </row>
    <row r="421" spans="1:33" s="4" customFormat="1" ht="15.75" customHeight="1" x14ac:dyDescent="0.25">
      <c r="A421" s="5">
        <f>IFERROR(IF(A419=1,VLOOKUP(A420,judges,VLOOKUP(MatchDay!$U$2*10+MatchDay!$C$5,judgesp,5,FALSE),FALSE),VLOOKUP(Distance!A420,judges,VLOOKUP(MatchDay!$U$2*10+MatchDay!$C$5,judges2,5,FALSE),FALSE)),"")</f>
        <v>6</v>
      </c>
      <c r="B421" s="138"/>
      <c r="C421" s="3"/>
      <c r="D421" s="476" t="s">
        <v>120</v>
      </c>
      <c r="E421" s="477"/>
      <c r="F421" s="478" t="str">
        <f>IFERROR(VLOOKUP(A420,timetables,2,FALSE)&amp;" "&amp;VLOOKUP(A420,timetables,3,FALSE),"")</f>
        <v>Long Jump U15 Girls</v>
      </c>
      <c r="G421" s="479"/>
      <c r="H421" s="476" t="s">
        <v>121</v>
      </c>
      <c r="I421" s="480"/>
      <c r="J421" s="477"/>
      <c r="K421" s="481">
        <f>IFERROR(IF(A419=1,VLOOKUP(A420,Timetables!$A:$G,6,FALSE),VLOOKUP(A420,Timetables!$A:$G,7,FALSE)),"")</f>
        <v>0.54166666666666663</v>
      </c>
      <c r="L421" s="481" t="e">
        <v>#N/A</v>
      </c>
      <c r="M421" s="476" t="s">
        <v>150</v>
      </c>
      <c r="N421" s="477"/>
      <c r="O421" s="482" t="str">
        <f>IFERROR(VLOOKUP(A420,records,3,FALSE)&amp;", "&amp;VLOOKUP(A420,records,4,FALSE)&amp;", "&amp;VLOOKUP(A420,records,5,FALSE)&amp;", "&amp;VLOOKUP(A420,records,6,FALSE)&amp;", "&amp;VLOOKUP(A420,records,7,FALSE)&amp;" "&amp;VLOOKUP(A420,records,8,FALSE),"")</f>
        <v/>
      </c>
      <c r="P421" s="482"/>
      <c r="Q421" s="482"/>
      <c r="R421" s="482"/>
      <c r="S421" s="482"/>
      <c r="T421" s="482"/>
      <c r="U421" s="482"/>
      <c r="V421" s="482"/>
      <c r="W421" s="482"/>
      <c r="X421" s="482"/>
      <c r="Y421" s="482"/>
      <c r="Z421" s="482"/>
      <c r="AA421" s="482"/>
      <c r="AB421" s="483"/>
    </row>
    <row r="422" spans="1:33" s="4" customFormat="1" ht="32.1" customHeight="1" x14ac:dyDescent="0.25">
      <c r="A422" s="5" t="s">
        <v>249</v>
      </c>
      <c r="B422" s="10" t="str">
        <f>IFERROR(VLOOKUP($A422,fdistance,2,FALSE),"")</f>
        <v>T</v>
      </c>
      <c r="C422" s="10">
        <f>IFERROR(VLOOKUP($A422,fdistance,3,FALSE),"")</f>
        <v>23</v>
      </c>
      <c r="D422" s="31" t="s">
        <v>122</v>
      </c>
      <c r="E422" s="13" t="s">
        <v>123</v>
      </c>
      <c r="F422" s="13" t="s">
        <v>124</v>
      </c>
      <c r="G422" s="14" t="s">
        <v>125</v>
      </c>
      <c r="H422" s="484" t="s">
        <v>126</v>
      </c>
      <c r="I422" s="485"/>
      <c r="J422" s="485" t="s">
        <v>127</v>
      </c>
      <c r="K422" s="485"/>
      <c r="L422" s="485" t="s">
        <v>128</v>
      </c>
      <c r="M422" s="485"/>
      <c r="N422" s="485" t="s">
        <v>129</v>
      </c>
      <c r="O422" s="485"/>
      <c r="P422" s="486" t="s">
        <v>130</v>
      </c>
      <c r="Q422" s="485" t="s">
        <v>131</v>
      </c>
      <c r="R422" s="485"/>
      <c r="S422" s="485" t="s">
        <v>132</v>
      </c>
      <c r="T422" s="485"/>
      <c r="U422" s="485" t="s">
        <v>133</v>
      </c>
      <c r="V422" s="485"/>
      <c r="W422" s="488" t="s">
        <v>134</v>
      </c>
      <c r="X422" s="489"/>
      <c r="Y422" s="490" t="s">
        <v>135</v>
      </c>
      <c r="Z422" s="492" t="s">
        <v>136</v>
      </c>
      <c r="AA422" s="493"/>
      <c r="AB422" s="484"/>
    </row>
    <row r="423" spans="1:33" s="4" customFormat="1" x14ac:dyDescent="0.3">
      <c r="A423" s="121">
        <f>IFERROR(SEARCH("U17",F421),0)</f>
        <v>0</v>
      </c>
      <c r="B423" s="7" t="s">
        <v>53</v>
      </c>
      <c r="C423" s="7" t="s">
        <v>54</v>
      </c>
      <c r="D423" s="56"/>
      <c r="E423" s="56"/>
      <c r="F423" s="15"/>
      <c r="G423" s="16"/>
      <c r="H423" s="468" t="s">
        <v>137</v>
      </c>
      <c r="I423" s="469"/>
      <c r="J423" s="469" t="s">
        <v>137</v>
      </c>
      <c r="K423" s="469"/>
      <c r="L423" s="469" t="s">
        <v>137</v>
      </c>
      <c r="M423" s="469"/>
      <c r="N423" s="469" t="s">
        <v>137</v>
      </c>
      <c r="O423" s="469"/>
      <c r="P423" s="487"/>
      <c r="Q423" s="469" t="s">
        <v>137</v>
      </c>
      <c r="R423" s="469"/>
      <c r="S423" s="469" t="s">
        <v>137</v>
      </c>
      <c r="T423" s="469"/>
      <c r="U423" s="469" t="s">
        <v>137</v>
      </c>
      <c r="V423" s="469"/>
      <c r="W423" s="469" t="s">
        <v>137</v>
      </c>
      <c r="X423" s="466"/>
      <c r="Y423" s="491"/>
      <c r="Z423" s="55"/>
      <c r="AA423" s="55" t="s">
        <v>53</v>
      </c>
      <c r="AB423" s="55" t="s">
        <v>54</v>
      </c>
    </row>
    <row r="424" spans="1:33" s="4" customFormat="1" ht="16.149999999999999" customHeight="1" x14ac:dyDescent="0.35">
      <c r="A424" s="8">
        <f>IFERROR(IF(D424&gt;MatchDay!$U$2,"-",VLOOKUP(A420,timetables,MatchDay!$U$4,FALSE)),0)</f>
        <v>4</v>
      </c>
      <c r="B424" s="7">
        <f ca="1">AA424</f>
        <v>6</v>
      </c>
      <c r="C424" s="7" t="str">
        <f ca="1">AB424</f>
        <v/>
      </c>
      <c r="D424" s="56">
        <v>1</v>
      </c>
      <c r="E424" s="17">
        <f>A424</f>
        <v>4</v>
      </c>
      <c r="F424" s="319" t="str">
        <f>IFERROR(VLOOKUP($A420&amp;E424,downloads!$A$1:$E$1000,2,FALSE),"")</f>
        <v>Elizabeth PENDRILL</v>
      </c>
      <c r="G424" s="18" t="str">
        <f t="shared" ref="G424:G439" si="130">IFERROR(VLOOKUP(E424,teamlookup,5,FALSE),"-")</f>
        <v>Macc</v>
      </c>
      <c r="H424" s="464">
        <f ca="1">IFERROR(INDIRECT(CONCATENATE("'Distance Input'!"&amp;B422&amp;C422)),"")</f>
        <v>4.04</v>
      </c>
      <c r="I424" s="465"/>
      <c r="J424" s="464">
        <v>0</v>
      </c>
      <c r="K424" s="465"/>
      <c r="L424" s="464">
        <v>0</v>
      </c>
      <c r="M424" s="465"/>
      <c r="N424" s="470">
        <f ca="1">H424</f>
        <v>4.04</v>
      </c>
      <c r="O424" s="471"/>
      <c r="P424" s="55">
        <v>0</v>
      </c>
      <c r="Q424" s="472">
        <v>0</v>
      </c>
      <c r="R424" s="472"/>
      <c r="S424" s="472">
        <v>0</v>
      </c>
      <c r="T424" s="472"/>
      <c r="U424" s="472">
        <v>0</v>
      </c>
      <c r="V424" s="472"/>
      <c r="W424" s="464">
        <f ca="1">N424</f>
        <v>4.04</v>
      </c>
      <c r="X424" s="465"/>
      <c r="Y424" s="55">
        <f ca="1">IF(OR(W424="",W424=0),0,IF(W424="X",MatchDay!$U$2+MatchDay!$U$2+1-COUNTIF(Distance!W424:W424,"X"),RANK(W424,$W424:$X439,0)))</f>
        <v>8</v>
      </c>
      <c r="Z424" s="19" t="str">
        <f ca="1">IFERROR(IF(Y424=0,0,IF(OR(VLOOKUP(AG424,E432:Y439,21,FALSE)=0,Y424&lt;=VLOOKUP(AG424,E432:Y439,21,FALSE)),"A","B")),"")</f>
        <v>A</v>
      </c>
      <c r="AA424" s="19">
        <f ca="1">IFERROR(IF(Z424="B","",RANK(AD424,AD424:AD439,1)),"")</f>
        <v>6</v>
      </c>
      <c r="AB424" s="19" t="str">
        <f ca="1">IFERROR(IF(Z424="A","",RANK(AE424,AE424:AE439,1)),"")</f>
        <v/>
      </c>
      <c r="AC424" s="8"/>
      <c r="AD424" s="9">
        <f ca="1">IF(OR(W424=0,Y424=0,Z424="B"),"",Y424)</f>
        <v>8</v>
      </c>
      <c r="AE424" s="9" t="str">
        <f ca="1">IF(OR(W424=0,Y424=0,Z424="A"),"",Y424)</f>
        <v/>
      </c>
      <c r="AF424" s="9" t="s">
        <v>138</v>
      </c>
      <c r="AG424" s="4">
        <f>IFERROR(IF(A423=0,E424*11,E424&amp;E424),"")</f>
        <v>44</v>
      </c>
    </row>
    <row r="425" spans="1:33" s="4" customFormat="1" ht="16.149999999999999" customHeight="1" x14ac:dyDescent="0.35">
      <c r="A425" s="8">
        <f>IFERROR(IF(D425&gt;MatchDay!$U$2,"-",VLOOKUP(A420,timetables,MatchDay!$U$4+1,FALSE)),0)</f>
        <v>2</v>
      </c>
      <c r="B425" s="7">
        <f t="shared" ref="B425:B439" ca="1" si="131">AA425</f>
        <v>7</v>
      </c>
      <c r="C425" s="7" t="str">
        <f t="shared" ref="C425:C439" ca="1" si="132">AB425</f>
        <v/>
      </c>
      <c r="D425" s="55">
        <v>2</v>
      </c>
      <c r="E425" s="17">
        <f t="shared" ref="E425:E439" si="133">A425</f>
        <v>2</v>
      </c>
      <c r="F425" s="319" t="str">
        <f>IFERROR(VLOOKUP($A420&amp;E425,downloads!$A$1:$E$1000,2,FALSE),"")</f>
        <v>Ava ROYLE</v>
      </c>
      <c r="G425" s="18" t="str">
        <f t="shared" si="130"/>
        <v>ECHT</v>
      </c>
      <c r="H425" s="464">
        <f ca="1">IFERROR(INDIRECT(CONCATENATE("'Distance Input'!"&amp;B422&amp;C422+1)),"")</f>
        <v>4</v>
      </c>
      <c r="I425" s="465"/>
      <c r="J425" s="464">
        <v>0</v>
      </c>
      <c r="K425" s="465"/>
      <c r="L425" s="464">
        <v>0</v>
      </c>
      <c r="M425" s="465"/>
      <c r="N425" s="470">
        <f t="shared" ref="N425:N439" ca="1" si="134">H425</f>
        <v>4</v>
      </c>
      <c r="O425" s="471"/>
      <c r="P425" s="55">
        <v>0</v>
      </c>
      <c r="Q425" s="472">
        <v>0</v>
      </c>
      <c r="R425" s="472"/>
      <c r="S425" s="472">
        <v>0</v>
      </c>
      <c r="T425" s="472"/>
      <c r="U425" s="472">
        <v>0</v>
      </c>
      <c r="V425" s="472"/>
      <c r="W425" s="464">
        <f t="shared" ref="W425:W439" ca="1" si="135">N425</f>
        <v>4</v>
      </c>
      <c r="X425" s="465"/>
      <c r="Y425" s="55">
        <f ca="1">IF(OR(W425="",W425=0),0,IF(W425="X",MatchDay!$U$2+MatchDay!$U$2+1-COUNTIF(Distance!W424:W425,"X"),RANK(W425,$W424:$X439,0)))</f>
        <v>9</v>
      </c>
      <c r="Z425" s="19" t="str">
        <f ca="1">IFERROR(IF(Y425=0,0,IF(OR(VLOOKUP(AG425,E432:Y439,21,FALSE)=0,Y425&lt;=VLOOKUP(AG425,E432:Y439,21,FALSE)),"A","B")),"")</f>
        <v>A</v>
      </c>
      <c r="AA425" s="19">
        <f ca="1">IFERROR(IF(Z425="B","",RANK(AD425,AD424:AD439,1)),"")</f>
        <v>7</v>
      </c>
      <c r="AB425" s="19" t="str">
        <f ca="1">IFERROR(IF(Z425="A","",RANK(AE425,AE424:AE439,1)),"")</f>
        <v/>
      </c>
      <c r="AC425" s="8"/>
      <c r="AD425" s="9">
        <f t="shared" ref="AD425:AD439" ca="1" si="136">IF(OR(W425=0,Y425=0,Z425="B"),"",Y425)</f>
        <v>9</v>
      </c>
      <c r="AE425" s="9" t="str">
        <f t="shared" ref="AE425:AE439" ca="1" si="137">IF(OR(W425=0,Y425=0,Z425="A"),"",Y425)</f>
        <v/>
      </c>
      <c r="AF425" s="9" t="s">
        <v>138</v>
      </c>
      <c r="AG425" s="4">
        <f>IFERROR(IF(A423=0,E425*11,E425&amp;E425),"")</f>
        <v>22</v>
      </c>
    </row>
    <row r="426" spans="1:33" s="4" customFormat="1" ht="16.149999999999999" customHeight="1" x14ac:dyDescent="0.35">
      <c r="A426" s="8">
        <f>IFERROR(IF(D426&gt;MatchDay!$U$2,"-",VLOOKUP(A420,timetables,MatchDay!$U$4+2,FALSE)),0)</f>
        <v>3</v>
      </c>
      <c r="B426" s="7">
        <f t="shared" ca="1" si="131"/>
        <v>5</v>
      </c>
      <c r="C426" s="7" t="str">
        <f t="shared" ca="1" si="132"/>
        <v/>
      </c>
      <c r="D426" s="55">
        <v>3</v>
      </c>
      <c r="E426" s="17">
        <f t="shared" si="133"/>
        <v>3</v>
      </c>
      <c r="F426" s="319" t="str">
        <f>IFERROR(VLOOKUP($A420&amp;E426,downloads!$A$1:$E$1000,2,FALSE),"")</f>
        <v>Olivia COPPER</v>
      </c>
      <c r="G426" s="18" t="str">
        <f t="shared" si="130"/>
        <v>Leigh</v>
      </c>
      <c r="H426" s="464">
        <f ca="1">IFERROR(INDIRECT(CONCATENATE("'Distance Input'!"&amp;B422&amp;C422+2)),"")</f>
        <v>4.1100000000000003</v>
      </c>
      <c r="I426" s="465"/>
      <c r="J426" s="464">
        <v>0</v>
      </c>
      <c r="K426" s="465"/>
      <c r="L426" s="464">
        <v>0</v>
      </c>
      <c r="M426" s="465"/>
      <c r="N426" s="470">
        <f t="shared" ca="1" si="134"/>
        <v>4.1100000000000003</v>
      </c>
      <c r="O426" s="471"/>
      <c r="P426" s="55">
        <v>0</v>
      </c>
      <c r="Q426" s="472">
        <v>0</v>
      </c>
      <c r="R426" s="472"/>
      <c r="S426" s="472">
        <v>0</v>
      </c>
      <c r="T426" s="472"/>
      <c r="U426" s="472">
        <v>0</v>
      </c>
      <c r="V426" s="472"/>
      <c r="W426" s="464">
        <f t="shared" ca="1" si="135"/>
        <v>4.1100000000000003</v>
      </c>
      <c r="X426" s="465"/>
      <c r="Y426" s="55">
        <f ca="1">IF(OR(W426="",W426=0),0,IF(W426="X",MatchDay!$U$2+MatchDay!$U$2+1-COUNTIF(Distance!W424:W426,"X"),RANK(W426,$W424:$X439,0)))</f>
        <v>7</v>
      </c>
      <c r="Z426" s="19" t="str">
        <f ca="1">IFERROR(IF(Y426=0,0,IF(OR(VLOOKUP(AG426,E432:Y439,21,FALSE)=0,Y426&lt;=VLOOKUP(AG426,E432:Y439,21,FALSE)),"A","B")),"")</f>
        <v>A</v>
      </c>
      <c r="AA426" s="19">
        <f ca="1">IFERROR(IF(Z426="B","",RANK(AD426,AD424:AD439,1)),"")</f>
        <v>5</v>
      </c>
      <c r="AB426" s="19" t="str">
        <f ca="1">IFERROR(IF(Z426="A","",RANK(AE426,AE424:AE439,1)),"")</f>
        <v/>
      </c>
      <c r="AD426" s="9">
        <f t="shared" ca="1" si="136"/>
        <v>7</v>
      </c>
      <c r="AE426" s="9" t="str">
        <f t="shared" ca="1" si="137"/>
        <v/>
      </c>
      <c r="AF426" s="9" t="s">
        <v>138</v>
      </c>
      <c r="AG426" s="4">
        <f>IFERROR(IF(A423=0,E426*11,E426&amp;E426),"")</f>
        <v>33</v>
      </c>
    </row>
    <row r="427" spans="1:33" s="4" customFormat="1" ht="16.149999999999999" customHeight="1" x14ac:dyDescent="0.35">
      <c r="A427" s="8">
        <f>IFERROR(IF(D427&gt;MatchDay!$U$2,"-",VLOOKUP(A420,timetables,MatchDay!$U$4+3,FALSE)),0)</f>
        <v>1</v>
      </c>
      <c r="B427" s="7">
        <f t="shared" ca="1" si="131"/>
        <v>3</v>
      </c>
      <c r="C427" s="7" t="str">
        <f t="shared" ca="1" si="132"/>
        <v/>
      </c>
      <c r="D427" s="55">
        <v>4</v>
      </c>
      <c r="E427" s="17">
        <f t="shared" si="133"/>
        <v>1</v>
      </c>
      <c r="F427" s="319" t="str">
        <f>IFERROR(VLOOKUP($A420&amp;E427,downloads!$A$1:$E$1000,2,FALSE),"")</f>
        <v>Olivia WELCH</v>
      </c>
      <c r="G427" s="18" t="str">
        <f t="shared" si="130"/>
        <v>C&amp;N</v>
      </c>
      <c r="H427" s="464">
        <f ca="1">IFERROR(INDIRECT(CONCATENATE("'Distance Input'!"&amp;B422&amp;C422+3)),"")</f>
        <v>4.34</v>
      </c>
      <c r="I427" s="465"/>
      <c r="J427" s="464">
        <v>0</v>
      </c>
      <c r="K427" s="465"/>
      <c r="L427" s="464">
        <v>0</v>
      </c>
      <c r="M427" s="465"/>
      <c r="N427" s="470">
        <f t="shared" ca="1" si="134"/>
        <v>4.34</v>
      </c>
      <c r="O427" s="471"/>
      <c r="P427" s="55">
        <v>0</v>
      </c>
      <c r="Q427" s="472">
        <v>0</v>
      </c>
      <c r="R427" s="472"/>
      <c r="S427" s="472">
        <v>0</v>
      </c>
      <c r="T427" s="472"/>
      <c r="U427" s="472">
        <v>0</v>
      </c>
      <c r="V427" s="472"/>
      <c r="W427" s="464">
        <f t="shared" ca="1" si="135"/>
        <v>4.34</v>
      </c>
      <c r="X427" s="465"/>
      <c r="Y427" s="55">
        <f ca="1">IF(OR(W427="",W427=0),0,IF(W427="X",MatchDay!$U$2+MatchDay!$U$2+1-COUNTIF(Distance!W424:W427,"X"),RANK(W427,$W424:$X439,0)))</f>
        <v>3</v>
      </c>
      <c r="Z427" s="19" t="str">
        <f ca="1">IFERROR(IF(Y427=0,0,IF(OR(VLOOKUP(AG427,E432:Y439,21,FALSE)=0,Y427&lt;=VLOOKUP(AG427,E432:Y439,21,FALSE)),"A","B")),"")</f>
        <v>A</v>
      </c>
      <c r="AA427" s="19">
        <f ca="1">IFERROR(IF(Z427="B","",RANK(AD427,AD424:AD439,1)),"")</f>
        <v>3</v>
      </c>
      <c r="AB427" s="19" t="str">
        <f ca="1">IFERROR(IF(Z427="A","",RANK(AE427,AE424:AE439,1)),"")</f>
        <v/>
      </c>
      <c r="AD427" s="9">
        <f t="shared" ca="1" si="136"/>
        <v>3</v>
      </c>
      <c r="AE427" s="9" t="str">
        <f t="shared" ca="1" si="137"/>
        <v/>
      </c>
      <c r="AF427" s="9" t="s">
        <v>138</v>
      </c>
      <c r="AG427" s="4">
        <f>IFERROR(IF(A423=0,E427*11,E427&amp;E427),"")</f>
        <v>11</v>
      </c>
    </row>
    <row r="428" spans="1:33" s="4" customFormat="1" ht="16.149999999999999" customHeight="1" x14ac:dyDescent="0.35">
      <c r="A428" s="8">
        <f>IFERROR(IF(D428&gt;MatchDay!$U$2,"-",VLOOKUP(A420,timetables,MatchDay!$U$4+4,FALSE)),0)</f>
        <v>7</v>
      </c>
      <c r="B428" s="7" t="str">
        <f t="shared" ca="1" si="131"/>
        <v/>
      </c>
      <c r="C428" s="7">
        <f t="shared" ca="1" si="132"/>
        <v>4</v>
      </c>
      <c r="D428" s="55">
        <v>5</v>
      </c>
      <c r="E428" s="17">
        <f t="shared" si="133"/>
        <v>7</v>
      </c>
      <c r="F428" s="319" t="str">
        <f>IFERROR(VLOOKUP($A420&amp;E428,downloads!$A$1:$E$1000,2,FALSE),"")</f>
        <v>Emily WILSON</v>
      </c>
      <c r="G428" s="18" t="str">
        <f t="shared" si="130"/>
        <v>Wigan</v>
      </c>
      <c r="H428" s="464">
        <f ca="1">IFERROR(INDIRECT(CONCATENATE("'Distance Input'!"&amp;B422&amp;C422+4)),"")</f>
        <v>3.85</v>
      </c>
      <c r="I428" s="465"/>
      <c r="J428" s="464">
        <v>0</v>
      </c>
      <c r="K428" s="465"/>
      <c r="L428" s="464">
        <v>0</v>
      </c>
      <c r="M428" s="465"/>
      <c r="N428" s="470">
        <f t="shared" ca="1" si="134"/>
        <v>3.85</v>
      </c>
      <c r="O428" s="471"/>
      <c r="P428" s="55">
        <v>0</v>
      </c>
      <c r="Q428" s="472">
        <v>0</v>
      </c>
      <c r="R428" s="472"/>
      <c r="S428" s="472">
        <v>0</v>
      </c>
      <c r="T428" s="472"/>
      <c r="U428" s="472">
        <v>0</v>
      </c>
      <c r="V428" s="472"/>
      <c r="W428" s="464">
        <f t="shared" ca="1" si="135"/>
        <v>3.85</v>
      </c>
      <c r="X428" s="465"/>
      <c r="Y428" s="55">
        <f ca="1">IF(OR(W428="",W428=0),0,IF(W428="X",MatchDay!$U$2+MatchDay!$U$2+1-COUNTIF(Distance!W424:W428,"X"),RANK(W428,$W424:$X439,0)))</f>
        <v>11</v>
      </c>
      <c r="Z428" s="19" t="str">
        <f ca="1">IFERROR(IF(Y428=0,0,IF(OR(VLOOKUP(AG428,E432:Y439,21,FALSE)=0,Y428&lt;=VLOOKUP(AG428,E432:Y439,21,FALSE)),"A","B")),"")</f>
        <v>B</v>
      </c>
      <c r="AA428" s="19" t="str">
        <f ca="1">IFERROR(IF(Z428="B","",RANK(AD428,AD424:AD439,1)),"")</f>
        <v/>
      </c>
      <c r="AB428" s="19">
        <f ca="1">IFERROR(IF(Z428="A","",RANK(AE428,AE424:AE439,1)),"")</f>
        <v>4</v>
      </c>
      <c r="AD428" s="9" t="str">
        <f t="shared" ca="1" si="136"/>
        <v/>
      </c>
      <c r="AE428" s="9">
        <f t="shared" ca="1" si="137"/>
        <v>11</v>
      </c>
      <c r="AF428" s="9" t="s">
        <v>138</v>
      </c>
      <c r="AG428" s="4">
        <f>IFERROR(IF(A423=0,E428*11,E428&amp;E428),"")</f>
        <v>77</v>
      </c>
    </row>
    <row r="429" spans="1:33" s="4" customFormat="1" ht="16.149999999999999" customHeight="1" x14ac:dyDescent="0.35">
      <c r="A429" s="8">
        <f>IFERROR(IF(D429&gt;MatchDay!$U$2,"-",VLOOKUP(A420,timetables,MatchDay!$U$4+5,FALSE)),0)</f>
        <v>5</v>
      </c>
      <c r="B429" s="7">
        <f t="shared" ca="1" si="131"/>
        <v>4</v>
      </c>
      <c r="C429" s="7" t="str">
        <f t="shared" ca="1" si="132"/>
        <v/>
      </c>
      <c r="D429" s="55">
        <v>6</v>
      </c>
      <c r="E429" s="17">
        <f t="shared" si="133"/>
        <v>5</v>
      </c>
      <c r="F429" s="319" t="str">
        <f>IFERROR(VLOOKUP($A420&amp;E429,downloads!$A$1:$E$1000,2,FALSE),"")</f>
        <v>Lily HARDY</v>
      </c>
      <c r="G429" s="18" t="str">
        <f t="shared" si="130"/>
        <v>Menai</v>
      </c>
      <c r="H429" s="464">
        <f ca="1">IFERROR(INDIRECT(CONCATENATE("'Distance Input'!"&amp;B422&amp;C422+5)),"")</f>
        <v>4.24</v>
      </c>
      <c r="I429" s="465"/>
      <c r="J429" s="464">
        <v>0</v>
      </c>
      <c r="K429" s="465"/>
      <c r="L429" s="464">
        <v>0</v>
      </c>
      <c r="M429" s="465"/>
      <c r="N429" s="470">
        <f t="shared" ca="1" si="134"/>
        <v>4.24</v>
      </c>
      <c r="O429" s="471"/>
      <c r="P429" s="55">
        <v>0</v>
      </c>
      <c r="Q429" s="472">
        <v>0</v>
      </c>
      <c r="R429" s="472"/>
      <c r="S429" s="472">
        <v>0</v>
      </c>
      <c r="T429" s="472"/>
      <c r="U429" s="472">
        <v>0</v>
      </c>
      <c r="V429" s="472"/>
      <c r="W429" s="464">
        <f t="shared" ca="1" si="135"/>
        <v>4.24</v>
      </c>
      <c r="X429" s="465"/>
      <c r="Y429" s="55">
        <f ca="1">IF(OR(W429="",W429=0),0,IF(W429="X",MatchDay!$U$2+MatchDay!$U$2+1-COUNTIF(Distance!W424:W429,"X"),RANK(W429,$W424:$X439,0)))</f>
        <v>4</v>
      </c>
      <c r="Z429" s="19" t="str">
        <f ca="1">IFERROR(IF(Y429=0,0,IF(OR(VLOOKUP(AG429,E432:Y439,21,FALSE)=0,Y429&lt;=VLOOKUP(AG429,E432:Y439,21,FALSE)),"A","B")),"")</f>
        <v>A</v>
      </c>
      <c r="AA429" s="19">
        <f ca="1">IFERROR(IF(Z429="B","",RANK(AD429,AD424:AD439,1)),"")</f>
        <v>4</v>
      </c>
      <c r="AB429" s="19" t="str">
        <f ca="1">IFERROR(IF(Z429="A","",RANK(AE429,AE424:AE439,1)),"")</f>
        <v/>
      </c>
      <c r="AD429" s="9">
        <f t="shared" ca="1" si="136"/>
        <v>4</v>
      </c>
      <c r="AE429" s="9" t="str">
        <f t="shared" ca="1" si="137"/>
        <v/>
      </c>
      <c r="AF429" s="9" t="s">
        <v>138</v>
      </c>
      <c r="AG429" s="4">
        <f>IFERROR(IF(A423=0,E429*11,E429&amp;E429),"")</f>
        <v>55</v>
      </c>
    </row>
    <row r="430" spans="1:33" s="4" customFormat="1" ht="16.149999999999999" customHeight="1" x14ac:dyDescent="0.35">
      <c r="A430" s="8">
        <f>IFERROR(IF(D430&gt;MatchDay!$U$2,"-",VLOOKUP(A420,timetables,MatchDay!$U$4+6,FALSE)),0)</f>
        <v>6</v>
      </c>
      <c r="B430" s="7">
        <f t="shared" ca="1" si="131"/>
        <v>1</v>
      </c>
      <c r="C430" s="7" t="str">
        <f t="shared" ca="1" si="132"/>
        <v/>
      </c>
      <c r="D430" s="55">
        <v>7</v>
      </c>
      <c r="E430" s="17">
        <f t="shared" si="133"/>
        <v>6</v>
      </c>
      <c r="F430" s="319" t="str">
        <f>IFERROR(VLOOKUP($A420&amp;E430,downloads!$A$1:$E$1000,2,FALSE),"")</f>
        <v>Molly MILLS</v>
      </c>
      <c r="G430" s="18" t="str">
        <f t="shared" si="130"/>
        <v>Stock</v>
      </c>
      <c r="H430" s="464">
        <f ca="1">IFERROR(INDIRECT(CONCATENATE("'Distance Input'!"&amp;B422&amp;C422+6)),"")</f>
        <v>4.7300000000000004</v>
      </c>
      <c r="I430" s="465"/>
      <c r="J430" s="464">
        <v>0</v>
      </c>
      <c r="K430" s="465"/>
      <c r="L430" s="464">
        <v>0</v>
      </c>
      <c r="M430" s="465"/>
      <c r="N430" s="470">
        <f t="shared" ca="1" si="134"/>
        <v>4.7300000000000004</v>
      </c>
      <c r="O430" s="471"/>
      <c r="P430" s="55">
        <v>0</v>
      </c>
      <c r="Q430" s="472">
        <v>0</v>
      </c>
      <c r="R430" s="472"/>
      <c r="S430" s="472">
        <v>0</v>
      </c>
      <c r="T430" s="472"/>
      <c r="U430" s="472">
        <v>0</v>
      </c>
      <c r="V430" s="472"/>
      <c r="W430" s="464">
        <f t="shared" ca="1" si="135"/>
        <v>4.7300000000000004</v>
      </c>
      <c r="X430" s="465"/>
      <c r="Y430" s="55">
        <f ca="1">IF(OR(W430="",W430=0),0,IF(W430="X",MatchDay!$U$2+MatchDay!$U$2+1-COUNTIF(Distance!W424:W430,"X"),RANK(W430,$W424:$X439,0)))</f>
        <v>1</v>
      </c>
      <c r="Z430" s="19" t="str">
        <f ca="1">IFERROR(IF(Y430=0,0,IF(OR(VLOOKUP(AG430,E432:Y439,21,FALSE)=0,Y430&lt;=VLOOKUP(AG430,E432:Y439,21,FALSE)),"A","B")),"")</f>
        <v>A</v>
      </c>
      <c r="AA430" s="19">
        <f ca="1">IFERROR(IF(Z430="B","",RANK(AD430,AD424:AD439,1)),"")</f>
        <v>1</v>
      </c>
      <c r="AB430" s="19" t="str">
        <f ca="1">IFERROR(IF(Z430="A","",RANK(AE430,AE424:AE439,1)),"")</f>
        <v/>
      </c>
      <c r="AD430" s="9">
        <f t="shared" ca="1" si="136"/>
        <v>1</v>
      </c>
      <c r="AE430" s="9" t="str">
        <f t="shared" ca="1" si="137"/>
        <v/>
      </c>
      <c r="AF430" s="9" t="s">
        <v>138</v>
      </c>
      <c r="AG430" s="4">
        <f>IFERROR(IF(A423=0,E430*11,E430&amp;E430),"")</f>
        <v>66</v>
      </c>
    </row>
    <row r="431" spans="1:33" s="4" customFormat="1" ht="16.149999999999999" customHeight="1" x14ac:dyDescent="0.35">
      <c r="A431" s="8" t="str">
        <f>IFERROR(IF(D431&gt;MatchDay!$U$2,"-",VLOOKUP(A420,timetables,MatchDay!$U$4+7,FALSE)),0)</f>
        <v>-</v>
      </c>
      <c r="B431" s="7" t="str">
        <f t="shared" ca="1" si="131"/>
        <v/>
      </c>
      <c r="C431" s="7" t="str">
        <f t="shared" ca="1" si="132"/>
        <v/>
      </c>
      <c r="D431" s="55">
        <v>8</v>
      </c>
      <c r="E431" s="17" t="str">
        <f t="shared" si="133"/>
        <v>-</v>
      </c>
      <c r="F431" s="319" t="str">
        <f>IFERROR(VLOOKUP($A420&amp;E431,downloads!$A$1:$E$1000,2,FALSE),"")</f>
        <v/>
      </c>
      <c r="G431" s="18" t="str">
        <f t="shared" si="130"/>
        <v/>
      </c>
      <c r="H431" s="464">
        <f ca="1">IFERROR(INDIRECT(CONCATENATE("'Distance Input'!"&amp;B422&amp;C422+7)),"")</f>
        <v>0</v>
      </c>
      <c r="I431" s="465"/>
      <c r="J431" s="464">
        <v>0</v>
      </c>
      <c r="K431" s="465"/>
      <c r="L431" s="464">
        <v>0</v>
      </c>
      <c r="M431" s="465"/>
      <c r="N431" s="470">
        <f t="shared" ca="1" si="134"/>
        <v>0</v>
      </c>
      <c r="O431" s="471"/>
      <c r="P431" s="55">
        <v>0</v>
      </c>
      <c r="Q431" s="472">
        <v>0</v>
      </c>
      <c r="R431" s="472"/>
      <c r="S431" s="472">
        <v>0</v>
      </c>
      <c r="T431" s="472"/>
      <c r="U431" s="472">
        <v>0</v>
      </c>
      <c r="V431" s="472"/>
      <c r="W431" s="464">
        <f t="shared" ca="1" si="135"/>
        <v>0</v>
      </c>
      <c r="X431" s="465"/>
      <c r="Y431" s="55">
        <f ca="1">IF(OR(W431="",W431=0),0,IF(W431="X",MatchDay!$U$2+MatchDay!$U$2+1-COUNTIF(Distance!W424:W431,"X"),RANK(W431,$W424:$X439,0)))</f>
        <v>0</v>
      </c>
      <c r="Z431" s="19">
        <f ca="1">IFERROR(IF(Y431=0,0,IF(OR(VLOOKUP(AG431,E432:Y439,21,FALSE)=0,Y431&lt;=VLOOKUP(AG431,E432:Y439,21,FALSE)),"A","B")),"")</f>
        <v>0</v>
      </c>
      <c r="AA431" s="19" t="str">
        <f ca="1">IFERROR(IF(Z431="B","",RANK(AD431,AD424:AD439,1)),"")</f>
        <v/>
      </c>
      <c r="AB431" s="19" t="str">
        <f ca="1">IFERROR(IF(Z431="A","",RANK(AE431,AE424:AE439,1)),"")</f>
        <v/>
      </c>
      <c r="AD431" s="9" t="str">
        <f t="shared" ca="1" si="136"/>
        <v/>
      </c>
      <c r="AE431" s="9" t="str">
        <f t="shared" ca="1" si="137"/>
        <v/>
      </c>
      <c r="AF431" s="9" t="s">
        <v>138</v>
      </c>
      <c r="AG431" s="4" t="str">
        <f>IFERROR(IF(A423=0,E431*11,E431&amp;E431),"")</f>
        <v/>
      </c>
    </row>
    <row r="432" spans="1:33" s="4" customFormat="1" ht="16.149999999999999" customHeight="1" x14ac:dyDescent="0.35">
      <c r="A432" s="8">
        <f>IFERROR(IF(A423=0,A424*11,A424&amp;A424),"-")</f>
        <v>44</v>
      </c>
      <c r="B432" s="7" t="str">
        <f t="shared" ca="1" si="131"/>
        <v/>
      </c>
      <c r="C432" s="7">
        <f t="shared" ca="1" si="132"/>
        <v>6</v>
      </c>
      <c r="D432" s="55">
        <v>9</v>
      </c>
      <c r="E432" s="17">
        <f t="shared" si="133"/>
        <v>44</v>
      </c>
      <c r="F432" s="319" t="str">
        <f>IFERROR(VLOOKUP($A420&amp;E432,downloads!$A$1:$E$1000,2,FALSE),"")</f>
        <v>Brooke SAYCE</v>
      </c>
      <c r="G432" s="18" t="str">
        <f t="shared" si="130"/>
        <v>Macc</v>
      </c>
      <c r="H432" s="464">
        <f ca="1">IFERROR(INDIRECT(CONCATENATE("'Distance Input'!"&amp;B422&amp;C422+8)),"")</f>
        <v>2.84</v>
      </c>
      <c r="I432" s="465"/>
      <c r="J432" s="464">
        <v>0</v>
      </c>
      <c r="K432" s="465"/>
      <c r="L432" s="464">
        <v>0</v>
      </c>
      <c r="M432" s="465"/>
      <c r="N432" s="470">
        <f t="shared" ca="1" si="134"/>
        <v>2.84</v>
      </c>
      <c r="O432" s="471"/>
      <c r="P432" s="55">
        <v>0</v>
      </c>
      <c r="Q432" s="472">
        <v>0</v>
      </c>
      <c r="R432" s="472"/>
      <c r="S432" s="472">
        <v>0</v>
      </c>
      <c r="T432" s="472"/>
      <c r="U432" s="472">
        <v>0</v>
      </c>
      <c r="V432" s="472"/>
      <c r="W432" s="464">
        <f t="shared" ca="1" si="135"/>
        <v>2.84</v>
      </c>
      <c r="X432" s="465"/>
      <c r="Y432" s="55">
        <f ca="1">IF(OR(W432="",W432=0),0,IF(W432="X",MatchDay!$U$2+MatchDay!$U$2+1-COUNTIF(Distance!W424:W432,"X"),RANK(W432,$W424:$X439,0)))</f>
        <v>13</v>
      </c>
      <c r="Z432" s="19" t="str">
        <f ca="1">IFERROR(IF(Y432=0,0,IF(VLOOKUP(AG432,E424:Y431,21,FALSE)=0,"A",IF(Y432&gt;=VLOOKUP(AG432,E424:Y431,21,FALSE),"B","A"))),"")</f>
        <v>B</v>
      </c>
      <c r="AA432" s="19" t="str">
        <f ca="1">IFERROR(IF(Z432="B","",RANK(AD432,AD424:AD439,1)),"")</f>
        <v/>
      </c>
      <c r="AB432" s="19">
        <f ca="1">IFERROR(IF(Z432="A","",RANK(AE432,AE424:AE439,1)),"")</f>
        <v>6</v>
      </c>
      <c r="AD432" s="9" t="str">
        <f t="shared" ca="1" si="136"/>
        <v/>
      </c>
      <c r="AE432" s="9">
        <f t="shared" ca="1" si="137"/>
        <v>13</v>
      </c>
      <c r="AF432" s="9" t="s">
        <v>138</v>
      </c>
      <c r="AG432" s="4">
        <f>IFERROR(IF(A423=0,E432/11,LEFT(E432,1)),"")</f>
        <v>4</v>
      </c>
    </row>
    <row r="433" spans="1:33" s="4" customFormat="1" ht="16.149999999999999" customHeight="1" x14ac:dyDescent="0.35">
      <c r="A433" s="8">
        <f>IFERROR(IF(A423=0,A425*11,A425&amp;A425),"-")</f>
        <v>22</v>
      </c>
      <c r="B433" s="7" t="str">
        <f t="shared" ca="1" si="131"/>
        <v/>
      </c>
      <c r="C433" s="7" t="str">
        <f t="shared" ca="1" si="132"/>
        <v/>
      </c>
      <c r="D433" s="55">
        <v>10</v>
      </c>
      <c r="E433" s="17">
        <f t="shared" si="133"/>
        <v>22</v>
      </c>
      <c r="F433" s="319" t="str">
        <f>IFERROR(VLOOKUP($A420&amp;E433,downloads!$A$1:$E$1000,2,FALSE),"")</f>
        <v/>
      </c>
      <c r="G433" s="18" t="str">
        <f t="shared" si="130"/>
        <v>ECHT</v>
      </c>
      <c r="H433" s="464">
        <f ca="1">IFERROR(INDIRECT(CONCATENATE("'Distance Input'!"&amp;B422&amp;C422+9)),"")</f>
        <v>0</v>
      </c>
      <c r="I433" s="465"/>
      <c r="J433" s="464">
        <v>0</v>
      </c>
      <c r="K433" s="465"/>
      <c r="L433" s="464">
        <v>0</v>
      </c>
      <c r="M433" s="465"/>
      <c r="N433" s="470">
        <f t="shared" ca="1" si="134"/>
        <v>0</v>
      </c>
      <c r="O433" s="471"/>
      <c r="P433" s="55">
        <v>0</v>
      </c>
      <c r="Q433" s="472">
        <v>0</v>
      </c>
      <c r="R433" s="472"/>
      <c r="S433" s="472">
        <v>0</v>
      </c>
      <c r="T433" s="472"/>
      <c r="U433" s="472">
        <v>0</v>
      </c>
      <c r="V433" s="472"/>
      <c r="W433" s="464">
        <f t="shared" ca="1" si="135"/>
        <v>0</v>
      </c>
      <c r="X433" s="465"/>
      <c r="Y433" s="55">
        <f ca="1">IF(OR(W433="",W433=0),0,IF(W433="X",MatchDay!$U$2+MatchDay!$U$2+1-COUNTIF(Distance!W424:W433,"X"),RANK(W433,$W424:$X439,0)))</f>
        <v>0</v>
      </c>
      <c r="Z433" s="19">
        <f ca="1">IFERROR(IF(Y433=0,0,IF(VLOOKUP(AG433,E424:Y431,21,FALSE)=0,"A",IF(Y433&gt;=VLOOKUP(AG433,E424:Y431,21,FALSE),"B","A"))),"")</f>
        <v>0</v>
      </c>
      <c r="AA433" s="19" t="str">
        <f ca="1">IFERROR(IF(Z433="B","",RANK(AD433,AD424:AD439,1)),"")</f>
        <v/>
      </c>
      <c r="AB433" s="19" t="str">
        <f ca="1">IFERROR(IF(Z433="A","",RANK(AE433,AE424:AE439,1)),"")</f>
        <v/>
      </c>
      <c r="AD433" s="9" t="str">
        <f t="shared" ca="1" si="136"/>
        <v/>
      </c>
      <c r="AE433" s="9" t="str">
        <f t="shared" ca="1" si="137"/>
        <v/>
      </c>
      <c r="AF433" s="9" t="s">
        <v>138</v>
      </c>
      <c r="AG433" s="4">
        <f>IFERROR(IF(A423=0,E433/11,LEFT(E433,1)),"")</f>
        <v>2</v>
      </c>
    </row>
    <row r="434" spans="1:33" s="4" customFormat="1" ht="16.149999999999999" customHeight="1" x14ac:dyDescent="0.35">
      <c r="A434" s="8">
        <f>IFERROR(IF(A423=0,A426*11,A426&amp;A426),"-")</f>
        <v>33</v>
      </c>
      <c r="B434" s="7" t="str">
        <f t="shared" ca="1" si="131"/>
        <v/>
      </c>
      <c r="C434" s="7">
        <f t="shared" ca="1" si="132"/>
        <v>3</v>
      </c>
      <c r="D434" s="55">
        <v>11</v>
      </c>
      <c r="E434" s="17">
        <f t="shared" si="133"/>
        <v>33</v>
      </c>
      <c r="F434" s="319" t="str">
        <f>IFERROR(VLOOKUP($A420&amp;E434,downloads!$A$1:$E$1000,2,FALSE),"")</f>
        <v>Isobel EVANS</v>
      </c>
      <c r="G434" s="18" t="str">
        <f t="shared" si="130"/>
        <v>Leigh</v>
      </c>
      <c r="H434" s="464">
        <f ca="1">IFERROR(INDIRECT(CONCATENATE("'Distance Input'!"&amp;B422&amp;C422+10)),"")</f>
        <v>3.93</v>
      </c>
      <c r="I434" s="465"/>
      <c r="J434" s="464">
        <v>0</v>
      </c>
      <c r="K434" s="465"/>
      <c r="L434" s="464">
        <v>0</v>
      </c>
      <c r="M434" s="465"/>
      <c r="N434" s="470">
        <f t="shared" ca="1" si="134"/>
        <v>3.93</v>
      </c>
      <c r="O434" s="471"/>
      <c r="P434" s="55">
        <v>0</v>
      </c>
      <c r="Q434" s="472">
        <v>0</v>
      </c>
      <c r="R434" s="472"/>
      <c r="S434" s="472">
        <v>0</v>
      </c>
      <c r="T434" s="472"/>
      <c r="U434" s="472">
        <v>0</v>
      </c>
      <c r="V434" s="472"/>
      <c r="W434" s="464">
        <f t="shared" ca="1" si="135"/>
        <v>3.93</v>
      </c>
      <c r="X434" s="465"/>
      <c r="Y434" s="55">
        <f ca="1">IF(OR(W434="",W434=0),0,IF(W434="X",MatchDay!$U$2+MatchDay!$U$2+1-COUNTIF(Distance!W424:W434,"X"),RANK(W434,$W424:$X439,0)))</f>
        <v>10</v>
      </c>
      <c r="Z434" s="19" t="str">
        <f ca="1">IFERROR(IF(Y434=0,0,IF(VLOOKUP(AG434,E424:Y431,21,FALSE)=0,"A",IF(Y434&gt;=VLOOKUP(AG434,E424:Y431,21,FALSE),"B","A"))),"")</f>
        <v>B</v>
      </c>
      <c r="AA434" s="19" t="str">
        <f ca="1">IFERROR(IF(Z434="B","",RANK(AD434,AD424:AD439,1)),"")</f>
        <v/>
      </c>
      <c r="AB434" s="19">
        <f ca="1">IFERROR(IF(Z434="A","",RANK(AE434,AE424:AE439,1)),"")</f>
        <v>3</v>
      </c>
      <c r="AD434" s="9" t="str">
        <f t="shared" ca="1" si="136"/>
        <v/>
      </c>
      <c r="AE434" s="9">
        <f t="shared" ca="1" si="137"/>
        <v>10</v>
      </c>
      <c r="AF434" s="9" t="s">
        <v>138</v>
      </c>
      <c r="AG434" s="4">
        <f>IFERROR(IF(A423=0,E434/11,LEFT(E434,1)),"")</f>
        <v>3</v>
      </c>
    </row>
    <row r="435" spans="1:33" s="4" customFormat="1" ht="16.149999999999999" customHeight="1" x14ac:dyDescent="0.35">
      <c r="A435" s="8">
        <f>IFERROR(IF(A423=0,A427*11,A427&amp;A427),"-")</f>
        <v>11</v>
      </c>
      <c r="B435" s="7" t="str">
        <f t="shared" ca="1" si="131"/>
        <v/>
      </c>
      <c r="C435" s="7">
        <f t="shared" ca="1" si="132"/>
        <v>2</v>
      </c>
      <c r="D435" s="55">
        <v>12</v>
      </c>
      <c r="E435" s="17">
        <f t="shared" si="133"/>
        <v>11</v>
      </c>
      <c r="F435" s="319" t="str">
        <f>IFERROR(VLOOKUP($A420&amp;E435,downloads!$A$1:$E$1000,2,FALSE),"")</f>
        <v>Mia O'DONNELL</v>
      </c>
      <c r="G435" s="18" t="str">
        <f t="shared" si="130"/>
        <v>C&amp;N</v>
      </c>
      <c r="H435" s="464">
        <f ca="1">IFERROR(INDIRECT(CONCATENATE("'Distance Input'!"&amp;B422&amp;C422+11)),"")</f>
        <v>4.1900000000000004</v>
      </c>
      <c r="I435" s="465"/>
      <c r="J435" s="464">
        <v>0</v>
      </c>
      <c r="K435" s="465"/>
      <c r="L435" s="464">
        <v>0</v>
      </c>
      <c r="M435" s="465"/>
      <c r="N435" s="470">
        <f t="shared" ca="1" si="134"/>
        <v>4.1900000000000004</v>
      </c>
      <c r="O435" s="471"/>
      <c r="P435" s="55">
        <v>0</v>
      </c>
      <c r="Q435" s="472">
        <v>0</v>
      </c>
      <c r="R435" s="472"/>
      <c r="S435" s="472">
        <v>0</v>
      </c>
      <c r="T435" s="472"/>
      <c r="U435" s="472">
        <v>0</v>
      </c>
      <c r="V435" s="472"/>
      <c r="W435" s="464">
        <f t="shared" ca="1" si="135"/>
        <v>4.1900000000000004</v>
      </c>
      <c r="X435" s="465"/>
      <c r="Y435" s="55">
        <f ca="1">IF(OR(W435="",W435=0),0,IF(W435="X",MatchDay!$U$2+MatchDay!$U$2+1-COUNTIF(Distance!W424:W435,"X"),RANK(W435,$W424:$X439,0)))</f>
        <v>6</v>
      </c>
      <c r="Z435" s="19" t="str">
        <f ca="1">IFERROR(IF(Y435=0,0,IF(VLOOKUP(AG435,E424:Y431,21,FALSE)=0,"A",IF(Y435&gt;=VLOOKUP(AG435,E424:Y431,21,FALSE),"B","A"))),"")</f>
        <v>B</v>
      </c>
      <c r="AA435" s="19" t="str">
        <f ca="1">IFERROR(IF(Z435="B","",RANK(AD435,AD424:AD439,1)),"")</f>
        <v/>
      </c>
      <c r="AB435" s="19">
        <f ca="1">IFERROR(IF(Z435="A","",RANK(AE435,AE424:AE439,1)),"")</f>
        <v>2</v>
      </c>
      <c r="AD435" s="9" t="str">
        <f t="shared" ca="1" si="136"/>
        <v/>
      </c>
      <c r="AE435" s="9">
        <f t="shared" ca="1" si="137"/>
        <v>6</v>
      </c>
      <c r="AF435" s="9" t="s">
        <v>138</v>
      </c>
      <c r="AG435" s="4">
        <f>IFERROR(IF(A423=0,E435/11,LEFT(E435,1)),"")</f>
        <v>1</v>
      </c>
    </row>
    <row r="436" spans="1:33" s="4" customFormat="1" ht="16.149999999999999" customHeight="1" x14ac:dyDescent="0.35">
      <c r="A436" s="8">
        <f>IFERROR(IF(A423=0,A428*11,A428&amp;A428),"-")</f>
        <v>77</v>
      </c>
      <c r="B436" s="7">
        <f t="shared" ca="1" si="131"/>
        <v>2</v>
      </c>
      <c r="C436" s="7" t="str">
        <f t="shared" ca="1" si="132"/>
        <v/>
      </c>
      <c r="D436" s="55">
        <v>13</v>
      </c>
      <c r="E436" s="17">
        <f t="shared" si="133"/>
        <v>77</v>
      </c>
      <c r="F436" s="319" t="str">
        <f>IFERROR(VLOOKUP($A420&amp;E436,downloads!$A$1:$E$1000,2,FALSE),"")</f>
        <v>Emma PIMBLETT</v>
      </c>
      <c r="G436" s="18" t="str">
        <f t="shared" si="130"/>
        <v>Wigan</v>
      </c>
      <c r="H436" s="464">
        <f ca="1">IFERROR(INDIRECT(CONCATENATE("'Distance Input'!"&amp;B422&amp;C422+12)),"")</f>
        <v>4.53</v>
      </c>
      <c r="I436" s="465"/>
      <c r="J436" s="464">
        <v>0</v>
      </c>
      <c r="K436" s="465"/>
      <c r="L436" s="464">
        <v>0</v>
      </c>
      <c r="M436" s="465"/>
      <c r="N436" s="470">
        <f t="shared" ca="1" si="134"/>
        <v>4.53</v>
      </c>
      <c r="O436" s="471"/>
      <c r="P436" s="55">
        <v>0</v>
      </c>
      <c r="Q436" s="472">
        <v>0</v>
      </c>
      <c r="R436" s="472"/>
      <c r="S436" s="472">
        <v>0</v>
      </c>
      <c r="T436" s="472"/>
      <c r="U436" s="472">
        <v>0</v>
      </c>
      <c r="V436" s="472"/>
      <c r="W436" s="464">
        <f t="shared" ca="1" si="135"/>
        <v>4.53</v>
      </c>
      <c r="X436" s="465"/>
      <c r="Y436" s="55">
        <f ca="1">IF(OR(W436="",W436=0),0,IF(W436="X",MatchDay!$U$2+MatchDay!$U$2+1-COUNTIF(Distance!W424:W436,"X"),RANK(W436,$W424:$X439,0)))</f>
        <v>2</v>
      </c>
      <c r="Z436" s="19" t="str">
        <f ca="1">IFERROR(IF(Y436=0,0,IF(VLOOKUP(AG436,E424:Y431,21,FALSE)=0,"A",IF(Y436&gt;=VLOOKUP(AG436,E424:Y431,21,FALSE),"B","A"))),"")</f>
        <v>A</v>
      </c>
      <c r="AA436" s="19">
        <f ca="1">IFERROR(IF(Z436="B","",RANK(AD436,AD424:AD439,1)),"")</f>
        <v>2</v>
      </c>
      <c r="AB436" s="19" t="str">
        <f ca="1">IFERROR(IF(Z436="A","",RANK(AE436,AE424:AE439,1)),"")</f>
        <v/>
      </c>
      <c r="AD436" s="9">
        <f t="shared" ca="1" si="136"/>
        <v>2</v>
      </c>
      <c r="AE436" s="9" t="str">
        <f t="shared" ca="1" si="137"/>
        <v/>
      </c>
      <c r="AF436" s="9" t="s">
        <v>138</v>
      </c>
      <c r="AG436" s="4">
        <f>IFERROR(IF(A423=0,E436/11,LEFT(E436,1)),"")</f>
        <v>7</v>
      </c>
    </row>
    <row r="437" spans="1:33" s="4" customFormat="1" ht="16.149999999999999" customHeight="1" x14ac:dyDescent="0.35">
      <c r="A437" s="8">
        <f>IFERROR(IF(A423=0,A429*11,A429&amp;A429),"-")</f>
        <v>55</v>
      </c>
      <c r="B437" s="7" t="str">
        <f t="shared" ca="1" si="131"/>
        <v/>
      </c>
      <c r="C437" s="7">
        <f t="shared" ca="1" si="132"/>
        <v>5</v>
      </c>
      <c r="D437" s="55">
        <v>14</v>
      </c>
      <c r="E437" s="17">
        <f t="shared" si="133"/>
        <v>55</v>
      </c>
      <c r="F437" s="319" t="str">
        <f>IFERROR(VLOOKUP($A420&amp;E437,downloads!$A$1:$E$1000,2,FALSE),"")</f>
        <v>Mabli WILLIAMS</v>
      </c>
      <c r="G437" s="18" t="str">
        <f t="shared" si="130"/>
        <v>Menai</v>
      </c>
      <c r="H437" s="464">
        <f ca="1">IFERROR(INDIRECT(CONCATENATE("'Distance Input'!"&amp;B422&amp;C422+13)),"")</f>
        <v>3.35</v>
      </c>
      <c r="I437" s="465"/>
      <c r="J437" s="464">
        <v>0</v>
      </c>
      <c r="K437" s="465"/>
      <c r="L437" s="464">
        <v>0</v>
      </c>
      <c r="M437" s="465"/>
      <c r="N437" s="470">
        <f t="shared" ca="1" si="134"/>
        <v>3.35</v>
      </c>
      <c r="O437" s="471"/>
      <c r="P437" s="55">
        <v>0</v>
      </c>
      <c r="Q437" s="472">
        <v>0</v>
      </c>
      <c r="R437" s="472"/>
      <c r="S437" s="472">
        <v>0</v>
      </c>
      <c r="T437" s="472"/>
      <c r="U437" s="472">
        <v>0</v>
      </c>
      <c r="V437" s="472"/>
      <c r="W437" s="464">
        <f t="shared" ca="1" si="135"/>
        <v>3.35</v>
      </c>
      <c r="X437" s="465"/>
      <c r="Y437" s="55">
        <f ca="1">IF(OR(W437="",W437=0),0,IF(W437="X",MatchDay!$U$2+MatchDay!$U$2+1-COUNTIF(Distance!W424:W437,"X"),RANK(W437,$W424:$X439,0)))</f>
        <v>12</v>
      </c>
      <c r="Z437" s="19" t="str">
        <f ca="1">IFERROR(IF(Y437=0,0,IF(VLOOKUP(AG437,E424:Y431,21,FALSE)=0,"A",IF(Y437&gt;=VLOOKUP(AG437,E424:Y431,21,FALSE),"B","A"))),"")</f>
        <v>B</v>
      </c>
      <c r="AA437" s="19" t="str">
        <f ca="1">IFERROR(IF(Z437="B","",RANK(AD437,AD424:AD439,1)),"")</f>
        <v/>
      </c>
      <c r="AB437" s="19">
        <f ca="1">IFERROR(IF(Z437="A","",RANK(AE437,AE424:AE439,1)),"")</f>
        <v>5</v>
      </c>
      <c r="AD437" s="9" t="str">
        <f t="shared" ca="1" si="136"/>
        <v/>
      </c>
      <c r="AE437" s="9">
        <f t="shared" ca="1" si="137"/>
        <v>12</v>
      </c>
      <c r="AF437" s="9" t="s">
        <v>138</v>
      </c>
      <c r="AG437" s="4">
        <f>IFERROR(IF(A423=0,E437/11,LEFT(E437,1)),"")</f>
        <v>5</v>
      </c>
    </row>
    <row r="438" spans="1:33" s="4" customFormat="1" ht="16.149999999999999" customHeight="1" x14ac:dyDescent="0.35">
      <c r="A438" s="8">
        <f>IFERROR(IF(A423=0,A430*11,A430&amp;A430),"-")</f>
        <v>66</v>
      </c>
      <c r="B438" s="7" t="str">
        <f t="shared" ca="1" si="131"/>
        <v/>
      </c>
      <c r="C438" s="7">
        <f t="shared" ca="1" si="132"/>
        <v>1</v>
      </c>
      <c r="D438" s="55">
        <v>15</v>
      </c>
      <c r="E438" s="17">
        <f t="shared" si="133"/>
        <v>66</v>
      </c>
      <c r="F438" s="319" t="str">
        <f>IFERROR(VLOOKUP($A420&amp;E438,downloads!$A$1:$E$1000,2,FALSE),"")</f>
        <v/>
      </c>
      <c r="G438" s="18" t="str">
        <f t="shared" si="130"/>
        <v>Stock</v>
      </c>
      <c r="H438" s="464">
        <f ca="1">IFERROR(INDIRECT(CONCATENATE("'Distance Input'!"&amp;B422&amp;C422+14)),"")</f>
        <v>4.21</v>
      </c>
      <c r="I438" s="465"/>
      <c r="J438" s="464">
        <v>0</v>
      </c>
      <c r="K438" s="465"/>
      <c r="L438" s="464">
        <v>0</v>
      </c>
      <c r="M438" s="465"/>
      <c r="N438" s="470">
        <f t="shared" ca="1" si="134"/>
        <v>4.21</v>
      </c>
      <c r="O438" s="471"/>
      <c r="P438" s="55">
        <v>0</v>
      </c>
      <c r="Q438" s="472">
        <v>0</v>
      </c>
      <c r="R438" s="472"/>
      <c r="S438" s="472">
        <v>0</v>
      </c>
      <c r="T438" s="472"/>
      <c r="U438" s="472">
        <v>0</v>
      </c>
      <c r="V438" s="472"/>
      <c r="W438" s="464">
        <f t="shared" ca="1" si="135"/>
        <v>4.21</v>
      </c>
      <c r="X438" s="465"/>
      <c r="Y438" s="55">
        <f ca="1">IF(OR(W438="",W438=0),0,IF(W438="X",MatchDay!$U$2+MatchDay!$U$2+1-COUNTIF(Distance!W424:W438,"X"),RANK(W438,$W424:$X439,0)))</f>
        <v>5</v>
      </c>
      <c r="Z438" s="19" t="str">
        <f ca="1">IFERROR(IF(Y438=0,0,IF(VLOOKUP(AG438,E424:Y431,21,FALSE)=0,"A",IF(Y438&gt;=VLOOKUP(AG438,E424:Y431,21,FALSE),"B","A"))),"")</f>
        <v>B</v>
      </c>
      <c r="AA438" s="19" t="str">
        <f ca="1">IFERROR(IF(Z438="B","",RANK(AD438,AD424:AD439,1)),"")</f>
        <v/>
      </c>
      <c r="AB438" s="19">
        <f ca="1">IFERROR(IF(Z438="A","",RANK(AE438,AE424:AE439,1)),"")</f>
        <v>1</v>
      </c>
      <c r="AD438" s="9" t="str">
        <f t="shared" ca="1" si="136"/>
        <v/>
      </c>
      <c r="AE438" s="9">
        <f t="shared" ca="1" si="137"/>
        <v>5</v>
      </c>
      <c r="AF438" s="9" t="s">
        <v>138</v>
      </c>
      <c r="AG438" s="4">
        <f>IFERROR(IF(A423=0,E438/11,LEFT(E438,1)),"")</f>
        <v>6</v>
      </c>
    </row>
    <row r="439" spans="1:33" s="4" customFormat="1" ht="16.149999999999999" customHeight="1" x14ac:dyDescent="0.35">
      <c r="A439" s="8" t="str">
        <f>IFERROR(IF(A423=0,A431*11,A431&amp;A431),"-")</f>
        <v>-</v>
      </c>
      <c r="B439" s="7" t="str">
        <f t="shared" ca="1" si="131"/>
        <v/>
      </c>
      <c r="C439" s="7" t="str">
        <f t="shared" ca="1" si="132"/>
        <v/>
      </c>
      <c r="D439" s="55">
        <v>16</v>
      </c>
      <c r="E439" s="17" t="str">
        <f t="shared" si="133"/>
        <v>-</v>
      </c>
      <c r="F439" s="319" t="str">
        <f>IFERROR(VLOOKUP($A420&amp;E439,downloads!$A$1:$E$1000,2,FALSE),"")</f>
        <v/>
      </c>
      <c r="G439" s="18" t="str">
        <f t="shared" si="130"/>
        <v/>
      </c>
      <c r="H439" s="464">
        <f ca="1">IFERROR(INDIRECT(CONCATENATE("'Distance Input'!"&amp;B422&amp;C422+15)),"")</f>
        <v>0</v>
      </c>
      <c r="I439" s="465"/>
      <c r="J439" s="464">
        <v>0</v>
      </c>
      <c r="K439" s="465"/>
      <c r="L439" s="464">
        <v>0</v>
      </c>
      <c r="M439" s="465"/>
      <c r="N439" s="470">
        <f t="shared" ca="1" si="134"/>
        <v>0</v>
      </c>
      <c r="O439" s="471"/>
      <c r="P439" s="55">
        <v>0</v>
      </c>
      <c r="Q439" s="472">
        <v>0</v>
      </c>
      <c r="R439" s="472"/>
      <c r="S439" s="472">
        <v>0</v>
      </c>
      <c r="T439" s="472"/>
      <c r="U439" s="472">
        <v>0</v>
      </c>
      <c r="V439" s="472"/>
      <c r="W439" s="464">
        <f t="shared" ca="1" si="135"/>
        <v>0</v>
      </c>
      <c r="X439" s="465"/>
      <c r="Y439" s="55">
        <f ca="1">IF(OR(W439="",W439=0),0,IF(W439="X",MatchDay!$U$2+MatchDay!$U$2+1-COUNTIF(Distance!W424:W439,"X"),RANK(W439,$W424:$X439,0)))</f>
        <v>0</v>
      </c>
      <c r="Z439" s="19">
        <f ca="1">IFERROR(IF(Y439=0,0,IF(VLOOKUP(AG439,E424:Y431,21,FALSE)=0,"A",IF(Y439&gt;=VLOOKUP(AG439,E424:Y431,21,FALSE),"B","A"))),"")</f>
        <v>0</v>
      </c>
      <c r="AA439" s="19" t="str">
        <f ca="1">IFERROR(IF(Z439="B","",RANK(AD439,AD424:AD439,1)),"")</f>
        <v/>
      </c>
      <c r="AB439" s="19" t="str">
        <f ca="1">IFERROR(IF(Z439="A","",RANK(AE439,AE424:AE439,1)),"")</f>
        <v/>
      </c>
      <c r="AD439" s="9" t="str">
        <f t="shared" ca="1" si="136"/>
        <v/>
      </c>
      <c r="AE439" s="9" t="str">
        <f t="shared" ca="1" si="137"/>
        <v/>
      </c>
      <c r="AF439" s="9" t="s">
        <v>138</v>
      </c>
      <c r="AG439" s="4" t="str">
        <f>IFERROR(IF(A423=0,E439/11,LEFT(E439,1)),"")</f>
        <v/>
      </c>
    </row>
    <row r="440" spans="1:33" s="4" customFormat="1" x14ac:dyDescent="0.25">
      <c r="A440" s="8"/>
      <c r="B440" s="10"/>
      <c r="C440" s="3"/>
      <c r="D440" s="20"/>
      <c r="E440" s="20"/>
      <c r="F440" s="21"/>
      <c r="G440" s="21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2"/>
    </row>
    <row r="441" spans="1:33" s="4" customFormat="1" x14ac:dyDescent="0.25">
      <c r="A441" s="8"/>
      <c r="B441" s="10"/>
      <c r="C441" s="3"/>
      <c r="D441" s="469" t="s">
        <v>139</v>
      </c>
      <c r="E441" s="473"/>
      <c r="F441" s="473"/>
      <c r="G441" s="473"/>
      <c r="H441" s="473"/>
      <c r="I441" s="473"/>
      <c r="J441" s="466" t="s">
        <v>140</v>
      </c>
      <c r="K441" s="474"/>
      <c r="L441" s="474"/>
      <c r="M441" s="474"/>
      <c r="N441" s="474"/>
      <c r="O441" s="474"/>
      <c r="P441" s="474"/>
      <c r="Q441" s="474"/>
      <c r="R441" s="474"/>
      <c r="S441" s="474"/>
      <c r="T441" s="474"/>
      <c r="U441" s="475"/>
      <c r="V441" s="466" t="s">
        <v>1136</v>
      </c>
      <c r="W441" s="467"/>
      <c r="X441" s="467"/>
      <c r="Y441" s="467"/>
      <c r="Z441" s="467"/>
      <c r="AA441" s="467"/>
      <c r="AB441" s="468"/>
    </row>
    <row r="442" spans="1:33" s="4" customFormat="1" x14ac:dyDescent="0.25">
      <c r="A442" s="8" t="s">
        <v>55</v>
      </c>
      <c r="B442" s="10"/>
      <c r="C442" s="3"/>
      <c r="D442" s="12"/>
      <c r="E442" s="55" t="s">
        <v>141</v>
      </c>
      <c r="F442" s="55" t="s">
        <v>124</v>
      </c>
      <c r="G442" s="55" t="s">
        <v>125</v>
      </c>
      <c r="H442" s="469" t="s">
        <v>142</v>
      </c>
      <c r="I442" s="469"/>
      <c r="J442" s="23"/>
      <c r="K442" s="54" t="s">
        <v>141</v>
      </c>
      <c r="L442" s="466" t="s">
        <v>124</v>
      </c>
      <c r="M442" s="467"/>
      <c r="N442" s="467"/>
      <c r="O442" s="468"/>
      <c r="P442" s="466" t="s">
        <v>125</v>
      </c>
      <c r="Q442" s="467"/>
      <c r="R442" s="467"/>
      <c r="S442" s="468"/>
      <c r="T442" s="466" t="s">
        <v>142</v>
      </c>
      <c r="U442" s="468"/>
      <c r="V442" s="24"/>
      <c r="W442" s="25"/>
      <c r="X442" s="25"/>
      <c r="Y442" s="25"/>
      <c r="Z442" s="25"/>
      <c r="AA442" s="25"/>
      <c r="AB442" s="26"/>
    </row>
    <row r="443" spans="1:33" s="4" customFormat="1" ht="16.149999999999999" customHeight="1" x14ac:dyDescent="0.25">
      <c r="A443" s="11">
        <f>IFERROR(VLOOKUP(A420,standards,3,FALSE),"-")</f>
        <v>3.25</v>
      </c>
      <c r="B443" s="10">
        <v>1</v>
      </c>
      <c r="C443" s="3"/>
      <c r="D443" s="55">
        <v>1</v>
      </c>
      <c r="E443" s="19">
        <f ca="1">IFERROR(IF(OR(H424=98,H424=99),H424,VLOOKUP(B443,B424:E439,4,FALSE)),0)</f>
        <v>6</v>
      </c>
      <c r="F443" s="27" t="str">
        <f ca="1">IFERROR(VLOOKUP(E443,$E424:$F439,2,FALSE),"")</f>
        <v>Molly MILLS</v>
      </c>
      <c r="G443" s="18" t="str">
        <f t="shared" ref="G443:G450" ca="1" si="138">IFERROR(VLOOKUP(E443,teamlookup,5,FALSE),"-")</f>
        <v>Stock</v>
      </c>
      <c r="H443" s="459">
        <f ca="1">IFERROR(VLOOKUP(E443,E424:X439,19,FALSE),"")</f>
        <v>4.7300000000000004</v>
      </c>
      <c r="I443" s="460"/>
      <c r="J443" s="55">
        <v>1</v>
      </c>
      <c r="K443" s="55">
        <f ca="1">IFERROR(VLOOKUP(B443,C424:X439,3,FALSE),"")</f>
        <v>66</v>
      </c>
      <c r="L443" s="461" t="str">
        <f ca="1">IFERROR(VLOOKUP(K443,$E424:$F439,2,FALSE),"")</f>
        <v/>
      </c>
      <c r="M443" s="462"/>
      <c r="N443" s="462"/>
      <c r="O443" s="463"/>
      <c r="P443" s="461" t="str">
        <f t="shared" ref="P443:P450" ca="1" si="139">IFERROR(VLOOKUP(K443,teamlookup,5,FALSE),"-")</f>
        <v>Stock</v>
      </c>
      <c r="Q443" s="462"/>
      <c r="R443" s="462"/>
      <c r="S443" s="463"/>
      <c r="T443" s="464">
        <f ca="1">IFERROR(VLOOKUP(K443,E424:X439,19,FALSE),"")</f>
        <v>4.21</v>
      </c>
      <c r="U443" s="465"/>
      <c r="V443" s="28"/>
      <c r="W443" s="29"/>
      <c r="X443" s="29"/>
      <c r="Y443" s="29"/>
      <c r="Z443" s="29"/>
      <c r="AA443" s="29"/>
      <c r="AB443" s="30"/>
    </row>
    <row r="444" spans="1:33" s="4" customFormat="1" ht="16.149999999999999" customHeight="1" x14ac:dyDescent="0.25">
      <c r="A444" s="11">
        <f>IFERROR(VLOOKUP(A420,standards,4,FALSE),"-")</f>
        <v>3.5</v>
      </c>
      <c r="B444" s="10">
        <v>2</v>
      </c>
      <c r="C444" s="3"/>
      <c r="D444" s="55">
        <v>2</v>
      </c>
      <c r="E444" s="19">
        <f ca="1">IFERROR(VLOOKUP(B444,B424:E439,4,FALSE),"")</f>
        <v>77</v>
      </c>
      <c r="F444" s="27" t="str">
        <f ca="1">IFERROR(VLOOKUP(E444,$E424:$F439,2,FALSE),"")</f>
        <v>Emma PIMBLETT</v>
      </c>
      <c r="G444" s="18" t="str">
        <f t="shared" ca="1" si="138"/>
        <v>Wigan</v>
      </c>
      <c r="H444" s="459">
        <f ca="1">IFERROR(VLOOKUP(E444,E424:X439,19,FALSE),"")</f>
        <v>4.53</v>
      </c>
      <c r="I444" s="460"/>
      <c r="J444" s="55">
        <v>2</v>
      </c>
      <c r="K444" s="55">
        <f ca="1">IFERROR(VLOOKUP(B444,C424:X439,3,FALSE),"")</f>
        <v>11</v>
      </c>
      <c r="L444" s="461" t="str">
        <f ca="1">IFERROR(VLOOKUP(K444,$E424:$F439,2,FALSE),"")</f>
        <v>Mia O'DONNELL</v>
      </c>
      <c r="M444" s="462"/>
      <c r="N444" s="462"/>
      <c r="O444" s="463"/>
      <c r="P444" s="461" t="str">
        <f t="shared" ca="1" si="139"/>
        <v>C&amp;N</v>
      </c>
      <c r="Q444" s="462"/>
      <c r="R444" s="462"/>
      <c r="S444" s="463"/>
      <c r="T444" s="464">
        <f ca="1">IFERROR(VLOOKUP(K444,E424:X439,19,FALSE),"")</f>
        <v>4.1900000000000004</v>
      </c>
      <c r="U444" s="465"/>
      <c r="V444" s="24"/>
      <c r="W444" s="25"/>
      <c r="X444" s="25"/>
      <c r="Y444" s="25"/>
      <c r="Z444" s="25"/>
      <c r="AA444" s="25"/>
      <c r="AB444" s="26"/>
    </row>
    <row r="445" spans="1:33" s="4" customFormat="1" ht="16.149999999999999" customHeight="1" x14ac:dyDescent="0.25">
      <c r="A445" s="11">
        <f>IFERROR(VLOOKUP(A420,standards,5,FALSE),"-")</f>
        <v>3.75</v>
      </c>
      <c r="B445" s="10">
        <v>3</v>
      </c>
      <c r="C445" s="3"/>
      <c r="D445" s="55">
        <v>3</v>
      </c>
      <c r="E445" s="19">
        <f ca="1">IFERROR(VLOOKUP(B445,B424:E439,4,FALSE),"")</f>
        <v>1</v>
      </c>
      <c r="F445" s="27" t="str">
        <f ca="1">IFERROR(VLOOKUP(E445,$E424:$F439,2,FALSE),"")</f>
        <v>Olivia WELCH</v>
      </c>
      <c r="G445" s="18" t="str">
        <f t="shared" ca="1" si="138"/>
        <v>C&amp;N</v>
      </c>
      <c r="H445" s="459">
        <f ca="1">IFERROR(VLOOKUP(E445,E424:X439,19,FALSE),"")</f>
        <v>4.34</v>
      </c>
      <c r="I445" s="460"/>
      <c r="J445" s="55">
        <v>3</v>
      </c>
      <c r="K445" s="55">
        <f ca="1">IFERROR(VLOOKUP(B445,C424:X439,3,FALSE),"")</f>
        <v>33</v>
      </c>
      <c r="L445" s="461" t="str">
        <f ca="1">IFERROR(VLOOKUP(K445,$E424:$F439,2,FALSE),"")</f>
        <v>Isobel EVANS</v>
      </c>
      <c r="M445" s="462"/>
      <c r="N445" s="462"/>
      <c r="O445" s="463"/>
      <c r="P445" s="461" t="str">
        <f t="shared" ca="1" si="139"/>
        <v>Leigh</v>
      </c>
      <c r="Q445" s="462"/>
      <c r="R445" s="462"/>
      <c r="S445" s="463"/>
      <c r="T445" s="464">
        <f ca="1">IFERROR(VLOOKUP(K445,E424:X439,19,FALSE),"")</f>
        <v>3.93</v>
      </c>
      <c r="U445" s="465"/>
      <c r="V445" s="28"/>
      <c r="W445" s="29"/>
      <c r="X445" s="29"/>
      <c r="Y445" s="29"/>
      <c r="Z445" s="29"/>
      <c r="AA445" s="29"/>
      <c r="AB445" s="30"/>
    </row>
    <row r="446" spans="1:33" s="4" customFormat="1" ht="16.149999999999999" customHeight="1" x14ac:dyDescent="0.25">
      <c r="A446" s="11">
        <f>IFERROR(VLOOKUP(A420,EA!A:K,6,FALSE),"-")</f>
        <v>4</v>
      </c>
      <c r="B446" s="10">
        <v>4</v>
      </c>
      <c r="C446" s="3"/>
      <c r="D446" s="55">
        <v>4</v>
      </c>
      <c r="E446" s="19">
        <f ca="1">IFERROR(VLOOKUP(B446,B424:E439,4,FALSE),"")</f>
        <v>5</v>
      </c>
      <c r="F446" s="27" t="str">
        <f ca="1">IFERROR(VLOOKUP(E446,$E424:$F439,2,FALSE),"")</f>
        <v>Lily HARDY</v>
      </c>
      <c r="G446" s="18" t="str">
        <f t="shared" ca="1" si="138"/>
        <v>Menai</v>
      </c>
      <c r="H446" s="459">
        <f ca="1">IFERROR(VLOOKUP(E446,E424:X439,19,FALSE),"")</f>
        <v>4.24</v>
      </c>
      <c r="I446" s="460"/>
      <c r="J446" s="55">
        <v>4</v>
      </c>
      <c r="K446" s="55">
        <f ca="1">IFERROR(VLOOKUP(B446,C424:X439,3,FALSE),"")</f>
        <v>7</v>
      </c>
      <c r="L446" s="461" t="str">
        <f ca="1">IFERROR(VLOOKUP(K446,$E424:$F439,2,FALSE),"")</f>
        <v>Emily WILSON</v>
      </c>
      <c r="M446" s="462"/>
      <c r="N446" s="462"/>
      <c r="O446" s="463"/>
      <c r="P446" s="461" t="str">
        <f t="shared" ca="1" si="139"/>
        <v>Wigan</v>
      </c>
      <c r="Q446" s="462"/>
      <c r="R446" s="462"/>
      <c r="S446" s="463"/>
      <c r="T446" s="464">
        <f ca="1">IFERROR(VLOOKUP(K446,E424:X439,19,FALSE),"")</f>
        <v>3.85</v>
      </c>
      <c r="U446" s="465"/>
      <c r="V446" s="24"/>
      <c r="W446" s="25"/>
      <c r="X446" s="25"/>
      <c r="Y446" s="25"/>
      <c r="Z446" s="25"/>
      <c r="AA446" s="25"/>
      <c r="AB446" s="26"/>
    </row>
    <row r="447" spans="1:33" s="4" customFormat="1" ht="16.149999999999999" customHeight="1" x14ac:dyDescent="0.25">
      <c r="A447" s="8"/>
      <c r="B447" s="10">
        <v>5</v>
      </c>
      <c r="C447" s="3"/>
      <c r="D447" s="55">
        <v>5</v>
      </c>
      <c r="E447" s="19">
        <f ca="1">IFERROR(VLOOKUP(B447,B424:E439,4,FALSE),"")</f>
        <v>3</v>
      </c>
      <c r="F447" s="27" t="str">
        <f ca="1">IFERROR(VLOOKUP(E447,$E424:$F439,2,FALSE),"")</f>
        <v>Olivia COPPER</v>
      </c>
      <c r="G447" s="18" t="str">
        <f t="shared" ca="1" si="138"/>
        <v>Leigh</v>
      </c>
      <c r="H447" s="459">
        <f ca="1">IFERROR(VLOOKUP(E447,E424:X439,19,FALSE),"")</f>
        <v>4.1100000000000003</v>
      </c>
      <c r="I447" s="460"/>
      <c r="J447" s="55">
        <v>5</v>
      </c>
      <c r="K447" s="55">
        <f ca="1">IFERROR(VLOOKUP(B447,C424:X439,3,FALSE),"")</f>
        <v>55</v>
      </c>
      <c r="L447" s="461" t="str">
        <f ca="1">IFERROR(VLOOKUP(K447,$E424:$F439,2,FALSE),"")</f>
        <v>Mabli WILLIAMS</v>
      </c>
      <c r="M447" s="462"/>
      <c r="N447" s="462"/>
      <c r="O447" s="463"/>
      <c r="P447" s="461" t="str">
        <f t="shared" ca="1" si="139"/>
        <v>Menai</v>
      </c>
      <c r="Q447" s="462"/>
      <c r="R447" s="462"/>
      <c r="S447" s="463"/>
      <c r="T447" s="464">
        <f ca="1">IFERROR(VLOOKUP(K447,E424:X439,19,FALSE),"")</f>
        <v>3.35</v>
      </c>
      <c r="U447" s="465"/>
      <c r="V447" s="28"/>
      <c r="W447" s="29"/>
      <c r="X447" s="29"/>
      <c r="Y447" s="29"/>
      <c r="Z447" s="29"/>
      <c r="AA447" s="29"/>
      <c r="AB447" s="30"/>
    </row>
    <row r="448" spans="1:33" s="4" customFormat="1" ht="16.149999999999999" customHeight="1" x14ac:dyDescent="0.25">
      <c r="A448" s="8" t="s">
        <v>151</v>
      </c>
      <c r="B448" s="10">
        <v>6</v>
      </c>
      <c r="C448" s="3"/>
      <c r="D448" s="55">
        <v>6</v>
      </c>
      <c r="E448" s="19">
        <f ca="1">IFERROR(VLOOKUP(B448,B424:E439,4,FALSE),"")</f>
        <v>4</v>
      </c>
      <c r="F448" s="27" t="str">
        <f ca="1">IFERROR(VLOOKUP(E448,$E424:$F439,2,FALSE),"")</f>
        <v>Elizabeth PENDRILL</v>
      </c>
      <c r="G448" s="18" t="str">
        <f t="shared" ca="1" si="138"/>
        <v>Macc</v>
      </c>
      <c r="H448" s="459">
        <f ca="1">IFERROR(VLOOKUP(E448,E424:X439,19,FALSE),"")</f>
        <v>4.04</v>
      </c>
      <c r="I448" s="460"/>
      <c r="J448" s="55">
        <v>6</v>
      </c>
      <c r="K448" s="55">
        <f ca="1">IFERROR(VLOOKUP(B448,C424:X439,3,FALSE),"")</f>
        <v>44</v>
      </c>
      <c r="L448" s="461" t="str">
        <f ca="1">IFERROR(VLOOKUP(K448,$E424:$F439,2,FALSE),"")</f>
        <v>Brooke SAYCE</v>
      </c>
      <c r="M448" s="462"/>
      <c r="N448" s="462"/>
      <c r="O448" s="463"/>
      <c r="P448" s="461" t="str">
        <f t="shared" ca="1" si="139"/>
        <v>Macc</v>
      </c>
      <c r="Q448" s="462"/>
      <c r="R448" s="462"/>
      <c r="S448" s="463"/>
      <c r="T448" s="464">
        <f ca="1">IFERROR(VLOOKUP(K448,E424:X439,19,FALSE),"")</f>
        <v>2.84</v>
      </c>
      <c r="U448" s="465"/>
      <c r="V448" s="466" t="s">
        <v>1135</v>
      </c>
      <c r="W448" s="467"/>
      <c r="X448" s="467"/>
      <c r="Y448" s="467"/>
      <c r="Z448" s="467"/>
      <c r="AA448" s="467"/>
      <c r="AB448" s="468"/>
    </row>
    <row r="449" spans="1:33" s="4" customFormat="1" ht="16.149999999999999" customHeight="1" x14ac:dyDescent="0.25">
      <c r="A449" s="8">
        <f>IFERROR(VLOOKUP(A420,records,5,FALSE),"")</f>
        <v>5.65</v>
      </c>
      <c r="B449" s="10">
        <v>7</v>
      </c>
      <c r="C449" s="3"/>
      <c r="D449" s="55">
        <v>7</v>
      </c>
      <c r="E449" s="19">
        <f ca="1">IFERROR(VLOOKUP(B449,B424:E439,4,FALSE),"")</f>
        <v>2</v>
      </c>
      <c r="F449" s="27" t="str">
        <f ca="1">IFERROR(VLOOKUP(E449,$E424:$F439,2,FALSE),"")</f>
        <v>Ava ROYLE</v>
      </c>
      <c r="G449" s="18" t="str">
        <f t="shared" ca="1" si="138"/>
        <v>ECHT</v>
      </c>
      <c r="H449" s="459">
        <f ca="1">IFERROR(VLOOKUP(E449,E424:X439,19,FALSE),"")</f>
        <v>4</v>
      </c>
      <c r="I449" s="460"/>
      <c r="J449" s="55">
        <v>7</v>
      </c>
      <c r="K449" s="55" t="str">
        <f ca="1">IFERROR(VLOOKUP(B449,C424:X439,3,FALSE),"")</f>
        <v/>
      </c>
      <c r="L449" s="461" t="str">
        <f ca="1">IFERROR(VLOOKUP(K449,$E424:$F439,2,FALSE),"")</f>
        <v/>
      </c>
      <c r="M449" s="462"/>
      <c r="N449" s="462"/>
      <c r="O449" s="463"/>
      <c r="P449" s="461" t="str">
        <f t="shared" ca="1" si="139"/>
        <v>-</v>
      </c>
      <c r="Q449" s="462"/>
      <c r="R449" s="462"/>
      <c r="S449" s="463"/>
      <c r="T449" s="464" t="str">
        <f ca="1">IFERROR(VLOOKUP(K449,E424:X439,19,FALSE),"")</f>
        <v/>
      </c>
      <c r="U449" s="465"/>
      <c r="V449" s="24"/>
      <c r="W449" s="25"/>
      <c r="X449" s="25"/>
      <c r="Y449" s="25"/>
      <c r="Z449" s="25"/>
      <c r="AA449" s="25"/>
      <c r="AB449" s="26"/>
    </row>
    <row r="450" spans="1:33" s="4" customFormat="1" ht="16.149999999999999" customHeight="1" x14ac:dyDescent="0.25">
      <c r="A450" s="8"/>
      <c r="B450" s="10">
        <v>8</v>
      </c>
      <c r="C450" s="3"/>
      <c r="D450" s="55">
        <v>8</v>
      </c>
      <c r="E450" s="19" t="str">
        <f ca="1">IFERROR(VLOOKUP(B450,B424:E439,4,FALSE),"")</f>
        <v/>
      </c>
      <c r="F450" s="27" t="str">
        <f ca="1">IFERROR(VLOOKUP(E450,$E424:$F439,2,FALSE),"")</f>
        <v/>
      </c>
      <c r="G450" s="18" t="str">
        <f t="shared" ca="1" si="138"/>
        <v>-</v>
      </c>
      <c r="H450" s="459" t="str">
        <f ca="1">IFERROR(VLOOKUP(E450,E424:X439,19,FALSE),"")</f>
        <v/>
      </c>
      <c r="I450" s="460"/>
      <c r="J450" s="55">
        <v>8</v>
      </c>
      <c r="K450" s="55" t="str">
        <f ca="1">IFERROR(VLOOKUP(B450,C424:X439,3,FALSE),"")</f>
        <v/>
      </c>
      <c r="L450" s="461" t="str">
        <f ca="1">IFERROR(VLOOKUP(K450,$E424:$F439,2,FALSE),"")</f>
        <v/>
      </c>
      <c r="M450" s="462"/>
      <c r="N450" s="462"/>
      <c r="O450" s="463"/>
      <c r="P450" s="461" t="str">
        <f t="shared" ca="1" si="139"/>
        <v>-</v>
      </c>
      <c r="Q450" s="462"/>
      <c r="R450" s="462"/>
      <c r="S450" s="463"/>
      <c r="T450" s="464" t="str">
        <f ca="1">IFERROR(VLOOKUP(K450,E424:X439,19,FALSE),"")</f>
        <v/>
      </c>
      <c r="U450" s="465"/>
      <c r="V450" s="28"/>
      <c r="W450" s="29"/>
      <c r="X450" s="29"/>
      <c r="Y450" s="29"/>
      <c r="Z450" s="29"/>
      <c r="AA450" s="29"/>
      <c r="AB450" s="30"/>
    </row>
    <row r="451" spans="1:33" s="4" customFormat="1" ht="21" x14ac:dyDescent="0.25">
      <c r="A451" s="2" t="str">
        <f>MatchDay!$U$6</f>
        <v>X</v>
      </c>
      <c r="B451" s="8"/>
      <c r="C451" s="3"/>
      <c r="D451" s="499" t="s">
        <v>143</v>
      </c>
      <c r="E451" s="500"/>
      <c r="F451" s="500"/>
      <c r="G451" s="500"/>
      <c r="H451" s="500"/>
      <c r="I451" s="500"/>
      <c r="J451" s="500"/>
      <c r="K451" s="501" t="s">
        <v>144</v>
      </c>
      <c r="L451" s="502"/>
      <c r="M451" s="502"/>
      <c r="N451" s="502"/>
      <c r="O451" s="503" t="str">
        <f>MatchDay!$C$2&amp;" "&amp;MatchDay!$C$3&amp;" "&amp;MatchDay!$C$4</f>
        <v>LOWER NORTH West 2</v>
      </c>
      <c r="P451" s="504"/>
      <c r="Q451" s="504"/>
      <c r="R451" s="504"/>
      <c r="S451" s="504"/>
      <c r="T451" s="504"/>
      <c r="U451" s="504"/>
      <c r="V451" s="504"/>
      <c r="W451" s="504"/>
      <c r="X451" s="504"/>
      <c r="Y451" s="504"/>
      <c r="Z451" s="504"/>
      <c r="AA451" s="504"/>
      <c r="AB451" s="505"/>
    </row>
    <row r="452" spans="1:33" s="4" customFormat="1" ht="15.75" customHeight="1" x14ac:dyDescent="0.25">
      <c r="A452" s="1" t="str">
        <f>IFERROR(IF(LEFT(MatchDay!$C$2,1)="L","L"&amp;A454,"U"&amp;A454),"")</f>
        <v>LFW03</v>
      </c>
      <c r="B452" s="10">
        <v>475</v>
      </c>
      <c r="C452" s="3"/>
      <c r="D452" s="466" t="s">
        <v>145</v>
      </c>
      <c r="E452" s="468"/>
      <c r="F452" s="467" t="str">
        <f>IFERROR(UPPER(VLOOKUP(A453,teamlookup,6,FALSE)),"")</f>
        <v/>
      </c>
      <c r="G452" s="468"/>
      <c r="H452" s="476" t="s">
        <v>149</v>
      </c>
      <c r="I452" s="480"/>
      <c r="J452" s="477"/>
      <c r="K452" s="466" t="str">
        <f>MatchDay!$C$8</f>
        <v>Macclesfield Leisure Centre</v>
      </c>
      <c r="L452" s="467"/>
      <c r="M452" s="467"/>
      <c r="N452" s="467"/>
      <c r="O452" s="467"/>
      <c r="P452" s="468"/>
      <c r="Q452" s="476" t="s">
        <v>119</v>
      </c>
      <c r="R452" s="477"/>
      <c r="S452" s="494">
        <f>MatchDay!$C$7</f>
        <v>45053</v>
      </c>
      <c r="T452" s="495"/>
      <c r="U452" s="495"/>
      <c r="V452" s="495"/>
      <c r="W452" s="495"/>
      <c r="X452" s="496"/>
      <c r="Y452" s="497" t="str">
        <f>IFERROR(IF(LEFT(A452,1)="L","",VLOOKUP(A452,EA!$A:$N,8,FALSE)),"")</f>
        <v/>
      </c>
      <c r="Z452" s="498"/>
      <c r="AA452" s="464" t="str">
        <f>IFERROR(IF(LEFT(A452,1)="L","",VLOOKUP(A452,standards,9,FALSE)),"")</f>
        <v/>
      </c>
      <c r="AB452" s="465"/>
      <c r="AC452" s="6"/>
      <c r="AD452" s="6"/>
    </row>
    <row r="453" spans="1:33" s="4" customFormat="1" ht="15.75" customHeight="1" x14ac:dyDescent="0.25">
      <c r="A453" s="5">
        <f>IFERROR(IF(A451=1,VLOOKUP(A452,judges,VLOOKUP(MatchDay!$U$2*10+MatchDay!$C$5,judgesp,5,FALSE),FALSE),VLOOKUP(Distance!A452,judges,VLOOKUP(MatchDay!$U$2*10+MatchDay!$C$5,judges2,5,FALSE),FALSE)),"")</f>
        <v>1</v>
      </c>
      <c r="B453" s="138"/>
      <c r="C453" s="3"/>
      <c r="D453" s="476" t="s">
        <v>120</v>
      </c>
      <c r="E453" s="477"/>
      <c r="F453" s="478" t="str">
        <f>IFERROR(VLOOKUP(A452,timetables,2,FALSE)&amp;" "&amp;VLOOKUP(A452,timetables,3,FALSE),"")</f>
        <v>Long Jump U13 Girls</v>
      </c>
      <c r="G453" s="479"/>
      <c r="H453" s="476" t="s">
        <v>121</v>
      </c>
      <c r="I453" s="480"/>
      <c r="J453" s="477"/>
      <c r="K453" s="481">
        <f>IFERROR(IF(A451=1,VLOOKUP(A452,Timetables!$A:$G,6,FALSE),VLOOKUP(A452,Timetables!$A:$G,7,FALSE)),"")</f>
        <v>0.60416666666666663</v>
      </c>
      <c r="L453" s="481" t="e">
        <v>#N/A</v>
      </c>
      <c r="M453" s="476" t="s">
        <v>150</v>
      </c>
      <c r="N453" s="477"/>
      <c r="O453" s="482" t="str">
        <f>IFERROR(VLOOKUP(A452,records,3,FALSE)&amp;", "&amp;VLOOKUP(A452,records,4,FALSE)&amp;", "&amp;VLOOKUP(A452,records,5,FALSE)&amp;", "&amp;VLOOKUP(A452,records,6,FALSE)&amp;", "&amp;VLOOKUP(A452,records,7,FALSE)&amp;" "&amp;VLOOKUP(A452,records,8,FALSE),"")</f>
        <v/>
      </c>
      <c r="P453" s="482"/>
      <c r="Q453" s="482"/>
      <c r="R453" s="482"/>
      <c r="S453" s="482"/>
      <c r="T453" s="482"/>
      <c r="U453" s="482"/>
      <c r="V453" s="482"/>
      <c r="W453" s="482"/>
      <c r="X453" s="482"/>
      <c r="Y453" s="482"/>
      <c r="Z453" s="482"/>
      <c r="AA453" s="482"/>
      <c r="AB453" s="483"/>
    </row>
    <row r="454" spans="1:33" s="4" customFormat="1" ht="32.1" customHeight="1" x14ac:dyDescent="0.25">
      <c r="A454" s="5" t="s">
        <v>250</v>
      </c>
      <c r="B454" s="10" t="str">
        <f>IFERROR(VLOOKUP($A454,fdistance,2,FALSE),"")</f>
        <v>T</v>
      </c>
      <c r="C454" s="10">
        <f>IFERROR(VLOOKUP($A454,fdistance,3,FALSE),"")</f>
        <v>42</v>
      </c>
      <c r="D454" s="31" t="s">
        <v>122</v>
      </c>
      <c r="E454" s="13" t="s">
        <v>123</v>
      </c>
      <c r="F454" s="13" t="s">
        <v>124</v>
      </c>
      <c r="G454" s="14" t="s">
        <v>125</v>
      </c>
      <c r="H454" s="484" t="s">
        <v>126</v>
      </c>
      <c r="I454" s="485"/>
      <c r="J454" s="485" t="s">
        <v>127</v>
      </c>
      <c r="K454" s="485"/>
      <c r="L454" s="485" t="s">
        <v>128</v>
      </c>
      <c r="M454" s="485"/>
      <c r="N454" s="485" t="s">
        <v>129</v>
      </c>
      <c r="O454" s="485"/>
      <c r="P454" s="486" t="s">
        <v>130</v>
      </c>
      <c r="Q454" s="485" t="s">
        <v>131</v>
      </c>
      <c r="R454" s="485"/>
      <c r="S454" s="485" t="s">
        <v>132</v>
      </c>
      <c r="T454" s="485"/>
      <c r="U454" s="485" t="s">
        <v>133</v>
      </c>
      <c r="V454" s="485"/>
      <c r="W454" s="488" t="s">
        <v>134</v>
      </c>
      <c r="X454" s="489"/>
      <c r="Y454" s="490" t="s">
        <v>135</v>
      </c>
      <c r="Z454" s="492" t="s">
        <v>136</v>
      </c>
      <c r="AA454" s="493"/>
      <c r="AB454" s="484"/>
    </row>
    <row r="455" spans="1:33" s="4" customFormat="1" x14ac:dyDescent="0.3">
      <c r="A455" s="121">
        <f>IFERROR(SEARCH("U17",F453),0)</f>
        <v>0</v>
      </c>
      <c r="B455" s="7" t="s">
        <v>53</v>
      </c>
      <c r="C455" s="7" t="s">
        <v>54</v>
      </c>
      <c r="D455" s="56"/>
      <c r="E455" s="56"/>
      <c r="F455" s="15"/>
      <c r="G455" s="16"/>
      <c r="H455" s="468" t="s">
        <v>137</v>
      </c>
      <c r="I455" s="469"/>
      <c r="J455" s="469" t="s">
        <v>137</v>
      </c>
      <c r="K455" s="469"/>
      <c r="L455" s="469" t="s">
        <v>137</v>
      </c>
      <c r="M455" s="469"/>
      <c r="N455" s="469" t="s">
        <v>137</v>
      </c>
      <c r="O455" s="469"/>
      <c r="P455" s="487"/>
      <c r="Q455" s="469" t="s">
        <v>137</v>
      </c>
      <c r="R455" s="469"/>
      <c r="S455" s="469" t="s">
        <v>137</v>
      </c>
      <c r="T455" s="469"/>
      <c r="U455" s="469" t="s">
        <v>137</v>
      </c>
      <c r="V455" s="469"/>
      <c r="W455" s="469" t="s">
        <v>137</v>
      </c>
      <c r="X455" s="466"/>
      <c r="Y455" s="491"/>
      <c r="Z455" s="55"/>
      <c r="AA455" s="55" t="s">
        <v>53</v>
      </c>
      <c r="AB455" s="55" t="s">
        <v>54</v>
      </c>
    </row>
    <row r="456" spans="1:33" s="4" customFormat="1" ht="16.149999999999999" customHeight="1" x14ac:dyDescent="0.35">
      <c r="A456" s="8">
        <f>IFERROR(IF(D456&gt;MatchDay!$U$2,"-",VLOOKUP(A452,timetables,MatchDay!$U$4,FALSE)),0)</f>
        <v>4</v>
      </c>
      <c r="B456" s="7">
        <f ca="1">AA456</f>
        <v>5</v>
      </c>
      <c r="C456" s="7" t="str">
        <f ca="1">AB456</f>
        <v/>
      </c>
      <c r="D456" s="56">
        <v>1</v>
      </c>
      <c r="E456" s="17">
        <f>A456</f>
        <v>4</v>
      </c>
      <c r="F456" s="319" t="str">
        <f>IFERROR(VLOOKUP($A452&amp;E456,downloads!$A$1:$E$1000,2,FALSE),"")</f>
        <v>Lara ADU-GYAMFI</v>
      </c>
      <c r="G456" s="18" t="str">
        <f t="shared" ref="G456:G471" si="140">IFERROR(VLOOKUP(E456,teamlookup,5,FALSE),"-")</f>
        <v>Macc</v>
      </c>
      <c r="H456" s="464">
        <f ca="1">IFERROR(INDIRECT(CONCATENATE("'Distance Input'!"&amp;B454&amp;C454)),"")</f>
        <v>3.52</v>
      </c>
      <c r="I456" s="465"/>
      <c r="J456" s="464">
        <v>0</v>
      </c>
      <c r="K456" s="465"/>
      <c r="L456" s="464">
        <v>0</v>
      </c>
      <c r="M456" s="465"/>
      <c r="N456" s="470">
        <f ca="1">H456</f>
        <v>3.52</v>
      </c>
      <c r="O456" s="471"/>
      <c r="P456" s="55">
        <v>0</v>
      </c>
      <c r="Q456" s="472">
        <v>0</v>
      </c>
      <c r="R456" s="472"/>
      <c r="S456" s="472">
        <v>0</v>
      </c>
      <c r="T456" s="472"/>
      <c r="U456" s="472">
        <v>0</v>
      </c>
      <c r="V456" s="472"/>
      <c r="W456" s="464">
        <f ca="1">N456</f>
        <v>3.52</v>
      </c>
      <c r="X456" s="465"/>
      <c r="Y456" s="55">
        <f ca="1">IF(OR(W456="",W456=0),0,IF(W456="X",MatchDay!$U$2+MatchDay!$U$2+1-COUNTIF(Distance!W456:W456,"X"),RANK(W456,$W456:$X471,0)))</f>
        <v>5</v>
      </c>
      <c r="Z456" s="19" t="str">
        <f ca="1">IFERROR(IF(Y456=0,0,IF(OR(VLOOKUP(AG456,E464:Y471,21,FALSE)=0,Y456&lt;=VLOOKUP(AG456,E464:Y471,21,FALSE)),"A","B")),"")</f>
        <v>A</v>
      </c>
      <c r="AA456" s="19">
        <f ca="1">IFERROR(IF(Z456="B","",RANK(AD456,AD456:AD471,1)),"")</f>
        <v>5</v>
      </c>
      <c r="AB456" s="19" t="str">
        <f ca="1">IFERROR(IF(Z456="A","",RANK(AE456,AE456:AE471,1)),"")</f>
        <v/>
      </c>
      <c r="AC456" s="8"/>
      <c r="AD456" s="9">
        <f ca="1">IF(OR(W456=0,Y456=0,Z456="B"),"",Y456)</f>
        <v>5</v>
      </c>
      <c r="AE456" s="9" t="str">
        <f ca="1">IF(OR(W456=0,Y456=0,Z456="A"),"",Y456)</f>
        <v/>
      </c>
      <c r="AF456" s="9" t="s">
        <v>138</v>
      </c>
      <c r="AG456" s="4">
        <f>IFERROR(IF(A455=0,E456*11,E456&amp;E456),"")</f>
        <v>44</v>
      </c>
    </row>
    <row r="457" spans="1:33" s="4" customFormat="1" ht="16.149999999999999" customHeight="1" x14ac:dyDescent="0.35">
      <c r="A457" s="8">
        <f>IFERROR(IF(D457&gt;MatchDay!$U$2,"-",VLOOKUP(A452,timetables,MatchDay!$U$4+1,FALSE)),0)</f>
        <v>2</v>
      </c>
      <c r="B457" s="7" t="str">
        <f t="shared" ref="B457:B471" ca="1" si="141">AA457</f>
        <v/>
      </c>
      <c r="C457" s="7">
        <f t="shared" ref="C457:C471" ca="1" si="142">AB457</f>
        <v>5</v>
      </c>
      <c r="D457" s="55">
        <v>2</v>
      </c>
      <c r="E457" s="17">
        <f t="shared" ref="E457:E471" si="143">A457</f>
        <v>2</v>
      </c>
      <c r="F457" s="319" t="str">
        <f>IFERROR(VLOOKUP($A452&amp;E457,downloads!$A$1:$E$1000,2,FALSE),"")</f>
        <v>Madaline BURKE</v>
      </c>
      <c r="G457" s="18" t="str">
        <f t="shared" si="140"/>
        <v>ECHT</v>
      </c>
      <c r="H457" s="464">
        <f ca="1">IFERROR(INDIRECT(CONCATENATE("'Distance Input'!"&amp;B454&amp;C454+1)),"")</f>
        <v>2.99</v>
      </c>
      <c r="I457" s="465"/>
      <c r="J457" s="464">
        <v>0</v>
      </c>
      <c r="K457" s="465"/>
      <c r="L457" s="464">
        <v>0</v>
      </c>
      <c r="M457" s="465"/>
      <c r="N457" s="470">
        <f t="shared" ref="N457:N471" ca="1" si="144">H457</f>
        <v>2.99</v>
      </c>
      <c r="O457" s="471"/>
      <c r="P457" s="55">
        <v>0</v>
      </c>
      <c r="Q457" s="472">
        <v>0</v>
      </c>
      <c r="R457" s="472"/>
      <c r="S457" s="472">
        <v>0</v>
      </c>
      <c r="T457" s="472"/>
      <c r="U457" s="472">
        <v>0</v>
      </c>
      <c r="V457" s="472"/>
      <c r="W457" s="464">
        <f t="shared" ref="W457:W471" ca="1" si="145">N457</f>
        <v>2.99</v>
      </c>
      <c r="X457" s="465"/>
      <c r="Y457" s="55">
        <f ca="1">IF(OR(W457="",W457=0),0,IF(W457="X",MatchDay!$U$2+MatchDay!$U$2+1-COUNTIF(Distance!W456:W457,"X"),RANK(W457,$W456:$X471,0)))</f>
        <v>12</v>
      </c>
      <c r="Z457" s="19" t="str">
        <f ca="1">IFERROR(IF(Y457=0,0,IF(OR(VLOOKUP(AG457,E464:Y471,21,FALSE)=0,Y457&lt;=VLOOKUP(AG457,E464:Y471,21,FALSE)),"A","B")),"")</f>
        <v>B</v>
      </c>
      <c r="AA457" s="19" t="str">
        <f ca="1">IFERROR(IF(Z457="B","",RANK(AD457,AD456:AD471,1)),"")</f>
        <v/>
      </c>
      <c r="AB457" s="19">
        <f ca="1">IFERROR(IF(Z457="A","",RANK(AE457,AE456:AE471,1)),"")</f>
        <v>5</v>
      </c>
      <c r="AC457" s="8"/>
      <c r="AD457" s="9" t="str">
        <f t="shared" ref="AD457:AD471" ca="1" si="146">IF(OR(W457=0,Y457=0,Z457="B"),"",Y457)</f>
        <v/>
      </c>
      <c r="AE457" s="9">
        <f t="shared" ref="AE457:AE471" ca="1" si="147">IF(OR(W457=0,Y457=0,Z457="A"),"",Y457)</f>
        <v>12</v>
      </c>
      <c r="AF457" s="9" t="s">
        <v>138</v>
      </c>
      <c r="AG457" s="4">
        <f>IFERROR(IF(A455=0,E457*11,E457&amp;E457),"")</f>
        <v>22</v>
      </c>
    </row>
    <row r="458" spans="1:33" s="4" customFormat="1" ht="16.149999999999999" customHeight="1" x14ac:dyDescent="0.35">
      <c r="A458" s="8">
        <f>IFERROR(IF(D458&gt;MatchDay!$U$2,"-",VLOOKUP(A452,timetables,MatchDay!$U$4+2,FALSE)),0)</f>
        <v>3</v>
      </c>
      <c r="B458" s="7">
        <f t="shared" ca="1" si="141"/>
        <v>2</v>
      </c>
      <c r="C458" s="7" t="str">
        <f t="shared" ca="1" si="142"/>
        <v/>
      </c>
      <c r="D458" s="55">
        <v>3</v>
      </c>
      <c r="E458" s="17">
        <f t="shared" si="143"/>
        <v>3</v>
      </c>
      <c r="F458" s="319" t="str">
        <f>IFERROR(VLOOKUP($A452&amp;E458,downloads!$A$1:$E$1000,2,FALSE),"")</f>
        <v>Ava BROOMES</v>
      </c>
      <c r="G458" s="18" t="str">
        <f t="shared" si="140"/>
        <v>Leigh</v>
      </c>
      <c r="H458" s="464">
        <f ca="1">IFERROR(INDIRECT(CONCATENATE("'Distance Input'!"&amp;B454&amp;C454+2)),"")</f>
        <v>4.0199999999999996</v>
      </c>
      <c r="I458" s="465"/>
      <c r="J458" s="464">
        <v>0</v>
      </c>
      <c r="K458" s="465"/>
      <c r="L458" s="464">
        <v>0</v>
      </c>
      <c r="M458" s="465"/>
      <c r="N458" s="470">
        <f t="shared" ca="1" si="144"/>
        <v>4.0199999999999996</v>
      </c>
      <c r="O458" s="471"/>
      <c r="P458" s="55">
        <v>0</v>
      </c>
      <c r="Q458" s="472">
        <v>0</v>
      </c>
      <c r="R458" s="472"/>
      <c r="S458" s="472">
        <v>0</v>
      </c>
      <c r="T458" s="472"/>
      <c r="U458" s="472">
        <v>0</v>
      </c>
      <c r="V458" s="472"/>
      <c r="W458" s="464">
        <f t="shared" ca="1" si="145"/>
        <v>4.0199999999999996</v>
      </c>
      <c r="X458" s="465"/>
      <c r="Y458" s="55">
        <f ca="1">IF(OR(W458="",W458=0),0,IF(W458="X",MatchDay!$U$2+MatchDay!$U$2+1-COUNTIF(Distance!W456:W458,"X"),RANK(W458,$W456:$X471,0)))</f>
        <v>2</v>
      </c>
      <c r="Z458" s="19" t="str">
        <f ca="1">IFERROR(IF(Y458=0,0,IF(OR(VLOOKUP(AG458,E464:Y471,21,FALSE)=0,Y458&lt;=VLOOKUP(AG458,E464:Y471,21,FALSE)),"A","B")),"")</f>
        <v>A</v>
      </c>
      <c r="AA458" s="19">
        <f ca="1">IFERROR(IF(Z458="B","",RANK(AD458,AD456:AD471,1)),"")</f>
        <v>2</v>
      </c>
      <c r="AB458" s="19" t="str">
        <f ca="1">IFERROR(IF(Z458="A","",RANK(AE458,AE456:AE471,1)),"")</f>
        <v/>
      </c>
      <c r="AD458" s="9">
        <f t="shared" ca="1" si="146"/>
        <v>2</v>
      </c>
      <c r="AE458" s="9" t="str">
        <f t="shared" ca="1" si="147"/>
        <v/>
      </c>
      <c r="AF458" s="9" t="s">
        <v>138</v>
      </c>
      <c r="AG458" s="4">
        <f>IFERROR(IF(A455=0,E458*11,E458&amp;E458),"")</f>
        <v>33</v>
      </c>
    </row>
    <row r="459" spans="1:33" s="4" customFormat="1" ht="16.149999999999999" customHeight="1" x14ac:dyDescent="0.35">
      <c r="A459" s="8">
        <f>IFERROR(IF(D459&gt;MatchDay!$U$2,"-",VLOOKUP(A452,timetables,MatchDay!$U$4+3,FALSE)),0)</f>
        <v>1</v>
      </c>
      <c r="B459" s="7">
        <f t="shared" ca="1" si="141"/>
        <v>1</v>
      </c>
      <c r="C459" s="7" t="str">
        <f t="shared" ca="1" si="142"/>
        <v/>
      </c>
      <c r="D459" s="55">
        <v>4</v>
      </c>
      <c r="E459" s="17">
        <f t="shared" si="143"/>
        <v>1</v>
      </c>
      <c r="F459" s="319" t="str">
        <f>IFERROR(VLOOKUP($A452&amp;E459,downloads!$A$1:$E$1000,2,FALSE),"")</f>
        <v>Lucy HOWARTH</v>
      </c>
      <c r="G459" s="18" t="str">
        <f t="shared" si="140"/>
        <v>C&amp;N</v>
      </c>
      <c r="H459" s="464">
        <f ca="1">IFERROR(INDIRECT(CONCATENATE("'Distance Input'!"&amp;B454&amp;C454+3)),"")</f>
        <v>4.13</v>
      </c>
      <c r="I459" s="465"/>
      <c r="J459" s="464">
        <v>0</v>
      </c>
      <c r="K459" s="465"/>
      <c r="L459" s="464">
        <v>0</v>
      </c>
      <c r="M459" s="465"/>
      <c r="N459" s="470">
        <f t="shared" ca="1" si="144"/>
        <v>4.13</v>
      </c>
      <c r="O459" s="471"/>
      <c r="P459" s="55">
        <v>0</v>
      </c>
      <c r="Q459" s="472">
        <v>0</v>
      </c>
      <c r="R459" s="472"/>
      <c r="S459" s="472">
        <v>0</v>
      </c>
      <c r="T459" s="472"/>
      <c r="U459" s="472">
        <v>0</v>
      </c>
      <c r="V459" s="472"/>
      <c r="W459" s="464">
        <f t="shared" ca="1" si="145"/>
        <v>4.13</v>
      </c>
      <c r="X459" s="465"/>
      <c r="Y459" s="55">
        <f ca="1">IF(OR(W459="",W459=0),0,IF(W459="X",MatchDay!$U$2+MatchDay!$U$2+1-COUNTIF(Distance!W456:W459,"X"),RANK(W459,$W456:$X471,0)))</f>
        <v>1</v>
      </c>
      <c r="Z459" s="19" t="str">
        <f ca="1">IFERROR(IF(Y459=0,0,IF(OR(VLOOKUP(AG459,E464:Y471,21,FALSE)=0,Y459&lt;=VLOOKUP(AG459,E464:Y471,21,FALSE)),"A","B")),"")</f>
        <v>A</v>
      </c>
      <c r="AA459" s="19">
        <f ca="1">IFERROR(IF(Z459="B","",RANK(AD459,AD456:AD471,1)),"")</f>
        <v>1</v>
      </c>
      <c r="AB459" s="19" t="str">
        <f ca="1">IFERROR(IF(Z459="A","",RANK(AE459,AE456:AE471,1)),"")</f>
        <v/>
      </c>
      <c r="AD459" s="9">
        <f t="shared" ca="1" si="146"/>
        <v>1</v>
      </c>
      <c r="AE459" s="9" t="str">
        <f t="shared" ca="1" si="147"/>
        <v/>
      </c>
      <c r="AF459" s="9" t="s">
        <v>138</v>
      </c>
      <c r="AG459" s="4">
        <f>IFERROR(IF(A455=0,E459*11,E459&amp;E459),"")</f>
        <v>11</v>
      </c>
    </row>
    <row r="460" spans="1:33" s="4" customFormat="1" ht="16.149999999999999" customHeight="1" x14ac:dyDescent="0.35">
      <c r="A460" s="8">
        <f>IFERROR(IF(D460&gt;MatchDay!$U$2,"-",VLOOKUP(A452,timetables,MatchDay!$U$4+4,FALSE)),0)</f>
        <v>7</v>
      </c>
      <c r="B460" s="7">
        <f t="shared" ca="1" si="141"/>
        <v>6</v>
      </c>
      <c r="C460" s="7" t="str">
        <f t="shared" ca="1" si="142"/>
        <v/>
      </c>
      <c r="D460" s="55">
        <v>5</v>
      </c>
      <c r="E460" s="17">
        <f t="shared" si="143"/>
        <v>7</v>
      </c>
      <c r="F460" s="319" t="str">
        <f>IFERROR(VLOOKUP($A452&amp;E460,downloads!$A$1:$E$1000,2,FALSE),"")</f>
        <v>Elody HILL</v>
      </c>
      <c r="G460" s="18" t="str">
        <f t="shared" si="140"/>
        <v>Wigan</v>
      </c>
      <c r="H460" s="464">
        <f ca="1">IFERROR(INDIRECT(CONCATENATE("'Distance Input'!"&amp;B454&amp;C454+4)),"")</f>
        <v>3.44</v>
      </c>
      <c r="I460" s="465"/>
      <c r="J460" s="464">
        <v>0</v>
      </c>
      <c r="K460" s="465"/>
      <c r="L460" s="464">
        <v>0</v>
      </c>
      <c r="M460" s="465"/>
      <c r="N460" s="470">
        <f t="shared" ca="1" si="144"/>
        <v>3.44</v>
      </c>
      <c r="O460" s="471"/>
      <c r="P460" s="55">
        <v>0</v>
      </c>
      <c r="Q460" s="472">
        <v>0</v>
      </c>
      <c r="R460" s="472"/>
      <c r="S460" s="472">
        <v>0</v>
      </c>
      <c r="T460" s="472"/>
      <c r="U460" s="472">
        <v>0</v>
      </c>
      <c r="V460" s="472"/>
      <c r="W460" s="464">
        <f t="shared" ca="1" si="145"/>
        <v>3.44</v>
      </c>
      <c r="X460" s="465"/>
      <c r="Y460" s="55">
        <f ca="1">IF(OR(W460="",W460=0),0,IF(W460="X",MatchDay!$U$2+MatchDay!$U$2+1-COUNTIF(Distance!W456:W460,"X"),RANK(W460,$W456:$X471,0)))</f>
        <v>7</v>
      </c>
      <c r="Z460" s="19" t="str">
        <f ca="1">IFERROR(IF(Y460=0,0,IF(OR(VLOOKUP(AG460,E464:Y471,21,FALSE)=0,Y460&lt;=VLOOKUP(AG460,E464:Y471,21,FALSE)),"A","B")),"")</f>
        <v>A</v>
      </c>
      <c r="AA460" s="19">
        <f ca="1">IFERROR(IF(Z460="B","",RANK(AD460,AD456:AD471,1)),"")</f>
        <v>6</v>
      </c>
      <c r="AB460" s="19" t="str">
        <f ca="1">IFERROR(IF(Z460="A","",RANK(AE460,AE456:AE471,1)),"")</f>
        <v/>
      </c>
      <c r="AD460" s="9">
        <f t="shared" ca="1" si="146"/>
        <v>7</v>
      </c>
      <c r="AE460" s="9" t="str">
        <f t="shared" ca="1" si="147"/>
        <v/>
      </c>
      <c r="AF460" s="9" t="s">
        <v>138</v>
      </c>
      <c r="AG460" s="4">
        <f>IFERROR(IF(A455=0,E460*11,E460&amp;E460),"")</f>
        <v>77</v>
      </c>
    </row>
    <row r="461" spans="1:33" s="4" customFormat="1" ht="16.149999999999999" customHeight="1" x14ac:dyDescent="0.35">
      <c r="A461" s="8">
        <f>IFERROR(IF(D461&gt;MatchDay!$U$2,"-",VLOOKUP(A452,timetables,MatchDay!$U$4+5,FALSE)),0)</f>
        <v>5</v>
      </c>
      <c r="B461" s="7">
        <f t="shared" ca="1" si="141"/>
        <v>4</v>
      </c>
      <c r="C461" s="7" t="str">
        <f t="shared" ca="1" si="142"/>
        <v/>
      </c>
      <c r="D461" s="55">
        <v>6</v>
      </c>
      <c r="E461" s="17">
        <f t="shared" si="143"/>
        <v>5</v>
      </c>
      <c r="F461" s="319" t="str">
        <f>IFERROR(VLOOKUP($A452&amp;E461,downloads!$A$1:$E$1000,2,FALSE),"")</f>
        <v>Holly WORTH</v>
      </c>
      <c r="G461" s="18" t="str">
        <f t="shared" si="140"/>
        <v>Menai</v>
      </c>
      <c r="H461" s="464">
        <f ca="1">IFERROR(INDIRECT(CONCATENATE("'Distance Input'!"&amp;B454&amp;C454+5)),"")</f>
        <v>3.79</v>
      </c>
      <c r="I461" s="465"/>
      <c r="J461" s="464">
        <v>0</v>
      </c>
      <c r="K461" s="465"/>
      <c r="L461" s="464">
        <v>0</v>
      </c>
      <c r="M461" s="465"/>
      <c r="N461" s="470">
        <f t="shared" ca="1" si="144"/>
        <v>3.79</v>
      </c>
      <c r="O461" s="471"/>
      <c r="P461" s="55">
        <v>0</v>
      </c>
      <c r="Q461" s="472">
        <v>0</v>
      </c>
      <c r="R461" s="472"/>
      <c r="S461" s="472">
        <v>0</v>
      </c>
      <c r="T461" s="472"/>
      <c r="U461" s="472">
        <v>0</v>
      </c>
      <c r="V461" s="472"/>
      <c r="W461" s="464">
        <f t="shared" ca="1" si="145"/>
        <v>3.79</v>
      </c>
      <c r="X461" s="465"/>
      <c r="Y461" s="55">
        <f ca="1">IF(OR(W461="",W461=0),0,IF(W461="X",MatchDay!$U$2+MatchDay!$U$2+1-COUNTIF(Distance!W456:W461,"X"),RANK(W461,$W456:$X471,0)))</f>
        <v>4</v>
      </c>
      <c r="Z461" s="19" t="str">
        <f ca="1">IFERROR(IF(Y461=0,0,IF(OR(VLOOKUP(AG461,E464:Y471,21,FALSE)=0,Y461&lt;=VLOOKUP(AG461,E464:Y471,21,FALSE)),"A","B")),"")</f>
        <v>A</v>
      </c>
      <c r="AA461" s="19">
        <f ca="1">IFERROR(IF(Z461="B","",RANK(AD461,AD456:AD471,1)),"")</f>
        <v>4</v>
      </c>
      <c r="AB461" s="19" t="str">
        <f ca="1">IFERROR(IF(Z461="A","",RANK(AE461,AE456:AE471,1)),"")</f>
        <v/>
      </c>
      <c r="AD461" s="9">
        <f t="shared" ca="1" si="146"/>
        <v>4</v>
      </c>
      <c r="AE461" s="9" t="str">
        <f t="shared" ca="1" si="147"/>
        <v/>
      </c>
      <c r="AF461" s="9" t="s">
        <v>138</v>
      </c>
      <c r="AG461" s="4">
        <f>IFERROR(IF(A455=0,E461*11,E461&amp;E461),"")</f>
        <v>55</v>
      </c>
    </row>
    <row r="462" spans="1:33" s="4" customFormat="1" ht="16.149999999999999" customHeight="1" x14ac:dyDescent="0.35">
      <c r="A462" s="8">
        <f>IFERROR(IF(D462&gt;MatchDay!$U$2,"-",VLOOKUP(A452,timetables,MatchDay!$U$4+6,FALSE)),0)</f>
        <v>6</v>
      </c>
      <c r="B462" s="7">
        <f t="shared" ca="1" si="141"/>
        <v>3</v>
      </c>
      <c r="C462" s="7" t="str">
        <f t="shared" ca="1" si="142"/>
        <v/>
      </c>
      <c r="D462" s="55">
        <v>7</v>
      </c>
      <c r="E462" s="17">
        <f t="shared" si="143"/>
        <v>6</v>
      </c>
      <c r="F462" s="319" t="str">
        <f>IFERROR(VLOOKUP($A452&amp;E462,downloads!$A$1:$E$1000,2,FALSE),"")</f>
        <v>Emily WALTON</v>
      </c>
      <c r="G462" s="18" t="str">
        <f t="shared" si="140"/>
        <v>Stock</v>
      </c>
      <c r="H462" s="464">
        <f ca="1">IFERROR(INDIRECT(CONCATENATE("'Distance Input'!"&amp;B454&amp;C454+6)),"")</f>
        <v>3.84</v>
      </c>
      <c r="I462" s="465"/>
      <c r="J462" s="464">
        <v>0</v>
      </c>
      <c r="K462" s="465"/>
      <c r="L462" s="464">
        <v>0</v>
      </c>
      <c r="M462" s="465"/>
      <c r="N462" s="470">
        <f t="shared" ca="1" si="144"/>
        <v>3.84</v>
      </c>
      <c r="O462" s="471"/>
      <c r="P462" s="55">
        <v>0</v>
      </c>
      <c r="Q462" s="472">
        <v>0</v>
      </c>
      <c r="R462" s="472"/>
      <c r="S462" s="472">
        <v>0</v>
      </c>
      <c r="T462" s="472"/>
      <c r="U462" s="472">
        <v>0</v>
      </c>
      <c r="V462" s="472"/>
      <c r="W462" s="464">
        <f t="shared" ca="1" si="145"/>
        <v>3.84</v>
      </c>
      <c r="X462" s="465"/>
      <c r="Y462" s="55">
        <f ca="1">IF(OR(W462="",W462=0),0,IF(W462="X",MatchDay!$U$2+MatchDay!$U$2+1-COUNTIF(Distance!W456:W462,"X"),RANK(W462,$W456:$X471,0)))</f>
        <v>3</v>
      </c>
      <c r="Z462" s="19" t="str">
        <f ca="1">IFERROR(IF(Y462=0,0,IF(OR(VLOOKUP(AG462,E464:Y471,21,FALSE)=0,Y462&lt;=VLOOKUP(AG462,E464:Y471,21,FALSE)),"A","B")),"")</f>
        <v>A</v>
      </c>
      <c r="AA462" s="19">
        <f ca="1">IFERROR(IF(Z462="B","",RANK(AD462,AD456:AD471,1)),"")</f>
        <v>3</v>
      </c>
      <c r="AB462" s="19" t="str">
        <f ca="1">IFERROR(IF(Z462="A","",RANK(AE462,AE456:AE471,1)),"")</f>
        <v/>
      </c>
      <c r="AD462" s="9">
        <f t="shared" ca="1" si="146"/>
        <v>3</v>
      </c>
      <c r="AE462" s="9" t="str">
        <f t="shared" ca="1" si="147"/>
        <v/>
      </c>
      <c r="AF462" s="9" t="s">
        <v>138</v>
      </c>
      <c r="AG462" s="4">
        <f>IFERROR(IF(A455=0,E462*11,E462&amp;E462),"")</f>
        <v>66</v>
      </c>
    </row>
    <row r="463" spans="1:33" s="4" customFormat="1" ht="16.149999999999999" customHeight="1" x14ac:dyDescent="0.35">
      <c r="A463" s="8" t="str">
        <f>IFERROR(IF(D463&gt;MatchDay!$U$2,"-",VLOOKUP(A452,timetables,MatchDay!$U$4+7,FALSE)),0)</f>
        <v>-</v>
      </c>
      <c r="B463" s="7" t="str">
        <f t="shared" ca="1" si="141"/>
        <v/>
      </c>
      <c r="C463" s="7" t="str">
        <f t="shared" ca="1" si="142"/>
        <v/>
      </c>
      <c r="D463" s="55">
        <v>8</v>
      </c>
      <c r="E463" s="17" t="str">
        <f t="shared" si="143"/>
        <v>-</v>
      </c>
      <c r="F463" s="319" t="str">
        <f>IFERROR(VLOOKUP($A452&amp;E463,downloads!$A$1:$E$1000,2,FALSE),"")</f>
        <v/>
      </c>
      <c r="G463" s="18" t="str">
        <f t="shared" si="140"/>
        <v/>
      </c>
      <c r="H463" s="464">
        <f ca="1">IFERROR(INDIRECT(CONCATENATE("'Distance Input'!"&amp;B454&amp;C454+7)),"")</f>
        <v>0</v>
      </c>
      <c r="I463" s="465"/>
      <c r="J463" s="464">
        <v>0</v>
      </c>
      <c r="K463" s="465"/>
      <c r="L463" s="464">
        <v>0</v>
      </c>
      <c r="M463" s="465"/>
      <c r="N463" s="470">
        <f t="shared" ca="1" si="144"/>
        <v>0</v>
      </c>
      <c r="O463" s="471"/>
      <c r="P463" s="55">
        <v>0</v>
      </c>
      <c r="Q463" s="472">
        <v>0</v>
      </c>
      <c r="R463" s="472"/>
      <c r="S463" s="472">
        <v>0</v>
      </c>
      <c r="T463" s="472"/>
      <c r="U463" s="472">
        <v>0</v>
      </c>
      <c r="V463" s="472"/>
      <c r="W463" s="464">
        <f t="shared" ca="1" si="145"/>
        <v>0</v>
      </c>
      <c r="X463" s="465"/>
      <c r="Y463" s="55">
        <f ca="1">IF(OR(W463="",W463=0),0,IF(W463="X",MatchDay!$U$2+MatchDay!$U$2+1-COUNTIF(Distance!W456:W463,"X"),RANK(W463,$W456:$X471,0)))</f>
        <v>0</v>
      </c>
      <c r="Z463" s="19">
        <f ca="1">IFERROR(IF(Y463=0,0,IF(OR(VLOOKUP(AG463,E464:Y471,21,FALSE)=0,Y463&lt;=VLOOKUP(AG463,E464:Y471,21,FALSE)),"A","B")),"")</f>
        <v>0</v>
      </c>
      <c r="AA463" s="19" t="str">
        <f ca="1">IFERROR(IF(Z463="B","",RANK(AD463,AD456:AD471,1)),"")</f>
        <v/>
      </c>
      <c r="AB463" s="19" t="str">
        <f ca="1">IFERROR(IF(Z463="A","",RANK(AE463,AE456:AE471,1)),"")</f>
        <v/>
      </c>
      <c r="AD463" s="9" t="str">
        <f t="shared" ca="1" si="146"/>
        <v/>
      </c>
      <c r="AE463" s="9" t="str">
        <f t="shared" ca="1" si="147"/>
        <v/>
      </c>
      <c r="AF463" s="9" t="s">
        <v>138</v>
      </c>
      <c r="AG463" s="4" t="str">
        <f>IFERROR(IF(A455=0,E463*11,E463&amp;E463),"")</f>
        <v/>
      </c>
    </row>
    <row r="464" spans="1:33" s="4" customFormat="1" ht="16.149999999999999" customHeight="1" x14ac:dyDescent="0.35">
      <c r="A464" s="8">
        <f>IFERROR(IF(A455=0,A456*11,A456&amp;A456),"-")</f>
        <v>44</v>
      </c>
      <c r="B464" s="7" t="str">
        <f t="shared" ca="1" si="141"/>
        <v/>
      </c>
      <c r="C464" s="7">
        <f t="shared" ca="1" si="142"/>
        <v>4</v>
      </c>
      <c r="D464" s="55">
        <v>9</v>
      </c>
      <c r="E464" s="17">
        <f t="shared" si="143"/>
        <v>44</v>
      </c>
      <c r="F464" s="319" t="str">
        <f>IFERROR(VLOOKUP($A452&amp;E464,downloads!$A$1:$E$1000,2,FALSE),"")</f>
        <v>Iona FISHER</v>
      </c>
      <c r="G464" s="18" t="str">
        <f t="shared" si="140"/>
        <v>Macc</v>
      </c>
      <c r="H464" s="464">
        <f ca="1">IFERROR(INDIRECT(CONCATENATE("'Distance Input'!"&amp;B454&amp;C454+8)),"")</f>
        <v>3.03</v>
      </c>
      <c r="I464" s="465"/>
      <c r="J464" s="464">
        <v>0</v>
      </c>
      <c r="K464" s="465"/>
      <c r="L464" s="464">
        <v>0</v>
      </c>
      <c r="M464" s="465"/>
      <c r="N464" s="470">
        <f t="shared" ca="1" si="144"/>
        <v>3.03</v>
      </c>
      <c r="O464" s="471"/>
      <c r="P464" s="55">
        <v>0</v>
      </c>
      <c r="Q464" s="472">
        <v>0</v>
      </c>
      <c r="R464" s="472"/>
      <c r="S464" s="472">
        <v>0</v>
      </c>
      <c r="T464" s="472"/>
      <c r="U464" s="472">
        <v>0</v>
      </c>
      <c r="V464" s="472"/>
      <c r="W464" s="464">
        <f t="shared" ca="1" si="145"/>
        <v>3.03</v>
      </c>
      <c r="X464" s="465"/>
      <c r="Y464" s="55">
        <f ca="1">IF(OR(W464="",W464=0),0,IF(W464="X",MatchDay!$U$2+MatchDay!$U$2+1-COUNTIF(Distance!W456:W464,"X"),RANK(W464,$W456:$X471,0)))</f>
        <v>11</v>
      </c>
      <c r="Z464" s="19" t="str">
        <f ca="1">IFERROR(IF(Y464=0,0,IF(VLOOKUP(AG464,E456:Y463,21,FALSE)=0,"A",IF(Y464&gt;=VLOOKUP(AG464,E456:Y463,21,FALSE),"B","A"))),"")</f>
        <v>B</v>
      </c>
      <c r="AA464" s="19" t="str">
        <f ca="1">IFERROR(IF(Z464="B","",RANK(AD464,AD456:AD471,1)),"")</f>
        <v/>
      </c>
      <c r="AB464" s="19">
        <f ca="1">IFERROR(IF(Z464="A","",RANK(AE464,AE456:AE471,1)),"")</f>
        <v>4</v>
      </c>
      <c r="AD464" s="9" t="str">
        <f t="shared" ca="1" si="146"/>
        <v/>
      </c>
      <c r="AE464" s="9">
        <f t="shared" ca="1" si="147"/>
        <v>11</v>
      </c>
      <c r="AF464" s="9" t="s">
        <v>138</v>
      </c>
      <c r="AG464" s="4">
        <f>IFERROR(IF(A455=0,E464/11,LEFT(E464,1)),"")</f>
        <v>4</v>
      </c>
    </row>
    <row r="465" spans="1:33" s="4" customFormat="1" ht="16.149999999999999" customHeight="1" x14ac:dyDescent="0.35">
      <c r="A465" s="8">
        <f>IFERROR(IF(A455=0,A457*11,A457&amp;A457),"-")</f>
        <v>22</v>
      </c>
      <c r="B465" s="7">
        <f t="shared" ca="1" si="141"/>
        <v>7</v>
      </c>
      <c r="C465" s="7" t="str">
        <f t="shared" ca="1" si="142"/>
        <v/>
      </c>
      <c r="D465" s="55">
        <v>10</v>
      </c>
      <c r="E465" s="17">
        <f t="shared" si="143"/>
        <v>22</v>
      </c>
      <c r="F465" s="319" t="str">
        <f>IFERROR(VLOOKUP($A452&amp;E465,downloads!$A$1:$E$1000,2,FALSE),"")</f>
        <v>Kyla MILLINGTON</v>
      </c>
      <c r="G465" s="18" t="str">
        <f t="shared" si="140"/>
        <v>ECHT</v>
      </c>
      <c r="H465" s="464">
        <f ca="1">IFERROR(INDIRECT(CONCATENATE("'Distance Input'!"&amp;B454&amp;C454+9)),"")</f>
        <v>3.13</v>
      </c>
      <c r="I465" s="465"/>
      <c r="J465" s="464">
        <v>0</v>
      </c>
      <c r="K465" s="465"/>
      <c r="L465" s="464">
        <v>0</v>
      </c>
      <c r="M465" s="465"/>
      <c r="N465" s="470">
        <f t="shared" ca="1" si="144"/>
        <v>3.13</v>
      </c>
      <c r="O465" s="471"/>
      <c r="P465" s="55">
        <v>0</v>
      </c>
      <c r="Q465" s="472">
        <v>0</v>
      </c>
      <c r="R465" s="472"/>
      <c r="S465" s="472">
        <v>0</v>
      </c>
      <c r="T465" s="472"/>
      <c r="U465" s="472">
        <v>0</v>
      </c>
      <c r="V465" s="472"/>
      <c r="W465" s="464">
        <f t="shared" ca="1" si="145"/>
        <v>3.13</v>
      </c>
      <c r="X465" s="465"/>
      <c r="Y465" s="55">
        <f ca="1">IF(OR(W465="",W465=0),0,IF(W465="X",MatchDay!$U$2+MatchDay!$U$2+1-COUNTIF(Distance!W456:W465,"X"),RANK(W465,$W456:$X471,0)))</f>
        <v>9</v>
      </c>
      <c r="Z465" s="19" t="str">
        <f ca="1">IFERROR(IF(Y465=0,0,IF(VLOOKUP(AG465,E456:Y463,21,FALSE)=0,"A",IF(Y465&gt;=VLOOKUP(AG465,E456:Y463,21,FALSE),"B","A"))),"")</f>
        <v>A</v>
      </c>
      <c r="AA465" s="19">
        <f ca="1">IFERROR(IF(Z465="B","",RANK(AD465,AD456:AD471,1)),"")</f>
        <v>7</v>
      </c>
      <c r="AB465" s="19" t="str">
        <f ca="1">IFERROR(IF(Z465="A","",RANK(AE465,AE456:AE471,1)),"")</f>
        <v/>
      </c>
      <c r="AD465" s="9">
        <f t="shared" ca="1" si="146"/>
        <v>9</v>
      </c>
      <c r="AE465" s="9" t="str">
        <f t="shared" ca="1" si="147"/>
        <v/>
      </c>
      <c r="AF465" s="9" t="s">
        <v>138</v>
      </c>
      <c r="AG465" s="4">
        <f>IFERROR(IF(A455=0,E465/11,LEFT(E465,1)),"")</f>
        <v>2</v>
      </c>
    </row>
    <row r="466" spans="1:33" s="4" customFormat="1" ht="16.149999999999999" customHeight="1" x14ac:dyDescent="0.35">
      <c r="A466" s="8">
        <f>IFERROR(IF(A455=0,A458*11,A458&amp;A458),"-")</f>
        <v>33</v>
      </c>
      <c r="B466" s="7" t="str">
        <f t="shared" ca="1" si="141"/>
        <v/>
      </c>
      <c r="C466" s="7">
        <f t="shared" ca="1" si="142"/>
        <v>3</v>
      </c>
      <c r="D466" s="55">
        <v>11</v>
      </c>
      <c r="E466" s="17">
        <f t="shared" si="143"/>
        <v>33</v>
      </c>
      <c r="F466" s="319" t="str">
        <f>IFERROR(VLOOKUP($A452&amp;E466,downloads!$A$1:$E$1000,2,FALSE),"")</f>
        <v>Isabella GORMAN</v>
      </c>
      <c r="G466" s="18" t="str">
        <f t="shared" si="140"/>
        <v>Leigh</v>
      </c>
      <c r="H466" s="464">
        <f ca="1">IFERROR(INDIRECT(CONCATENATE("'Distance Input'!"&amp;B454&amp;C454+10)),"")</f>
        <v>3.1</v>
      </c>
      <c r="I466" s="465"/>
      <c r="J466" s="464">
        <v>0</v>
      </c>
      <c r="K466" s="465"/>
      <c r="L466" s="464">
        <v>0</v>
      </c>
      <c r="M466" s="465"/>
      <c r="N466" s="470">
        <f t="shared" ca="1" si="144"/>
        <v>3.1</v>
      </c>
      <c r="O466" s="471"/>
      <c r="P466" s="55">
        <v>0</v>
      </c>
      <c r="Q466" s="472">
        <v>0</v>
      </c>
      <c r="R466" s="472"/>
      <c r="S466" s="472">
        <v>0</v>
      </c>
      <c r="T466" s="472"/>
      <c r="U466" s="472">
        <v>0</v>
      </c>
      <c r="V466" s="472"/>
      <c r="W466" s="464">
        <f t="shared" ca="1" si="145"/>
        <v>3.1</v>
      </c>
      <c r="X466" s="465"/>
      <c r="Y466" s="55">
        <f ca="1">IF(OR(W466="",W466=0),0,IF(W466="X",MatchDay!$U$2+MatchDay!$U$2+1-COUNTIF(Distance!W456:W466,"X"),RANK(W466,$W456:$X471,0)))</f>
        <v>10</v>
      </c>
      <c r="Z466" s="19" t="str">
        <f ca="1">IFERROR(IF(Y466=0,0,IF(VLOOKUP(AG466,E456:Y463,21,FALSE)=0,"A",IF(Y466&gt;=VLOOKUP(AG466,E456:Y463,21,FALSE),"B","A"))),"")</f>
        <v>B</v>
      </c>
      <c r="AA466" s="19" t="str">
        <f ca="1">IFERROR(IF(Z466="B","",RANK(AD466,AD456:AD471,1)),"")</f>
        <v/>
      </c>
      <c r="AB466" s="19">
        <f ca="1">IFERROR(IF(Z466="A","",RANK(AE466,AE456:AE471,1)),"")</f>
        <v>3</v>
      </c>
      <c r="AD466" s="9" t="str">
        <f t="shared" ca="1" si="146"/>
        <v/>
      </c>
      <c r="AE466" s="9">
        <f t="shared" ca="1" si="147"/>
        <v>10</v>
      </c>
      <c r="AF466" s="9" t="s">
        <v>138</v>
      </c>
      <c r="AG466" s="4">
        <f>IFERROR(IF(A455=0,E466/11,LEFT(E466,1)),"")</f>
        <v>3</v>
      </c>
    </row>
    <row r="467" spans="1:33" s="4" customFormat="1" ht="16.149999999999999" customHeight="1" x14ac:dyDescent="0.35">
      <c r="A467" s="8">
        <f>IFERROR(IF(A455=0,A459*11,A459&amp;A459),"-")</f>
        <v>11</v>
      </c>
      <c r="B467" s="7" t="str">
        <f t="shared" ca="1" si="141"/>
        <v/>
      </c>
      <c r="C467" s="7">
        <f t="shared" ca="1" si="142"/>
        <v>1</v>
      </c>
      <c r="D467" s="55">
        <v>12</v>
      </c>
      <c r="E467" s="17">
        <f t="shared" si="143"/>
        <v>11</v>
      </c>
      <c r="F467" s="319" t="str">
        <f>IFERROR(VLOOKUP($A452&amp;E467,downloads!$A$1:$E$1000,2,FALSE),"")</f>
        <v>Bethany HALL</v>
      </c>
      <c r="G467" s="18" t="str">
        <f t="shared" si="140"/>
        <v>C&amp;N</v>
      </c>
      <c r="H467" s="464">
        <f ca="1">IFERROR(INDIRECT(CONCATENATE("'Distance Input'!"&amp;B454&amp;C454+11)),"")</f>
        <v>3.5</v>
      </c>
      <c r="I467" s="465"/>
      <c r="J467" s="464">
        <v>0</v>
      </c>
      <c r="K467" s="465"/>
      <c r="L467" s="464">
        <v>0</v>
      </c>
      <c r="M467" s="465"/>
      <c r="N467" s="470">
        <f t="shared" ca="1" si="144"/>
        <v>3.5</v>
      </c>
      <c r="O467" s="471"/>
      <c r="P467" s="55">
        <v>0</v>
      </c>
      <c r="Q467" s="472">
        <v>0</v>
      </c>
      <c r="R467" s="472"/>
      <c r="S467" s="472">
        <v>0</v>
      </c>
      <c r="T467" s="472"/>
      <c r="U467" s="472">
        <v>0</v>
      </c>
      <c r="V467" s="472"/>
      <c r="W467" s="464">
        <f t="shared" ca="1" si="145"/>
        <v>3.5</v>
      </c>
      <c r="X467" s="465"/>
      <c r="Y467" s="55">
        <f ca="1">IF(OR(W467="",W467=0),0,IF(W467="X",MatchDay!$U$2+MatchDay!$U$2+1-COUNTIF(Distance!W456:W467,"X"),RANK(W467,$W456:$X471,0)))</f>
        <v>6</v>
      </c>
      <c r="Z467" s="19" t="str">
        <f ca="1">IFERROR(IF(Y467=0,0,IF(VLOOKUP(AG467,E456:Y463,21,FALSE)=0,"A",IF(Y467&gt;=VLOOKUP(AG467,E456:Y463,21,FALSE),"B","A"))),"")</f>
        <v>B</v>
      </c>
      <c r="AA467" s="19" t="str">
        <f ca="1">IFERROR(IF(Z467="B","",RANK(AD467,AD456:AD471,1)),"")</f>
        <v/>
      </c>
      <c r="AB467" s="19">
        <f ca="1">IFERROR(IF(Z467="A","",RANK(AE467,AE456:AE471,1)),"")</f>
        <v>1</v>
      </c>
      <c r="AD467" s="9" t="str">
        <f t="shared" ca="1" si="146"/>
        <v/>
      </c>
      <c r="AE467" s="9">
        <f t="shared" ca="1" si="147"/>
        <v>6</v>
      </c>
      <c r="AF467" s="9" t="s">
        <v>138</v>
      </c>
      <c r="AG467" s="4">
        <f>IFERROR(IF(A455=0,E467/11,LEFT(E467,1)),"")</f>
        <v>1</v>
      </c>
    </row>
    <row r="468" spans="1:33" s="4" customFormat="1" ht="16.149999999999999" customHeight="1" x14ac:dyDescent="0.35">
      <c r="A468" s="8">
        <f>IFERROR(IF(A455=0,A460*11,A460&amp;A460),"-")</f>
        <v>77</v>
      </c>
      <c r="B468" s="7" t="str">
        <f t="shared" ca="1" si="141"/>
        <v/>
      </c>
      <c r="C468" s="7">
        <f t="shared" ca="1" si="142"/>
        <v>2</v>
      </c>
      <c r="D468" s="55">
        <v>13</v>
      </c>
      <c r="E468" s="17">
        <f t="shared" si="143"/>
        <v>77</v>
      </c>
      <c r="F468" s="319" t="str">
        <f>IFERROR(VLOOKUP($A452&amp;E468,downloads!$A$1:$E$1000,2,FALSE),"")</f>
        <v>Katie-lou MALLEY</v>
      </c>
      <c r="G468" s="18" t="str">
        <f t="shared" si="140"/>
        <v>Wigan</v>
      </c>
      <c r="H468" s="464">
        <f ca="1">IFERROR(INDIRECT(CONCATENATE("'Distance Input'!"&amp;B454&amp;C454+12)),"")</f>
        <v>3.34</v>
      </c>
      <c r="I468" s="465"/>
      <c r="J468" s="464">
        <v>0</v>
      </c>
      <c r="K468" s="465"/>
      <c r="L468" s="464">
        <v>0</v>
      </c>
      <c r="M468" s="465"/>
      <c r="N468" s="470">
        <f t="shared" ca="1" si="144"/>
        <v>3.34</v>
      </c>
      <c r="O468" s="471"/>
      <c r="P468" s="55">
        <v>0</v>
      </c>
      <c r="Q468" s="472">
        <v>0</v>
      </c>
      <c r="R468" s="472"/>
      <c r="S468" s="472">
        <v>0</v>
      </c>
      <c r="T468" s="472"/>
      <c r="U468" s="472">
        <v>0</v>
      </c>
      <c r="V468" s="472"/>
      <c r="W468" s="464">
        <f t="shared" ca="1" si="145"/>
        <v>3.34</v>
      </c>
      <c r="X468" s="465"/>
      <c r="Y468" s="55">
        <f ca="1">IF(OR(W468="",W468=0),0,IF(W468="X",MatchDay!$U$2+MatchDay!$U$2+1-COUNTIF(Distance!W456:W468,"X"),RANK(W468,$W456:$X471,0)))</f>
        <v>8</v>
      </c>
      <c r="Z468" s="19" t="str">
        <f ca="1">IFERROR(IF(Y468=0,0,IF(VLOOKUP(AG468,E456:Y463,21,FALSE)=0,"A",IF(Y468&gt;=VLOOKUP(AG468,E456:Y463,21,FALSE),"B","A"))),"")</f>
        <v>B</v>
      </c>
      <c r="AA468" s="19" t="str">
        <f ca="1">IFERROR(IF(Z468="B","",RANK(AD468,AD456:AD471,1)),"")</f>
        <v/>
      </c>
      <c r="AB468" s="19">
        <f ca="1">IFERROR(IF(Z468="A","",RANK(AE468,AE456:AE471,1)),"")</f>
        <v>2</v>
      </c>
      <c r="AD468" s="9" t="str">
        <f t="shared" ca="1" si="146"/>
        <v/>
      </c>
      <c r="AE468" s="9">
        <f t="shared" ca="1" si="147"/>
        <v>8</v>
      </c>
      <c r="AF468" s="9" t="s">
        <v>138</v>
      </c>
      <c r="AG468" s="4">
        <f>IFERROR(IF(A455=0,E468/11,LEFT(E468,1)),"")</f>
        <v>7</v>
      </c>
    </row>
    <row r="469" spans="1:33" s="4" customFormat="1" ht="16.149999999999999" customHeight="1" x14ac:dyDescent="0.35">
      <c r="A469" s="8">
        <f>IFERROR(IF(A455=0,A461*11,A461&amp;A461),"-")</f>
        <v>55</v>
      </c>
      <c r="B469" s="7" t="str">
        <f t="shared" ca="1" si="141"/>
        <v/>
      </c>
      <c r="C469" s="7">
        <f t="shared" ca="1" si="142"/>
        <v>5</v>
      </c>
      <c r="D469" s="55">
        <v>14</v>
      </c>
      <c r="E469" s="17">
        <f t="shared" si="143"/>
        <v>55</v>
      </c>
      <c r="F469" s="319" t="str">
        <f>IFERROR(VLOOKUP($A452&amp;E469,downloads!$A$1:$E$1000,2,FALSE),"")</f>
        <v>Ela EDWARDS</v>
      </c>
      <c r="G469" s="18" t="str">
        <f t="shared" si="140"/>
        <v>Menai</v>
      </c>
      <c r="H469" s="464">
        <f ca="1">IFERROR(INDIRECT(CONCATENATE("'Distance Input'!"&amp;B454&amp;C454+13)),"")</f>
        <v>2.99</v>
      </c>
      <c r="I469" s="465"/>
      <c r="J469" s="464">
        <v>0</v>
      </c>
      <c r="K469" s="465"/>
      <c r="L469" s="464">
        <v>0</v>
      </c>
      <c r="M469" s="465"/>
      <c r="N469" s="470">
        <f t="shared" ca="1" si="144"/>
        <v>2.99</v>
      </c>
      <c r="O469" s="471"/>
      <c r="P469" s="55">
        <v>0</v>
      </c>
      <c r="Q469" s="472">
        <v>0</v>
      </c>
      <c r="R469" s="472"/>
      <c r="S469" s="472">
        <v>0</v>
      </c>
      <c r="T469" s="472"/>
      <c r="U469" s="472">
        <v>0</v>
      </c>
      <c r="V469" s="472"/>
      <c r="W469" s="464">
        <f t="shared" ca="1" si="145"/>
        <v>2.99</v>
      </c>
      <c r="X469" s="465"/>
      <c r="Y469" s="55">
        <f ca="1">IF(OR(W469="",W469=0),0,IF(W469="X",MatchDay!$U$2+MatchDay!$U$2+1-COUNTIF(Distance!W456:W469,"X"),RANK(W469,$W456:$X471,0)))</f>
        <v>12</v>
      </c>
      <c r="Z469" s="19" t="str">
        <f ca="1">IFERROR(IF(Y469=0,0,IF(VLOOKUP(AG469,E456:Y463,21,FALSE)=0,"A",IF(Y469&gt;=VLOOKUP(AG469,E456:Y463,21,FALSE),"B","A"))),"")</f>
        <v>B</v>
      </c>
      <c r="AA469" s="19" t="str">
        <f ca="1">IFERROR(IF(Z469="B","",RANK(AD469,AD456:AD471,1)),"")</f>
        <v/>
      </c>
      <c r="AB469" s="19">
        <f ca="1">IFERROR(IF(Z469="A","",RANK(AE469,AE456:AE471,1)),"")</f>
        <v>5</v>
      </c>
      <c r="AD469" s="9" t="str">
        <f t="shared" ca="1" si="146"/>
        <v/>
      </c>
      <c r="AE469" s="9">
        <f t="shared" ca="1" si="147"/>
        <v>12</v>
      </c>
      <c r="AF469" s="9" t="s">
        <v>138</v>
      </c>
      <c r="AG469" s="4">
        <f>IFERROR(IF(A455=0,E469/11,LEFT(E469,1)),"")</f>
        <v>5</v>
      </c>
    </row>
    <row r="470" spans="1:33" s="4" customFormat="1" ht="16.149999999999999" customHeight="1" x14ac:dyDescent="0.35">
      <c r="A470" s="8">
        <f>IFERROR(IF(A455=0,A462*11,A462&amp;A462),"-")</f>
        <v>66</v>
      </c>
      <c r="B470" s="7" t="str">
        <f t="shared" ca="1" si="141"/>
        <v/>
      </c>
      <c r="C470" s="7" t="str">
        <f t="shared" ca="1" si="142"/>
        <v/>
      </c>
      <c r="D470" s="55">
        <v>15</v>
      </c>
      <c r="E470" s="17">
        <f t="shared" si="143"/>
        <v>66</v>
      </c>
      <c r="F470" s="319" t="str">
        <f>IFERROR(VLOOKUP($A452&amp;E470,downloads!$A$1:$E$1000,2,FALSE),"")</f>
        <v/>
      </c>
      <c r="G470" s="18" t="str">
        <f t="shared" si="140"/>
        <v>Stock</v>
      </c>
      <c r="H470" s="464">
        <f ca="1">IFERROR(INDIRECT(CONCATENATE("'Distance Input'!"&amp;B454&amp;C454+14)),"")</f>
        <v>0</v>
      </c>
      <c r="I470" s="465"/>
      <c r="J470" s="464">
        <v>0</v>
      </c>
      <c r="K470" s="465"/>
      <c r="L470" s="464">
        <v>0</v>
      </c>
      <c r="M470" s="465"/>
      <c r="N470" s="470">
        <f t="shared" ca="1" si="144"/>
        <v>0</v>
      </c>
      <c r="O470" s="471"/>
      <c r="P470" s="55">
        <v>0</v>
      </c>
      <c r="Q470" s="472">
        <v>0</v>
      </c>
      <c r="R470" s="472"/>
      <c r="S470" s="472">
        <v>0</v>
      </c>
      <c r="T470" s="472"/>
      <c r="U470" s="472">
        <v>0</v>
      </c>
      <c r="V470" s="472"/>
      <c r="W470" s="464">
        <f t="shared" ca="1" si="145"/>
        <v>0</v>
      </c>
      <c r="X470" s="465"/>
      <c r="Y470" s="55">
        <f ca="1">IF(OR(W470="",W470=0),0,IF(W470="X",MatchDay!$U$2+MatchDay!$U$2+1-COUNTIF(Distance!W456:W470,"X"),RANK(W470,$W456:$X471,0)))</f>
        <v>0</v>
      </c>
      <c r="Z470" s="19">
        <f ca="1">IFERROR(IF(Y470=0,0,IF(VLOOKUP(AG470,E456:Y463,21,FALSE)=0,"A",IF(Y470&gt;=VLOOKUP(AG470,E456:Y463,21,FALSE),"B","A"))),"")</f>
        <v>0</v>
      </c>
      <c r="AA470" s="19" t="str">
        <f ca="1">IFERROR(IF(Z470="B","",RANK(AD470,AD456:AD471,1)),"")</f>
        <v/>
      </c>
      <c r="AB470" s="19" t="str">
        <f ca="1">IFERROR(IF(Z470="A","",RANK(AE470,AE456:AE471,1)),"")</f>
        <v/>
      </c>
      <c r="AD470" s="9" t="str">
        <f t="shared" ca="1" si="146"/>
        <v/>
      </c>
      <c r="AE470" s="9" t="str">
        <f t="shared" ca="1" si="147"/>
        <v/>
      </c>
      <c r="AF470" s="9" t="s">
        <v>138</v>
      </c>
      <c r="AG470" s="4">
        <f>IFERROR(IF(A455=0,E470/11,LEFT(E470,1)),"")</f>
        <v>6</v>
      </c>
    </row>
    <row r="471" spans="1:33" s="4" customFormat="1" ht="16.149999999999999" customHeight="1" x14ac:dyDescent="0.35">
      <c r="A471" s="8" t="str">
        <f>IFERROR(IF(A455=0,A463*11,A463&amp;A463),"-")</f>
        <v>-</v>
      </c>
      <c r="B471" s="7" t="str">
        <f t="shared" ca="1" si="141"/>
        <v/>
      </c>
      <c r="C471" s="7" t="str">
        <f t="shared" ca="1" si="142"/>
        <v/>
      </c>
      <c r="D471" s="55">
        <v>16</v>
      </c>
      <c r="E471" s="17" t="str">
        <f t="shared" si="143"/>
        <v>-</v>
      </c>
      <c r="F471" s="319" t="str">
        <f>IFERROR(VLOOKUP($A452&amp;E471,downloads!$A$1:$E$1000,2,FALSE),"")</f>
        <v/>
      </c>
      <c r="G471" s="18" t="str">
        <f t="shared" si="140"/>
        <v/>
      </c>
      <c r="H471" s="464">
        <f ca="1">IFERROR(INDIRECT(CONCATENATE("'Distance Input'!"&amp;B454&amp;C454+15)),"")</f>
        <v>0</v>
      </c>
      <c r="I471" s="465"/>
      <c r="J471" s="464">
        <v>0</v>
      </c>
      <c r="K471" s="465"/>
      <c r="L471" s="464">
        <v>0</v>
      </c>
      <c r="M471" s="465"/>
      <c r="N471" s="470">
        <f t="shared" ca="1" si="144"/>
        <v>0</v>
      </c>
      <c r="O471" s="471"/>
      <c r="P471" s="55">
        <v>0</v>
      </c>
      <c r="Q471" s="472">
        <v>0</v>
      </c>
      <c r="R471" s="472"/>
      <c r="S471" s="472">
        <v>0</v>
      </c>
      <c r="T471" s="472"/>
      <c r="U471" s="472">
        <v>0</v>
      </c>
      <c r="V471" s="472"/>
      <c r="W471" s="464">
        <f t="shared" ca="1" si="145"/>
        <v>0</v>
      </c>
      <c r="X471" s="465"/>
      <c r="Y471" s="55">
        <f ca="1">IF(OR(W471="",W471=0),0,IF(W471="X",MatchDay!$U$2+MatchDay!$U$2+1-COUNTIF(Distance!W456:W471,"X"),RANK(W471,$W456:$X471,0)))</f>
        <v>0</v>
      </c>
      <c r="Z471" s="19">
        <f ca="1">IFERROR(IF(Y471=0,0,IF(VLOOKUP(AG471,E456:Y463,21,FALSE)=0,"A",IF(Y471&gt;=VLOOKUP(AG471,E456:Y463,21,FALSE),"B","A"))),"")</f>
        <v>0</v>
      </c>
      <c r="AA471" s="19" t="str">
        <f ca="1">IFERROR(IF(Z471="B","",RANK(AD471,AD456:AD471,1)),"")</f>
        <v/>
      </c>
      <c r="AB471" s="19" t="str">
        <f ca="1">IFERROR(IF(Z471="A","",RANK(AE471,AE456:AE471,1)),"")</f>
        <v/>
      </c>
      <c r="AD471" s="9" t="str">
        <f t="shared" ca="1" si="146"/>
        <v/>
      </c>
      <c r="AE471" s="9" t="str">
        <f t="shared" ca="1" si="147"/>
        <v/>
      </c>
      <c r="AF471" s="9" t="s">
        <v>138</v>
      </c>
      <c r="AG471" s="4" t="str">
        <f>IFERROR(IF(A455=0,E471/11,LEFT(E471,1)),"")</f>
        <v/>
      </c>
    </row>
    <row r="472" spans="1:33" s="4" customFormat="1" x14ac:dyDescent="0.25">
      <c r="A472" s="8"/>
      <c r="B472" s="10"/>
      <c r="C472" s="3"/>
      <c r="D472" s="20"/>
      <c r="E472" s="20"/>
      <c r="F472" s="21"/>
      <c r="G472" s="21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2"/>
    </row>
    <row r="473" spans="1:33" s="4" customFormat="1" x14ac:dyDescent="0.25">
      <c r="A473" s="8"/>
      <c r="B473" s="10"/>
      <c r="C473" s="3"/>
      <c r="D473" s="469" t="s">
        <v>139</v>
      </c>
      <c r="E473" s="473"/>
      <c r="F473" s="473"/>
      <c r="G473" s="473"/>
      <c r="H473" s="473"/>
      <c r="I473" s="473"/>
      <c r="J473" s="466" t="s">
        <v>140</v>
      </c>
      <c r="K473" s="474"/>
      <c r="L473" s="474"/>
      <c r="M473" s="474"/>
      <c r="N473" s="474"/>
      <c r="O473" s="474"/>
      <c r="P473" s="474"/>
      <c r="Q473" s="474"/>
      <c r="R473" s="474"/>
      <c r="S473" s="474"/>
      <c r="T473" s="474"/>
      <c r="U473" s="475"/>
      <c r="V473" s="466" t="s">
        <v>1136</v>
      </c>
      <c r="W473" s="467"/>
      <c r="X473" s="467"/>
      <c r="Y473" s="467"/>
      <c r="Z473" s="467"/>
      <c r="AA473" s="467"/>
      <c r="AB473" s="468"/>
    </row>
    <row r="474" spans="1:33" s="4" customFormat="1" x14ac:dyDescent="0.25">
      <c r="A474" s="8" t="s">
        <v>55</v>
      </c>
      <c r="B474" s="10"/>
      <c r="C474" s="3"/>
      <c r="D474" s="12"/>
      <c r="E474" s="55" t="s">
        <v>141</v>
      </c>
      <c r="F474" s="55" t="s">
        <v>124</v>
      </c>
      <c r="G474" s="55" t="s">
        <v>125</v>
      </c>
      <c r="H474" s="469" t="s">
        <v>142</v>
      </c>
      <c r="I474" s="469"/>
      <c r="J474" s="23"/>
      <c r="K474" s="54" t="s">
        <v>141</v>
      </c>
      <c r="L474" s="466" t="s">
        <v>124</v>
      </c>
      <c r="M474" s="467"/>
      <c r="N474" s="467"/>
      <c r="O474" s="468"/>
      <c r="P474" s="466" t="s">
        <v>125</v>
      </c>
      <c r="Q474" s="467"/>
      <c r="R474" s="467"/>
      <c r="S474" s="468"/>
      <c r="T474" s="466" t="s">
        <v>142</v>
      </c>
      <c r="U474" s="468"/>
      <c r="V474" s="24"/>
      <c r="W474" s="25"/>
      <c r="X474" s="25"/>
      <c r="Y474" s="25"/>
      <c r="Z474" s="25"/>
      <c r="AA474" s="25"/>
      <c r="AB474" s="26"/>
    </row>
    <row r="475" spans="1:33" s="4" customFormat="1" ht="16.149999999999999" customHeight="1" x14ac:dyDescent="0.25">
      <c r="A475" s="11">
        <f>IFERROR(VLOOKUP(A452,standards,3,FALSE),"-")</f>
        <v>2.5</v>
      </c>
      <c r="B475" s="10">
        <v>1</v>
      </c>
      <c r="C475" s="3"/>
      <c r="D475" s="55">
        <v>1</v>
      </c>
      <c r="E475" s="19">
        <f ca="1">IFERROR(IF(OR(H456=98,H456=99),H456,VLOOKUP(B475,B456:E471,4,FALSE)),0)</f>
        <v>1</v>
      </c>
      <c r="F475" s="27" t="str">
        <f ca="1">IFERROR(VLOOKUP(E475,$E456:$F471,2,FALSE),"")</f>
        <v>Lucy HOWARTH</v>
      </c>
      <c r="G475" s="18" t="str">
        <f t="shared" ref="G475:G482" ca="1" si="148">IFERROR(VLOOKUP(E475,teamlookup,5,FALSE),"-")</f>
        <v>C&amp;N</v>
      </c>
      <c r="H475" s="459">
        <f ca="1">IFERROR(VLOOKUP(E475,E456:X471,19,FALSE),"")</f>
        <v>4.13</v>
      </c>
      <c r="I475" s="460"/>
      <c r="J475" s="55">
        <v>1</v>
      </c>
      <c r="K475" s="55">
        <f ca="1">IFERROR(VLOOKUP(B475,C456:X471,3,FALSE),"")</f>
        <v>11</v>
      </c>
      <c r="L475" s="461" t="str">
        <f ca="1">IFERROR(VLOOKUP(K475,$E456:$F471,2,FALSE),"")</f>
        <v>Bethany HALL</v>
      </c>
      <c r="M475" s="462"/>
      <c r="N475" s="462"/>
      <c r="O475" s="463"/>
      <c r="P475" s="461" t="str">
        <f t="shared" ref="P475:P482" ca="1" si="149">IFERROR(VLOOKUP(K475,teamlookup,5,FALSE),"-")</f>
        <v>C&amp;N</v>
      </c>
      <c r="Q475" s="462"/>
      <c r="R475" s="462"/>
      <c r="S475" s="463"/>
      <c r="T475" s="464">
        <f ca="1">IFERROR(VLOOKUP(K475,E456:X471,19,FALSE),"")</f>
        <v>3.5</v>
      </c>
      <c r="U475" s="465"/>
      <c r="V475" s="28"/>
      <c r="W475" s="29"/>
      <c r="X475" s="29"/>
      <c r="Y475" s="29"/>
      <c r="Z475" s="29"/>
      <c r="AA475" s="29"/>
      <c r="AB475" s="30"/>
    </row>
    <row r="476" spans="1:33" s="4" customFormat="1" ht="16.149999999999999" customHeight="1" x14ac:dyDescent="0.25">
      <c r="A476" s="11">
        <f>IFERROR(VLOOKUP(A452,standards,4,FALSE),"-")</f>
        <v>2.75</v>
      </c>
      <c r="B476" s="10">
        <v>2</v>
      </c>
      <c r="C476" s="3"/>
      <c r="D476" s="55">
        <v>2</v>
      </c>
      <c r="E476" s="19">
        <f ca="1">IFERROR(VLOOKUP(B476,B456:E471,4,FALSE),"")</f>
        <v>3</v>
      </c>
      <c r="F476" s="27" t="str">
        <f ca="1">IFERROR(VLOOKUP(E476,$E456:$F471,2,FALSE),"")</f>
        <v>Ava BROOMES</v>
      </c>
      <c r="G476" s="18" t="str">
        <f t="shared" ca="1" si="148"/>
        <v>Leigh</v>
      </c>
      <c r="H476" s="459">
        <f ca="1">IFERROR(VLOOKUP(E476,E456:X471,19,FALSE),"")</f>
        <v>4.0199999999999996</v>
      </c>
      <c r="I476" s="460"/>
      <c r="J476" s="55">
        <v>2</v>
      </c>
      <c r="K476" s="55">
        <f ca="1">IFERROR(VLOOKUP(B476,C456:X471,3,FALSE),"")</f>
        <v>77</v>
      </c>
      <c r="L476" s="461" t="str">
        <f ca="1">IFERROR(VLOOKUP(K476,$E456:$F471,2,FALSE),"")</f>
        <v>Katie-lou MALLEY</v>
      </c>
      <c r="M476" s="462"/>
      <c r="N476" s="462"/>
      <c r="O476" s="463"/>
      <c r="P476" s="461" t="str">
        <f t="shared" ca="1" si="149"/>
        <v>Wigan</v>
      </c>
      <c r="Q476" s="462"/>
      <c r="R476" s="462"/>
      <c r="S476" s="463"/>
      <c r="T476" s="464">
        <f ca="1">IFERROR(VLOOKUP(K476,E456:X471,19,FALSE),"")</f>
        <v>3.34</v>
      </c>
      <c r="U476" s="465"/>
      <c r="V476" s="24"/>
      <c r="W476" s="25"/>
      <c r="X476" s="25"/>
      <c r="Y476" s="25"/>
      <c r="Z476" s="25"/>
      <c r="AA476" s="25"/>
      <c r="AB476" s="26"/>
    </row>
    <row r="477" spans="1:33" s="4" customFormat="1" ht="16.149999999999999" customHeight="1" x14ac:dyDescent="0.25">
      <c r="A477" s="11">
        <f>IFERROR(VLOOKUP(A452,standards,5,FALSE),"-")</f>
        <v>3</v>
      </c>
      <c r="B477" s="10">
        <v>3</v>
      </c>
      <c r="C477" s="3"/>
      <c r="D477" s="55">
        <v>3</v>
      </c>
      <c r="E477" s="19">
        <f ca="1">IFERROR(VLOOKUP(B477,B456:E471,4,FALSE),"")</f>
        <v>6</v>
      </c>
      <c r="F477" s="27" t="str">
        <f ca="1">IFERROR(VLOOKUP(E477,$E456:$F471,2,FALSE),"")</f>
        <v>Emily WALTON</v>
      </c>
      <c r="G477" s="18" t="str">
        <f t="shared" ca="1" si="148"/>
        <v>Stock</v>
      </c>
      <c r="H477" s="459">
        <f ca="1">IFERROR(VLOOKUP(E477,E456:X471,19,FALSE),"")</f>
        <v>3.84</v>
      </c>
      <c r="I477" s="460"/>
      <c r="J477" s="55">
        <v>3</v>
      </c>
      <c r="K477" s="55">
        <f ca="1">IFERROR(VLOOKUP(B477,C456:X471,3,FALSE),"")</f>
        <v>33</v>
      </c>
      <c r="L477" s="461" t="str">
        <f ca="1">IFERROR(VLOOKUP(K477,$E456:$F471,2,FALSE),"")</f>
        <v>Isabella GORMAN</v>
      </c>
      <c r="M477" s="462"/>
      <c r="N477" s="462"/>
      <c r="O477" s="463"/>
      <c r="P477" s="461" t="str">
        <f t="shared" ca="1" si="149"/>
        <v>Leigh</v>
      </c>
      <c r="Q477" s="462"/>
      <c r="R477" s="462"/>
      <c r="S477" s="463"/>
      <c r="T477" s="464">
        <f ca="1">IFERROR(VLOOKUP(K477,E456:X471,19,FALSE),"")</f>
        <v>3.1</v>
      </c>
      <c r="U477" s="465"/>
      <c r="V477" s="28"/>
      <c r="W477" s="29"/>
      <c r="X477" s="29"/>
      <c r="Y477" s="29"/>
      <c r="Z477" s="29"/>
      <c r="AA477" s="29"/>
      <c r="AB477" s="30"/>
    </row>
    <row r="478" spans="1:33" s="4" customFormat="1" ht="16.149999999999999" customHeight="1" x14ac:dyDescent="0.25">
      <c r="A478" s="11">
        <f>IFERROR(VLOOKUP(A452,EA!A:K,6,FALSE),"-")</f>
        <v>3.25</v>
      </c>
      <c r="B478" s="10">
        <v>4</v>
      </c>
      <c r="C478" s="3"/>
      <c r="D478" s="55">
        <v>4</v>
      </c>
      <c r="E478" s="19">
        <f ca="1">IFERROR(VLOOKUP(B478,B456:E471,4,FALSE),"")</f>
        <v>5</v>
      </c>
      <c r="F478" s="27" t="str">
        <f ca="1">IFERROR(VLOOKUP(E478,$E456:$F471,2,FALSE),"")</f>
        <v>Holly WORTH</v>
      </c>
      <c r="G478" s="18" t="str">
        <f t="shared" ca="1" si="148"/>
        <v>Menai</v>
      </c>
      <c r="H478" s="459">
        <f ca="1">IFERROR(VLOOKUP(E478,E456:X471,19,FALSE),"")</f>
        <v>3.79</v>
      </c>
      <c r="I478" s="460"/>
      <c r="J478" s="55">
        <v>4</v>
      </c>
      <c r="K478" s="55">
        <f ca="1">IFERROR(VLOOKUP(B478,C456:X471,3,FALSE),"")</f>
        <v>44</v>
      </c>
      <c r="L478" s="461" t="str">
        <f ca="1">IFERROR(VLOOKUP(K478,$E456:$F471,2,FALSE),"")</f>
        <v>Iona FISHER</v>
      </c>
      <c r="M478" s="462"/>
      <c r="N478" s="462"/>
      <c r="O478" s="463"/>
      <c r="P478" s="461" t="str">
        <f t="shared" ca="1" si="149"/>
        <v>Macc</v>
      </c>
      <c r="Q478" s="462"/>
      <c r="R478" s="462"/>
      <c r="S478" s="463"/>
      <c r="T478" s="464">
        <f ca="1">IFERROR(VLOOKUP(K478,E456:X471,19,FALSE),"")</f>
        <v>3.03</v>
      </c>
      <c r="U478" s="465"/>
      <c r="V478" s="24"/>
      <c r="W478" s="25"/>
      <c r="X478" s="25"/>
      <c r="Y478" s="25"/>
      <c r="Z478" s="25"/>
      <c r="AA478" s="25"/>
      <c r="AB478" s="26"/>
    </row>
    <row r="479" spans="1:33" s="4" customFormat="1" ht="16.149999999999999" customHeight="1" x14ac:dyDescent="0.25">
      <c r="A479" s="8"/>
      <c r="B479" s="10">
        <v>5</v>
      </c>
      <c r="C479" s="3"/>
      <c r="D479" s="55">
        <v>5</v>
      </c>
      <c r="E479" s="19">
        <f ca="1">IFERROR(VLOOKUP(B479,B456:E471,4,FALSE),"")</f>
        <v>4</v>
      </c>
      <c r="F479" s="27" t="str">
        <f ca="1">IFERROR(VLOOKUP(E479,$E456:$F471,2,FALSE),"")</f>
        <v>Lara ADU-GYAMFI</v>
      </c>
      <c r="G479" s="18" t="str">
        <f t="shared" ca="1" si="148"/>
        <v>Macc</v>
      </c>
      <c r="H479" s="459">
        <f ca="1">IFERROR(VLOOKUP(E479,E456:X471,19,FALSE),"")</f>
        <v>3.52</v>
      </c>
      <c r="I479" s="460"/>
      <c r="J479" s="55">
        <v>5</v>
      </c>
      <c r="K479" s="55">
        <f ca="1">IFERROR(VLOOKUP(B479,C456:X471,3,FALSE),"")</f>
        <v>2</v>
      </c>
      <c r="L479" s="461" t="str">
        <f ca="1">IFERROR(VLOOKUP(K479,$E456:$F471,2,FALSE),"")</f>
        <v>Madaline BURKE</v>
      </c>
      <c r="M479" s="462"/>
      <c r="N479" s="462"/>
      <c r="O479" s="463"/>
      <c r="P479" s="461" t="str">
        <f t="shared" ca="1" si="149"/>
        <v>ECHT</v>
      </c>
      <c r="Q479" s="462"/>
      <c r="R479" s="462"/>
      <c r="S479" s="463"/>
      <c r="T479" s="464">
        <f ca="1">IFERROR(VLOOKUP(K479,E456:X471,19,FALSE),"")</f>
        <v>2.99</v>
      </c>
      <c r="U479" s="465"/>
      <c r="V479" s="28"/>
      <c r="W479" s="29"/>
      <c r="X479" s="29"/>
      <c r="Y479" s="29"/>
      <c r="Z479" s="29"/>
      <c r="AA479" s="29"/>
      <c r="AB479" s="30"/>
    </row>
    <row r="480" spans="1:33" s="4" customFormat="1" ht="16.149999999999999" customHeight="1" x14ac:dyDescent="0.25">
      <c r="A480" s="8" t="s">
        <v>151</v>
      </c>
      <c r="B480" s="10">
        <v>6</v>
      </c>
      <c r="C480" s="3"/>
      <c r="D480" s="55">
        <v>6</v>
      </c>
      <c r="E480" s="19">
        <f ca="1">IFERROR(VLOOKUP(B480,B456:E471,4,FALSE),"")</f>
        <v>7</v>
      </c>
      <c r="F480" s="27" t="str">
        <f ca="1">IFERROR(VLOOKUP(E480,$E456:$F471,2,FALSE),"")</f>
        <v>Elody HILL</v>
      </c>
      <c r="G480" s="18" t="str">
        <f t="shared" ca="1" si="148"/>
        <v>Wigan</v>
      </c>
      <c r="H480" s="459">
        <f ca="1">IFERROR(VLOOKUP(E480,E456:X471,19,FALSE),"")</f>
        <v>3.44</v>
      </c>
      <c r="I480" s="460"/>
      <c r="J480" s="55">
        <v>6</v>
      </c>
      <c r="K480" s="55" t="str">
        <f ca="1">IFERROR(VLOOKUP(B480,C456:X471,3,FALSE),"")</f>
        <v/>
      </c>
      <c r="L480" s="461" t="str">
        <f ca="1">IFERROR(VLOOKUP(K480,$E456:$F471,2,FALSE),"")</f>
        <v/>
      </c>
      <c r="M480" s="462"/>
      <c r="N480" s="462"/>
      <c r="O480" s="463"/>
      <c r="P480" s="461" t="str">
        <f t="shared" ca="1" si="149"/>
        <v>-</v>
      </c>
      <c r="Q480" s="462"/>
      <c r="R480" s="462"/>
      <c r="S480" s="463"/>
      <c r="T480" s="464" t="str">
        <f ca="1">IFERROR(VLOOKUP(K480,E456:X471,19,FALSE),"")</f>
        <v/>
      </c>
      <c r="U480" s="465"/>
      <c r="V480" s="466" t="s">
        <v>1135</v>
      </c>
      <c r="W480" s="467"/>
      <c r="X480" s="467"/>
      <c r="Y480" s="467"/>
      <c r="Z480" s="467"/>
      <c r="AA480" s="467"/>
      <c r="AB480" s="468"/>
    </row>
    <row r="481" spans="1:33" s="4" customFormat="1" ht="16.149999999999999" customHeight="1" x14ac:dyDescent="0.25">
      <c r="A481" s="8">
        <f>IFERROR(VLOOKUP(A452,records,5,FALSE),"")</f>
        <v>5.23</v>
      </c>
      <c r="B481" s="10">
        <v>7</v>
      </c>
      <c r="C481" s="3"/>
      <c r="D481" s="55">
        <v>7</v>
      </c>
      <c r="E481" s="19">
        <f ca="1">IFERROR(VLOOKUP(B481,B456:E471,4,FALSE),"")</f>
        <v>22</v>
      </c>
      <c r="F481" s="27" t="str">
        <f ca="1">IFERROR(VLOOKUP(E481,$E456:$F471,2,FALSE),"")</f>
        <v>Kyla MILLINGTON</v>
      </c>
      <c r="G481" s="18" t="str">
        <f t="shared" ca="1" si="148"/>
        <v>ECHT</v>
      </c>
      <c r="H481" s="459">
        <f ca="1">IFERROR(VLOOKUP(E481,E456:X471,19,FALSE),"")</f>
        <v>3.13</v>
      </c>
      <c r="I481" s="460"/>
      <c r="J481" s="55">
        <v>7</v>
      </c>
      <c r="K481" s="55" t="str">
        <f ca="1">IFERROR(VLOOKUP(B481,C456:X471,3,FALSE),"")</f>
        <v/>
      </c>
      <c r="L481" s="461" t="str">
        <f ca="1">IFERROR(VLOOKUP(K481,$E456:$F471,2,FALSE),"")</f>
        <v/>
      </c>
      <c r="M481" s="462"/>
      <c r="N481" s="462"/>
      <c r="O481" s="463"/>
      <c r="P481" s="461" t="str">
        <f t="shared" ca="1" si="149"/>
        <v>-</v>
      </c>
      <c r="Q481" s="462"/>
      <c r="R481" s="462"/>
      <c r="S481" s="463"/>
      <c r="T481" s="464" t="str">
        <f ca="1">IFERROR(VLOOKUP(K481,E456:X471,19,FALSE),"")</f>
        <v/>
      </c>
      <c r="U481" s="465"/>
      <c r="V481" s="24"/>
      <c r="W481" s="25"/>
      <c r="X481" s="25"/>
      <c r="Y481" s="25"/>
      <c r="Z481" s="25"/>
      <c r="AA481" s="25"/>
      <c r="AB481" s="26"/>
    </row>
    <row r="482" spans="1:33" s="4" customFormat="1" ht="16.149999999999999" customHeight="1" x14ac:dyDescent="0.25">
      <c r="A482" s="8"/>
      <c r="B482" s="10">
        <v>8</v>
      </c>
      <c r="C482" s="3"/>
      <c r="D482" s="55">
        <v>8</v>
      </c>
      <c r="E482" s="19" t="str">
        <f ca="1">IFERROR(VLOOKUP(B482,B456:E471,4,FALSE),"")</f>
        <v/>
      </c>
      <c r="F482" s="27" t="str">
        <f ca="1">IFERROR(VLOOKUP(E482,$E456:$F471,2,FALSE),"")</f>
        <v/>
      </c>
      <c r="G482" s="18" t="str">
        <f t="shared" ca="1" si="148"/>
        <v>-</v>
      </c>
      <c r="H482" s="459" t="str">
        <f ca="1">IFERROR(VLOOKUP(E482,E456:X471,19,FALSE),"")</f>
        <v/>
      </c>
      <c r="I482" s="460"/>
      <c r="J482" s="55">
        <v>8</v>
      </c>
      <c r="K482" s="55" t="str">
        <f ca="1">IFERROR(VLOOKUP(B482,C456:X471,3,FALSE),"")</f>
        <v/>
      </c>
      <c r="L482" s="461" t="str">
        <f ca="1">IFERROR(VLOOKUP(K482,$E456:$F471,2,FALSE),"")</f>
        <v/>
      </c>
      <c r="M482" s="462"/>
      <c r="N482" s="462"/>
      <c r="O482" s="463"/>
      <c r="P482" s="461" t="str">
        <f t="shared" ca="1" si="149"/>
        <v>-</v>
      </c>
      <c r="Q482" s="462"/>
      <c r="R482" s="462"/>
      <c r="S482" s="463"/>
      <c r="T482" s="464" t="str">
        <f ca="1">IFERROR(VLOOKUP(K482,E456:X471,19,FALSE),"")</f>
        <v/>
      </c>
      <c r="U482" s="465"/>
      <c r="V482" s="28"/>
      <c r="W482" s="29"/>
      <c r="X482" s="29"/>
      <c r="Y482" s="29"/>
      <c r="Z482" s="29"/>
      <c r="AA482" s="29"/>
      <c r="AB482" s="30"/>
    </row>
    <row r="483" spans="1:33" s="4" customFormat="1" ht="21" x14ac:dyDescent="0.25">
      <c r="A483" s="2" t="str">
        <f>MatchDay!$U$6</f>
        <v>X</v>
      </c>
      <c r="B483" s="8"/>
      <c r="C483" s="3"/>
      <c r="D483" s="499" t="s">
        <v>143</v>
      </c>
      <c r="E483" s="500"/>
      <c r="F483" s="500"/>
      <c r="G483" s="500"/>
      <c r="H483" s="500"/>
      <c r="I483" s="500"/>
      <c r="J483" s="500"/>
      <c r="K483" s="501" t="s">
        <v>144</v>
      </c>
      <c r="L483" s="502"/>
      <c r="M483" s="502"/>
      <c r="N483" s="502"/>
      <c r="O483" s="503" t="str">
        <f>MatchDay!$C$2&amp;" "&amp;MatchDay!$C$3&amp;" "&amp;MatchDay!$C$4</f>
        <v>LOWER NORTH West 2</v>
      </c>
      <c r="P483" s="504"/>
      <c r="Q483" s="504"/>
      <c r="R483" s="504"/>
      <c r="S483" s="504"/>
      <c r="T483" s="504"/>
      <c r="U483" s="504"/>
      <c r="V483" s="504"/>
      <c r="W483" s="504"/>
      <c r="X483" s="504"/>
      <c r="Y483" s="504"/>
      <c r="Z483" s="504"/>
      <c r="AA483" s="504"/>
      <c r="AB483" s="505"/>
    </row>
    <row r="484" spans="1:33" s="4" customFormat="1" ht="15.75" customHeight="1" x14ac:dyDescent="0.25">
      <c r="A484" s="1" t="str">
        <f>IFERROR(IF(LEFT(MatchDay!$C$2,1)="L","L"&amp;A486,"U"&amp;A486),"")</f>
        <v>LFW04</v>
      </c>
      <c r="B484" s="10">
        <v>507</v>
      </c>
      <c r="C484" s="3"/>
      <c r="D484" s="466" t="s">
        <v>145</v>
      </c>
      <c r="E484" s="468"/>
      <c r="F484" s="467" t="str">
        <f>IFERROR(UPPER(VLOOKUP(A485,teamlookup,6,FALSE)),"")</f>
        <v/>
      </c>
      <c r="G484" s="468"/>
      <c r="H484" s="476" t="s">
        <v>149</v>
      </c>
      <c r="I484" s="480"/>
      <c r="J484" s="477"/>
      <c r="K484" s="466" t="str">
        <f>MatchDay!$C$8</f>
        <v>Macclesfield Leisure Centre</v>
      </c>
      <c r="L484" s="467"/>
      <c r="M484" s="467"/>
      <c r="N484" s="467"/>
      <c r="O484" s="467"/>
      <c r="P484" s="468"/>
      <c r="Q484" s="476" t="s">
        <v>119</v>
      </c>
      <c r="R484" s="477"/>
      <c r="S484" s="494">
        <f>MatchDay!$C$7</f>
        <v>45053</v>
      </c>
      <c r="T484" s="495"/>
      <c r="U484" s="495"/>
      <c r="V484" s="495"/>
      <c r="W484" s="495"/>
      <c r="X484" s="496"/>
      <c r="Y484" s="497" t="str">
        <f>IFERROR(IF(LEFT(A484,1)="L","",VLOOKUP(A484,EA!$A:$N,8,FALSE)),"")</f>
        <v/>
      </c>
      <c r="Z484" s="498"/>
      <c r="AA484" s="464" t="str">
        <f>IFERROR(IF(LEFT(A484,1)="L","",VLOOKUP(A484,standards,9,FALSE)),"")</f>
        <v/>
      </c>
      <c r="AB484" s="465"/>
      <c r="AC484" s="6"/>
      <c r="AD484" s="6"/>
    </row>
    <row r="485" spans="1:33" s="4" customFormat="1" ht="15.75" customHeight="1" x14ac:dyDescent="0.25">
      <c r="A485" s="5">
        <f>IFERROR(IF(A483=1,VLOOKUP(A484,judges,VLOOKUP(MatchDay!$U$2*10+MatchDay!$C$5,judgesp,5,FALSE),FALSE),VLOOKUP(Distance!A484,judges,VLOOKUP(MatchDay!$U$2*10+MatchDay!$C$5,judges2,5,FALSE),FALSE)),"")</f>
        <v>3</v>
      </c>
      <c r="B485" s="138"/>
      <c r="C485" s="3"/>
      <c r="D485" s="476" t="s">
        <v>120</v>
      </c>
      <c r="E485" s="477"/>
      <c r="F485" s="478" t="str">
        <f>IFERROR(VLOOKUP(A484,timetables,2,FALSE)&amp;" "&amp;VLOOKUP(A484,timetables,3,FALSE),"")</f>
        <v>Long Jump U15 Boys</v>
      </c>
      <c r="G485" s="479"/>
      <c r="H485" s="476" t="s">
        <v>121</v>
      </c>
      <c r="I485" s="480"/>
      <c r="J485" s="477"/>
      <c r="K485" s="481">
        <f>IFERROR(IF(A483=1,VLOOKUP(A484,Timetables!$A:$G,6,FALSE),VLOOKUP(A484,Timetables!$A:$G,7,FALSE)),"")</f>
        <v>0.64583333333333337</v>
      </c>
      <c r="L485" s="481" t="e">
        <v>#N/A</v>
      </c>
      <c r="M485" s="476" t="s">
        <v>150</v>
      </c>
      <c r="N485" s="477"/>
      <c r="O485" s="482" t="str">
        <f>IFERROR(VLOOKUP(A484,records,3,FALSE)&amp;", "&amp;VLOOKUP(A484,records,4,FALSE)&amp;", "&amp;VLOOKUP(A484,records,5,FALSE)&amp;", "&amp;VLOOKUP(A484,records,6,FALSE)&amp;", "&amp;VLOOKUP(A484,records,7,FALSE)&amp;" "&amp;VLOOKUP(A484,records,8,FALSE),"")</f>
        <v/>
      </c>
      <c r="P485" s="482"/>
      <c r="Q485" s="482"/>
      <c r="R485" s="482"/>
      <c r="S485" s="482"/>
      <c r="T485" s="482"/>
      <c r="U485" s="482"/>
      <c r="V485" s="482"/>
      <c r="W485" s="482"/>
      <c r="X485" s="482"/>
      <c r="Y485" s="482"/>
      <c r="Z485" s="482"/>
      <c r="AA485" s="482"/>
      <c r="AB485" s="483"/>
    </row>
    <row r="486" spans="1:33" s="4" customFormat="1" ht="32.1" customHeight="1" x14ac:dyDescent="0.25">
      <c r="A486" s="5" t="s">
        <v>251</v>
      </c>
      <c r="B486" s="10" t="str">
        <f>IFERROR(VLOOKUP($A486,fdistance,2,FALSE),"")</f>
        <v>T</v>
      </c>
      <c r="C486" s="10">
        <f>IFERROR(VLOOKUP($A486,fdistance,3,FALSE),"")</f>
        <v>61</v>
      </c>
      <c r="D486" s="31" t="s">
        <v>122</v>
      </c>
      <c r="E486" s="13" t="s">
        <v>123</v>
      </c>
      <c r="F486" s="13" t="s">
        <v>124</v>
      </c>
      <c r="G486" s="14" t="s">
        <v>125</v>
      </c>
      <c r="H486" s="484" t="s">
        <v>126</v>
      </c>
      <c r="I486" s="485"/>
      <c r="J486" s="485" t="s">
        <v>127</v>
      </c>
      <c r="K486" s="485"/>
      <c r="L486" s="485" t="s">
        <v>128</v>
      </c>
      <c r="M486" s="485"/>
      <c r="N486" s="485" t="s">
        <v>129</v>
      </c>
      <c r="O486" s="485"/>
      <c r="P486" s="486" t="s">
        <v>130</v>
      </c>
      <c r="Q486" s="485" t="s">
        <v>131</v>
      </c>
      <c r="R486" s="485"/>
      <c r="S486" s="485" t="s">
        <v>132</v>
      </c>
      <c r="T486" s="485"/>
      <c r="U486" s="485" t="s">
        <v>133</v>
      </c>
      <c r="V486" s="485"/>
      <c r="W486" s="488" t="s">
        <v>134</v>
      </c>
      <c r="X486" s="489"/>
      <c r="Y486" s="490" t="s">
        <v>135</v>
      </c>
      <c r="Z486" s="492" t="s">
        <v>136</v>
      </c>
      <c r="AA486" s="493"/>
      <c r="AB486" s="484"/>
    </row>
    <row r="487" spans="1:33" s="4" customFormat="1" x14ac:dyDescent="0.3">
      <c r="A487" s="121">
        <f>IFERROR(SEARCH("U17",F485),0)</f>
        <v>0</v>
      </c>
      <c r="B487" s="7" t="s">
        <v>53</v>
      </c>
      <c r="C487" s="7" t="s">
        <v>54</v>
      </c>
      <c r="D487" s="56"/>
      <c r="E487" s="56"/>
      <c r="F487" s="15"/>
      <c r="G487" s="16"/>
      <c r="H487" s="468" t="s">
        <v>137</v>
      </c>
      <c r="I487" s="469"/>
      <c r="J487" s="469" t="s">
        <v>137</v>
      </c>
      <c r="K487" s="469"/>
      <c r="L487" s="469" t="s">
        <v>137</v>
      </c>
      <c r="M487" s="469"/>
      <c r="N487" s="469" t="s">
        <v>137</v>
      </c>
      <c r="O487" s="469"/>
      <c r="P487" s="487"/>
      <c r="Q487" s="469" t="s">
        <v>137</v>
      </c>
      <c r="R487" s="469"/>
      <c r="S487" s="469" t="s">
        <v>137</v>
      </c>
      <c r="T487" s="469"/>
      <c r="U487" s="469" t="s">
        <v>137</v>
      </c>
      <c r="V487" s="469"/>
      <c r="W487" s="469" t="s">
        <v>137</v>
      </c>
      <c r="X487" s="466"/>
      <c r="Y487" s="491"/>
      <c r="Z487" s="55"/>
      <c r="AA487" s="55" t="s">
        <v>53</v>
      </c>
      <c r="AB487" s="55" t="s">
        <v>54</v>
      </c>
    </row>
    <row r="488" spans="1:33" s="4" customFormat="1" ht="16.149999999999999" customHeight="1" x14ac:dyDescent="0.35">
      <c r="A488" s="8">
        <f>IFERROR(IF(D488&gt;MatchDay!$U$2,"-",VLOOKUP(A484,timetables,MatchDay!$U$4,FALSE)),0)</f>
        <v>4</v>
      </c>
      <c r="B488" s="7" t="str">
        <f ca="1">AA488</f>
        <v/>
      </c>
      <c r="C488" s="7">
        <f ca="1">AB488</f>
        <v>3</v>
      </c>
      <c r="D488" s="56">
        <v>1</v>
      </c>
      <c r="E488" s="17">
        <f>A488</f>
        <v>4</v>
      </c>
      <c r="F488" s="319" t="str">
        <f>IFERROR(VLOOKUP($A484&amp;E488,downloads!$A$1:$E$1000,2,FALSE),"")</f>
        <v>Thomas WOOD</v>
      </c>
      <c r="G488" s="18" t="str">
        <f t="shared" ref="G488:G503" si="150">IFERROR(VLOOKUP(E488,teamlookup,5,FALSE),"-")</f>
        <v>Macc</v>
      </c>
      <c r="H488" s="464">
        <f ca="1">IFERROR(INDIRECT(CONCATENATE("'Distance Input'!"&amp;B486&amp;C486)),"")</f>
        <v>4.0199999999999996</v>
      </c>
      <c r="I488" s="465"/>
      <c r="J488" s="464">
        <v>0</v>
      </c>
      <c r="K488" s="465"/>
      <c r="L488" s="464">
        <v>0</v>
      </c>
      <c r="M488" s="465"/>
      <c r="N488" s="470">
        <f ca="1">H488</f>
        <v>4.0199999999999996</v>
      </c>
      <c r="O488" s="471"/>
      <c r="P488" s="55">
        <v>0</v>
      </c>
      <c r="Q488" s="472">
        <v>0</v>
      </c>
      <c r="R488" s="472"/>
      <c r="S488" s="472">
        <v>0</v>
      </c>
      <c r="T488" s="472"/>
      <c r="U488" s="472">
        <v>0</v>
      </c>
      <c r="V488" s="472"/>
      <c r="W488" s="464">
        <f ca="1">N488</f>
        <v>4.0199999999999996</v>
      </c>
      <c r="X488" s="465"/>
      <c r="Y488" s="55">
        <f ca="1">IF(OR(W488="",W488=0),0,IF(W488="X",MatchDay!$U$2+MatchDay!$U$2+1-COUNTIF(Distance!W488:W488,"X"),RANK(W488,$W488:$X503,0)))</f>
        <v>10</v>
      </c>
      <c r="Z488" s="19" t="str">
        <f ca="1">IFERROR(IF(Y488=0,0,IF(OR(VLOOKUP(AG488,E496:Y503,21,FALSE)=0,Y488&lt;=VLOOKUP(AG488,E496:Y503,21,FALSE)),"A","B")),"")</f>
        <v>B</v>
      </c>
      <c r="AA488" s="19" t="str">
        <f ca="1">IFERROR(IF(Z488="B","",RANK(AD488,AD488:AD503,1)),"")</f>
        <v/>
      </c>
      <c r="AB488" s="19">
        <f ca="1">IFERROR(IF(Z488="A","",RANK(AE488,AE488:AE503,1)),"")</f>
        <v>3</v>
      </c>
      <c r="AC488" s="8"/>
      <c r="AD488" s="9" t="str">
        <f ca="1">IF(OR(W488=0,Y488=0,Z488="B"),"",Y488)</f>
        <v/>
      </c>
      <c r="AE488" s="9">
        <f ca="1">IF(OR(W488=0,Y488=0,Z488="A"),"",Y488)</f>
        <v>10</v>
      </c>
      <c r="AF488" s="9" t="s">
        <v>138</v>
      </c>
      <c r="AG488" s="4">
        <f>IFERROR(IF(A487=0,E488*11,E488&amp;E488),"")</f>
        <v>44</v>
      </c>
    </row>
    <row r="489" spans="1:33" s="4" customFormat="1" ht="16.149999999999999" customHeight="1" x14ac:dyDescent="0.35">
      <c r="A489" s="8">
        <f>IFERROR(IF(D489&gt;MatchDay!$U$2,"-",VLOOKUP(A484,timetables,MatchDay!$U$4+1,FALSE)),0)</f>
        <v>2</v>
      </c>
      <c r="B489" s="7">
        <f t="shared" ref="B489:B503" ca="1" si="151">AA489</f>
        <v>1</v>
      </c>
      <c r="C489" s="7" t="str">
        <f t="shared" ref="C489:C503" ca="1" si="152">AB489</f>
        <v/>
      </c>
      <c r="D489" s="55">
        <v>2</v>
      </c>
      <c r="E489" s="17">
        <f t="shared" ref="E489:E503" si="153">A489</f>
        <v>2</v>
      </c>
      <c r="F489" s="319" t="str">
        <f>IFERROR(VLOOKUP($A484&amp;E489,downloads!$A$1:$E$1000,2,FALSE),"")</f>
        <v>Max ORMSTON</v>
      </c>
      <c r="G489" s="18" t="str">
        <f t="shared" si="150"/>
        <v>ECHT</v>
      </c>
      <c r="H489" s="464">
        <f ca="1">IFERROR(INDIRECT(CONCATENATE("'Distance Input'!"&amp;B486&amp;C486+1)),"")</f>
        <v>4.95</v>
      </c>
      <c r="I489" s="465"/>
      <c r="J489" s="464">
        <v>0</v>
      </c>
      <c r="K489" s="465"/>
      <c r="L489" s="464">
        <v>0</v>
      </c>
      <c r="M489" s="465"/>
      <c r="N489" s="470">
        <f t="shared" ref="N489:N503" ca="1" si="154">H489</f>
        <v>4.95</v>
      </c>
      <c r="O489" s="471"/>
      <c r="P489" s="55">
        <v>0</v>
      </c>
      <c r="Q489" s="472">
        <v>0</v>
      </c>
      <c r="R489" s="472"/>
      <c r="S489" s="472">
        <v>0</v>
      </c>
      <c r="T489" s="472"/>
      <c r="U489" s="472">
        <v>0</v>
      </c>
      <c r="V489" s="472"/>
      <c r="W489" s="464">
        <f t="shared" ref="W489:W503" ca="1" si="155">N489</f>
        <v>4.95</v>
      </c>
      <c r="X489" s="465"/>
      <c r="Y489" s="55">
        <f ca="1">IF(OR(W489="",W489=0),0,IF(W489="X",MatchDay!$U$2+MatchDay!$U$2+1-COUNTIF(Distance!W488:W489,"X"),RANK(W489,$W488:$X503,0)))</f>
        <v>1</v>
      </c>
      <c r="Z489" s="19" t="str">
        <f ca="1">IFERROR(IF(Y489=0,0,IF(OR(VLOOKUP(AG489,E496:Y503,21,FALSE)=0,Y489&lt;=VLOOKUP(AG489,E496:Y503,21,FALSE)),"A","B")),"")</f>
        <v>A</v>
      </c>
      <c r="AA489" s="19">
        <f ca="1">IFERROR(IF(Z489="B","",RANK(AD489,AD488:AD503,1)),"")</f>
        <v>1</v>
      </c>
      <c r="AB489" s="19" t="str">
        <f ca="1">IFERROR(IF(Z489="A","",RANK(AE489,AE488:AE503,1)),"")</f>
        <v/>
      </c>
      <c r="AC489" s="8"/>
      <c r="AD489" s="9">
        <f t="shared" ref="AD489:AD503" ca="1" si="156">IF(OR(W489=0,Y489=0,Z489="B"),"",Y489)</f>
        <v>1</v>
      </c>
      <c r="AE489" s="9" t="str">
        <f t="shared" ref="AE489:AE503" ca="1" si="157">IF(OR(W489=0,Y489=0,Z489="A"),"",Y489)</f>
        <v/>
      </c>
      <c r="AF489" s="9" t="s">
        <v>138</v>
      </c>
      <c r="AG489" s="4">
        <f>IFERROR(IF(A487=0,E489*11,E489&amp;E489),"")</f>
        <v>22</v>
      </c>
    </row>
    <row r="490" spans="1:33" s="4" customFormat="1" ht="16.149999999999999" customHeight="1" x14ac:dyDescent="0.35">
      <c r="A490" s="8">
        <f>IFERROR(IF(D490&gt;MatchDay!$U$2,"-",VLOOKUP(A484,timetables,MatchDay!$U$4+2,FALSE)),0)</f>
        <v>3</v>
      </c>
      <c r="B490" s="7">
        <f t="shared" ca="1" si="151"/>
        <v>3</v>
      </c>
      <c r="C490" s="7" t="str">
        <f t="shared" ca="1" si="152"/>
        <v/>
      </c>
      <c r="D490" s="55">
        <v>3</v>
      </c>
      <c r="E490" s="17">
        <f t="shared" si="153"/>
        <v>3</v>
      </c>
      <c r="F490" s="319" t="str">
        <f>IFERROR(VLOOKUP($A484&amp;E490,downloads!$A$1:$E$1000,2,FALSE),"")</f>
        <v>Hugo JAMES</v>
      </c>
      <c r="G490" s="18" t="str">
        <f t="shared" si="150"/>
        <v>Leigh</v>
      </c>
      <c r="H490" s="464">
        <f ca="1">IFERROR(INDIRECT(CONCATENATE("'Distance Input'!"&amp;B486&amp;C486+2)),"")</f>
        <v>4.66</v>
      </c>
      <c r="I490" s="465"/>
      <c r="J490" s="464">
        <v>0</v>
      </c>
      <c r="K490" s="465"/>
      <c r="L490" s="464">
        <v>0</v>
      </c>
      <c r="M490" s="465"/>
      <c r="N490" s="470">
        <f t="shared" ca="1" si="154"/>
        <v>4.66</v>
      </c>
      <c r="O490" s="471"/>
      <c r="P490" s="55">
        <v>0</v>
      </c>
      <c r="Q490" s="472">
        <v>0</v>
      </c>
      <c r="R490" s="472"/>
      <c r="S490" s="472">
        <v>0</v>
      </c>
      <c r="T490" s="472"/>
      <c r="U490" s="472">
        <v>0</v>
      </c>
      <c r="V490" s="472"/>
      <c r="W490" s="464">
        <f t="shared" ca="1" si="155"/>
        <v>4.66</v>
      </c>
      <c r="X490" s="465"/>
      <c r="Y490" s="55">
        <f ca="1">IF(OR(W490="",W490=0),0,IF(W490="X",MatchDay!$U$2+MatchDay!$U$2+1-COUNTIF(Distance!W488:W490,"X"),RANK(W490,$W488:$X503,0)))</f>
        <v>3</v>
      </c>
      <c r="Z490" s="19" t="str">
        <f ca="1">IFERROR(IF(Y490=0,0,IF(OR(VLOOKUP(AG490,E496:Y503,21,FALSE)=0,Y490&lt;=VLOOKUP(AG490,E496:Y503,21,FALSE)),"A","B")),"")</f>
        <v>A</v>
      </c>
      <c r="AA490" s="19">
        <f ca="1">IFERROR(IF(Z490="B","",RANK(AD490,AD488:AD503,1)),"")</f>
        <v>3</v>
      </c>
      <c r="AB490" s="19" t="str">
        <f ca="1">IFERROR(IF(Z490="A","",RANK(AE490,AE488:AE503,1)),"")</f>
        <v/>
      </c>
      <c r="AD490" s="9">
        <f t="shared" ca="1" si="156"/>
        <v>3</v>
      </c>
      <c r="AE490" s="9" t="str">
        <f t="shared" ca="1" si="157"/>
        <v/>
      </c>
      <c r="AF490" s="9" t="s">
        <v>138</v>
      </c>
      <c r="AG490" s="4">
        <f>IFERROR(IF(A487=0,E490*11,E490&amp;E490),"")</f>
        <v>33</v>
      </c>
    </row>
    <row r="491" spans="1:33" s="4" customFormat="1" ht="16.149999999999999" customHeight="1" x14ac:dyDescent="0.35">
      <c r="A491" s="8">
        <f>IFERROR(IF(D491&gt;MatchDay!$U$2,"-",VLOOKUP(A484,timetables,MatchDay!$U$4+3,FALSE)),0)</f>
        <v>1</v>
      </c>
      <c r="B491" s="7">
        <f t="shared" ca="1" si="151"/>
        <v>4</v>
      </c>
      <c r="C491" s="7" t="str">
        <f t="shared" ca="1" si="152"/>
        <v/>
      </c>
      <c r="D491" s="55">
        <v>4</v>
      </c>
      <c r="E491" s="17">
        <f t="shared" si="153"/>
        <v>1</v>
      </c>
      <c r="F491" s="319" t="str">
        <f>IFERROR(VLOOKUP($A484&amp;E491,downloads!$A$1:$E$1000,2,FALSE),"")</f>
        <v>Isaac PICKERING</v>
      </c>
      <c r="G491" s="18" t="str">
        <f t="shared" si="150"/>
        <v>C&amp;N</v>
      </c>
      <c r="H491" s="464">
        <f ca="1">IFERROR(INDIRECT(CONCATENATE("'Distance Input'!"&amp;B486&amp;C486+3)),"")</f>
        <v>4.63</v>
      </c>
      <c r="I491" s="465"/>
      <c r="J491" s="464">
        <v>0</v>
      </c>
      <c r="K491" s="465"/>
      <c r="L491" s="464">
        <v>0</v>
      </c>
      <c r="M491" s="465"/>
      <c r="N491" s="470">
        <f t="shared" ca="1" si="154"/>
        <v>4.63</v>
      </c>
      <c r="O491" s="471"/>
      <c r="P491" s="55">
        <v>0</v>
      </c>
      <c r="Q491" s="472">
        <v>0</v>
      </c>
      <c r="R491" s="472"/>
      <c r="S491" s="472">
        <v>0</v>
      </c>
      <c r="T491" s="472"/>
      <c r="U491" s="472">
        <v>0</v>
      </c>
      <c r="V491" s="472"/>
      <c r="W491" s="464">
        <f t="shared" ca="1" si="155"/>
        <v>4.63</v>
      </c>
      <c r="X491" s="465"/>
      <c r="Y491" s="55">
        <f ca="1">IF(OR(W491="",W491=0),0,IF(W491="X",MatchDay!$U$2+MatchDay!$U$2+1-COUNTIF(Distance!W488:W491,"X"),RANK(W491,$W488:$X503,0)))</f>
        <v>4</v>
      </c>
      <c r="Z491" s="19" t="str">
        <f ca="1">IFERROR(IF(Y491=0,0,IF(OR(VLOOKUP(AG491,E496:Y503,21,FALSE)=0,Y491&lt;=VLOOKUP(AG491,E496:Y503,21,FALSE)),"A","B")),"")</f>
        <v>A</v>
      </c>
      <c r="AA491" s="19">
        <f ca="1">IFERROR(IF(Z491="B","",RANK(AD491,AD488:AD503,1)),"")</f>
        <v>4</v>
      </c>
      <c r="AB491" s="19" t="str">
        <f ca="1">IFERROR(IF(Z491="A","",RANK(AE491,AE488:AE503,1)),"")</f>
        <v/>
      </c>
      <c r="AD491" s="9">
        <f t="shared" ca="1" si="156"/>
        <v>4</v>
      </c>
      <c r="AE491" s="9" t="str">
        <f t="shared" ca="1" si="157"/>
        <v/>
      </c>
      <c r="AF491" s="9" t="s">
        <v>138</v>
      </c>
      <c r="AG491" s="4">
        <f>IFERROR(IF(A487=0,E491*11,E491&amp;E491),"")</f>
        <v>11</v>
      </c>
    </row>
    <row r="492" spans="1:33" s="4" customFormat="1" ht="16.149999999999999" customHeight="1" x14ac:dyDescent="0.35">
      <c r="A492" s="8">
        <f>IFERROR(IF(D492&gt;MatchDay!$U$2,"-",VLOOKUP(A484,timetables,MatchDay!$U$4+4,FALSE)),0)</f>
        <v>7</v>
      </c>
      <c r="B492" s="7">
        <f t="shared" ca="1" si="151"/>
        <v>6</v>
      </c>
      <c r="C492" s="7" t="str">
        <f t="shared" ca="1" si="152"/>
        <v/>
      </c>
      <c r="D492" s="55">
        <v>5</v>
      </c>
      <c r="E492" s="17">
        <f t="shared" si="153"/>
        <v>7</v>
      </c>
      <c r="F492" s="319" t="str">
        <f>IFERROR(VLOOKUP($A484&amp;E492,downloads!$A$1:$E$1000,2,FALSE),"")</f>
        <v>Joshua ROBERTS</v>
      </c>
      <c r="G492" s="18" t="str">
        <f t="shared" si="150"/>
        <v>Wigan</v>
      </c>
      <c r="H492" s="464">
        <f ca="1">IFERROR(INDIRECT(CONCATENATE("'Distance Input'!"&amp;B486&amp;C486+4)),"")</f>
        <v>4.3099999999999996</v>
      </c>
      <c r="I492" s="465"/>
      <c r="J492" s="464">
        <v>0</v>
      </c>
      <c r="K492" s="465"/>
      <c r="L492" s="464">
        <v>0</v>
      </c>
      <c r="M492" s="465"/>
      <c r="N492" s="470">
        <f t="shared" ca="1" si="154"/>
        <v>4.3099999999999996</v>
      </c>
      <c r="O492" s="471"/>
      <c r="P492" s="55">
        <v>0</v>
      </c>
      <c r="Q492" s="472">
        <v>0</v>
      </c>
      <c r="R492" s="472"/>
      <c r="S492" s="472">
        <v>0</v>
      </c>
      <c r="T492" s="472"/>
      <c r="U492" s="472">
        <v>0</v>
      </c>
      <c r="V492" s="472"/>
      <c r="W492" s="464">
        <f t="shared" ca="1" si="155"/>
        <v>4.3099999999999996</v>
      </c>
      <c r="X492" s="465"/>
      <c r="Y492" s="55">
        <f ca="1">IF(OR(W492="",W492=0),0,IF(W492="X",MatchDay!$U$2+MatchDay!$U$2+1-COUNTIF(Distance!W488:W492,"X"),RANK(W492,$W488:$X503,0)))</f>
        <v>7</v>
      </c>
      <c r="Z492" s="19" t="str">
        <f ca="1">IFERROR(IF(Y492=0,0,IF(OR(VLOOKUP(AG492,E496:Y503,21,FALSE)=0,Y492&lt;=VLOOKUP(AG492,E496:Y503,21,FALSE)),"A","B")),"")</f>
        <v>A</v>
      </c>
      <c r="AA492" s="19">
        <f ca="1">IFERROR(IF(Z492="B","",RANK(AD492,AD488:AD503,1)),"")</f>
        <v>6</v>
      </c>
      <c r="AB492" s="19" t="str">
        <f ca="1">IFERROR(IF(Z492="A","",RANK(AE492,AE488:AE503,1)),"")</f>
        <v/>
      </c>
      <c r="AD492" s="9">
        <f t="shared" ca="1" si="156"/>
        <v>7</v>
      </c>
      <c r="AE492" s="9" t="str">
        <f t="shared" ca="1" si="157"/>
        <v/>
      </c>
      <c r="AF492" s="9" t="s">
        <v>138</v>
      </c>
      <c r="AG492" s="4">
        <f>IFERROR(IF(A487=0,E492*11,E492&amp;E492),"")</f>
        <v>77</v>
      </c>
    </row>
    <row r="493" spans="1:33" s="4" customFormat="1" ht="16.149999999999999" customHeight="1" x14ac:dyDescent="0.35">
      <c r="A493" s="8">
        <f>IFERROR(IF(D493&gt;MatchDay!$U$2,"-",VLOOKUP(A484,timetables,MatchDay!$U$4+5,FALSE)),0)</f>
        <v>5</v>
      </c>
      <c r="B493" s="7">
        <f t="shared" ca="1" si="151"/>
        <v>2</v>
      </c>
      <c r="C493" s="7" t="str">
        <f t="shared" ca="1" si="152"/>
        <v/>
      </c>
      <c r="D493" s="55">
        <v>6</v>
      </c>
      <c r="E493" s="17">
        <f t="shared" si="153"/>
        <v>5</v>
      </c>
      <c r="F493" s="319" t="str">
        <f>IFERROR(VLOOKUP($A484&amp;E493,downloads!$A$1:$E$1000,2,FALSE),"")</f>
        <v>Morgan JONES</v>
      </c>
      <c r="G493" s="18" t="str">
        <f t="shared" si="150"/>
        <v>Menai</v>
      </c>
      <c r="H493" s="464">
        <f ca="1">IFERROR(INDIRECT(CONCATENATE("'Distance Input'!"&amp;B486&amp;C486+5)),"")</f>
        <v>4.75</v>
      </c>
      <c r="I493" s="465"/>
      <c r="J493" s="464">
        <v>0</v>
      </c>
      <c r="K493" s="465"/>
      <c r="L493" s="464">
        <v>0</v>
      </c>
      <c r="M493" s="465"/>
      <c r="N493" s="470">
        <f t="shared" ca="1" si="154"/>
        <v>4.75</v>
      </c>
      <c r="O493" s="471"/>
      <c r="P493" s="55">
        <v>0</v>
      </c>
      <c r="Q493" s="472">
        <v>0</v>
      </c>
      <c r="R493" s="472"/>
      <c r="S493" s="472">
        <v>0</v>
      </c>
      <c r="T493" s="472"/>
      <c r="U493" s="472">
        <v>0</v>
      </c>
      <c r="V493" s="472"/>
      <c r="W493" s="464">
        <f t="shared" ca="1" si="155"/>
        <v>4.75</v>
      </c>
      <c r="X493" s="465"/>
      <c r="Y493" s="55">
        <f ca="1">IF(OR(W493="",W493=0),0,IF(W493="X",MatchDay!$U$2+MatchDay!$U$2+1-COUNTIF(Distance!W488:W493,"X"),RANK(W493,$W488:$X503,0)))</f>
        <v>2</v>
      </c>
      <c r="Z493" s="19" t="str">
        <f ca="1">IFERROR(IF(Y493=0,0,IF(OR(VLOOKUP(AG493,E496:Y503,21,FALSE)=0,Y493&lt;=VLOOKUP(AG493,E496:Y503,21,FALSE)),"A","B")),"")</f>
        <v>A</v>
      </c>
      <c r="AA493" s="19">
        <f ca="1">IFERROR(IF(Z493="B","",RANK(AD493,AD488:AD503,1)),"")</f>
        <v>2</v>
      </c>
      <c r="AB493" s="19" t="str">
        <f ca="1">IFERROR(IF(Z493="A","",RANK(AE493,AE488:AE503,1)),"")</f>
        <v/>
      </c>
      <c r="AD493" s="9">
        <f t="shared" ca="1" si="156"/>
        <v>2</v>
      </c>
      <c r="AE493" s="9" t="str">
        <f t="shared" ca="1" si="157"/>
        <v/>
      </c>
      <c r="AF493" s="9" t="s">
        <v>138</v>
      </c>
      <c r="AG493" s="4">
        <f>IFERROR(IF(A487=0,E493*11,E493&amp;E493),"")</f>
        <v>55</v>
      </c>
    </row>
    <row r="494" spans="1:33" s="4" customFormat="1" ht="16.149999999999999" customHeight="1" x14ac:dyDescent="0.35">
      <c r="A494" s="8">
        <f>IFERROR(IF(D494&gt;MatchDay!$U$2,"-",VLOOKUP(A484,timetables,MatchDay!$U$4+6,FALSE)),0)</f>
        <v>6</v>
      </c>
      <c r="B494" s="7">
        <f t="shared" ca="1" si="151"/>
        <v>5</v>
      </c>
      <c r="C494" s="7" t="str">
        <f t="shared" ca="1" si="152"/>
        <v/>
      </c>
      <c r="D494" s="55">
        <v>7</v>
      </c>
      <c r="E494" s="17">
        <f t="shared" si="153"/>
        <v>6</v>
      </c>
      <c r="F494" s="319" t="str">
        <f>IFERROR(VLOOKUP($A484&amp;E494,downloads!$A$1:$E$1000,2,FALSE),"")</f>
        <v>Quaid SIN</v>
      </c>
      <c r="G494" s="18" t="str">
        <f t="shared" si="150"/>
        <v>Stock</v>
      </c>
      <c r="H494" s="464">
        <f ca="1">IFERROR(INDIRECT(CONCATENATE("'Distance Input'!"&amp;B486&amp;C486+6)),"")</f>
        <v>4.3600000000000003</v>
      </c>
      <c r="I494" s="465"/>
      <c r="J494" s="464">
        <v>0</v>
      </c>
      <c r="K494" s="465"/>
      <c r="L494" s="464">
        <v>0</v>
      </c>
      <c r="M494" s="465"/>
      <c r="N494" s="470">
        <f t="shared" ca="1" si="154"/>
        <v>4.3600000000000003</v>
      </c>
      <c r="O494" s="471"/>
      <c r="P494" s="55">
        <v>0</v>
      </c>
      <c r="Q494" s="472">
        <v>0</v>
      </c>
      <c r="R494" s="472"/>
      <c r="S494" s="472">
        <v>0</v>
      </c>
      <c r="T494" s="472"/>
      <c r="U494" s="472">
        <v>0</v>
      </c>
      <c r="V494" s="472"/>
      <c r="W494" s="464">
        <f t="shared" ca="1" si="155"/>
        <v>4.3600000000000003</v>
      </c>
      <c r="X494" s="465"/>
      <c r="Y494" s="55">
        <f ca="1">IF(OR(W494="",W494=0),0,IF(W494="X",MatchDay!$U$2+MatchDay!$U$2+1-COUNTIF(Distance!W488:W494,"X"),RANK(W494,$W488:$X503,0)))</f>
        <v>6</v>
      </c>
      <c r="Z494" s="19" t="str">
        <f ca="1">IFERROR(IF(Y494=0,0,IF(OR(VLOOKUP(AG494,E496:Y503,21,FALSE)=0,Y494&lt;=VLOOKUP(AG494,E496:Y503,21,FALSE)),"A","B")),"")</f>
        <v>A</v>
      </c>
      <c r="AA494" s="19">
        <f ca="1">IFERROR(IF(Z494="B","",RANK(AD494,AD488:AD503,1)),"")</f>
        <v>5</v>
      </c>
      <c r="AB494" s="19" t="str">
        <f ca="1">IFERROR(IF(Z494="A","",RANK(AE494,AE488:AE503,1)),"")</f>
        <v/>
      </c>
      <c r="AD494" s="9">
        <f t="shared" ca="1" si="156"/>
        <v>6</v>
      </c>
      <c r="AE494" s="9" t="str">
        <f t="shared" ca="1" si="157"/>
        <v/>
      </c>
      <c r="AF494" s="9" t="s">
        <v>138</v>
      </c>
      <c r="AG494" s="4">
        <f>IFERROR(IF(A487=0,E494*11,E494&amp;E494),"")</f>
        <v>66</v>
      </c>
    </row>
    <row r="495" spans="1:33" s="4" customFormat="1" ht="16.149999999999999" customHeight="1" x14ac:dyDescent="0.35">
      <c r="A495" s="8" t="str">
        <f>IFERROR(IF(D495&gt;MatchDay!$U$2,"-",VLOOKUP(A484,timetables,MatchDay!$U$4+7,FALSE)),0)</f>
        <v>-</v>
      </c>
      <c r="B495" s="7" t="str">
        <f t="shared" ca="1" si="151"/>
        <v/>
      </c>
      <c r="C495" s="7" t="str">
        <f t="shared" ca="1" si="152"/>
        <v/>
      </c>
      <c r="D495" s="55">
        <v>8</v>
      </c>
      <c r="E495" s="17" t="str">
        <f t="shared" si="153"/>
        <v>-</v>
      </c>
      <c r="F495" s="319" t="str">
        <f>IFERROR(VLOOKUP($A484&amp;E495,downloads!$A$1:$E$1000,2,FALSE),"")</f>
        <v/>
      </c>
      <c r="G495" s="18" t="str">
        <f t="shared" si="150"/>
        <v/>
      </c>
      <c r="H495" s="464">
        <f ca="1">IFERROR(INDIRECT(CONCATENATE("'Distance Input'!"&amp;B486&amp;C486+7)),"")</f>
        <v>0</v>
      </c>
      <c r="I495" s="465"/>
      <c r="J495" s="464">
        <v>0</v>
      </c>
      <c r="K495" s="465"/>
      <c r="L495" s="464">
        <v>0</v>
      </c>
      <c r="M495" s="465"/>
      <c r="N495" s="470">
        <f t="shared" ca="1" si="154"/>
        <v>0</v>
      </c>
      <c r="O495" s="471"/>
      <c r="P495" s="55">
        <v>0</v>
      </c>
      <c r="Q495" s="472">
        <v>0</v>
      </c>
      <c r="R495" s="472"/>
      <c r="S495" s="472">
        <v>0</v>
      </c>
      <c r="T495" s="472"/>
      <c r="U495" s="472">
        <v>0</v>
      </c>
      <c r="V495" s="472"/>
      <c r="W495" s="464">
        <f t="shared" ca="1" si="155"/>
        <v>0</v>
      </c>
      <c r="X495" s="465"/>
      <c r="Y495" s="55">
        <f ca="1">IF(OR(W495="",W495=0),0,IF(W495="X",MatchDay!$U$2+MatchDay!$U$2+1-COUNTIF(Distance!W488:W495,"X"),RANK(W495,$W488:$X503,0)))</f>
        <v>0</v>
      </c>
      <c r="Z495" s="19">
        <f ca="1">IFERROR(IF(Y495=0,0,IF(OR(VLOOKUP(AG495,E496:Y503,21,FALSE)=0,Y495&lt;=VLOOKUP(AG495,E496:Y503,21,FALSE)),"A","B")),"")</f>
        <v>0</v>
      </c>
      <c r="AA495" s="19" t="str">
        <f ca="1">IFERROR(IF(Z495="B","",RANK(AD495,AD488:AD503,1)),"")</f>
        <v/>
      </c>
      <c r="AB495" s="19" t="str">
        <f ca="1">IFERROR(IF(Z495="A","",RANK(AE495,AE488:AE503,1)),"")</f>
        <v/>
      </c>
      <c r="AD495" s="9" t="str">
        <f t="shared" ca="1" si="156"/>
        <v/>
      </c>
      <c r="AE495" s="9" t="str">
        <f t="shared" ca="1" si="157"/>
        <v/>
      </c>
      <c r="AF495" s="9" t="s">
        <v>138</v>
      </c>
      <c r="AG495" s="4" t="str">
        <f>IFERROR(IF(A487=0,E495*11,E495&amp;E495),"")</f>
        <v/>
      </c>
    </row>
    <row r="496" spans="1:33" s="4" customFormat="1" ht="16.149999999999999" customHeight="1" x14ac:dyDescent="0.35">
      <c r="A496" s="8">
        <f>IFERROR(IF(A487=0,A488*11,A488&amp;A488),"-")</f>
        <v>44</v>
      </c>
      <c r="B496" s="7">
        <f t="shared" ca="1" si="151"/>
        <v>7</v>
      </c>
      <c r="C496" s="7" t="str">
        <f t="shared" ca="1" si="152"/>
        <v/>
      </c>
      <c r="D496" s="55">
        <v>9</v>
      </c>
      <c r="E496" s="17">
        <f t="shared" si="153"/>
        <v>44</v>
      </c>
      <c r="F496" s="319" t="str">
        <f>IFERROR(VLOOKUP($A484&amp;E496,downloads!$A$1:$E$1000,2,FALSE),"")</f>
        <v>Will HAMMOND</v>
      </c>
      <c r="G496" s="18" t="str">
        <f t="shared" si="150"/>
        <v>Macc</v>
      </c>
      <c r="H496" s="464">
        <f ca="1">IFERROR(INDIRECT(CONCATENATE("'Distance Input'!"&amp;B486&amp;C486+8)),"")</f>
        <v>4.07</v>
      </c>
      <c r="I496" s="465"/>
      <c r="J496" s="464">
        <v>0</v>
      </c>
      <c r="K496" s="465"/>
      <c r="L496" s="464">
        <v>0</v>
      </c>
      <c r="M496" s="465"/>
      <c r="N496" s="470">
        <f t="shared" ca="1" si="154"/>
        <v>4.07</v>
      </c>
      <c r="O496" s="471"/>
      <c r="P496" s="55">
        <v>0</v>
      </c>
      <c r="Q496" s="472">
        <v>0</v>
      </c>
      <c r="R496" s="472"/>
      <c r="S496" s="472">
        <v>0</v>
      </c>
      <c r="T496" s="472"/>
      <c r="U496" s="472">
        <v>0</v>
      </c>
      <c r="V496" s="472"/>
      <c r="W496" s="464">
        <f t="shared" ca="1" si="155"/>
        <v>4.07</v>
      </c>
      <c r="X496" s="465"/>
      <c r="Y496" s="55">
        <f ca="1">IF(OR(W496="",W496=0),0,IF(W496="X",MatchDay!$U$2+MatchDay!$U$2+1-COUNTIF(Distance!W488:W496,"X"),RANK(W496,$W488:$X503,0)))</f>
        <v>9</v>
      </c>
      <c r="Z496" s="19" t="str">
        <f ca="1">IFERROR(IF(Y496=0,0,IF(VLOOKUP(AG496,E488:Y495,21,FALSE)=0,"A",IF(Y496&gt;=VLOOKUP(AG496,E488:Y495,21,FALSE),"B","A"))),"")</f>
        <v>A</v>
      </c>
      <c r="AA496" s="19">
        <f ca="1">IFERROR(IF(Z496="B","",RANK(AD496,AD488:AD503,1)),"")</f>
        <v>7</v>
      </c>
      <c r="AB496" s="19" t="str">
        <f ca="1">IFERROR(IF(Z496="A","",RANK(AE496,AE488:AE503,1)),"")</f>
        <v/>
      </c>
      <c r="AD496" s="9">
        <f t="shared" ca="1" si="156"/>
        <v>9</v>
      </c>
      <c r="AE496" s="9" t="str">
        <f t="shared" ca="1" si="157"/>
        <v/>
      </c>
      <c r="AF496" s="9" t="s">
        <v>138</v>
      </c>
      <c r="AG496" s="4">
        <f>IFERROR(IF(A487=0,E496/11,LEFT(E496,1)),"")</f>
        <v>4</v>
      </c>
    </row>
    <row r="497" spans="1:33" s="4" customFormat="1" ht="16.149999999999999" customHeight="1" x14ac:dyDescent="0.35">
      <c r="A497" s="8">
        <f>IFERROR(IF(A487=0,A489*11,A489&amp;A489),"-")</f>
        <v>22</v>
      </c>
      <c r="B497" s="7" t="str">
        <f t="shared" ca="1" si="151"/>
        <v/>
      </c>
      <c r="C497" s="7">
        <f t="shared" ca="1" si="152"/>
        <v>7</v>
      </c>
      <c r="D497" s="55">
        <v>10</v>
      </c>
      <c r="E497" s="17">
        <f t="shared" si="153"/>
        <v>22</v>
      </c>
      <c r="F497" s="319" t="str">
        <f>IFERROR(VLOOKUP($A484&amp;E497,downloads!$A$1:$E$1000,2,FALSE),"")</f>
        <v>Alfie MILLINGTON</v>
      </c>
      <c r="G497" s="18" t="str">
        <f t="shared" si="150"/>
        <v>ECHT</v>
      </c>
      <c r="H497" s="464">
        <f ca="1">IFERROR(INDIRECT(CONCATENATE("'Distance Input'!"&amp;B486&amp;C486+9)),"")</f>
        <v>3</v>
      </c>
      <c r="I497" s="465"/>
      <c r="J497" s="464">
        <v>0</v>
      </c>
      <c r="K497" s="465"/>
      <c r="L497" s="464">
        <v>0</v>
      </c>
      <c r="M497" s="465"/>
      <c r="N497" s="470">
        <f t="shared" ca="1" si="154"/>
        <v>3</v>
      </c>
      <c r="O497" s="471"/>
      <c r="P497" s="55">
        <v>0</v>
      </c>
      <c r="Q497" s="472">
        <v>0</v>
      </c>
      <c r="R497" s="472"/>
      <c r="S497" s="472">
        <v>0</v>
      </c>
      <c r="T497" s="472"/>
      <c r="U497" s="472">
        <v>0</v>
      </c>
      <c r="V497" s="472"/>
      <c r="W497" s="464">
        <f t="shared" ca="1" si="155"/>
        <v>3</v>
      </c>
      <c r="X497" s="465"/>
      <c r="Y497" s="55">
        <f ca="1">IF(OR(W497="",W497=0),0,IF(W497="X",MatchDay!$U$2+MatchDay!$U$2+1-COUNTIF(Distance!W488:W497,"X"),RANK(W497,$W488:$X503,0)))</f>
        <v>14</v>
      </c>
      <c r="Z497" s="19" t="str">
        <f ca="1">IFERROR(IF(Y497=0,0,IF(VLOOKUP(AG497,E488:Y495,21,FALSE)=0,"A",IF(Y497&gt;=VLOOKUP(AG497,E488:Y495,21,FALSE),"B","A"))),"")</f>
        <v>B</v>
      </c>
      <c r="AA497" s="19" t="str">
        <f ca="1">IFERROR(IF(Z497="B","",RANK(AD497,AD488:AD503,1)),"")</f>
        <v/>
      </c>
      <c r="AB497" s="19">
        <f ca="1">IFERROR(IF(Z497="A","",RANK(AE497,AE488:AE503,1)),"")</f>
        <v>7</v>
      </c>
      <c r="AD497" s="9" t="str">
        <f t="shared" ca="1" si="156"/>
        <v/>
      </c>
      <c r="AE497" s="9">
        <f t="shared" ca="1" si="157"/>
        <v>14</v>
      </c>
      <c r="AF497" s="9" t="s">
        <v>138</v>
      </c>
      <c r="AG497" s="4">
        <f>IFERROR(IF(A487=0,E497/11,LEFT(E497,1)),"")</f>
        <v>2</v>
      </c>
    </row>
    <row r="498" spans="1:33" s="4" customFormat="1" ht="16.149999999999999" customHeight="1" x14ac:dyDescent="0.35">
      <c r="A498" s="8">
        <f>IFERROR(IF(A487=0,A490*11,A490&amp;A490),"-")</f>
        <v>33</v>
      </c>
      <c r="B498" s="7" t="str">
        <f t="shared" ca="1" si="151"/>
        <v/>
      </c>
      <c r="C498" s="7">
        <f t="shared" ca="1" si="152"/>
        <v>6</v>
      </c>
      <c r="D498" s="55">
        <v>11</v>
      </c>
      <c r="E498" s="17">
        <f t="shared" si="153"/>
        <v>33</v>
      </c>
      <c r="F498" s="319" t="str">
        <f>IFERROR(VLOOKUP($A484&amp;E498,downloads!$A$1:$E$1000,2,FALSE),"")</f>
        <v>Ben JAYATILLEKE</v>
      </c>
      <c r="G498" s="18" t="str">
        <f t="shared" si="150"/>
        <v>Leigh</v>
      </c>
      <c r="H498" s="464">
        <f ca="1">IFERROR(INDIRECT(CONCATENATE("'Distance Input'!"&amp;B486&amp;C486+10)),"")</f>
        <v>3.4</v>
      </c>
      <c r="I498" s="465"/>
      <c r="J498" s="464">
        <v>0</v>
      </c>
      <c r="K498" s="465"/>
      <c r="L498" s="464">
        <v>0</v>
      </c>
      <c r="M498" s="465"/>
      <c r="N498" s="470">
        <f t="shared" ca="1" si="154"/>
        <v>3.4</v>
      </c>
      <c r="O498" s="471"/>
      <c r="P498" s="55">
        <v>0</v>
      </c>
      <c r="Q498" s="472">
        <v>0</v>
      </c>
      <c r="R498" s="472"/>
      <c r="S498" s="472">
        <v>0</v>
      </c>
      <c r="T498" s="472"/>
      <c r="U498" s="472">
        <v>0</v>
      </c>
      <c r="V498" s="472"/>
      <c r="W498" s="464">
        <f t="shared" ca="1" si="155"/>
        <v>3.4</v>
      </c>
      <c r="X498" s="465"/>
      <c r="Y498" s="55">
        <f ca="1">IF(OR(W498="",W498=0),0,IF(W498="X",MatchDay!$U$2+MatchDay!$U$2+1-COUNTIF(Distance!W488:W498,"X"),RANK(W498,$W488:$X503,0)))</f>
        <v>13</v>
      </c>
      <c r="Z498" s="19" t="str">
        <f ca="1">IFERROR(IF(Y498=0,0,IF(VLOOKUP(AG498,E488:Y495,21,FALSE)=0,"A",IF(Y498&gt;=VLOOKUP(AG498,E488:Y495,21,FALSE),"B","A"))),"")</f>
        <v>B</v>
      </c>
      <c r="AA498" s="19" t="str">
        <f ca="1">IFERROR(IF(Z498="B","",RANK(AD498,AD488:AD503,1)),"")</f>
        <v/>
      </c>
      <c r="AB498" s="19">
        <f ca="1">IFERROR(IF(Z498="A","",RANK(AE498,AE488:AE503,1)),"")</f>
        <v>6</v>
      </c>
      <c r="AD498" s="9" t="str">
        <f t="shared" ca="1" si="156"/>
        <v/>
      </c>
      <c r="AE498" s="9">
        <f t="shared" ca="1" si="157"/>
        <v>13</v>
      </c>
      <c r="AF498" s="9" t="s">
        <v>138</v>
      </c>
      <c r="AG498" s="4">
        <f>IFERROR(IF(A487=0,E498/11,LEFT(E498,1)),"")</f>
        <v>3</v>
      </c>
    </row>
    <row r="499" spans="1:33" s="4" customFormat="1" ht="16.149999999999999" customHeight="1" x14ac:dyDescent="0.35">
      <c r="A499" s="8">
        <f>IFERROR(IF(A487=0,A491*11,A491&amp;A491),"-")</f>
        <v>11</v>
      </c>
      <c r="B499" s="7" t="str">
        <f t="shared" ca="1" si="151"/>
        <v/>
      </c>
      <c r="C499" s="7">
        <f t="shared" ca="1" si="152"/>
        <v>1</v>
      </c>
      <c r="D499" s="55">
        <v>12</v>
      </c>
      <c r="E499" s="17">
        <f t="shared" si="153"/>
        <v>11</v>
      </c>
      <c r="F499" s="319" t="str">
        <f>IFERROR(VLOOKUP($A484&amp;E499,downloads!$A$1:$E$1000,2,FALSE),"")</f>
        <v>William CATTELL</v>
      </c>
      <c r="G499" s="18" t="str">
        <f t="shared" si="150"/>
        <v>C&amp;N</v>
      </c>
      <c r="H499" s="464">
        <f ca="1">IFERROR(INDIRECT(CONCATENATE("'Distance Input'!"&amp;B486&amp;C486+11)),"")</f>
        <v>4.5</v>
      </c>
      <c r="I499" s="465"/>
      <c r="J499" s="464">
        <v>0</v>
      </c>
      <c r="K499" s="465"/>
      <c r="L499" s="464">
        <v>0</v>
      </c>
      <c r="M499" s="465"/>
      <c r="N499" s="470">
        <f t="shared" ca="1" si="154"/>
        <v>4.5</v>
      </c>
      <c r="O499" s="471"/>
      <c r="P499" s="55">
        <v>0</v>
      </c>
      <c r="Q499" s="472">
        <v>0</v>
      </c>
      <c r="R499" s="472"/>
      <c r="S499" s="472">
        <v>0</v>
      </c>
      <c r="T499" s="472"/>
      <c r="U499" s="472">
        <v>0</v>
      </c>
      <c r="V499" s="472"/>
      <c r="W499" s="464">
        <f t="shared" ca="1" si="155"/>
        <v>4.5</v>
      </c>
      <c r="X499" s="465"/>
      <c r="Y499" s="55">
        <f ca="1">IF(OR(W499="",W499=0),0,IF(W499="X",MatchDay!$U$2+MatchDay!$U$2+1-COUNTIF(Distance!W488:W499,"X"),RANK(W499,$W488:$X503,0)))</f>
        <v>5</v>
      </c>
      <c r="Z499" s="19" t="str">
        <f ca="1">IFERROR(IF(Y499=0,0,IF(VLOOKUP(AG499,E488:Y495,21,FALSE)=0,"A",IF(Y499&gt;=VLOOKUP(AG499,E488:Y495,21,FALSE),"B","A"))),"")</f>
        <v>B</v>
      </c>
      <c r="AA499" s="19" t="str">
        <f ca="1">IFERROR(IF(Z499="B","",RANK(AD499,AD488:AD503,1)),"")</f>
        <v/>
      </c>
      <c r="AB499" s="19">
        <f ca="1">IFERROR(IF(Z499="A","",RANK(AE499,AE488:AE503,1)),"")</f>
        <v>1</v>
      </c>
      <c r="AD499" s="9" t="str">
        <f t="shared" ca="1" si="156"/>
        <v/>
      </c>
      <c r="AE499" s="9">
        <f t="shared" ca="1" si="157"/>
        <v>5</v>
      </c>
      <c r="AF499" s="9" t="s">
        <v>138</v>
      </c>
      <c r="AG499" s="4">
        <f>IFERROR(IF(A487=0,E499/11,LEFT(E499,1)),"")</f>
        <v>1</v>
      </c>
    </row>
    <row r="500" spans="1:33" s="4" customFormat="1" ht="16.149999999999999" customHeight="1" x14ac:dyDescent="0.35">
      <c r="A500" s="8">
        <f>IFERROR(IF(A487=0,A492*11,A492&amp;A492),"-")</f>
        <v>77</v>
      </c>
      <c r="B500" s="7" t="str">
        <f t="shared" ca="1" si="151"/>
        <v/>
      </c>
      <c r="C500" s="7">
        <f t="shared" ca="1" si="152"/>
        <v>4</v>
      </c>
      <c r="D500" s="55">
        <v>13</v>
      </c>
      <c r="E500" s="17">
        <f t="shared" si="153"/>
        <v>77</v>
      </c>
      <c r="F500" s="319" t="str">
        <f>IFERROR(VLOOKUP($A484&amp;E500,downloads!$A$1:$E$1000,2,FALSE),"")</f>
        <v>Joshua BOURNE</v>
      </c>
      <c r="G500" s="18" t="str">
        <f t="shared" si="150"/>
        <v>Wigan</v>
      </c>
      <c r="H500" s="464">
        <f ca="1">IFERROR(INDIRECT(CONCATENATE("'Distance Input'!"&amp;B486&amp;C486+12)),"")</f>
        <v>3.83</v>
      </c>
      <c r="I500" s="465"/>
      <c r="J500" s="464">
        <v>0</v>
      </c>
      <c r="K500" s="465"/>
      <c r="L500" s="464">
        <v>0</v>
      </c>
      <c r="M500" s="465"/>
      <c r="N500" s="470">
        <f t="shared" ca="1" si="154"/>
        <v>3.83</v>
      </c>
      <c r="O500" s="471"/>
      <c r="P500" s="55">
        <v>0</v>
      </c>
      <c r="Q500" s="472">
        <v>0</v>
      </c>
      <c r="R500" s="472"/>
      <c r="S500" s="472">
        <v>0</v>
      </c>
      <c r="T500" s="472"/>
      <c r="U500" s="472">
        <v>0</v>
      </c>
      <c r="V500" s="472"/>
      <c r="W500" s="464">
        <f t="shared" ca="1" si="155"/>
        <v>3.83</v>
      </c>
      <c r="X500" s="465"/>
      <c r="Y500" s="55">
        <f ca="1">IF(OR(W500="",W500=0),0,IF(W500="X",MatchDay!$U$2+MatchDay!$U$2+1-COUNTIF(Distance!W488:W500,"X"),RANK(W500,$W488:$X503,0)))</f>
        <v>11</v>
      </c>
      <c r="Z500" s="19" t="str">
        <f ca="1">IFERROR(IF(Y500=0,0,IF(VLOOKUP(AG500,E488:Y495,21,FALSE)=0,"A",IF(Y500&gt;=VLOOKUP(AG500,E488:Y495,21,FALSE),"B","A"))),"")</f>
        <v>B</v>
      </c>
      <c r="AA500" s="19" t="str">
        <f ca="1">IFERROR(IF(Z500="B","",RANK(AD500,AD488:AD503,1)),"")</f>
        <v/>
      </c>
      <c r="AB500" s="19">
        <f ca="1">IFERROR(IF(Z500="A","",RANK(AE500,AE488:AE503,1)),"")</f>
        <v>4</v>
      </c>
      <c r="AD500" s="9" t="str">
        <f t="shared" ca="1" si="156"/>
        <v/>
      </c>
      <c r="AE500" s="9">
        <f t="shared" ca="1" si="157"/>
        <v>11</v>
      </c>
      <c r="AF500" s="9" t="s">
        <v>138</v>
      </c>
      <c r="AG500" s="4">
        <f>IFERROR(IF(A487=0,E500/11,LEFT(E500,1)),"")</f>
        <v>7</v>
      </c>
    </row>
    <row r="501" spans="1:33" s="4" customFormat="1" ht="16.149999999999999" customHeight="1" x14ac:dyDescent="0.35">
      <c r="A501" s="8">
        <f>IFERROR(IF(A487=0,A493*11,A493&amp;A493),"-")</f>
        <v>55</v>
      </c>
      <c r="B501" s="7" t="str">
        <f t="shared" ca="1" si="151"/>
        <v/>
      </c>
      <c r="C501" s="7">
        <f t="shared" ca="1" si="152"/>
        <v>5</v>
      </c>
      <c r="D501" s="55">
        <v>14</v>
      </c>
      <c r="E501" s="17">
        <f t="shared" si="153"/>
        <v>55</v>
      </c>
      <c r="F501" s="319" t="str">
        <f>IFERROR(VLOOKUP($A484&amp;E501,downloads!$A$1:$E$1000,2,FALSE),"")</f>
        <v>Owain WILLIAMS</v>
      </c>
      <c r="G501" s="18" t="str">
        <f t="shared" si="150"/>
        <v>Menai</v>
      </c>
      <c r="H501" s="464">
        <f ca="1">IFERROR(INDIRECT(CONCATENATE("'Distance Input'!"&amp;B486&amp;C486+13)),"")</f>
        <v>3.42</v>
      </c>
      <c r="I501" s="465"/>
      <c r="J501" s="464">
        <v>0</v>
      </c>
      <c r="K501" s="465"/>
      <c r="L501" s="464">
        <v>0</v>
      </c>
      <c r="M501" s="465"/>
      <c r="N501" s="470">
        <f t="shared" ca="1" si="154"/>
        <v>3.42</v>
      </c>
      <c r="O501" s="471"/>
      <c r="P501" s="55">
        <v>0</v>
      </c>
      <c r="Q501" s="472">
        <v>0</v>
      </c>
      <c r="R501" s="472"/>
      <c r="S501" s="472">
        <v>0</v>
      </c>
      <c r="T501" s="472"/>
      <c r="U501" s="472">
        <v>0</v>
      </c>
      <c r="V501" s="472"/>
      <c r="W501" s="464">
        <f t="shared" ca="1" si="155"/>
        <v>3.42</v>
      </c>
      <c r="X501" s="465"/>
      <c r="Y501" s="55">
        <f ca="1">IF(OR(W501="",W501=0),0,IF(W501="X",MatchDay!$U$2+MatchDay!$U$2+1-COUNTIF(Distance!W488:W501,"X"),RANK(W501,$W488:$X503,0)))</f>
        <v>12</v>
      </c>
      <c r="Z501" s="19" t="str">
        <f ca="1">IFERROR(IF(Y501=0,0,IF(VLOOKUP(AG501,E488:Y495,21,FALSE)=0,"A",IF(Y501&gt;=VLOOKUP(AG501,E488:Y495,21,FALSE),"B","A"))),"")</f>
        <v>B</v>
      </c>
      <c r="AA501" s="19" t="str">
        <f ca="1">IFERROR(IF(Z501="B","",RANK(AD501,AD488:AD503,1)),"")</f>
        <v/>
      </c>
      <c r="AB501" s="19">
        <f ca="1">IFERROR(IF(Z501="A","",RANK(AE501,AE488:AE503,1)),"")</f>
        <v>5</v>
      </c>
      <c r="AD501" s="9" t="str">
        <f t="shared" ca="1" si="156"/>
        <v/>
      </c>
      <c r="AE501" s="9">
        <f t="shared" ca="1" si="157"/>
        <v>12</v>
      </c>
      <c r="AF501" s="9" t="s">
        <v>138</v>
      </c>
      <c r="AG501" s="4">
        <f>IFERROR(IF(A487=0,E501/11,LEFT(E501,1)),"")</f>
        <v>5</v>
      </c>
    </row>
    <row r="502" spans="1:33" s="4" customFormat="1" ht="16.149999999999999" customHeight="1" x14ac:dyDescent="0.35">
      <c r="A502" s="8">
        <f>IFERROR(IF(A487=0,A494*11,A494&amp;A494),"-")</f>
        <v>66</v>
      </c>
      <c r="B502" s="7" t="str">
        <f t="shared" ca="1" si="151"/>
        <v/>
      </c>
      <c r="C502" s="7">
        <f t="shared" ca="1" si="152"/>
        <v>2</v>
      </c>
      <c r="D502" s="55">
        <v>15</v>
      </c>
      <c r="E502" s="17">
        <f t="shared" si="153"/>
        <v>66</v>
      </c>
      <c r="F502" s="319" t="str">
        <f>IFERROR(VLOOKUP($A484&amp;E502,downloads!$A$1:$E$1000,2,FALSE),"")</f>
        <v>Campbell JOHNSON</v>
      </c>
      <c r="G502" s="18" t="str">
        <f t="shared" si="150"/>
        <v>Stock</v>
      </c>
      <c r="H502" s="464">
        <f ca="1">IFERROR(INDIRECT(CONCATENATE("'Distance Input'!"&amp;B486&amp;C486+14)),"")</f>
        <v>4.24</v>
      </c>
      <c r="I502" s="465"/>
      <c r="J502" s="464">
        <v>0</v>
      </c>
      <c r="K502" s="465"/>
      <c r="L502" s="464">
        <v>0</v>
      </c>
      <c r="M502" s="465"/>
      <c r="N502" s="470">
        <f t="shared" ca="1" si="154"/>
        <v>4.24</v>
      </c>
      <c r="O502" s="471"/>
      <c r="P502" s="55">
        <v>0</v>
      </c>
      <c r="Q502" s="472">
        <v>0</v>
      </c>
      <c r="R502" s="472"/>
      <c r="S502" s="472">
        <v>0</v>
      </c>
      <c r="T502" s="472"/>
      <c r="U502" s="472">
        <v>0</v>
      </c>
      <c r="V502" s="472"/>
      <c r="W502" s="464">
        <f t="shared" ca="1" si="155"/>
        <v>4.24</v>
      </c>
      <c r="X502" s="465"/>
      <c r="Y502" s="55">
        <f ca="1">IF(OR(W502="",W502=0),0,IF(W502="X",MatchDay!$U$2+MatchDay!$U$2+1-COUNTIF(Distance!W488:W502,"X"),RANK(W502,$W488:$X503,0)))</f>
        <v>8</v>
      </c>
      <c r="Z502" s="19" t="str">
        <f ca="1">IFERROR(IF(Y502=0,0,IF(VLOOKUP(AG502,E488:Y495,21,FALSE)=0,"A",IF(Y502&gt;=VLOOKUP(AG502,E488:Y495,21,FALSE),"B","A"))),"")</f>
        <v>B</v>
      </c>
      <c r="AA502" s="19" t="str">
        <f ca="1">IFERROR(IF(Z502="B","",RANK(AD502,AD488:AD503,1)),"")</f>
        <v/>
      </c>
      <c r="AB502" s="19">
        <f ca="1">IFERROR(IF(Z502="A","",RANK(AE502,AE488:AE503,1)),"")</f>
        <v>2</v>
      </c>
      <c r="AD502" s="9" t="str">
        <f t="shared" ca="1" si="156"/>
        <v/>
      </c>
      <c r="AE502" s="9">
        <f t="shared" ca="1" si="157"/>
        <v>8</v>
      </c>
      <c r="AF502" s="9" t="s">
        <v>138</v>
      </c>
      <c r="AG502" s="4">
        <f>IFERROR(IF(A487=0,E502/11,LEFT(E502,1)),"")</f>
        <v>6</v>
      </c>
    </row>
    <row r="503" spans="1:33" s="4" customFormat="1" ht="16.149999999999999" customHeight="1" x14ac:dyDescent="0.35">
      <c r="A503" s="8" t="str">
        <f>IFERROR(IF(A487=0,A495*11,A495&amp;A495),"-")</f>
        <v>-</v>
      </c>
      <c r="B503" s="7" t="str">
        <f t="shared" ca="1" si="151"/>
        <v/>
      </c>
      <c r="C503" s="7" t="str">
        <f t="shared" ca="1" si="152"/>
        <v/>
      </c>
      <c r="D503" s="55">
        <v>16</v>
      </c>
      <c r="E503" s="17" t="str">
        <f t="shared" si="153"/>
        <v>-</v>
      </c>
      <c r="F503" s="319" t="str">
        <f>IFERROR(VLOOKUP($A484&amp;E503,downloads!$A$1:$E$1000,2,FALSE),"")</f>
        <v/>
      </c>
      <c r="G503" s="18" t="str">
        <f t="shared" si="150"/>
        <v/>
      </c>
      <c r="H503" s="464">
        <f ca="1">IFERROR(INDIRECT(CONCATENATE("'Distance Input'!"&amp;B486&amp;C486+15)),"")</f>
        <v>0</v>
      </c>
      <c r="I503" s="465"/>
      <c r="J503" s="464">
        <v>0</v>
      </c>
      <c r="K503" s="465"/>
      <c r="L503" s="464">
        <v>0</v>
      </c>
      <c r="M503" s="465"/>
      <c r="N503" s="470">
        <f t="shared" ca="1" si="154"/>
        <v>0</v>
      </c>
      <c r="O503" s="471"/>
      <c r="P503" s="55">
        <v>0</v>
      </c>
      <c r="Q503" s="472">
        <v>0</v>
      </c>
      <c r="R503" s="472"/>
      <c r="S503" s="472">
        <v>0</v>
      </c>
      <c r="T503" s="472"/>
      <c r="U503" s="472">
        <v>0</v>
      </c>
      <c r="V503" s="472"/>
      <c r="W503" s="464">
        <f t="shared" ca="1" si="155"/>
        <v>0</v>
      </c>
      <c r="X503" s="465"/>
      <c r="Y503" s="55">
        <f ca="1">IF(OR(W503="",W503=0),0,IF(W503="X",MatchDay!$U$2+MatchDay!$U$2+1-COUNTIF(Distance!W488:W503,"X"),RANK(W503,$W488:$X503,0)))</f>
        <v>0</v>
      </c>
      <c r="Z503" s="19">
        <f ca="1">IFERROR(IF(Y503=0,0,IF(VLOOKUP(AG503,E488:Y495,21,FALSE)=0,"A",IF(Y503&gt;=VLOOKUP(AG503,E488:Y495,21,FALSE),"B","A"))),"")</f>
        <v>0</v>
      </c>
      <c r="AA503" s="19" t="str">
        <f ca="1">IFERROR(IF(Z503="B","",RANK(AD503,AD488:AD503,1)),"")</f>
        <v/>
      </c>
      <c r="AB503" s="19" t="str">
        <f ca="1">IFERROR(IF(Z503="A","",RANK(AE503,AE488:AE503,1)),"")</f>
        <v/>
      </c>
      <c r="AD503" s="9" t="str">
        <f t="shared" ca="1" si="156"/>
        <v/>
      </c>
      <c r="AE503" s="9" t="str">
        <f t="shared" ca="1" si="157"/>
        <v/>
      </c>
      <c r="AF503" s="9" t="s">
        <v>138</v>
      </c>
      <c r="AG503" s="4" t="str">
        <f>IFERROR(IF(A487=0,E503/11,LEFT(E503,1)),"")</f>
        <v/>
      </c>
    </row>
    <row r="504" spans="1:33" s="4" customFormat="1" x14ac:dyDescent="0.25">
      <c r="A504" s="8"/>
      <c r="B504" s="10"/>
      <c r="C504" s="3"/>
      <c r="D504" s="20"/>
      <c r="E504" s="20"/>
      <c r="F504" s="21"/>
      <c r="G504" s="21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2"/>
    </row>
    <row r="505" spans="1:33" s="4" customFormat="1" x14ac:dyDescent="0.25">
      <c r="A505" s="8"/>
      <c r="B505" s="10"/>
      <c r="C505" s="3"/>
      <c r="D505" s="469" t="s">
        <v>139</v>
      </c>
      <c r="E505" s="473"/>
      <c r="F505" s="473"/>
      <c r="G505" s="473"/>
      <c r="H505" s="473"/>
      <c r="I505" s="473"/>
      <c r="J505" s="466" t="s">
        <v>140</v>
      </c>
      <c r="K505" s="474"/>
      <c r="L505" s="474"/>
      <c r="M505" s="474"/>
      <c r="N505" s="474"/>
      <c r="O505" s="474"/>
      <c r="P505" s="474"/>
      <c r="Q505" s="474"/>
      <c r="R505" s="474"/>
      <c r="S505" s="474"/>
      <c r="T505" s="474"/>
      <c r="U505" s="475"/>
      <c r="V505" s="466" t="s">
        <v>1136</v>
      </c>
      <c r="W505" s="467"/>
      <c r="X505" s="467"/>
      <c r="Y505" s="467"/>
      <c r="Z505" s="467"/>
      <c r="AA505" s="467"/>
      <c r="AB505" s="468"/>
    </row>
    <row r="506" spans="1:33" s="4" customFormat="1" x14ac:dyDescent="0.25">
      <c r="A506" s="8" t="s">
        <v>55</v>
      </c>
      <c r="B506" s="10"/>
      <c r="C506" s="3"/>
      <c r="D506" s="12"/>
      <c r="E506" s="55" t="s">
        <v>141</v>
      </c>
      <c r="F506" s="55" t="s">
        <v>124</v>
      </c>
      <c r="G506" s="55" t="s">
        <v>125</v>
      </c>
      <c r="H506" s="469" t="s">
        <v>142</v>
      </c>
      <c r="I506" s="469"/>
      <c r="J506" s="23"/>
      <c r="K506" s="54" t="s">
        <v>141</v>
      </c>
      <c r="L506" s="466" t="s">
        <v>124</v>
      </c>
      <c r="M506" s="467"/>
      <c r="N506" s="467"/>
      <c r="O506" s="468"/>
      <c r="P506" s="466" t="s">
        <v>125</v>
      </c>
      <c r="Q506" s="467"/>
      <c r="R506" s="467"/>
      <c r="S506" s="468"/>
      <c r="T506" s="466" t="s">
        <v>142</v>
      </c>
      <c r="U506" s="468"/>
      <c r="V506" s="24"/>
      <c r="W506" s="25"/>
      <c r="X506" s="25"/>
      <c r="Y506" s="25"/>
      <c r="Z506" s="25"/>
      <c r="AA506" s="25"/>
      <c r="AB506" s="26"/>
    </row>
    <row r="507" spans="1:33" s="4" customFormat="1" ht="16.149999999999999" customHeight="1" x14ac:dyDescent="0.25">
      <c r="A507" s="11">
        <f>IFERROR(VLOOKUP(A484,standards,3,FALSE),"-")</f>
        <v>3.75</v>
      </c>
      <c r="B507" s="10">
        <v>1</v>
      </c>
      <c r="C507" s="3"/>
      <c r="D507" s="55">
        <v>1</v>
      </c>
      <c r="E507" s="19">
        <f ca="1">IFERROR(IF(OR(H488=98,H488=99),H488,VLOOKUP(B507,B488:E503,4,FALSE)),0)</f>
        <v>2</v>
      </c>
      <c r="F507" s="27" t="str">
        <f ca="1">IFERROR(VLOOKUP(E507,$E488:$F503,2,FALSE),"")</f>
        <v>Max ORMSTON</v>
      </c>
      <c r="G507" s="18" t="str">
        <f t="shared" ref="G507:G514" ca="1" si="158">IFERROR(VLOOKUP(E507,teamlookup,5,FALSE),"-")</f>
        <v>ECHT</v>
      </c>
      <c r="H507" s="459">
        <f ca="1">IFERROR(VLOOKUP(E507,E488:X503,19,FALSE),"")</f>
        <v>4.95</v>
      </c>
      <c r="I507" s="460"/>
      <c r="J507" s="55">
        <v>1</v>
      </c>
      <c r="K507" s="55">
        <f ca="1">IFERROR(VLOOKUP(B507,C488:X503,3,FALSE),"")</f>
        <v>11</v>
      </c>
      <c r="L507" s="461" t="str">
        <f ca="1">IFERROR(VLOOKUP(K507,$E488:$F503,2,FALSE),"")</f>
        <v>William CATTELL</v>
      </c>
      <c r="M507" s="462"/>
      <c r="N507" s="462"/>
      <c r="O507" s="463"/>
      <c r="P507" s="461" t="str">
        <f t="shared" ref="P507:P514" ca="1" si="159">IFERROR(VLOOKUP(K507,teamlookup,5,FALSE),"-")</f>
        <v>C&amp;N</v>
      </c>
      <c r="Q507" s="462"/>
      <c r="R507" s="462"/>
      <c r="S507" s="463"/>
      <c r="T507" s="464">
        <f ca="1">IFERROR(VLOOKUP(K507,E488:X503,19,FALSE),"")</f>
        <v>4.5</v>
      </c>
      <c r="U507" s="465"/>
      <c r="V507" s="28"/>
      <c r="W507" s="29"/>
      <c r="X507" s="29"/>
      <c r="Y507" s="29"/>
      <c r="Z507" s="29"/>
      <c r="AA507" s="29"/>
      <c r="AB507" s="30"/>
    </row>
    <row r="508" spans="1:33" s="4" customFormat="1" ht="16.149999999999999" customHeight="1" x14ac:dyDescent="0.25">
      <c r="A508" s="11">
        <f>IFERROR(VLOOKUP(A484,standards,4,FALSE),"-")</f>
        <v>4</v>
      </c>
      <c r="B508" s="10">
        <v>2</v>
      </c>
      <c r="C508" s="3"/>
      <c r="D508" s="55">
        <v>2</v>
      </c>
      <c r="E508" s="19">
        <f ca="1">IFERROR(VLOOKUP(B508,B488:E503,4,FALSE),"")</f>
        <v>5</v>
      </c>
      <c r="F508" s="27" t="str">
        <f ca="1">IFERROR(VLOOKUP(E508,$E488:$F503,2,FALSE),"")</f>
        <v>Morgan JONES</v>
      </c>
      <c r="G508" s="18" t="str">
        <f t="shared" ca="1" si="158"/>
        <v>Menai</v>
      </c>
      <c r="H508" s="459">
        <f ca="1">IFERROR(VLOOKUP(E508,E488:X503,19,FALSE),"")</f>
        <v>4.75</v>
      </c>
      <c r="I508" s="460"/>
      <c r="J508" s="55">
        <v>2</v>
      </c>
      <c r="K508" s="55">
        <f ca="1">IFERROR(VLOOKUP(B508,C488:X503,3,FALSE),"")</f>
        <v>66</v>
      </c>
      <c r="L508" s="461" t="str">
        <f ca="1">IFERROR(VLOOKUP(K508,$E488:$F503,2,FALSE),"")</f>
        <v>Campbell JOHNSON</v>
      </c>
      <c r="M508" s="462"/>
      <c r="N508" s="462"/>
      <c r="O508" s="463"/>
      <c r="P508" s="461" t="str">
        <f t="shared" ca="1" si="159"/>
        <v>Stock</v>
      </c>
      <c r="Q508" s="462"/>
      <c r="R508" s="462"/>
      <c r="S508" s="463"/>
      <c r="T508" s="464">
        <f ca="1">IFERROR(VLOOKUP(K508,E488:X503,19,FALSE),"")</f>
        <v>4.24</v>
      </c>
      <c r="U508" s="465"/>
      <c r="V508" s="24"/>
      <c r="W508" s="25"/>
      <c r="X508" s="25"/>
      <c r="Y508" s="25"/>
      <c r="Z508" s="25"/>
      <c r="AA508" s="25"/>
      <c r="AB508" s="26"/>
    </row>
    <row r="509" spans="1:33" s="4" customFormat="1" ht="16.149999999999999" customHeight="1" x14ac:dyDescent="0.25">
      <c r="A509" s="11">
        <f>IFERROR(VLOOKUP(A484,standards,5,FALSE),"-")</f>
        <v>4.25</v>
      </c>
      <c r="B509" s="10">
        <v>3</v>
      </c>
      <c r="C509" s="3"/>
      <c r="D509" s="55">
        <v>3</v>
      </c>
      <c r="E509" s="19">
        <f ca="1">IFERROR(VLOOKUP(B509,B488:E503,4,FALSE),"")</f>
        <v>3</v>
      </c>
      <c r="F509" s="27" t="str">
        <f ca="1">IFERROR(VLOOKUP(E509,$E488:$F503,2,FALSE),"")</f>
        <v>Hugo JAMES</v>
      </c>
      <c r="G509" s="18" t="str">
        <f t="shared" ca="1" si="158"/>
        <v>Leigh</v>
      </c>
      <c r="H509" s="459">
        <f ca="1">IFERROR(VLOOKUP(E509,E488:X503,19,FALSE),"")</f>
        <v>4.66</v>
      </c>
      <c r="I509" s="460"/>
      <c r="J509" s="55">
        <v>3</v>
      </c>
      <c r="K509" s="55">
        <f ca="1">IFERROR(VLOOKUP(B509,C488:X503,3,FALSE),"")</f>
        <v>4</v>
      </c>
      <c r="L509" s="461" t="str">
        <f ca="1">IFERROR(VLOOKUP(K509,$E488:$F503,2,FALSE),"")</f>
        <v>Thomas WOOD</v>
      </c>
      <c r="M509" s="462"/>
      <c r="N509" s="462"/>
      <c r="O509" s="463"/>
      <c r="P509" s="461" t="str">
        <f t="shared" ca="1" si="159"/>
        <v>Macc</v>
      </c>
      <c r="Q509" s="462"/>
      <c r="R509" s="462"/>
      <c r="S509" s="463"/>
      <c r="T509" s="464">
        <f ca="1">IFERROR(VLOOKUP(K509,E488:X503,19,FALSE),"")</f>
        <v>4.0199999999999996</v>
      </c>
      <c r="U509" s="465"/>
      <c r="V509" s="28"/>
      <c r="W509" s="29"/>
      <c r="X509" s="29"/>
      <c r="Y509" s="29"/>
      <c r="Z509" s="29"/>
      <c r="AA509" s="29"/>
      <c r="AB509" s="30"/>
    </row>
    <row r="510" spans="1:33" s="4" customFormat="1" ht="16.149999999999999" customHeight="1" x14ac:dyDescent="0.25">
      <c r="A510" s="11">
        <f>IFERROR(VLOOKUP(A484,EA!A:K,6,FALSE),"-")</f>
        <v>4.5</v>
      </c>
      <c r="B510" s="10">
        <v>4</v>
      </c>
      <c r="C510" s="3"/>
      <c r="D510" s="55">
        <v>4</v>
      </c>
      <c r="E510" s="19">
        <f ca="1">IFERROR(VLOOKUP(B510,B488:E503,4,FALSE),"")</f>
        <v>1</v>
      </c>
      <c r="F510" s="27" t="str">
        <f ca="1">IFERROR(VLOOKUP(E510,$E488:$F503,2,FALSE),"")</f>
        <v>Isaac PICKERING</v>
      </c>
      <c r="G510" s="18" t="str">
        <f t="shared" ca="1" si="158"/>
        <v>C&amp;N</v>
      </c>
      <c r="H510" s="459">
        <f ca="1">IFERROR(VLOOKUP(E510,E488:X503,19,FALSE),"")</f>
        <v>4.63</v>
      </c>
      <c r="I510" s="460"/>
      <c r="J510" s="55">
        <v>4</v>
      </c>
      <c r="K510" s="55">
        <f ca="1">IFERROR(VLOOKUP(B510,C488:X503,3,FALSE),"")</f>
        <v>77</v>
      </c>
      <c r="L510" s="461" t="str">
        <f ca="1">IFERROR(VLOOKUP(K510,$E488:$F503,2,FALSE),"")</f>
        <v>Joshua BOURNE</v>
      </c>
      <c r="M510" s="462"/>
      <c r="N510" s="462"/>
      <c r="O510" s="463"/>
      <c r="P510" s="461" t="str">
        <f t="shared" ca="1" si="159"/>
        <v>Wigan</v>
      </c>
      <c r="Q510" s="462"/>
      <c r="R510" s="462"/>
      <c r="S510" s="463"/>
      <c r="T510" s="464">
        <f ca="1">IFERROR(VLOOKUP(K510,E488:X503,19,FALSE),"")</f>
        <v>3.83</v>
      </c>
      <c r="U510" s="465"/>
      <c r="V510" s="24"/>
      <c r="W510" s="25"/>
      <c r="X510" s="25"/>
      <c r="Y510" s="25"/>
      <c r="Z510" s="25"/>
      <c r="AA510" s="25"/>
      <c r="AB510" s="26"/>
    </row>
    <row r="511" spans="1:33" s="4" customFormat="1" ht="16.149999999999999" customHeight="1" x14ac:dyDescent="0.25">
      <c r="A511" s="8"/>
      <c r="B511" s="10">
        <v>5</v>
      </c>
      <c r="C511" s="3"/>
      <c r="D511" s="55">
        <v>5</v>
      </c>
      <c r="E511" s="19">
        <f ca="1">IFERROR(VLOOKUP(B511,B488:E503,4,FALSE),"")</f>
        <v>6</v>
      </c>
      <c r="F511" s="27" t="str">
        <f ca="1">IFERROR(VLOOKUP(E511,$E488:$F503,2,FALSE),"")</f>
        <v>Quaid SIN</v>
      </c>
      <c r="G511" s="18" t="str">
        <f t="shared" ca="1" si="158"/>
        <v>Stock</v>
      </c>
      <c r="H511" s="459">
        <f ca="1">IFERROR(VLOOKUP(E511,E488:X503,19,FALSE),"")</f>
        <v>4.3600000000000003</v>
      </c>
      <c r="I511" s="460"/>
      <c r="J511" s="55">
        <v>5</v>
      </c>
      <c r="K511" s="55">
        <f ca="1">IFERROR(VLOOKUP(B511,C488:X503,3,FALSE),"")</f>
        <v>55</v>
      </c>
      <c r="L511" s="461" t="str">
        <f ca="1">IFERROR(VLOOKUP(K511,$E488:$F503,2,FALSE),"")</f>
        <v>Owain WILLIAMS</v>
      </c>
      <c r="M511" s="462"/>
      <c r="N511" s="462"/>
      <c r="O511" s="463"/>
      <c r="P511" s="461" t="str">
        <f t="shared" ca="1" si="159"/>
        <v>Menai</v>
      </c>
      <c r="Q511" s="462"/>
      <c r="R511" s="462"/>
      <c r="S511" s="463"/>
      <c r="T511" s="464">
        <f ca="1">IFERROR(VLOOKUP(K511,E488:X503,19,FALSE),"")</f>
        <v>3.42</v>
      </c>
      <c r="U511" s="465"/>
      <c r="V511" s="28"/>
      <c r="W511" s="29"/>
      <c r="X511" s="29"/>
      <c r="Y511" s="29"/>
      <c r="Z511" s="29"/>
      <c r="AA511" s="29"/>
      <c r="AB511" s="30"/>
    </row>
    <row r="512" spans="1:33" s="4" customFormat="1" ht="16.149999999999999" customHeight="1" x14ac:dyDescent="0.25">
      <c r="A512" s="8" t="s">
        <v>151</v>
      </c>
      <c r="B512" s="10">
        <v>6</v>
      </c>
      <c r="C512" s="3"/>
      <c r="D512" s="55">
        <v>6</v>
      </c>
      <c r="E512" s="19">
        <f ca="1">IFERROR(VLOOKUP(B512,B488:E503,4,FALSE),"")</f>
        <v>7</v>
      </c>
      <c r="F512" s="27" t="str">
        <f ca="1">IFERROR(VLOOKUP(E512,$E488:$F503,2,FALSE),"")</f>
        <v>Joshua ROBERTS</v>
      </c>
      <c r="G512" s="18" t="str">
        <f t="shared" ca="1" si="158"/>
        <v>Wigan</v>
      </c>
      <c r="H512" s="459">
        <f ca="1">IFERROR(VLOOKUP(E512,E488:X503,19,FALSE),"")</f>
        <v>4.3099999999999996</v>
      </c>
      <c r="I512" s="460"/>
      <c r="J512" s="55">
        <v>6</v>
      </c>
      <c r="K512" s="55">
        <f ca="1">IFERROR(VLOOKUP(B512,C488:X503,3,FALSE),"")</f>
        <v>33</v>
      </c>
      <c r="L512" s="461" t="str">
        <f ca="1">IFERROR(VLOOKUP(K512,$E488:$F503,2,FALSE),"")</f>
        <v>Ben JAYATILLEKE</v>
      </c>
      <c r="M512" s="462"/>
      <c r="N512" s="462"/>
      <c r="O512" s="463"/>
      <c r="P512" s="461" t="str">
        <f t="shared" ca="1" si="159"/>
        <v>Leigh</v>
      </c>
      <c r="Q512" s="462"/>
      <c r="R512" s="462"/>
      <c r="S512" s="463"/>
      <c r="T512" s="464">
        <f ca="1">IFERROR(VLOOKUP(K512,E488:X503,19,FALSE),"")</f>
        <v>3.4</v>
      </c>
      <c r="U512" s="465"/>
      <c r="V512" s="466" t="s">
        <v>1135</v>
      </c>
      <c r="W512" s="467"/>
      <c r="X512" s="467"/>
      <c r="Y512" s="467"/>
      <c r="Z512" s="467"/>
      <c r="AA512" s="467"/>
      <c r="AB512" s="468"/>
    </row>
    <row r="513" spans="1:28" s="4" customFormat="1" ht="16.149999999999999" customHeight="1" x14ac:dyDescent="0.25">
      <c r="A513" s="8">
        <f>IFERROR(VLOOKUP(A484,records,5,FALSE),"")</f>
        <v>6.82</v>
      </c>
      <c r="B513" s="10">
        <v>7</v>
      </c>
      <c r="C513" s="3"/>
      <c r="D513" s="55">
        <v>7</v>
      </c>
      <c r="E513" s="19">
        <f ca="1">IFERROR(VLOOKUP(B513,B488:E503,4,FALSE),"")</f>
        <v>44</v>
      </c>
      <c r="F513" s="27" t="str">
        <f ca="1">IFERROR(VLOOKUP(E513,$E488:$F503,2,FALSE),"")</f>
        <v>Will HAMMOND</v>
      </c>
      <c r="G513" s="18" t="str">
        <f t="shared" ca="1" si="158"/>
        <v>Macc</v>
      </c>
      <c r="H513" s="459">
        <f ca="1">IFERROR(VLOOKUP(E513,E488:X503,19,FALSE),"")</f>
        <v>4.07</v>
      </c>
      <c r="I513" s="460"/>
      <c r="J513" s="55">
        <v>7</v>
      </c>
      <c r="K513" s="55">
        <f ca="1">IFERROR(VLOOKUP(B513,C488:X503,3,FALSE),"")</f>
        <v>22</v>
      </c>
      <c r="L513" s="461" t="str">
        <f ca="1">IFERROR(VLOOKUP(K513,$E488:$F503,2,FALSE),"")</f>
        <v>Alfie MILLINGTON</v>
      </c>
      <c r="M513" s="462"/>
      <c r="N513" s="462"/>
      <c r="O513" s="463"/>
      <c r="P513" s="461" t="str">
        <f t="shared" ca="1" si="159"/>
        <v>ECHT</v>
      </c>
      <c r="Q513" s="462"/>
      <c r="R513" s="462"/>
      <c r="S513" s="463"/>
      <c r="T513" s="464">
        <f ca="1">IFERROR(VLOOKUP(K513,E488:X503,19,FALSE),"")</f>
        <v>3</v>
      </c>
      <c r="U513" s="465"/>
      <c r="V513" s="24"/>
      <c r="W513" s="25"/>
      <c r="X513" s="25"/>
      <c r="Y513" s="25"/>
      <c r="Z513" s="25"/>
      <c r="AA513" s="25"/>
      <c r="AB513" s="26"/>
    </row>
    <row r="514" spans="1:28" s="4" customFormat="1" ht="16.149999999999999" customHeight="1" x14ac:dyDescent="0.25">
      <c r="A514" s="8"/>
      <c r="B514" s="10">
        <v>8</v>
      </c>
      <c r="C514" s="3"/>
      <c r="D514" s="55">
        <v>8</v>
      </c>
      <c r="E514" s="19" t="str">
        <f ca="1">IFERROR(VLOOKUP(B514,B488:E503,4,FALSE),"")</f>
        <v/>
      </c>
      <c r="F514" s="27" t="str">
        <f ca="1">IFERROR(VLOOKUP(E514,$E488:$F503,2,FALSE),"")</f>
        <v/>
      </c>
      <c r="G514" s="18" t="str">
        <f t="shared" ca="1" si="158"/>
        <v>-</v>
      </c>
      <c r="H514" s="459" t="str">
        <f ca="1">IFERROR(VLOOKUP(E514,E488:X503,19,FALSE),"")</f>
        <v/>
      </c>
      <c r="I514" s="460"/>
      <c r="J514" s="55">
        <v>8</v>
      </c>
      <c r="K514" s="55" t="str">
        <f ca="1">IFERROR(VLOOKUP(B514,C488:X503,3,FALSE),"")</f>
        <v/>
      </c>
      <c r="L514" s="461" t="str">
        <f ca="1">IFERROR(VLOOKUP(K514,$E488:$F503,2,FALSE),"")</f>
        <v/>
      </c>
      <c r="M514" s="462"/>
      <c r="N514" s="462"/>
      <c r="O514" s="463"/>
      <c r="P514" s="461" t="str">
        <f t="shared" ca="1" si="159"/>
        <v>-</v>
      </c>
      <c r="Q514" s="462"/>
      <c r="R514" s="462"/>
      <c r="S514" s="463"/>
      <c r="T514" s="464" t="str">
        <f ca="1">IFERROR(VLOOKUP(K514,E488:X503,19,FALSE),"")</f>
        <v/>
      </c>
      <c r="U514" s="465"/>
      <c r="V514" s="28"/>
      <c r="W514" s="29"/>
      <c r="X514" s="29"/>
      <c r="Y514" s="29"/>
      <c r="Z514" s="29"/>
      <c r="AA514" s="29"/>
      <c r="AB514" s="30"/>
    </row>
  </sheetData>
  <sheetProtection algorithmName="SHA-512" hashValue="SE0cgYpBffitJ4fLw6ztrIL+PWBWw53uuo0z79OmCrgo23ZhAObGp4Gn153/oCYr2gSM8oJxdYKnvsHLxHesvg==" saltValue="GngoQOKCxp8uyRi0C7YpGQ==" spinCount="100000" sheet="1" objects="1" scenarios="1" formatCells="0" formatColumns="0" formatRows="0" sort="0" autoFilter="0"/>
  <mergeCells count="3264">
    <mergeCell ref="D3:J3"/>
    <mergeCell ref="M5:N5"/>
    <mergeCell ref="O5:AB5"/>
    <mergeCell ref="D5:E5"/>
    <mergeCell ref="F5:G5"/>
    <mergeCell ref="H5:J5"/>
    <mergeCell ref="K5:L5"/>
    <mergeCell ref="H4:J4"/>
    <mergeCell ref="K4:P4"/>
    <mergeCell ref="Q4:R4"/>
    <mergeCell ref="K3:N3"/>
    <mergeCell ref="O3:AB3"/>
    <mergeCell ref="D4:E4"/>
    <mergeCell ref="F4:G4"/>
    <mergeCell ref="S4:X4"/>
    <mergeCell ref="AA4:AB4"/>
    <mergeCell ref="Y4:Z4"/>
    <mergeCell ref="Y6:Y7"/>
    <mergeCell ref="Z6:AB6"/>
    <mergeCell ref="H7:I7"/>
    <mergeCell ref="J7:K7"/>
    <mergeCell ref="L7:M7"/>
    <mergeCell ref="N7:O7"/>
    <mergeCell ref="Q7:R7"/>
    <mergeCell ref="S7:T7"/>
    <mergeCell ref="U7:V7"/>
    <mergeCell ref="W7:X7"/>
    <mergeCell ref="H6:I6"/>
    <mergeCell ref="J6:K6"/>
    <mergeCell ref="L6:M6"/>
    <mergeCell ref="N6:O6"/>
    <mergeCell ref="P6:P7"/>
    <mergeCell ref="Q6:R6"/>
    <mergeCell ref="S6:T6"/>
    <mergeCell ref="U6:V6"/>
    <mergeCell ref="W6:X6"/>
    <mergeCell ref="H10:I10"/>
    <mergeCell ref="J10:K10"/>
    <mergeCell ref="L10:M10"/>
    <mergeCell ref="N10:O10"/>
    <mergeCell ref="Q10:R10"/>
    <mergeCell ref="S10:T10"/>
    <mergeCell ref="U10:V10"/>
    <mergeCell ref="W10:X10"/>
    <mergeCell ref="H9:I9"/>
    <mergeCell ref="J9:K9"/>
    <mergeCell ref="L9:M9"/>
    <mergeCell ref="N9:O9"/>
    <mergeCell ref="Q9:R9"/>
    <mergeCell ref="S9:T9"/>
    <mergeCell ref="H8:I8"/>
    <mergeCell ref="J8:K8"/>
    <mergeCell ref="L8:M8"/>
    <mergeCell ref="N8:O8"/>
    <mergeCell ref="Q8:R8"/>
    <mergeCell ref="S8:T8"/>
    <mergeCell ref="U8:V8"/>
    <mergeCell ref="W8:X8"/>
    <mergeCell ref="U9:V9"/>
    <mergeCell ref="W9:X9"/>
    <mergeCell ref="U13:V13"/>
    <mergeCell ref="W13:X13"/>
    <mergeCell ref="H14:I14"/>
    <mergeCell ref="J14:K14"/>
    <mergeCell ref="L14:M14"/>
    <mergeCell ref="N14:O14"/>
    <mergeCell ref="Q14:R14"/>
    <mergeCell ref="S14:T14"/>
    <mergeCell ref="U14:V14"/>
    <mergeCell ref="W14:X14"/>
    <mergeCell ref="H13:I13"/>
    <mergeCell ref="J13:K13"/>
    <mergeCell ref="L13:M13"/>
    <mergeCell ref="N13:O13"/>
    <mergeCell ref="Q13:R13"/>
    <mergeCell ref="S13:T13"/>
    <mergeCell ref="U11:V11"/>
    <mergeCell ref="W11:X11"/>
    <mergeCell ref="H12:I12"/>
    <mergeCell ref="J12:K12"/>
    <mergeCell ref="L12:M12"/>
    <mergeCell ref="N12:O12"/>
    <mergeCell ref="Q12:R12"/>
    <mergeCell ref="S12:T12"/>
    <mergeCell ref="U12:V12"/>
    <mergeCell ref="W12:X12"/>
    <mergeCell ref="H11:I11"/>
    <mergeCell ref="J11:K11"/>
    <mergeCell ref="L11:M11"/>
    <mergeCell ref="N11:O11"/>
    <mergeCell ref="Q11:R11"/>
    <mergeCell ref="S11:T11"/>
    <mergeCell ref="U17:V17"/>
    <mergeCell ref="W17:X17"/>
    <mergeCell ref="H18:I18"/>
    <mergeCell ref="J18:K18"/>
    <mergeCell ref="L18:M18"/>
    <mergeCell ref="N18:O18"/>
    <mergeCell ref="Q18:R18"/>
    <mergeCell ref="S18:T18"/>
    <mergeCell ref="U18:V18"/>
    <mergeCell ref="W18:X18"/>
    <mergeCell ref="H17:I17"/>
    <mergeCell ref="J17:K17"/>
    <mergeCell ref="L17:M17"/>
    <mergeCell ref="N17:O17"/>
    <mergeCell ref="Q17:R17"/>
    <mergeCell ref="S17:T17"/>
    <mergeCell ref="U15:V15"/>
    <mergeCell ref="W15:X15"/>
    <mergeCell ref="H16:I16"/>
    <mergeCell ref="J16:K16"/>
    <mergeCell ref="L16:M16"/>
    <mergeCell ref="N16:O16"/>
    <mergeCell ref="Q16:R16"/>
    <mergeCell ref="S16:T16"/>
    <mergeCell ref="U16:V16"/>
    <mergeCell ref="W16:X16"/>
    <mergeCell ref="H15:I15"/>
    <mergeCell ref="J15:K15"/>
    <mergeCell ref="L15:M15"/>
    <mergeCell ref="N15:O15"/>
    <mergeCell ref="Q15:R15"/>
    <mergeCell ref="S15:T15"/>
    <mergeCell ref="U21:V21"/>
    <mergeCell ref="W21:X21"/>
    <mergeCell ref="H22:I22"/>
    <mergeCell ref="J22:K22"/>
    <mergeCell ref="L22:M22"/>
    <mergeCell ref="N22:O22"/>
    <mergeCell ref="Q22:R22"/>
    <mergeCell ref="S22:T22"/>
    <mergeCell ref="U22:V22"/>
    <mergeCell ref="W22:X22"/>
    <mergeCell ref="H21:I21"/>
    <mergeCell ref="J21:K21"/>
    <mergeCell ref="L21:M21"/>
    <mergeCell ref="N21:O21"/>
    <mergeCell ref="Q21:R21"/>
    <mergeCell ref="S21:T21"/>
    <mergeCell ref="U19:V19"/>
    <mergeCell ref="W19:X19"/>
    <mergeCell ref="H20:I20"/>
    <mergeCell ref="J20:K20"/>
    <mergeCell ref="L20:M20"/>
    <mergeCell ref="N20:O20"/>
    <mergeCell ref="Q20:R20"/>
    <mergeCell ref="S20:T20"/>
    <mergeCell ref="U20:V20"/>
    <mergeCell ref="W20:X20"/>
    <mergeCell ref="H19:I19"/>
    <mergeCell ref="J19:K19"/>
    <mergeCell ref="L19:M19"/>
    <mergeCell ref="N19:O19"/>
    <mergeCell ref="Q19:R19"/>
    <mergeCell ref="S19:T19"/>
    <mergeCell ref="H27:I27"/>
    <mergeCell ref="L27:O27"/>
    <mergeCell ref="P27:S27"/>
    <mergeCell ref="T27:U27"/>
    <mergeCell ref="H28:I28"/>
    <mergeCell ref="L28:O28"/>
    <mergeCell ref="P28:S28"/>
    <mergeCell ref="T28:U28"/>
    <mergeCell ref="U23:V23"/>
    <mergeCell ref="W23:X23"/>
    <mergeCell ref="D25:I25"/>
    <mergeCell ref="J25:U25"/>
    <mergeCell ref="V25:AB25"/>
    <mergeCell ref="H26:I26"/>
    <mergeCell ref="L26:O26"/>
    <mergeCell ref="P26:S26"/>
    <mergeCell ref="T26:U26"/>
    <mergeCell ref="H23:I23"/>
    <mergeCell ref="J23:K23"/>
    <mergeCell ref="L23:M23"/>
    <mergeCell ref="N23:O23"/>
    <mergeCell ref="Q23:R23"/>
    <mergeCell ref="S23:T23"/>
    <mergeCell ref="H29:I29"/>
    <mergeCell ref="L29:O29"/>
    <mergeCell ref="P29:S29"/>
    <mergeCell ref="T29:U29"/>
    <mergeCell ref="H30:I30"/>
    <mergeCell ref="L30:O30"/>
    <mergeCell ref="P30:S30"/>
    <mergeCell ref="T30:U30"/>
    <mergeCell ref="V32:AB32"/>
    <mergeCell ref="H33:I33"/>
    <mergeCell ref="L33:O33"/>
    <mergeCell ref="P33:S33"/>
    <mergeCell ref="T33:U33"/>
    <mergeCell ref="H34:I34"/>
    <mergeCell ref="L34:O34"/>
    <mergeCell ref="P34:S34"/>
    <mergeCell ref="T34:U34"/>
    <mergeCell ref="K37:L37"/>
    <mergeCell ref="D35:J35"/>
    <mergeCell ref="K35:N35"/>
    <mergeCell ref="O35:AB35"/>
    <mergeCell ref="D36:E36"/>
    <mergeCell ref="F36:G36"/>
    <mergeCell ref="H36:J36"/>
    <mergeCell ref="K36:P36"/>
    <mergeCell ref="Q36:R36"/>
    <mergeCell ref="S36:X36"/>
    <mergeCell ref="Y36:Z36"/>
    <mergeCell ref="AA36:AB36"/>
    <mergeCell ref="H31:I31"/>
    <mergeCell ref="L31:O31"/>
    <mergeCell ref="P31:S31"/>
    <mergeCell ref="T31:U31"/>
    <mergeCell ref="H32:I32"/>
    <mergeCell ref="L32:O32"/>
    <mergeCell ref="P32:S32"/>
    <mergeCell ref="T32:U32"/>
    <mergeCell ref="W39:X39"/>
    <mergeCell ref="H40:I40"/>
    <mergeCell ref="J40:K40"/>
    <mergeCell ref="L40:M40"/>
    <mergeCell ref="N40:O40"/>
    <mergeCell ref="Q40:R40"/>
    <mergeCell ref="S40:T40"/>
    <mergeCell ref="U40:V40"/>
    <mergeCell ref="W40:X40"/>
    <mergeCell ref="D37:E37"/>
    <mergeCell ref="F37:G37"/>
    <mergeCell ref="H37:J37"/>
    <mergeCell ref="M37:N37"/>
    <mergeCell ref="O37:AB37"/>
    <mergeCell ref="H38:I38"/>
    <mergeCell ref="J38:K38"/>
    <mergeCell ref="L38:M38"/>
    <mergeCell ref="N38:O38"/>
    <mergeCell ref="P38:P39"/>
    <mergeCell ref="Q38:R38"/>
    <mergeCell ref="S38:T38"/>
    <mergeCell ref="U38:V38"/>
    <mergeCell ref="W38:X38"/>
    <mergeCell ref="Y38:Y39"/>
    <mergeCell ref="Z38:AB38"/>
    <mergeCell ref="H39:I39"/>
    <mergeCell ref="J39:K39"/>
    <mergeCell ref="L39:M39"/>
    <mergeCell ref="N39:O39"/>
    <mergeCell ref="Q39:R39"/>
    <mergeCell ref="S39:T39"/>
    <mergeCell ref="U39:V39"/>
    <mergeCell ref="H43:I43"/>
    <mergeCell ref="J43:K43"/>
    <mergeCell ref="L43:M43"/>
    <mergeCell ref="N43:O43"/>
    <mergeCell ref="Q43:R43"/>
    <mergeCell ref="S43:T43"/>
    <mergeCell ref="U43:V43"/>
    <mergeCell ref="W43:X43"/>
    <mergeCell ref="H44:I44"/>
    <mergeCell ref="J44:K44"/>
    <mergeCell ref="L44:M44"/>
    <mergeCell ref="N44:O44"/>
    <mergeCell ref="Q44:R44"/>
    <mergeCell ref="S44:T44"/>
    <mergeCell ref="U44:V44"/>
    <mergeCell ref="W44:X44"/>
    <mergeCell ref="H41:I41"/>
    <mergeCell ref="J41:K41"/>
    <mergeCell ref="L41:M41"/>
    <mergeCell ref="N41:O41"/>
    <mergeCell ref="Q41:R41"/>
    <mergeCell ref="S41:T41"/>
    <mergeCell ref="U41:V41"/>
    <mergeCell ref="W41:X41"/>
    <mergeCell ref="H42:I42"/>
    <mergeCell ref="J42:K42"/>
    <mergeCell ref="L42:M42"/>
    <mergeCell ref="N42:O42"/>
    <mergeCell ref="Q42:R42"/>
    <mergeCell ref="S42:T42"/>
    <mergeCell ref="U42:V42"/>
    <mergeCell ref="W42:X42"/>
    <mergeCell ref="H47:I47"/>
    <mergeCell ref="J47:K47"/>
    <mergeCell ref="L47:M47"/>
    <mergeCell ref="N47:O47"/>
    <mergeCell ref="Q47:R47"/>
    <mergeCell ref="S47:T47"/>
    <mergeCell ref="U47:V47"/>
    <mergeCell ref="W47:X47"/>
    <mergeCell ref="H48:I48"/>
    <mergeCell ref="J48:K48"/>
    <mergeCell ref="L48:M48"/>
    <mergeCell ref="N48:O48"/>
    <mergeCell ref="Q48:R48"/>
    <mergeCell ref="S48:T48"/>
    <mergeCell ref="U48:V48"/>
    <mergeCell ref="W48:X48"/>
    <mergeCell ref="H45:I45"/>
    <mergeCell ref="J45:K45"/>
    <mergeCell ref="L45:M45"/>
    <mergeCell ref="N45:O45"/>
    <mergeCell ref="Q45:R45"/>
    <mergeCell ref="S45:T45"/>
    <mergeCell ref="U45:V45"/>
    <mergeCell ref="W45:X45"/>
    <mergeCell ref="H46:I46"/>
    <mergeCell ref="J46:K46"/>
    <mergeCell ref="L46:M46"/>
    <mergeCell ref="N46:O46"/>
    <mergeCell ref="Q46:R46"/>
    <mergeCell ref="S46:T46"/>
    <mergeCell ref="U46:V46"/>
    <mergeCell ref="W46:X46"/>
    <mergeCell ref="H51:I51"/>
    <mergeCell ref="J51:K51"/>
    <mergeCell ref="L51:M51"/>
    <mergeCell ref="N51:O51"/>
    <mergeCell ref="Q51:R51"/>
    <mergeCell ref="S51:T51"/>
    <mergeCell ref="U51:V51"/>
    <mergeCell ref="W51:X51"/>
    <mergeCell ref="H52:I52"/>
    <mergeCell ref="J52:K52"/>
    <mergeCell ref="L52:M52"/>
    <mergeCell ref="N52:O52"/>
    <mergeCell ref="Q52:R52"/>
    <mergeCell ref="S52:T52"/>
    <mergeCell ref="U52:V52"/>
    <mergeCell ref="W52:X52"/>
    <mergeCell ref="H49:I49"/>
    <mergeCell ref="J49:K49"/>
    <mergeCell ref="L49:M49"/>
    <mergeCell ref="N49:O49"/>
    <mergeCell ref="Q49:R49"/>
    <mergeCell ref="S49:T49"/>
    <mergeCell ref="U49:V49"/>
    <mergeCell ref="W49:X49"/>
    <mergeCell ref="H50:I50"/>
    <mergeCell ref="J50:K50"/>
    <mergeCell ref="L50:M50"/>
    <mergeCell ref="N50:O50"/>
    <mergeCell ref="Q50:R50"/>
    <mergeCell ref="S50:T50"/>
    <mergeCell ref="U50:V50"/>
    <mergeCell ref="W50:X50"/>
    <mergeCell ref="H55:I55"/>
    <mergeCell ref="J55:K55"/>
    <mergeCell ref="L55:M55"/>
    <mergeCell ref="N55:O55"/>
    <mergeCell ref="Q55:R55"/>
    <mergeCell ref="S55:T55"/>
    <mergeCell ref="U55:V55"/>
    <mergeCell ref="W55:X55"/>
    <mergeCell ref="D57:I57"/>
    <mergeCell ref="J57:U57"/>
    <mergeCell ref="V57:AB57"/>
    <mergeCell ref="H53:I53"/>
    <mergeCell ref="J53:K53"/>
    <mergeCell ref="L53:M53"/>
    <mergeCell ref="N53:O53"/>
    <mergeCell ref="Q53:R53"/>
    <mergeCell ref="S53:T53"/>
    <mergeCell ref="U53:V53"/>
    <mergeCell ref="W53:X53"/>
    <mergeCell ref="H54:I54"/>
    <mergeCell ref="J54:K54"/>
    <mergeCell ref="L54:M54"/>
    <mergeCell ref="N54:O54"/>
    <mergeCell ref="Q54:R54"/>
    <mergeCell ref="S54:T54"/>
    <mergeCell ref="U54:V54"/>
    <mergeCell ref="W54:X54"/>
    <mergeCell ref="W71:X71"/>
    <mergeCell ref="H61:I61"/>
    <mergeCell ref="L61:O61"/>
    <mergeCell ref="P61:S61"/>
    <mergeCell ref="T61:U61"/>
    <mergeCell ref="H62:I62"/>
    <mergeCell ref="L62:O62"/>
    <mergeCell ref="P62:S62"/>
    <mergeCell ref="T62:U62"/>
    <mergeCell ref="H63:I63"/>
    <mergeCell ref="L63:O63"/>
    <mergeCell ref="P63:S63"/>
    <mergeCell ref="T63:U63"/>
    <mergeCell ref="H58:I58"/>
    <mergeCell ref="L58:O58"/>
    <mergeCell ref="P58:S58"/>
    <mergeCell ref="T58:U58"/>
    <mergeCell ref="H59:I59"/>
    <mergeCell ref="L59:O59"/>
    <mergeCell ref="P59:S59"/>
    <mergeCell ref="T59:U59"/>
    <mergeCell ref="H60:I60"/>
    <mergeCell ref="L60:O60"/>
    <mergeCell ref="P60:S60"/>
    <mergeCell ref="T60:U60"/>
    <mergeCell ref="D67:J67"/>
    <mergeCell ref="K67:N67"/>
    <mergeCell ref="O67:AB67"/>
    <mergeCell ref="D68:E68"/>
    <mergeCell ref="F68:G68"/>
    <mergeCell ref="H68:J68"/>
    <mergeCell ref="K68:P68"/>
    <mergeCell ref="Q68:R68"/>
    <mergeCell ref="S68:X68"/>
    <mergeCell ref="Y68:Z68"/>
    <mergeCell ref="AA68:AB68"/>
    <mergeCell ref="H66:I66"/>
    <mergeCell ref="L66:O66"/>
    <mergeCell ref="P66:S66"/>
    <mergeCell ref="T66:U66"/>
    <mergeCell ref="H64:I64"/>
    <mergeCell ref="L64:O64"/>
    <mergeCell ref="P64:S64"/>
    <mergeCell ref="T64:U64"/>
    <mergeCell ref="V64:AB64"/>
    <mergeCell ref="H65:I65"/>
    <mergeCell ref="L65:O65"/>
    <mergeCell ref="P65:S65"/>
    <mergeCell ref="T65:U65"/>
    <mergeCell ref="H72:I72"/>
    <mergeCell ref="J72:K72"/>
    <mergeCell ref="L72:M72"/>
    <mergeCell ref="N72:O72"/>
    <mergeCell ref="Q72:R72"/>
    <mergeCell ref="S72:T72"/>
    <mergeCell ref="U72:V72"/>
    <mergeCell ref="W72:X72"/>
    <mergeCell ref="D69:E69"/>
    <mergeCell ref="F69:G69"/>
    <mergeCell ref="H69:J69"/>
    <mergeCell ref="K69:L69"/>
    <mergeCell ref="M69:N69"/>
    <mergeCell ref="O69:AB69"/>
    <mergeCell ref="H70:I70"/>
    <mergeCell ref="J70:K70"/>
    <mergeCell ref="L70:M70"/>
    <mergeCell ref="N70:O70"/>
    <mergeCell ref="P70:P71"/>
    <mergeCell ref="Q70:R70"/>
    <mergeCell ref="S70:T70"/>
    <mergeCell ref="U70:V70"/>
    <mergeCell ref="W70:X70"/>
    <mergeCell ref="Y70:Y71"/>
    <mergeCell ref="Z70:AB70"/>
    <mergeCell ref="H71:I71"/>
    <mergeCell ref="J71:K71"/>
    <mergeCell ref="L71:M71"/>
    <mergeCell ref="N71:O71"/>
    <mergeCell ref="Q71:R71"/>
    <mergeCell ref="S71:T71"/>
    <mergeCell ref="U71:V71"/>
    <mergeCell ref="H75:I75"/>
    <mergeCell ref="J75:K75"/>
    <mergeCell ref="L75:M75"/>
    <mergeCell ref="N75:O75"/>
    <mergeCell ref="Q75:R75"/>
    <mergeCell ref="S75:T75"/>
    <mergeCell ref="U75:V75"/>
    <mergeCell ref="W75:X75"/>
    <mergeCell ref="H76:I76"/>
    <mergeCell ref="J76:K76"/>
    <mergeCell ref="L76:M76"/>
    <mergeCell ref="N76:O76"/>
    <mergeCell ref="Q76:R76"/>
    <mergeCell ref="S76:T76"/>
    <mergeCell ref="U76:V76"/>
    <mergeCell ref="W76:X76"/>
    <mergeCell ref="H73:I73"/>
    <mergeCell ref="J73:K73"/>
    <mergeCell ref="L73:M73"/>
    <mergeCell ref="N73:O73"/>
    <mergeCell ref="Q73:R73"/>
    <mergeCell ref="S73:T73"/>
    <mergeCell ref="U73:V73"/>
    <mergeCell ref="W73:X73"/>
    <mergeCell ref="H74:I74"/>
    <mergeCell ref="J74:K74"/>
    <mergeCell ref="L74:M74"/>
    <mergeCell ref="N74:O74"/>
    <mergeCell ref="Q74:R74"/>
    <mergeCell ref="S74:T74"/>
    <mergeCell ref="U74:V74"/>
    <mergeCell ref="W74:X74"/>
    <mergeCell ref="H79:I79"/>
    <mergeCell ref="J79:K79"/>
    <mergeCell ref="L79:M79"/>
    <mergeCell ref="N79:O79"/>
    <mergeCell ref="Q79:R79"/>
    <mergeCell ref="S79:T79"/>
    <mergeCell ref="U79:V79"/>
    <mergeCell ref="W79:X79"/>
    <mergeCell ref="H80:I80"/>
    <mergeCell ref="J80:K80"/>
    <mergeCell ref="L80:M80"/>
    <mergeCell ref="N80:O80"/>
    <mergeCell ref="Q80:R80"/>
    <mergeCell ref="S80:T80"/>
    <mergeCell ref="U80:V80"/>
    <mergeCell ref="W80:X80"/>
    <mergeCell ref="H77:I77"/>
    <mergeCell ref="J77:K77"/>
    <mergeCell ref="L77:M77"/>
    <mergeCell ref="N77:O77"/>
    <mergeCell ref="Q77:R77"/>
    <mergeCell ref="S77:T77"/>
    <mergeCell ref="U77:V77"/>
    <mergeCell ref="W77:X77"/>
    <mergeCell ref="H78:I78"/>
    <mergeCell ref="J78:K78"/>
    <mergeCell ref="L78:M78"/>
    <mergeCell ref="N78:O78"/>
    <mergeCell ref="Q78:R78"/>
    <mergeCell ref="S78:T78"/>
    <mergeCell ref="U78:V78"/>
    <mergeCell ref="W78:X78"/>
    <mergeCell ref="H83:I83"/>
    <mergeCell ref="J83:K83"/>
    <mergeCell ref="L83:M83"/>
    <mergeCell ref="N83:O83"/>
    <mergeCell ref="Q83:R83"/>
    <mergeCell ref="S83:T83"/>
    <mergeCell ref="U83:V83"/>
    <mergeCell ref="W83:X83"/>
    <mergeCell ref="H84:I84"/>
    <mergeCell ref="J84:K84"/>
    <mergeCell ref="L84:M84"/>
    <mergeCell ref="N84:O84"/>
    <mergeCell ref="Q84:R84"/>
    <mergeCell ref="S84:T84"/>
    <mergeCell ref="U84:V84"/>
    <mergeCell ref="W84:X84"/>
    <mergeCell ref="H81:I81"/>
    <mergeCell ref="J81:K81"/>
    <mergeCell ref="L81:M81"/>
    <mergeCell ref="N81:O81"/>
    <mergeCell ref="Q81:R81"/>
    <mergeCell ref="S81:T81"/>
    <mergeCell ref="U81:V81"/>
    <mergeCell ref="W81:X81"/>
    <mergeCell ref="H82:I82"/>
    <mergeCell ref="J82:K82"/>
    <mergeCell ref="L82:M82"/>
    <mergeCell ref="N82:O82"/>
    <mergeCell ref="Q82:R82"/>
    <mergeCell ref="S82:T82"/>
    <mergeCell ref="U82:V82"/>
    <mergeCell ref="W82:X82"/>
    <mergeCell ref="H87:I87"/>
    <mergeCell ref="J87:K87"/>
    <mergeCell ref="L87:M87"/>
    <mergeCell ref="N87:O87"/>
    <mergeCell ref="Q87:R87"/>
    <mergeCell ref="S87:T87"/>
    <mergeCell ref="U87:V87"/>
    <mergeCell ref="W87:X87"/>
    <mergeCell ref="D89:I89"/>
    <mergeCell ref="J89:U89"/>
    <mergeCell ref="V89:AB89"/>
    <mergeCell ref="H85:I85"/>
    <mergeCell ref="J85:K85"/>
    <mergeCell ref="L85:M85"/>
    <mergeCell ref="N85:O85"/>
    <mergeCell ref="Q85:R85"/>
    <mergeCell ref="S85:T85"/>
    <mergeCell ref="U85:V85"/>
    <mergeCell ref="W85:X85"/>
    <mergeCell ref="H86:I86"/>
    <mergeCell ref="J86:K86"/>
    <mergeCell ref="L86:M86"/>
    <mergeCell ref="N86:O86"/>
    <mergeCell ref="Q86:R86"/>
    <mergeCell ref="S86:T86"/>
    <mergeCell ref="U86:V86"/>
    <mergeCell ref="W86:X86"/>
    <mergeCell ref="W103:X103"/>
    <mergeCell ref="H93:I93"/>
    <mergeCell ref="L93:O93"/>
    <mergeCell ref="P93:S93"/>
    <mergeCell ref="T93:U93"/>
    <mergeCell ref="H94:I94"/>
    <mergeCell ref="L94:O94"/>
    <mergeCell ref="P94:S94"/>
    <mergeCell ref="T94:U94"/>
    <mergeCell ref="H95:I95"/>
    <mergeCell ref="L95:O95"/>
    <mergeCell ref="P95:S95"/>
    <mergeCell ref="T95:U95"/>
    <mergeCell ref="H90:I90"/>
    <mergeCell ref="L90:O90"/>
    <mergeCell ref="P90:S90"/>
    <mergeCell ref="T90:U90"/>
    <mergeCell ref="H91:I91"/>
    <mergeCell ref="L91:O91"/>
    <mergeCell ref="P91:S91"/>
    <mergeCell ref="T91:U91"/>
    <mergeCell ref="H92:I92"/>
    <mergeCell ref="L92:O92"/>
    <mergeCell ref="P92:S92"/>
    <mergeCell ref="T92:U92"/>
    <mergeCell ref="H98:I98"/>
    <mergeCell ref="L98:O98"/>
    <mergeCell ref="P98:S98"/>
    <mergeCell ref="T98:U98"/>
    <mergeCell ref="D99:J99"/>
    <mergeCell ref="K99:N99"/>
    <mergeCell ref="O99:AB99"/>
    <mergeCell ref="D100:E100"/>
    <mergeCell ref="F100:G100"/>
    <mergeCell ref="H100:J100"/>
    <mergeCell ref="K100:P100"/>
    <mergeCell ref="Q100:R100"/>
    <mergeCell ref="S100:X100"/>
    <mergeCell ref="Y100:Z100"/>
    <mergeCell ref="AA100:AB100"/>
    <mergeCell ref="H96:I96"/>
    <mergeCell ref="L96:O96"/>
    <mergeCell ref="P96:S96"/>
    <mergeCell ref="T96:U96"/>
    <mergeCell ref="V96:AB96"/>
    <mergeCell ref="H97:I97"/>
    <mergeCell ref="L97:O97"/>
    <mergeCell ref="P97:S97"/>
    <mergeCell ref="T97:U97"/>
    <mergeCell ref="H104:I104"/>
    <mergeCell ref="J104:K104"/>
    <mergeCell ref="L104:M104"/>
    <mergeCell ref="N104:O104"/>
    <mergeCell ref="Q104:R104"/>
    <mergeCell ref="S104:T104"/>
    <mergeCell ref="U104:V104"/>
    <mergeCell ref="W104:X104"/>
    <mergeCell ref="D101:E101"/>
    <mergeCell ref="F101:G101"/>
    <mergeCell ref="H101:J101"/>
    <mergeCell ref="K101:L101"/>
    <mergeCell ref="M101:N101"/>
    <mergeCell ref="O101:AB101"/>
    <mergeCell ref="H102:I102"/>
    <mergeCell ref="J102:K102"/>
    <mergeCell ref="L102:M102"/>
    <mergeCell ref="N102:O102"/>
    <mergeCell ref="P102:P103"/>
    <mergeCell ref="Q102:R102"/>
    <mergeCell ref="S102:T102"/>
    <mergeCell ref="U102:V102"/>
    <mergeCell ref="W102:X102"/>
    <mergeCell ref="Y102:Y103"/>
    <mergeCell ref="Z102:AB102"/>
    <mergeCell ref="H103:I103"/>
    <mergeCell ref="J103:K103"/>
    <mergeCell ref="L103:M103"/>
    <mergeCell ref="N103:O103"/>
    <mergeCell ref="Q103:R103"/>
    <mergeCell ref="S103:T103"/>
    <mergeCell ref="U103:V103"/>
    <mergeCell ref="H107:I107"/>
    <mergeCell ref="J107:K107"/>
    <mergeCell ref="L107:M107"/>
    <mergeCell ref="N107:O107"/>
    <mergeCell ref="Q107:R107"/>
    <mergeCell ref="S107:T107"/>
    <mergeCell ref="U107:V107"/>
    <mergeCell ref="W107:X107"/>
    <mergeCell ref="H108:I108"/>
    <mergeCell ref="J108:K108"/>
    <mergeCell ref="L108:M108"/>
    <mergeCell ref="N108:O108"/>
    <mergeCell ref="Q108:R108"/>
    <mergeCell ref="S108:T108"/>
    <mergeCell ref="U108:V108"/>
    <mergeCell ref="W108:X108"/>
    <mergeCell ref="H105:I105"/>
    <mergeCell ref="J105:K105"/>
    <mergeCell ref="L105:M105"/>
    <mergeCell ref="N105:O105"/>
    <mergeCell ref="Q105:R105"/>
    <mergeCell ref="S105:T105"/>
    <mergeCell ref="U105:V105"/>
    <mergeCell ref="W105:X105"/>
    <mergeCell ref="H106:I106"/>
    <mergeCell ref="J106:K106"/>
    <mergeCell ref="L106:M106"/>
    <mergeCell ref="N106:O106"/>
    <mergeCell ref="Q106:R106"/>
    <mergeCell ref="S106:T106"/>
    <mergeCell ref="U106:V106"/>
    <mergeCell ref="W106:X106"/>
    <mergeCell ref="H111:I111"/>
    <mergeCell ref="J111:K111"/>
    <mergeCell ref="L111:M111"/>
    <mergeCell ref="N111:O111"/>
    <mergeCell ref="Q111:R111"/>
    <mergeCell ref="S111:T111"/>
    <mergeCell ref="U111:V111"/>
    <mergeCell ref="W111:X111"/>
    <mergeCell ref="H112:I112"/>
    <mergeCell ref="J112:K112"/>
    <mergeCell ref="L112:M112"/>
    <mergeCell ref="N112:O112"/>
    <mergeCell ref="Q112:R112"/>
    <mergeCell ref="S112:T112"/>
    <mergeCell ref="U112:V112"/>
    <mergeCell ref="W112:X112"/>
    <mergeCell ref="H109:I109"/>
    <mergeCell ref="J109:K109"/>
    <mergeCell ref="L109:M109"/>
    <mergeCell ref="N109:O109"/>
    <mergeCell ref="Q109:R109"/>
    <mergeCell ref="S109:T109"/>
    <mergeCell ref="U109:V109"/>
    <mergeCell ref="W109:X109"/>
    <mergeCell ref="H110:I110"/>
    <mergeCell ref="J110:K110"/>
    <mergeCell ref="L110:M110"/>
    <mergeCell ref="N110:O110"/>
    <mergeCell ref="Q110:R110"/>
    <mergeCell ref="S110:T110"/>
    <mergeCell ref="U110:V110"/>
    <mergeCell ref="W110:X110"/>
    <mergeCell ref="H115:I115"/>
    <mergeCell ref="J115:K115"/>
    <mergeCell ref="L115:M115"/>
    <mergeCell ref="N115:O115"/>
    <mergeCell ref="Q115:R115"/>
    <mergeCell ref="S115:T115"/>
    <mergeCell ref="U115:V115"/>
    <mergeCell ref="W115:X115"/>
    <mergeCell ref="H116:I116"/>
    <mergeCell ref="J116:K116"/>
    <mergeCell ref="L116:M116"/>
    <mergeCell ref="N116:O116"/>
    <mergeCell ref="Q116:R116"/>
    <mergeCell ref="S116:T116"/>
    <mergeCell ref="U116:V116"/>
    <mergeCell ref="W116:X116"/>
    <mergeCell ref="H113:I113"/>
    <mergeCell ref="J113:K113"/>
    <mergeCell ref="L113:M113"/>
    <mergeCell ref="N113:O113"/>
    <mergeCell ref="Q113:R113"/>
    <mergeCell ref="S113:T113"/>
    <mergeCell ref="U113:V113"/>
    <mergeCell ref="W113:X113"/>
    <mergeCell ref="H114:I114"/>
    <mergeCell ref="J114:K114"/>
    <mergeCell ref="L114:M114"/>
    <mergeCell ref="N114:O114"/>
    <mergeCell ref="Q114:R114"/>
    <mergeCell ref="S114:T114"/>
    <mergeCell ref="U114:V114"/>
    <mergeCell ref="W114:X114"/>
    <mergeCell ref="H119:I119"/>
    <mergeCell ref="J119:K119"/>
    <mergeCell ref="L119:M119"/>
    <mergeCell ref="N119:O119"/>
    <mergeCell ref="Q119:R119"/>
    <mergeCell ref="S119:T119"/>
    <mergeCell ref="U119:V119"/>
    <mergeCell ref="W119:X119"/>
    <mergeCell ref="D121:I121"/>
    <mergeCell ref="J121:U121"/>
    <mergeCell ref="V121:AB121"/>
    <mergeCell ref="H117:I117"/>
    <mergeCell ref="J117:K117"/>
    <mergeCell ref="L117:M117"/>
    <mergeCell ref="N117:O117"/>
    <mergeCell ref="Q117:R117"/>
    <mergeCell ref="S117:T117"/>
    <mergeCell ref="U117:V117"/>
    <mergeCell ref="W117:X117"/>
    <mergeCell ref="H118:I118"/>
    <mergeCell ref="J118:K118"/>
    <mergeCell ref="L118:M118"/>
    <mergeCell ref="N118:O118"/>
    <mergeCell ref="Q118:R118"/>
    <mergeCell ref="S118:T118"/>
    <mergeCell ref="U118:V118"/>
    <mergeCell ref="W118:X118"/>
    <mergeCell ref="W135:X135"/>
    <mergeCell ref="H125:I125"/>
    <mergeCell ref="L125:O125"/>
    <mergeCell ref="P125:S125"/>
    <mergeCell ref="T125:U125"/>
    <mergeCell ref="H126:I126"/>
    <mergeCell ref="L126:O126"/>
    <mergeCell ref="P126:S126"/>
    <mergeCell ref="T126:U126"/>
    <mergeCell ref="H127:I127"/>
    <mergeCell ref="L127:O127"/>
    <mergeCell ref="P127:S127"/>
    <mergeCell ref="T127:U127"/>
    <mergeCell ref="H122:I122"/>
    <mergeCell ref="L122:O122"/>
    <mergeCell ref="P122:S122"/>
    <mergeCell ref="T122:U122"/>
    <mergeCell ref="H123:I123"/>
    <mergeCell ref="L123:O123"/>
    <mergeCell ref="P123:S123"/>
    <mergeCell ref="T123:U123"/>
    <mergeCell ref="H124:I124"/>
    <mergeCell ref="L124:O124"/>
    <mergeCell ref="P124:S124"/>
    <mergeCell ref="T124:U124"/>
    <mergeCell ref="H130:I130"/>
    <mergeCell ref="L130:O130"/>
    <mergeCell ref="P130:S130"/>
    <mergeCell ref="T130:U130"/>
    <mergeCell ref="D131:J131"/>
    <mergeCell ref="K131:N131"/>
    <mergeCell ref="O131:AB131"/>
    <mergeCell ref="D132:E132"/>
    <mergeCell ref="F132:G132"/>
    <mergeCell ref="H132:J132"/>
    <mergeCell ref="K132:P132"/>
    <mergeCell ref="Q132:R132"/>
    <mergeCell ref="S132:X132"/>
    <mergeCell ref="Y132:Z132"/>
    <mergeCell ref="AA132:AB132"/>
    <mergeCell ref="H128:I128"/>
    <mergeCell ref="L128:O128"/>
    <mergeCell ref="P128:S128"/>
    <mergeCell ref="T128:U128"/>
    <mergeCell ref="V128:AB128"/>
    <mergeCell ref="H129:I129"/>
    <mergeCell ref="L129:O129"/>
    <mergeCell ref="P129:S129"/>
    <mergeCell ref="T129:U129"/>
    <mergeCell ref="H136:I136"/>
    <mergeCell ref="J136:K136"/>
    <mergeCell ref="L136:M136"/>
    <mergeCell ref="N136:O136"/>
    <mergeCell ref="Q136:R136"/>
    <mergeCell ref="S136:T136"/>
    <mergeCell ref="U136:V136"/>
    <mergeCell ref="W136:X136"/>
    <mergeCell ref="D133:E133"/>
    <mergeCell ref="F133:G133"/>
    <mergeCell ref="H133:J133"/>
    <mergeCell ref="K133:L133"/>
    <mergeCell ref="M133:N133"/>
    <mergeCell ref="O133:AB133"/>
    <mergeCell ref="H134:I134"/>
    <mergeCell ref="J134:K134"/>
    <mergeCell ref="L134:M134"/>
    <mergeCell ref="N134:O134"/>
    <mergeCell ref="P134:P135"/>
    <mergeCell ref="Q134:R134"/>
    <mergeCell ref="S134:T134"/>
    <mergeCell ref="U134:V134"/>
    <mergeCell ref="W134:X134"/>
    <mergeCell ref="Y134:Y135"/>
    <mergeCell ref="Z134:AB134"/>
    <mergeCell ref="H135:I135"/>
    <mergeCell ref="J135:K135"/>
    <mergeCell ref="L135:M135"/>
    <mergeCell ref="N135:O135"/>
    <mergeCell ref="Q135:R135"/>
    <mergeCell ref="S135:T135"/>
    <mergeCell ref="U135:V135"/>
    <mergeCell ref="H139:I139"/>
    <mergeCell ref="J139:K139"/>
    <mergeCell ref="L139:M139"/>
    <mergeCell ref="N139:O139"/>
    <mergeCell ref="Q139:R139"/>
    <mergeCell ref="S139:T139"/>
    <mergeCell ref="U139:V139"/>
    <mergeCell ref="W139:X139"/>
    <mergeCell ref="H140:I140"/>
    <mergeCell ref="J140:K140"/>
    <mergeCell ref="L140:M140"/>
    <mergeCell ref="N140:O140"/>
    <mergeCell ref="Q140:R140"/>
    <mergeCell ref="S140:T140"/>
    <mergeCell ref="U140:V140"/>
    <mergeCell ref="W140:X140"/>
    <mergeCell ref="H137:I137"/>
    <mergeCell ref="J137:K137"/>
    <mergeCell ref="L137:M137"/>
    <mergeCell ref="N137:O137"/>
    <mergeCell ref="Q137:R137"/>
    <mergeCell ref="S137:T137"/>
    <mergeCell ref="U137:V137"/>
    <mergeCell ref="W137:X137"/>
    <mergeCell ref="H138:I138"/>
    <mergeCell ref="J138:K138"/>
    <mergeCell ref="L138:M138"/>
    <mergeCell ref="N138:O138"/>
    <mergeCell ref="Q138:R138"/>
    <mergeCell ref="S138:T138"/>
    <mergeCell ref="U138:V138"/>
    <mergeCell ref="W138:X138"/>
    <mergeCell ref="H143:I143"/>
    <mergeCell ref="J143:K143"/>
    <mergeCell ref="L143:M143"/>
    <mergeCell ref="N143:O143"/>
    <mergeCell ref="Q143:R143"/>
    <mergeCell ref="S143:T143"/>
    <mergeCell ref="U143:V143"/>
    <mergeCell ref="W143:X143"/>
    <mergeCell ref="H144:I144"/>
    <mergeCell ref="J144:K144"/>
    <mergeCell ref="L144:M144"/>
    <mergeCell ref="N144:O144"/>
    <mergeCell ref="Q144:R144"/>
    <mergeCell ref="S144:T144"/>
    <mergeCell ref="U144:V144"/>
    <mergeCell ref="W144:X144"/>
    <mergeCell ref="H141:I141"/>
    <mergeCell ref="J141:K141"/>
    <mergeCell ref="L141:M141"/>
    <mergeCell ref="N141:O141"/>
    <mergeCell ref="Q141:R141"/>
    <mergeCell ref="S141:T141"/>
    <mergeCell ref="U141:V141"/>
    <mergeCell ref="W141:X141"/>
    <mergeCell ref="H142:I142"/>
    <mergeCell ref="J142:K142"/>
    <mergeCell ref="L142:M142"/>
    <mergeCell ref="N142:O142"/>
    <mergeCell ref="Q142:R142"/>
    <mergeCell ref="S142:T142"/>
    <mergeCell ref="U142:V142"/>
    <mergeCell ref="W142:X142"/>
    <mergeCell ref="H147:I147"/>
    <mergeCell ref="J147:K147"/>
    <mergeCell ref="L147:M147"/>
    <mergeCell ref="N147:O147"/>
    <mergeCell ref="Q147:R147"/>
    <mergeCell ref="S147:T147"/>
    <mergeCell ref="U147:V147"/>
    <mergeCell ref="W147:X147"/>
    <mergeCell ref="H148:I148"/>
    <mergeCell ref="J148:K148"/>
    <mergeCell ref="L148:M148"/>
    <mergeCell ref="N148:O148"/>
    <mergeCell ref="Q148:R148"/>
    <mergeCell ref="S148:T148"/>
    <mergeCell ref="U148:V148"/>
    <mergeCell ref="W148:X148"/>
    <mergeCell ref="H145:I145"/>
    <mergeCell ref="J145:K145"/>
    <mergeCell ref="L145:M145"/>
    <mergeCell ref="N145:O145"/>
    <mergeCell ref="Q145:R145"/>
    <mergeCell ref="S145:T145"/>
    <mergeCell ref="U145:V145"/>
    <mergeCell ref="W145:X145"/>
    <mergeCell ref="H146:I146"/>
    <mergeCell ref="J146:K146"/>
    <mergeCell ref="L146:M146"/>
    <mergeCell ref="N146:O146"/>
    <mergeCell ref="Q146:R146"/>
    <mergeCell ref="S146:T146"/>
    <mergeCell ref="U146:V146"/>
    <mergeCell ref="W146:X146"/>
    <mergeCell ref="H151:I151"/>
    <mergeCell ref="J151:K151"/>
    <mergeCell ref="L151:M151"/>
    <mergeCell ref="N151:O151"/>
    <mergeCell ref="Q151:R151"/>
    <mergeCell ref="S151:T151"/>
    <mergeCell ref="U151:V151"/>
    <mergeCell ref="W151:X151"/>
    <mergeCell ref="D153:I153"/>
    <mergeCell ref="J153:U153"/>
    <mergeCell ref="V153:AB153"/>
    <mergeCell ref="H149:I149"/>
    <mergeCell ref="J149:K149"/>
    <mergeCell ref="L149:M149"/>
    <mergeCell ref="N149:O149"/>
    <mergeCell ref="Q149:R149"/>
    <mergeCell ref="S149:T149"/>
    <mergeCell ref="U149:V149"/>
    <mergeCell ref="W149:X149"/>
    <mergeCell ref="H150:I150"/>
    <mergeCell ref="J150:K150"/>
    <mergeCell ref="L150:M150"/>
    <mergeCell ref="N150:O150"/>
    <mergeCell ref="Q150:R150"/>
    <mergeCell ref="S150:T150"/>
    <mergeCell ref="U150:V150"/>
    <mergeCell ref="W150:X150"/>
    <mergeCell ref="W167:X167"/>
    <mergeCell ref="H157:I157"/>
    <mergeCell ref="L157:O157"/>
    <mergeCell ref="P157:S157"/>
    <mergeCell ref="T157:U157"/>
    <mergeCell ref="H158:I158"/>
    <mergeCell ref="L158:O158"/>
    <mergeCell ref="P158:S158"/>
    <mergeCell ref="T158:U158"/>
    <mergeCell ref="H159:I159"/>
    <mergeCell ref="L159:O159"/>
    <mergeCell ref="P159:S159"/>
    <mergeCell ref="T159:U159"/>
    <mergeCell ref="H154:I154"/>
    <mergeCell ref="L154:O154"/>
    <mergeCell ref="P154:S154"/>
    <mergeCell ref="T154:U154"/>
    <mergeCell ref="H155:I155"/>
    <mergeCell ref="L155:O155"/>
    <mergeCell ref="P155:S155"/>
    <mergeCell ref="T155:U155"/>
    <mergeCell ref="H156:I156"/>
    <mergeCell ref="L156:O156"/>
    <mergeCell ref="P156:S156"/>
    <mergeCell ref="T156:U156"/>
    <mergeCell ref="H162:I162"/>
    <mergeCell ref="L162:O162"/>
    <mergeCell ref="P162:S162"/>
    <mergeCell ref="T162:U162"/>
    <mergeCell ref="D163:J163"/>
    <mergeCell ref="K163:N163"/>
    <mergeCell ref="O163:AB163"/>
    <mergeCell ref="D164:E164"/>
    <mergeCell ref="F164:G164"/>
    <mergeCell ref="H164:J164"/>
    <mergeCell ref="K164:P164"/>
    <mergeCell ref="Q164:R164"/>
    <mergeCell ref="S164:X164"/>
    <mergeCell ref="Y164:Z164"/>
    <mergeCell ref="AA164:AB164"/>
    <mergeCell ref="H160:I160"/>
    <mergeCell ref="L160:O160"/>
    <mergeCell ref="P160:S160"/>
    <mergeCell ref="T160:U160"/>
    <mergeCell ref="V160:AB160"/>
    <mergeCell ref="H161:I161"/>
    <mergeCell ref="L161:O161"/>
    <mergeCell ref="P161:S161"/>
    <mergeCell ref="T161:U161"/>
    <mergeCell ref="H168:I168"/>
    <mergeCell ref="J168:K168"/>
    <mergeCell ref="L168:M168"/>
    <mergeCell ref="N168:O168"/>
    <mergeCell ref="Q168:R168"/>
    <mergeCell ref="S168:T168"/>
    <mergeCell ref="U168:V168"/>
    <mergeCell ref="W168:X168"/>
    <mergeCell ref="D165:E165"/>
    <mergeCell ref="F165:G165"/>
    <mergeCell ref="H165:J165"/>
    <mergeCell ref="K165:L165"/>
    <mergeCell ref="M165:N165"/>
    <mergeCell ref="O165:AB165"/>
    <mergeCell ref="H166:I166"/>
    <mergeCell ref="J166:K166"/>
    <mergeCell ref="L166:M166"/>
    <mergeCell ref="N166:O166"/>
    <mergeCell ref="P166:P167"/>
    <mergeCell ref="Q166:R166"/>
    <mergeCell ref="S166:T166"/>
    <mergeCell ref="U166:V166"/>
    <mergeCell ref="W166:X166"/>
    <mergeCell ref="Y166:Y167"/>
    <mergeCell ref="Z166:AB166"/>
    <mergeCell ref="H167:I167"/>
    <mergeCell ref="J167:K167"/>
    <mergeCell ref="L167:M167"/>
    <mergeCell ref="N167:O167"/>
    <mergeCell ref="Q167:R167"/>
    <mergeCell ref="S167:T167"/>
    <mergeCell ref="U167:V167"/>
    <mergeCell ref="H171:I171"/>
    <mergeCell ref="J171:K171"/>
    <mergeCell ref="L171:M171"/>
    <mergeCell ref="N171:O171"/>
    <mergeCell ref="Q171:R171"/>
    <mergeCell ref="S171:T171"/>
    <mergeCell ref="U171:V171"/>
    <mergeCell ref="W171:X171"/>
    <mergeCell ref="H172:I172"/>
    <mergeCell ref="J172:K172"/>
    <mergeCell ref="L172:M172"/>
    <mergeCell ref="N172:O172"/>
    <mergeCell ref="Q172:R172"/>
    <mergeCell ref="S172:T172"/>
    <mergeCell ref="U172:V172"/>
    <mergeCell ref="W172:X172"/>
    <mergeCell ref="H169:I169"/>
    <mergeCell ref="J169:K169"/>
    <mergeCell ref="L169:M169"/>
    <mergeCell ref="N169:O169"/>
    <mergeCell ref="Q169:R169"/>
    <mergeCell ref="S169:T169"/>
    <mergeCell ref="U169:V169"/>
    <mergeCell ref="W169:X169"/>
    <mergeCell ref="H170:I170"/>
    <mergeCell ref="J170:K170"/>
    <mergeCell ref="L170:M170"/>
    <mergeCell ref="N170:O170"/>
    <mergeCell ref="Q170:R170"/>
    <mergeCell ref="S170:T170"/>
    <mergeCell ref="U170:V170"/>
    <mergeCell ref="W170:X170"/>
    <mergeCell ref="H175:I175"/>
    <mergeCell ref="J175:K175"/>
    <mergeCell ref="L175:M175"/>
    <mergeCell ref="N175:O175"/>
    <mergeCell ref="Q175:R175"/>
    <mergeCell ref="S175:T175"/>
    <mergeCell ref="U175:V175"/>
    <mergeCell ref="W175:X175"/>
    <mergeCell ref="H176:I176"/>
    <mergeCell ref="J176:K176"/>
    <mergeCell ref="L176:M176"/>
    <mergeCell ref="N176:O176"/>
    <mergeCell ref="Q176:R176"/>
    <mergeCell ref="S176:T176"/>
    <mergeCell ref="U176:V176"/>
    <mergeCell ref="W176:X176"/>
    <mergeCell ref="H173:I173"/>
    <mergeCell ref="J173:K173"/>
    <mergeCell ref="L173:M173"/>
    <mergeCell ref="N173:O173"/>
    <mergeCell ref="Q173:R173"/>
    <mergeCell ref="S173:T173"/>
    <mergeCell ref="U173:V173"/>
    <mergeCell ref="W173:X173"/>
    <mergeCell ref="H174:I174"/>
    <mergeCell ref="J174:K174"/>
    <mergeCell ref="L174:M174"/>
    <mergeCell ref="N174:O174"/>
    <mergeCell ref="Q174:R174"/>
    <mergeCell ref="S174:T174"/>
    <mergeCell ref="U174:V174"/>
    <mergeCell ref="W174:X174"/>
    <mergeCell ref="H179:I179"/>
    <mergeCell ref="J179:K179"/>
    <mergeCell ref="L179:M179"/>
    <mergeCell ref="N179:O179"/>
    <mergeCell ref="Q179:R179"/>
    <mergeCell ref="S179:T179"/>
    <mergeCell ref="U179:V179"/>
    <mergeCell ref="W179:X179"/>
    <mergeCell ref="H180:I180"/>
    <mergeCell ref="J180:K180"/>
    <mergeCell ref="L180:M180"/>
    <mergeCell ref="N180:O180"/>
    <mergeCell ref="Q180:R180"/>
    <mergeCell ref="S180:T180"/>
    <mergeCell ref="U180:V180"/>
    <mergeCell ref="W180:X180"/>
    <mergeCell ref="H177:I177"/>
    <mergeCell ref="J177:K177"/>
    <mergeCell ref="L177:M177"/>
    <mergeCell ref="N177:O177"/>
    <mergeCell ref="Q177:R177"/>
    <mergeCell ref="S177:T177"/>
    <mergeCell ref="U177:V177"/>
    <mergeCell ref="W177:X177"/>
    <mergeCell ref="H178:I178"/>
    <mergeCell ref="J178:K178"/>
    <mergeCell ref="L178:M178"/>
    <mergeCell ref="N178:O178"/>
    <mergeCell ref="Q178:R178"/>
    <mergeCell ref="S178:T178"/>
    <mergeCell ref="U178:V178"/>
    <mergeCell ref="W178:X178"/>
    <mergeCell ref="H183:I183"/>
    <mergeCell ref="J183:K183"/>
    <mergeCell ref="L183:M183"/>
    <mergeCell ref="N183:O183"/>
    <mergeCell ref="Q183:R183"/>
    <mergeCell ref="S183:T183"/>
    <mergeCell ref="U183:V183"/>
    <mergeCell ref="W183:X183"/>
    <mergeCell ref="D185:I185"/>
    <mergeCell ref="J185:U185"/>
    <mergeCell ref="V185:AB185"/>
    <mergeCell ref="H181:I181"/>
    <mergeCell ref="J181:K181"/>
    <mergeCell ref="L181:M181"/>
    <mergeCell ref="N181:O181"/>
    <mergeCell ref="Q181:R181"/>
    <mergeCell ref="S181:T181"/>
    <mergeCell ref="U181:V181"/>
    <mergeCell ref="W181:X181"/>
    <mergeCell ref="H182:I182"/>
    <mergeCell ref="J182:K182"/>
    <mergeCell ref="L182:M182"/>
    <mergeCell ref="N182:O182"/>
    <mergeCell ref="Q182:R182"/>
    <mergeCell ref="S182:T182"/>
    <mergeCell ref="U182:V182"/>
    <mergeCell ref="W182:X182"/>
    <mergeCell ref="W199:X199"/>
    <mergeCell ref="H189:I189"/>
    <mergeCell ref="L189:O189"/>
    <mergeCell ref="P189:S189"/>
    <mergeCell ref="T189:U189"/>
    <mergeCell ref="H190:I190"/>
    <mergeCell ref="L190:O190"/>
    <mergeCell ref="P190:S190"/>
    <mergeCell ref="T190:U190"/>
    <mergeCell ref="H191:I191"/>
    <mergeCell ref="L191:O191"/>
    <mergeCell ref="P191:S191"/>
    <mergeCell ref="T191:U191"/>
    <mergeCell ref="H186:I186"/>
    <mergeCell ref="L186:O186"/>
    <mergeCell ref="P186:S186"/>
    <mergeCell ref="T186:U186"/>
    <mergeCell ref="H187:I187"/>
    <mergeCell ref="L187:O187"/>
    <mergeCell ref="P187:S187"/>
    <mergeCell ref="T187:U187"/>
    <mergeCell ref="H188:I188"/>
    <mergeCell ref="L188:O188"/>
    <mergeCell ref="P188:S188"/>
    <mergeCell ref="T188:U188"/>
    <mergeCell ref="H194:I194"/>
    <mergeCell ref="L194:O194"/>
    <mergeCell ref="P194:S194"/>
    <mergeCell ref="T194:U194"/>
    <mergeCell ref="D195:J195"/>
    <mergeCell ref="K195:N195"/>
    <mergeCell ref="O195:AB195"/>
    <mergeCell ref="D196:E196"/>
    <mergeCell ref="F196:G196"/>
    <mergeCell ref="H196:J196"/>
    <mergeCell ref="K196:P196"/>
    <mergeCell ref="Q196:R196"/>
    <mergeCell ref="S196:X196"/>
    <mergeCell ref="Y196:Z196"/>
    <mergeCell ref="AA196:AB196"/>
    <mergeCell ref="H192:I192"/>
    <mergeCell ref="L192:O192"/>
    <mergeCell ref="P192:S192"/>
    <mergeCell ref="T192:U192"/>
    <mergeCell ref="V192:AB192"/>
    <mergeCell ref="H193:I193"/>
    <mergeCell ref="L193:O193"/>
    <mergeCell ref="P193:S193"/>
    <mergeCell ref="T193:U193"/>
    <mergeCell ref="H200:I200"/>
    <mergeCell ref="J200:K200"/>
    <mergeCell ref="L200:M200"/>
    <mergeCell ref="N200:O200"/>
    <mergeCell ref="Q200:R200"/>
    <mergeCell ref="S200:T200"/>
    <mergeCell ref="U200:V200"/>
    <mergeCell ref="W200:X200"/>
    <mergeCell ref="D197:E197"/>
    <mergeCell ref="F197:G197"/>
    <mergeCell ref="H197:J197"/>
    <mergeCell ref="K197:L197"/>
    <mergeCell ref="M197:N197"/>
    <mergeCell ref="O197:AB197"/>
    <mergeCell ref="H198:I198"/>
    <mergeCell ref="J198:K198"/>
    <mergeCell ref="L198:M198"/>
    <mergeCell ref="N198:O198"/>
    <mergeCell ref="P198:P199"/>
    <mergeCell ref="Q198:R198"/>
    <mergeCell ref="S198:T198"/>
    <mergeCell ref="U198:V198"/>
    <mergeCell ref="W198:X198"/>
    <mergeCell ref="Y198:Y199"/>
    <mergeCell ref="Z198:AB198"/>
    <mergeCell ref="H199:I199"/>
    <mergeCell ref="J199:K199"/>
    <mergeCell ref="L199:M199"/>
    <mergeCell ref="N199:O199"/>
    <mergeCell ref="Q199:R199"/>
    <mergeCell ref="S199:T199"/>
    <mergeCell ref="U199:V199"/>
    <mergeCell ref="H203:I203"/>
    <mergeCell ref="J203:K203"/>
    <mergeCell ref="L203:M203"/>
    <mergeCell ref="N203:O203"/>
    <mergeCell ref="Q203:R203"/>
    <mergeCell ref="S203:T203"/>
    <mergeCell ref="U203:V203"/>
    <mergeCell ref="W203:X203"/>
    <mergeCell ref="H204:I204"/>
    <mergeCell ref="J204:K204"/>
    <mergeCell ref="L204:M204"/>
    <mergeCell ref="N204:O204"/>
    <mergeCell ref="Q204:R204"/>
    <mergeCell ref="S204:T204"/>
    <mergeCell ref="U204:V204"/>
    <mergeCell ref="W204:X204"/>
    <mergeCell ref="H201:I201"/>
    <mergeCell ref="J201:K201"/>
    <mergeCell ref="L201:M201"/>
    <mergeCell ref="N201:O201"/>
    <mergeCell ref="Q201:R201"/>
    <mergeCell ref="S201:T201"/>
    <mergeCell ref="U201:V201"/>
    <mergeCell ref="W201:X201"/>
    <mergeCell ref="H202:I202"/>
    <mergeCell ref="J202:K202"/>
    <mergeCell ref="L202:M202"/>
    <mergeCell ref="N202:O202"/>
    <mergeCell ref="Q202:R202"/>
    <mergeCell ref="S202:T202"/>
    <mergeCell ref="U202:V202"/>
    <mergeCell ref="W202:X202"/>
    <mergeCell ref="H207:I207"/>
    <mergeCell ref="J207:K207"/>
    <mergeCell ref="L207:M207"/>
    <mergeCell ref="N207:O207"/>
    <mergeCell ref="Q207:R207"/>
    <mergeCell ref="S207:T207"/>
    <mergeCell ref="U207:V207"/>
    <mergeCell ref="W207:X207"/>
    <mergeCell ref="H208:I208"/>
    <mergeCell ref="J208:K208"/>
    <mergeCell ref="L208:M208"/>
    <mergeCell ref="N208:O208"/>
    <mergeCell ref="Q208:R208"/>
    <mergeCell ref="S208:T208"/>
    <mergeCell ref="U208:V208"/>
    <mergeCell ref="W208:X208"/>
    <mergeCell ref="H205:I205"/>
    <mergeCell ref="J205:K205"/>
    <mergeCell ref="L205:M205"/>
    <mergeCell ref="N205:O205"/>
    <mergeCell ref="Q205:R205"/>
    <mergeCell ref="S205:T205"/>
    <mergeCell ref="U205:V205"/>
    <mergeCell ref="W205:X205"/>
    <mergeCell ref="H206:I206"/>
    <mergeCell ref="J206:K206"/>
    <mergeCell ref="L206:M206"/>
    <mergeCell ref="N206:O206"/>
    <mergeCell ref="Q206:R206"/>
    <mergeCell ref="S206:T206"/>
    <mergeCell ref="U206:V206"/>
    <mergeCell ref="W206:X206"/>
    <mergeCell ref="H211:I211"/>
    <mergeCell ref="J211:K211"/>
    <mergeCell ref="L211:M211"/>
    <mergeCell ref="N211:O211"/>
    <mergeCell ref="Q211:R211"/>
    <mergeCell ref="S211:T211"/>
    <mergeCell ref="U211:V211"/>
    <mergeCell ref="W211:X211"/>
    <mergeCell ref="H212:I212"/>
    <mergeCell ref="J212:K212"/>
    <mergeCell ref="L212:M212"/>
    <mergeCell ref="N212:O212"/>
    <mergeCell ref="Q212:R212"/>
    <mergeCell ref="S212:T212"/>
    <mergeCell ref="U212:V212"/>
    <mergeCell ref="W212:X212"/>
    <mergeCell ref="H209:I209"/>
    <mergeCell ref="J209:K209"/>
    <mergeCell ref="L209:M209"/>
    <mergeCell ref="N209:O209"/>
    <mergeCell ref="Q209:R209"/>
    <mergeCell ref="S209:T209"/>
    <mergeCell ref="U209:V209"/>
    <mergeCell ref="W209:X209"/>
    <mergeCell ref="H210:I210"/>
    <mergeCell ref="J210:K210"/>
    <mergeCell ref="L210:M210"/>
    <mergeCell ref="N210:O210"/>
    <mergeCell ref="Q210:R210"/>
    <mergeCell ref="S210:T210"/>
    <mergeCell ref="U210:V210"/>
    <mergeCell ref="W210:X210"/>
    <mergeCell ref="H215:I215"/>
    <mergeCell ref="J215:K215"/>
    <mergeCell ref="L215:M215"/>
    <mergeCell ref="N215:O215"/>
    <mergeCell ref="Q215:R215"/>
    <mergeCell ref="S215:T215"/>
    <mergeCell ref="U215:V215"/>
    <mergeCell ref="W215:X215"/>
    <mergeCell ref="D217:I217"/>
    <mergeCell ref="J217:U217"/>
    <mergeCell ref="V217:AB217"/>
    <mergeCell ref="H213:I213"/>
    <mergeCell ref="J213:K213"/>
    <mergeCell ref="L213:M213"/>
    <mergeCell ref="N213:O213"/>
    <mergeCell ref="Q213:R213"/>
    <mergeCell ref="S213:T213"/>
    <mergeCell ref="U213:V213"/>
    <mergeCell ref="W213:X213"/>
    <mergeCell ref="H214:I214"/>
    <mergeCell ref="J214:K214"/>
    <mergeCell ref="L214:M214"/>
    <mergeCell ref="N214:O214"/>
    <mergeCell ref="Q214:R214"/>
    <mergeCell ref="S214:T214"/>
    <mergeCell ref="U214:V214"/>
    <mergeCell ref="W214:X214"/>
    <mergeCell ref="W231:X231"/>
    <mergeCell ref="H221:I221"/>
    <mergeCell ref="L221:O221"/>
    <mergeCell ref="P221:S221"/>
    <mergeCell ref="T221:U221"/>
    <mergeCell ref="H222:I222"/>
    <mergeCell ref="L222:O222"/>
    <mergeCell ref="P222:S222"/>
    <mergeCell ref="T222:U222"/>
    <mergeCell ref="H223:I223"/>
    <mergeCell ref="L223:O223"/>
    <mergeCell ref="P223:S223"/>
    <mergeCell ref="T223:U223"/>
    <mergeCell ref="H218:I218"/>
    <mergeCell ref="L218:O218"/>
    <mergeCell ref="P218:S218"/>
    <mergeCell ref="T218:U218"/>
    <mergeCell ref="H219:I219"/>
    <mergeCell ref="L219:O219"/>
    <mergeCell ref="P219:S219"/>
    <mergeCell ref="T219:U219"/>
    <mergeCell ref="H220:I220"/>
    <mergeCell ref="L220:O220"/>
    <mergeCell ref="P220:S220"/>
    <mergeCell ref="T220:U220"/>
    <mergeCell ref="H226:I226"/>
    <mergeCell ref="L226:O226"/>
    <mergeCell ref="P226:S226"/>
    <mergeCell ref="T226:U226"/>
    <mergeCell ref="D227:J227"/>
    <mergeCell ref="K227:N227"/>
    <mergeCell ref="O227:AB227"/>
    <mergeCell ref="D228:E228"/>
    <mergeCell ref="F228:G228"/>
    <mergeCell ref="H228:J228"/>
    <mergeCell ref="K228:P228"/>
    <mergeCell ref="Q228:R228"/>
    <mergeCell ref="S228:X228"/>
    <mergeCell ref="Y228:Z228"/>
    <mergeCell ref="AA228:AB228"/>
    <mergeCell ref="H224:I224"/>
    <mergeCell ref="L224:O224"/>
    <mergeCell ref="P224:S224"/>
    <mergeCell ref="T224:U224"/>
    <mergeCell ref="V224:AB224"/>
    <mergeCell ref="H225:I225"/>
    <mergeCell ref="L225:O225"/>
    <mergeCell ref="P225:S225"/>
    <mergeCell ref="T225:U225"/>
    <mergeCell ref="H232:I232"/>
    <mergeCell ref="J232:K232"/>
    <mergeCell ref="L232:M232"/>
    <mergeCell ref="N232:O232"/>
    <mergeCell ref="Q232:R232"/>
    <mergeCell ref="S232:T232"/>
    <mergeCell ref="U232:V232"/>
    <mergeCell ref="W232:X232"/>
    <mergeCell ref="D229:E229"/>
    <mergeCell ref="F229:G229"/>
    <mergeCell ref="H229:J229"/>
    <mergeCell ref="K229:L229"/>
    <mergeCell ref="M229:N229"/>
    <mergeCell ref="O229:AB229"/>
    <mergeCell ref="H230:I230"/>
    <mergeCell ref="J230:K230"/>
    <mergeCell ref="L230:M230"/>
    <mergeCell ref="N230:O230"/>
    <mergeCell ref="P230:P231"/>
    <mergeCell ref="Q230:R230"/>
    <mergeCell ref="S230:T230"/>
    <mergeCell ref="U230:V230"/>
    <mergeCell ref="W230:X230"/>
    <mergeCell ref="Y230:Y231"/>
    <mergeCell ref="Z230:AB230"/>
    <mergeCell ref="H231:I231"/>
    <mergeCell ref="J231:K231"/>
    <mergeCell ref="L231:M231"/>
    <mergeCell ref="N231:O231"/>
    <mergeCell ref="Q231:R231"/>
    <mergeCell ref="S231:T231"/>
    <mergeCell ref="U231:V231"/>
    <mergeCell ref="H235:I235"/>
    <mergeCell ref="J235:K235"/>
    <mergeCell ref="L235:M235"/>
    <mergeCell ref="N235:O235"/>
    <mergeCell ref="Q235:R235"/>
    <mergeCell ref="S235:T235"/>
    <mergeCell ref="U235:V235"/>
    <mergeCell ref="W235:X235"/>
    <mergeCell ref="H236:I236"/>
    <mergeCell ref="J236:K236"/>
    <mergeCell ref="L236:M236"/>
    <mergeCell ref="N236:O236"/>
    <mergeCell ref="Q236:R236"/>
    <mergeCell ref="S236:T236"/>
    <mergeCell ref="U236:V236"/>
    <mergeCell ref="W236:X236"/>
    <mergeCell ref="H233:I233"/>
    <mergeCell ref="J233:K233"/>
    <mergeCell ref="L233:M233"/>
    <mergeCell ref="N233:O233"/>
    <mergeCell ref="Q233:R233"/>
    <mergeCell ref="S233:T233"/>
    <mergeCell ref="U233:V233"/>
    <mergeCell ref="W233:X233"/>
    <mergeCell ref="H234:I234"/>
    <mergeCell ref="J234:K234"/>
    <mergeCell ref="L234:M234"/>
    <mergeCell ref="N234:O234"/>
    <mergeCell ref="Q234:R234"/>
    <mergeCell ref="S234:T234"/>
    <mergeCell ref="U234:V234"/>
    <mergeCell ref="W234:X234"/>
    <mergeCell ref="H239:I239"/>
    <mergeCell ref="J239:K239"/>
    <mergeCell ref="L239:M239"/>
    <mergeCell ref="N239:O239"/>
    <mergeCell ref="Q239:R239"/>
    <mergeCell ref="S239:T239"/>
    <mergeCell ref="U239:V239"/>
    <mergeCell ref="W239:X239"/>
    <mergeCell ref="H240:I240"/>
    <mergeCell ref="J240:K240"/>
    <mergeCell ref="L240:M240"/>
    <mergeCell ref="N240:O240"/>
    <mergeCell ref="Q240:R240"/>
    <mergeCell ref="S240:T240"/>
    <mergeCell ref="U240:V240"/>
    <mergeCell ref="W240:X240"/>
    <mergeCell ref="H237:I237"/>
    <mergeCell ref="J237:K237"/>
    <mergeCell ref="L237:M237"/>
    <mergeCell ref="N237:O237"/>
    <mergeCell ref="Q237:R237"/>
    <mergeCell ref="S237:T237"/>
    <mergeCell ref="U237:V237"/>
    <mergeCell ref="W237:X237"/>
    <mergeCell ref="H238:I238"/>
    <mergeCell ref="J238:K238"/>
    <mergeCell ref="L238:M238"/>
    <mergeCell ref="N238:O238"/>
    <mergeCell ref="Q238:R238"/>
    <mergeCell ref="S238:T238"/>
    <mergeCell ref="U238:V238"/>
    <mergeCell ref="W238:X238"/>
    <mergeCell ref="H243:I243"/>
    <mergeCell ref="J243:K243"/>
    <mergeCell ref="L243:M243"/>
    <mergeCell ref="N243:O243"/>
    <mergeCell ref="Q243:R243"/>
    <mergeCell ref="S243:T243"/>
    <mergeCell ref="U243:V243"/>
    <mergeCell ref="W243:X243"/>
    <mergeCell ref="H244:I244"/>
    <mergeCell ref="J244:K244"/>
    <mergeCell ref="L244:M244"/>
    <mergeCell ref="N244:O244"/>
    <mergeCell ref="Q244:R244"/>
    <mergeCell ref="S244:T244"/>
    <mergeCell ref="U244:V244"/>
    <mergeCell ref="W244:X244"/>
    <mergeCell ref="H241:I241"/>
    <mergeCell ref="J241:K241"/>
    <mergeCell ref="L241:M241"/>
    <mergeCell ref="N241:O241"/>
    <mergeCell ref="Q241:R241"/>
    <mergeCell ref="S241:T241"/>
    <mergeCell ref="U241:V241"/>
    <mergeCell ref="W241:X241"/>
    <mergeCell ref="H242:I242"/>
    <mergeCell ref="J242:K242"/>
    <mergeCell ref="L242:M242"/>
    <mergeCell ref="N242:O242"/>
    <mergeCell ref="Q242:R242"/>
    <mergeCell ref="S242:T242"/>
    <mergeCell ref="U242:V242"/>
    <mergeCell ref="W242:X242"/>
    <mergeCell ref="H247:I247"/>
    <mergeCell ref="J247:K247"/>
    <mergeCell ref="L247:M247"/>
    <mergeCell ref="N247:O247"/>
    <mergeCell ref="Q247:R247"/>
    <mergeCell ref="S247:T247"/>
    <mergeCell ref="U247:V247"/>
    <mergeCell ref="W247:X247"/>
    <mergeCell ref="D249:I249"/>
    <mergeCell ref="J249:U249"/>
    <mergeCell ref="V249:AB249"/>
    <mergeCell ref="H245:I245"/>
    <mergeCell ref="J245:K245"/>
    <mergeCell ref="L245:M245"/>
    <mergeCell ref="N245:O245"/>
    <mergeCell ref="Q245:R245"/>
    <mergeCell ref="S245:T245"/>
    <mergeCell ref="U245:V245"/>
    <mergeCell ref="W245:X245"/>
    <mergeCell ref="H246:I246"/>
    <mergeCell ref="J246:K246"/>
    <mergeCell ref="L246:M246"/>
    <mergeCell ref="N246:O246"/>
    <mergeCell ref="Q246:R246"/>
    <mergeCell ref="S246:T246"/>
    <mergeCell ref="U246:V246"/>
    <mergeCell ref="W246:X246"/>
    <mergeCell ref="W263:X263"/>
    <mergeCell ref="H253:I253"/>
    <mergeCell ref="L253:O253"/>
    <mergeCell ref="P253:S253"/>
    <mergeCell ref="T253:U253"/>
    <mergeCell ref="H254:I254"/>
    <mergeCell ref="L254:O254"/>
    <mergeCell ref="P254:S254"/>
    <mergeCell ref="T254:U254"/>
    <mergeCell ref="H255:I255"/>
    <mergeCell ref="L255:O255"/>
    <mergeCell ref="P255:S255"/>
    <mergeCell ref="T255:U255"/>
    <mergeCell ref="H250:I250"/>
    <mergeCell ref="L250:O250"/>
    <mergeCell ref="P250:S250"/>
    <mergeCell ref="T250:U250"/>
    <mergeCell ref="H251:I251"/>
    <mergeCell ref="L251:O251"/>
    <mergeCell ref="P251:S251"/>
    <mergeCell ref="T251:U251"/>
    <mergeCell ref="H252:I252"/>
    <mergeCell ref="L252:O252"/>
    <mergeCell ref="P252:S252"/>
    <mergeCell ref="T252:U252"/>
    <mergeCell ref="H258:I258"/>
    <mergeCell ref="L258:O258"/>
    <mergeCell ref="P258:S258"/>
    <mergeCell ref="T258:U258"/>
    <mergeCell ref="D259:J259"/>
    <mergeCell ref="K259:N259"/>
    <mergeCell ref="O259:AB259"/>
    <mergeCell ref="D260:E260"/>
    <mergeCell ref="F260:G260"/>
    <mergeCell ref="H260:J260"/>
    <mergeCell ref="K260:P260"/>
    <mergeCell ref="Q260:R260"/>
    <mergeCell ref="S260:X260"/>
    <mergeCell ref="Y260:Z260"/>
    <mergeCell ref="AA260:AB260"/>
    <mergeCell ref="H256:I256"/>
    <mergeCell ref="L256:O256"/>
    <mergeCell ref="P256:S256"/>
    <mergeCell ref="T256:U256"/>
    <mergeCell ref="V256:AB256"/>
    <mergeCell ref="H257:I257"/>
    <mergeCell ref="L257:O257"/>
    <mergeCell ref="P257:S257"/>
    <mergeCell ref="T257:U257"/>
    <mergeCell ref="H264:I264"/>
    <mergeCell ref="J264:K264"/>
    <mergeCell ref="L264:M264"/>
    <mergeCell ref="N264:O264"/>
    <mergeCell ref="Q264:R264"/>
    <mergeCell ref="S264:T264"/>
    <mergeCell ref="U264:V264"/>
    <mergeCell ref="W264:X264"/>
    <mergeCell ref="D261:E261"/>
    <mergeCell ref="F261:G261"/>
    <mergeCell ref="H261:J261"/>
    <mergeCell ref="K261:L261"/>
    <mergeCell ref="M261:N261"/>
    <mergeCell ref="O261:AB261"/>
    <mergeCell ref="H262:I262"/>
    <mergeCell ref="J262:K262"/>
    <mergeCell ref="L262:M262"/>
    <mergeCell ref="N262:O262"/>
    <mergeCell ref="P262:P263"/>
    <mergeCell ref="Q262:R262"/>
    <mergeCell ref="S262:T262"/>
    <mergeCell ref="U262:V262"/>
    <mergeCell ref="W262:X262"/>
    <mergeCell ref="Y262:Y263"/>
    <mergeCell ref="Z262:AB262"/>
    <mergeCell ref="H263:I263"/>
    <mergeCell ref="J263:K263"/>
    <mergeCell ref="L263:M263"/>
    <mergeCell ref="N263:O263"/>
    <mergeCell ref="Q263:R263"/>
    <mergeCell ref="S263:T263"/>
    <mergeCell ref="U263:V263"/>
    <mergeCell ref="H267:I267"/>
    <mergeCell ref="J267:K267"/>
    <mergeCell ref="L267:M267"/>
    <mergeCell ref="N267:O267"/>
    <mergeCell ref="Q267:R267"/>
    <mergeCell ref="S267:T267"/>
    <mergeCell ref="U267:V267"/>
    <mergeCell ref="W267:X267"/>
    <mergeCell ref="H268:I268"/>
    <mergeCell ref="J268:K268"/>
    <mergeCell ref="L268:M268"/>
    <mergeCell ref="N268:O268"/>
    <mergeCell ref="Q268:R268"/>
    <mergeCell ref="S268:T268"/>
    <mergeCell ref="U268:V268"/>
    <mergeCell ref="W268:X268"/>
    <mergeCell ref="H265:I265"/>
    <mergeCell ref="J265:K265"/>
    <mergeCell ref="L265:M265"/>
    <mergeCell ref="N265:O265"/>
    <mergeCell ref="Q265:R265"/>
    <mergeCell ref="S265:T265"/>
    <mergeCell ref="U265:V265"/>
    <mergeCell ref="W265:X265"/>
    <mergeCell ref="H266:I266"/>
    <mergeCell ref="J266:K266"/>
    <mergeCell ref="L266:M266"/>
    <mergeCell ref="N266:O266"/>
    <mergeCell ref="Q266:R266"/>
    <mergeCell ref="S266:T266"/>
    <mergeCell ref="U266:V266"/>
    <mergeCell ref="W266:X266"/>
    <mergeCell ref="H271:I271"/>
    <mergeCell ref="J271:K271"/>
    <mergeCell ref="L271:M271"/>
    <mergeCell ref="N271:O271"/>
    <mergeCell ref="Q271:R271"/>
    <mergeCell ref="S271:T271"/>
    <mergeCell ref="U271:V271"/>
    <mergeCell ref="W271:X271"/>
    <mergeCell ref="H272:I272"/>
    <mergeCell ref="J272:K272"/>
    <mergeCell ref="L272:M272"/>
    <mergeCell ref="N272:O272"/>
    <mergeCell ref="Q272:R272"/>
    <mergeCell ref="S272:T272"/>
    <mergeCell ref="U272:V272"/>
    <mergeCell ref="W272:X272"/>
    <mergeCell ref="H269:I269"/>
    <mergeCell ref="J269:K269"/>
    <mergeCell ref="L269:M269"/>
    <mergeCell ref="N269:O269"/>
    <mergeCell ref="Q269:R269"/>
    <mergeCell ref="S269:T269"/>
    <mergeCell ref="U269:V269"/>
    <mergeCell ref="W269:X269"/>
    <mergeCell ref="H270:I270"/>
    <mergeCell ref="J270:K270"/>
    <mergeCell ref="L270:M270"/>
    <mergeCell ref="N270:O270"/>
    <mergeCell ref="Q270:R270"/>
    <mergeCell ref="S270:T270"/>
    <mergeCell ref="U270:V270"/>
    <mergeCell ref="W270:X270"/>
    <mergeCell ref="H275:I275"/>
    <mergeCell ref="J275:K275"/>
    <mergeCell ref="L275:M275"/>
    <mergeCell ref="N275:O275"/>
    <mergeCell ref="Q275:R275"/>
    <mergeCell ref="S275:T275"/>
    <mergeCell ref="U275:V275"/>
    <mergeCell ref="W275:X275"/>
    <mergeCell ref="H276:I276"/>
    <mergeCell ref="J276:K276"/>
    <mergeCell ref="L276:M276"/>
    <mergeCell ref="N276:O276"/>
    <mergeCell ref="Q276:R276"/>
    <mergeCell ref="S276:T276"/>
    <mergeCell ref="U276:V276"/>
    <mergeCell ref="W276:X276"/>
    <mergeCell ref="H273:I273"/>
    <mergeCell ref="J273:K273"/>
    <mergeCell ref="L273:M273"/>
    <mergeCell ref="N273:O273"/>
    <mergeCell ref="Q273:R273"/>
    <mergeCell ref="S273:T273"/>
    <mergeCell ref="U273:V273"/>
    <mergeCell ref="W273:X273"/>
    <mergeCell ref="H274:I274"/>
    <mergeCell ref="J274:K274"/>
    <mergeCell ref="L274:M274"/>
    <mergeCell ref="N274:O274"/>
    <mergeCell ref="Q274:R274"/>
    <mergeCell ref="S274:T274"/>
    <mergeCell ref="U274:V274"/>
    <mergeCell ref="W274:X274"/>
    <mergeCell ref="H279:I279"/>
    <mergeCell ref="J279:K279"/>
    <mergeCell ref="L279:M279"/>
    <mergeCell ref="N279:O279"/>
    <mergeCell ref="Q279:R279"/>
    <mergeCell ref="S279:T279"/>
    <mergeCell ref="U279:V279"/>
    <mergeCell ref="W279:X279"/>
    <mergeCell ref="D281:I281"/>
    <mergeCell ref="J281:U281"/>
    <mergeCell ref="V281:AB281"/>
    <mergeCell ref="H277:I277"/>
    <mergeCell ref="J277:K277"/>
    <mergeCell ref="L277:M277"/>
    <mergeCell ref="N277:O277"/>
    <mergeCell ref="Q277:R277"/>
    <mergeCell ref="S277:T277"/>
    <mergeCell ref="U277:V277"/>
    <mergeCell ref="W277:X277"/>
    <mergeCell ref="H278:I278"/>
    <mergeCell ref="J278:K278"/>
    <mergeCell ref="L278:M278"/>
    <mergeCell ref="N278:O278"/>
    <mergeCell ref="Q278:R278"/>
    <mergeCell ref="S278:T278"/>
    <mergeCell ref="U278:V278"/>
    <mergeCell ref="W278:X278"/>
    <mergeCell ref="W295:X295"/>
    <mergeCell ref="H285:I285"/>
    <mergeCell ref="L285:O285"/>
    <mergeCell ref="P285:S285"/>
    <mergeCell ref="T285:U285"/>
    <mergeCell ref="H286:I286"/>
    <mergeCell ref="L286:O286"/>
    <mergeCell ref="P286:S286"/>
    <mergeCell ref="T286:U286"/>
    <mergeCell ref="H287:I287"/>
    <mergeCell ref="L287:O287"/>
    <mergeCell ref="P287:S287"/>
    <mergeCell ref="T287:U287"/>
    <mergeCell ref="H282:I282"/>
    <mergeCell ref="L282:O282"/>
    <mergeCell ref="P282:S282"/>
    <mergeCell ref="T282:U282"/>
    <mergeCell ref="H283:I283"/>
    <mergeCell ref="L283:O283"/>
    <mergeCell ref="P283:S283"/>
    <mergeCell ref="T283:U283"/>
    <mergeCell ref="H284:I284"/>
    <mergeCell ref="L284:O284"/>
    <mergeCell ref="P284:S284"/>
    <mergeCell ref="T284:U284"/>
    <mergeCell ref="H290:I290"/>
    <mergeCell ref="L290:O290"/>
    <mergeCell ref="P290:S290"/>
    <mergeCell ref="T290:U290"/>
    <mergeCell ref="D291:J291"/>
    <mergeCell ref="K291:N291"/>
    <mergeCell ref="O291:AB291"/>
    <mergeCell ref="D292:E292"/>
    <mergeCell ref="F292:G292"/>
    <mergeCell ref="H292:J292"/>
    <mergeCell ref="K292:P292"/>
    <mergeCell ref="Q292:R292"/>
    <mergeCell ref="S292:X292"/>
    <mergeCell ref="Y292:Z292"/>
    <mergeCell ref="AA292:AB292"/>
    <mergeCell ref="H288:I288"/>
    <mergeCell ref="L288:O288"/>
    <mergeCell ref="P288:S288"/>
    <mergeCell ref="T288:U288"/>
    <mergeCell ref="V288:AB288"/>
    <mergeCell ref="H289:I289"/>
    <mergeCell ref="L289:O289"/>
    <mergeCell ref="P289:S289"/>
    <mergeCell ref="T289:U289"/>
    <mergeCell ref="H296:I296"/>
    <mergeCell ref="J296:K296"/>
    <mergeCell ref="L296:M296"/>
    <mergeCell ref="N296:O296"/>
    <mergeCell ref="Q296:R296"/>
    <mergeCell ref="S296:T296"/>
    <mergeCell ref="U296:V296"/>
    <mergeCell ref="W296:X296"/>
    <mergeCell ref="D293:E293"/>
    <mergeCell ref="F293:G293"/>
    <mergeCell ref="H293:J293"/>
    <mergeCell ref="K293:L293"/>
    <mergeCell ref="M293:N293"/>
    <mergeCell ref="O293:AB293"/>
    <mergeCell ref="H294:I294"/>
    <mergeCell ref="J294:K294"/>
    <mergeCell ref="L294:M294"/>
    <mergeCell ref="N294:O294"/>
    <mergeCell ref="P294:P295"/>
    <mergeCell ref="Q294:R294"/>
    <mergeCell ref="S294:T294"/>
    <mergeCell ref="U294:V294"/>
    <mergeCell ref="W294:X294"/>
    <mergeCell ref="Y294:Y295"/>
    <mergeCell ref="Z294:AB294"/>
    <mergeCell ref="H295:I295"/>
    <mergeCell ref="J295:K295"/>
    <mergeCell ref="L295:M295"/>
    <mergeCell ref="N295:O295"/>
    <mergeCell ref="Q295:R295"/>
    <mergeCell ref="S295:T295"/>
    <mergeCell ref="U295:V295"/>
    <mergeCell ref="H299:I299"/>
    <mergeCell ref="J299:K299"/>
    <mergeCell ref="L299:M299"/>
    <mergeCell ref="N299:O299"/>
    <mergeCell ref="Q299:R299"/>
    <mergeCell ref="S299:T299"/>
    <mergeCell ref="U299:V299"/>
    <mergeCell ref="W299:X299"/>
    <mergeCell ref="H300:I300"/>
    <mergeCell ref="J300:K300"/>
    <mergeCell ref="L300:M300"/>
    <mergeCell ref="N300:O300"/>
    <mergeCell ref="Q300:R300"/>
    <mergeCell ref="S300:T300"/>
    <mergeCell ref="U300:V300"/>
    <mergeCell ref="W300:X300"/>
    <mergeCell ref="H297:I297"/>
    <mergeCell ref="J297:K297"/>
    <mergeCell ref="L297:M297"/>
    <mergeCell ref="N297:O297"/>
    <mergeCell ref="Q297:R297"/>
    <mergeCell ref="S297:T297"/>
    <mergeCell ref="U297:V297"/>
    <mergeCell ref="W297:X297"/>
    <mergeCell ref="H298:I298"/>
    <mergeCell ref="J298:K298"/>
    <mergeCell ref="L298:M298"/>
    <mergeCell ref="N298:O298"/>
    <mergeCell ref="Q298:R298"/>
    <mergeCell ref="S298:T298"/>
    <mergeCell ref="U298:V298"/>
    <mergeCell ref="W298:X298"/>
    <mergeCell ref="H303:I303"/>
    <mergeCell ref="J303:K303"/>
    <mergeCell ref="L303:M303"/>
    <mergeCell ref="N303:O303"/>
    <mergeCell ref="Q303:R303"/>
    <mergeCell ref="S303:T303"/>
    <mergeCell ref="U303:V303"/>
    <mergeCell ref="W303:X303"/>
    <mergeCell ref="H304:I304"/>
    <mergeCell ref="J304:K304"/>
    <mergeCell ref="L304:M304"/>
    <mergeCell ref="N304:O304"/>
    <mergeCell ref="Q304:R304"/>
    <mergeCell ref="S304:T304"/>
    <mergeCell ref="U304:V304"/>
    <mergeCell ref="W304:X304"/>
    <mergeCell ref="H301:I301"/>
    <mergeCell ref="J301:K301"/>
    <mergeCell ref="L301:M301"/>
    <mergeCell ref="N301:O301"/>
    <mergeCell ref="Q301:R301"/>
    <mergeCell ref="S301:T301"/>
    <mergeCell ref="U301:V301"/>
    <mergeCell ref="W301:X301"/>
    <mergeCell ref="H302:I302"/>
    <mergeCell ref="J302:K302"/>
    <mergeCell ref="L302:M302"/>
    <mergeCell ref="N302:O302"/>
    <mergeCell ref="Q302:R302"/>
    <mergeCell ref="S302:T302"/>
    <mergeCell ref="U302:V302"/>
    <mergeCell ref="W302:X302"/>
    <mergeCell ref="H307:I307"/>
    <mergeCell ref="J307:K307"/>
    <mergeCell ref="L307:M307"/>
    <mergeCell ref="N307:O307"/>
    <mergeCell ref="Q307:R307"/>
    <mergeCell ref="S307:T307"/>
    <mergeCell ref="U307:V307"/>
    <mergeCell ref="W307:X307"/>
    <mergeCell ref="H308:I308"/>
    <mergeCell ref="J308:K308"/>
    <mergeCell ref="L308:M308"/>
    <mergeCell ref="N308:O308"/>
    <mergeCell ref="Q308:R308"/>
    <mergeCell ref="S308:T308"/>
    <mergeCell ref="U308:V308"/>
    <mergeCell ref="W308:X308"/>
    <mergeCell ref="H305:I305"/>
    <mergeCell ref="J305:K305"/>
    <mergeCell ref="L305:M305"/>
    <mergeCell ref="N305:O305"/>
    <mergeCell ref="Q305:R305"/>
    <mergeCell ref="S305:T305"/>
    <mergeCell ref="U305:V305"/>
    <mergeCell ref="W305:X305"/>
    <mergeCell ref="H306:I306"/>
    <mergeCell ref="J306:K306"/>
    <mergeCell ref="L306:M306"/>
    <mergeCell ref="N306:O306"/>
    <mergeCell ref="Q306:R306"/>
    <mergeCell ref="S306:T306"/>
    <mergeCell ref="U306:V306"/>
    <mergeCell ref="W306:X306"/>
    <mergeCell ref="H311:I311"/>
    <mergeCell ref="J311:K311"/>
    <mergeCell ref="L311:M311"/>
    <mergeCell ref="N311:O311"/>
    <mergeCell ref="Q311:R311"/>
    <mergeCell ref="S311:T311"/>
    <mergeCell ref="U311:V311"/>
    <mergeCell ref="W311:X311"/>
    <mergeCell ref="D313:I313"/>
    <mergeCell ref="J313:U313"/>
    <mergeCell ref="V313:AB313"/>
    <mergeCell ref="H309:I309"/>
    <mergeCell ref="J309:K309"/>
    <mergeCell ref="L309:M309"/>
    <mergeCell ref="N309:O309"/>
    <mergeCell ref="Q309:R309"/>
    <mergeCell ref="S309:T309"/>
    <mergeCell ref="U309:V309"/>
    <mergeCell ref="W309:X309"/>
    <mergeCell ref="H310:I310"/>
    <mergeCell ref="J310:K310"/>
    <mergeCell ref="L310:M310"/>
    <mergeCell ref="N310:O310"/>
    <mergeCell ref="Q310:R310"/>
    <mergeCell ref="S310:T310"/>
    <mergeCell ref="U310:V310"/>
    <mergeCell ref="W310:X310"/>
    <mergeCell ref="W327:X327"/>
    <mergeCell ref="H317:I317"/>
    <mergeCell ref="L317:O317"/>
    <mergeCell ref="P317:S317"/>
    <mergeCell ref="T317:U317"/>
    <mergeCell ref="H318:I318"/>
    <mergeCell ref="L318:O318"/>
    <mergeCell ref="P318:S318"/>
    <mergeCell ref="T318:U318"/>
    <mergeCell ref="H319:I319"/>
    <mergeCell ref="L319:O319"/>
    <mergeCell ref="P319:S319"/>
    <mergeCell ref="T319:U319"/>
    <mergeCell ref="H314:I314"/>
    <mergeCell ref="L314:O314"/>
    <mergeCell ref="P314:S314"/>
    <mergeCell ref="T314:U314"/>
    <mergeCell ref="H315:I315"/>
    <mergeCell ref="L315:O315"/>
    <mergeCell ref="P315:S315"/>
    <mergeCell ref="T315:U315"/>
    <mergeCell ref="H316:I316"/>
    <mergeCell ref="L316:O316"/>
    <mergeCell ref="P316:S316"/>
    <mergeCell ref="T316:U316"/>
    <mergeCell ref="H322:I322"/>
    <mergeCell ref="L322:O322"/>
    <mergeCell ref="P322:S322"/>
    <mergeCell ref="T322:U322"/>
    <mergeCell ref="D323:J323"/>
    <mergeCell ref="K323:N323"/>
    <mergeCell ref="O323:AB323"/>
    <mergeCell ref="D324:E324"/>
    <mergeCell ref="F324:G324"/>
    <mergeCell ref="H324:J324"/>
    <mergeCell ref="K324:P324"/>
    <mergeCell ref="Q324:R324"/>
    <mergeCell ref="S324:X324"/>
    <mergeCell ref="Y324:Z324"/>
    <mergeCell ref="AA324:AB324"/>
    <mergeCell ref="H320:I320"/>
    <mergeCell ref="L320:O320"/>
    <mergeCell ref="P320:S320"/>
    <mergeCell ref="T320:U320"/>
    <mergeCell ref="V320:AB320"/>
    <mergeCell ref="H321:I321"/>
    <mergeCell ref="L321:O321"/>
    <mergeCell ref="P321:S321"/>
    <mergeCell ref="T321:U321"/>
    <mergeCell ref="H328:I328"/>
    <mergeCell ref="J328:K328"/>
    <mergeCell ref="L328:M328"/>
    <mergeCell ref="N328:O328"/>
    <mergeCell ref="Q328:R328"/>
    <mergeCell ref="S328:T328"/>
    <mergeCell ref="U328:V328"/>
    <mergeCell ref="W328:X328"/>
    <mergeCell ref="D325:E325"/>
    <mergeCell ref="F325:G325"/>
    <mergeCell ref="H325:J325"/>
    <mergeCell ref="K325:L325"/>
    <mergeCell ref="M325:N325"/>
    <mergeCell ref="O325:AB325"/>
    <mergeCell ref="H326:I326"/>
    <mergeCell ref="J326:K326"/>
    <mergeCell ref="L326:M326"/>
    <mergeCell ref="N326:O326"/>
    <mergeCell ref="P326:P327"/>
    <mergeCell ref="Q326:R326"/>
    <mergeCell ref="S326:T326"/>
    <mergeCell ref="U326:V326"/>
    <mergeCell ref="W326:X326"/>
    <mergeCell ref="Y326:Y327"/>
    <mergeCell ref="Z326:AB326"/>
    <mergeCell ref="H327:I327"/>
    <mergeCell ref="J327:K327"/>
    <mergeCell ref="L327:M327"/>
    <mergeCell ref="N327:O327"/>
    <mergeCell ref="Q327:R327"/>
    <mergeCell ref="S327:T327"/>
    <mergeCell ref="U327:V327"/>
    <mergeCell ref="H331:I331"/>
    <mergeCell ref="J331:K331"/>
    <mergeCell ref="L331:M331"/>
    <mergeCell ref="N331:O331"/>
    <mergeCell ref="Q331:R331"/>
    <mergeCell ref="S331:T331"/>
    <mergeCell ref="U331:V331"/>
    <mergeCell ref="W331:X331"/>
    <mergeCell ref="H332:I332"/>
    <mergeCell ref="J332:K332"/>
    <mergeCell ref="L332:M332"/>
    <mergeCell ref="N332:O332"/>
    <mergeCell ref="Q332:R332"/>
    <mergeCell ref="S332:T332"/>
    <mergeCell ref="U332:V332"/>
    <mergeCell ref="W332:X332"/>
    <mergeCell ref="H329:I329"/>
    <mergeCell ref="J329:K329"/>
    <mergeCell ref="L329:M329"/>
    <mergeCell ref="N329:O329"/>
    <mergeCell ref="Q329:R329"/>
    <mergeCell ref="S329:T329"/>
    <mergeCell ref="U329:V329"/>
    <mergeCell ref="W329:X329"/>
    <mergeCell ref="H330:I330"/>
    <mergeCell ref="J330:K330"/>
    <mergeCell ref="L330:M330"/>
    <mergeCell ref="N330:O330"/>
    <mergeCell ref="Q330:R330"/>
    <mergeCell ref="S330:T330"/>
    <mergeCell ref="U330:V330"/>
    <mergeCell ref="W330:X330"/>
    <mergeCell ref="H335:I335"/>
    <mergeCell ref="J335:K335"/>
    <mergeCell ref="L335:M335"/>
    <mergeCell ref="N335:O335"/>
    <mergeCell ref="Q335:R335"/>
    <mergeCell ref="S335:T335"/>
    <mergeCell ref="U335:V335"/>
    <mergeCell ref="W335:X335"/>
    <mergeCell ref="H336:I336"/>
    <mergeCell ref="J336:K336"/>
    <mergeCell ref="L336:M336"/>
    <mergeCell ref="N336:O336"/>
    <mergeCell ref="Q336:R336"/>
    <mergeCell ref="S336:T336"/>
    <mergeCell ref="U336:V336"/>
    <mergeCell ref="W336:X336"/>
    <mergeCell ref="H333:I333"/>
    <mergeCell ref="J333:K333"/>
    <mergeCell ref="L333:M333"/>
    <mergeCell ref="N333:O333"/>
    <mergeCell ref="Q333:R333"/>
    <mergeCell ref="S333:T333"/>
    <mergeCell ref="U333:V333"/>
    <mergeCell ref="W333:X333"/>
    <mergeCell ref="H334:I334"/>
    <mergeCell ref="J334:K334"/>
    <mergeCell ref="L334:M334"/>
    <mergeCell ref="N334:O334"/>
    <mergeCell ref="Q334:R334"/>
    <mergeCell ref="S334:T334"/>
    <mergeCell ref="U334:V334"/>
    <mergeCell ref="W334:X334"/>
    <mergeCell ref="H339:I339"/>
    <mergeCell ref="J339:K339"/>
    <mergeCell ref="L339:M339"/>
    <mergeCell ref="N339:O339"/>
    <mergeCell ref="Q339:R339"/>
    <mergeCell ref="S339:T339"/>
    <mergeCell ref="U339:V339"/>
    <mergeCell ref="W339:X339"/>
    <mergeCell ref="H340:I340"/>
    <mergeCell ref="J340:K340"/>
    <mergeCell ref="L340:M340"/>
    <mergeCell ref="N340:O340"/>
    <mergeCell ref="Q340:R340"/>
    <mergeCell ref="S340:T340"/>
    <mergeCell ref="U340:V340"/>
    <mergeCell ref="W340:X340"/>
    <mergeCell ref="H337:I337"/>
    <mergeCell ref="J337:K337"/>
    <mergeCell ref="L337:M337"/>
    <mergeCell ref="N337:O337"/>
    <mergeCell ref="Q337:R337"/>
    <mergeCell ref="S337:T337"/>
    <mergeCell ref="U337:V337"/>
    <mergeCell ref="W337:X337"/>
    <mergeCell ref="H338:I338"/>
    <mergeCell ref="J338:K338"/>
    <mergeCell ref="L338:M338"/>
    <mergeCell ref="N338:O338"/>
    <mergeCell ref="Q338:R338"/>
    <mergeCell ref="S338:T338"/>
    <mergeCell ref="U338:V338"/>
    <mergeCell ref="W338:X338"/>
    <mergeCell ref="H343:I343"/>
    <mergeCell ref="J343:K343"/>
    <mergeCell ref="L343:M343"/>
    <mergeCell ref="N343:O343"/>
    <mergeCell ref="Q343:R343"/>
    <mergeCell ref="S343:T343"/>
    <mergeCell ref="U343:V343"/>
    <mergeCell ref="W343:X343"/>
    <mergeCell ref="D345:I345"/>
    <mergeCell ref="J345:U345"/>
    <mergeCell ref="V345:AB345"/>
    <mergeCell ref="H341:I341"/>
    <mergeCell ref="J341:K341"/>
    <mergeCell ref="L341:M341"/>
    <mergeCell ref="N341:O341"/>
    <mergeCell ref="Q341:R341"/>
    <mergeCell ref="S341:T341"/>
    <mergeCell ref="U341:V341"/>
    <mergeCell ref="W341:X341"/>
    <mergeCell ref="H342:I342"/>
    <mergeCell ref="J342:K342"/>
    <mergeCell ref="L342:M342"/>
    <mergeCell ref="N342:O342"/>
    <mergeCell ref="Q342:R342"/>
    <mergeCell ref="S342:T342"/>
    <mergeCell ref="U342:V342"/>
    <mergeCell ref="W342:X342"/>
    <mergeCell ref="W359:X359"/>
    <mergeCell ref="H349:I349"/>
    <mergeCell ref="L349:O349"/>
    <mergeCell ref="P349:S349"/>
    <mergeCell ref="T349:U349"/>
    <mergeCell ref="H350:I350"/>
    <mergeCell ref="L350:O350"/>
    <mergeCell ref="P350:S350"/>
    <mergeCell ref="T350:U350"/>
    <mergeCell ref="H351:I351"/>
    <mergeCell ref="L351:O351"/>
    <mergeCell ref="P351:S351"/>
    <mergeCell ref="T351:U351"/>
    <mergeCell ref="H346:I346"/>
    <mergeCell ref="L346:O346"/>
    <mergeCell ref="P346:S346"/>
    <mergeCell ref="T346:U346"/>
    <mergeCell ref="H347:I347"/>
    <mergeCell ref="L347:O347"/>
    <mergeCell ref="P347:S347"/>
    <mergeCell ref="T347:U347"/>
    <mergeCell ref="H348:I348"/>
    <mergeCell ref="L348:O348"/>
    <mergeCell ref="P348:S348"/>
    <mergeCell ref="T348:U348"/>
    <mergeCell ref="H354:I354"/>
    <mergeCell ref="L354:O354"/>
    <mergeCell ref="P354:S354"/>
    <mergeCell ref="T354:U354"/>
    <mergeCell ref="D355:J355"/>
    <mergeCell ref="K355:N355"/>
    <mergeCell ref="O355:AB355"/>
    <mergeCell ref="D356:E356"/>
    <mergeCell ref="F356:G356"/>
    <mergeCell ref="H356:J356"/>
    <mergeCell ref="K356:P356"/>
    <mergeCell ref="Q356:R356"/>
    <mergeCell ref="S356:X356"/>
    <mergeCell ref="Y356:Z356"/>
    <mergeCell ref="AA356:AB356"/>
    <mergeCell ref="H352:I352"/>
    <mergeCell ref="L352:O352"/>
    <mergeCell ref="P352:S352"/>
    <mergeCell ref="T352:U352"/>
    <mergeCell ref="V352:AB352"/>
    <mergeCell ref="H353:I353"/>
    <mergeCell ref="L353:O353"/>
    <mergeCell ref="P353:S353"/>
    <mergeCell ref="T353:U353"/>
    <mergeCell ref="H360:I360"/>
    <mergeCell ref="J360:K360"/>
    <mergeCell ref="L360:M360"/>
    <mergeCell ref="N360:O360"/>
    <mergeCell ref="Q360:R360"/>
    <mergeCell ref="S360:T360"/>
    <mergeCell ref="U360:V360"/>
    <mergeCell ref="W360:X360"/>
    <mergeCell ref="D357:E357"/>
    <mergeCell ref="F357:G357"/>
    <mergeCell ref="H357:J357"/>
    <mergeCell ref="K357:L357"/>
    <mergeCell ref="M357:N357"/>
    <mergeCell ref="O357:AB357"/>
    <mergeCell ref="H358:I358"/>
    <mergeCell ref="J358:K358"/>
    <mergeCell ref="L358:M358"/>
    <mergeCell ref="N358:O358"/>
    <mergeCell ref="P358:P359"/>
    <mergeCell ref="Q358:R358"/>
    <mergeCell ref="S358:T358"/>
    <mergeCell ref="U358:V358"/>
    <mergeCell ref="W358:X358"/>
    <mergeCell ref="Y358:Y359"/>
    <mergeCell ref="Z358:AB358"/>
    <mergeCell ref="H359:I359"/>
    <mergeCell ref="J359:K359"/>
    <mergeCell ref="L359:M359"/>
    <mergeCell ref="N359:O359"/>
    <mergeCell ref="Q359:R359"/>
    <mergeCell ref="S359:T359"/>
    <mergeCell ref="U359:V359"/>
    <mergeCell ref="H363:I363"/>
    <mergeCell ref="J363:K363"/>
    <mergeCell ref="L363:M363"/>
    <mergeCell ref="N363:O363"/>
    <mergeCell ref="Q363:R363"/>
    <mergeCell ref="S363:T363"/>
    <mergeCell ref="U363:V363"/>
    <mergeCell ref="W363:X363"/>
    <mergeCell ref="H364:I364"/>
    <mergeCell ref="J364:K364"/>
    <mergeCell ref="L364:M364"/>
    <mergeCell ref="N364:O364"/>
    <mergeCell ref="Q364:R364"/>
    <mergeCell ref="S364:T364"/>
    <mergeCell ref="U364:V364"/>
    <mergeCell ref="W364:X364"/>
    <mergeCell ref="H361:I361"/>
    <mergeCell ref="J361:K361"/>
    <mergeCell ref="L361:M361"/>
    <mergeCell ref="N361:O361"/>
    <mergeCell ref="Q361:R361"/>
    <mergeCell ref="S361:T361"/>
    <mergeCell ref="U361:V361"/>
    <mergeCell ref="W361:X361"/>
    <mergeCell ref="H362:I362"/>
    <mergeCell ref="J362:K362"/>
    <mergeCell ref="L362:M362"/>
    <mergeCell ref="N362:O362"/>
    <mergeCell ref="Q362:R362"/>
    <mergeCell ref="S362:T362"/>
    <mergeCell ref="U362:V362"/>
    <mergeCell ref="W362:X362"/>
    <mergeCell ref="H367:I367"/>
    <mergeCell ref="J367:K367"/>
    <mergeCell ref="L367:M367"/>
    <mergeCell ref="N367:O367"/>
    <mergeCell ref="Q367:R367"/>
    <mergeCell ref="S367:T367"/>
    <mergeCell ref="U367:V367"/>
    <mergeCell ref="W367:X367"/>
    <mergeCell ref="H368:I368"/>
    <mergeCell ref="J368:K368"/>
    <mergeCell ref="L368:M368"/>
    <mergeCell ref="N368:O368"/>
    <mergeCell ref="Q368:R368"/>
    <mergeCell ref="S368:T368"/>
    <mergeCell ref="U368:V368"/>
    <mergeCell ref="W368:X368"/>
    <mergeCell ref="H365:I365"/>
    <mergeCell ref="J365:K365"/>
    <mergeCell ref="L365:M365"/>
    <mergeCell ref="N365:O365"/>
    <mergeCell ref="Q365:R365"/>
    <mergeCell ref="S365:T365"/>
    <mergeCell ref="U365:V365"/>
    <mergeCell ref="W365:X365"/>
    <mergeCell ref="H366:I366"/>
    <mergeCell ref="J366:K366"/>
    <mergeCell ref="L366:M366"/>
    <mergeCell ref="N366:O366"/>
    <mergeCell ref="Q366:R366"/>
    <mergeCell ref="S366:T366"/>
    <mergeCell ref="U366:V366"/>
    <mergeCell ref="W366:X366"/>
    <mergeCell ref="H371:I371"/>
    <mergeCell ref="J371:K371"/>
    <mergeCell ref="L371:M371"/>
    <mergeCell ref="N371:O371"/>
    <mergeCell ref="Q371:R371"/>
    <mergeCell ref="S371:T371"/>
    <mergeCell ref="U371:V371"/>
    <mergeCell ref="W371:X371"/>
    <mergeCell ref="H372:I372"/>
    <mergeCell ref="J372:K372"/>
    <mergeCell ref="L372:M372"/>
    <mergeCell ref="N372:O372"/>
    <mergeCell ref="Q372:R372"/>
    <mergeCell ref="S372:T372"/>
    <mergeCell ref="U372:V372"/>
    <mergeCell ref="W372:X372"/>
    <mergeCell ref="H369:I369"/>
    <mergeCell ref="J369:K369"/>
    <mergeCell ref="L369:M369"/>
    <mergeCell ref="N369:O369"/>
    <mergeCell ref="Q369:R369"/>
    <mergeCell ref="S369:T369"/>
    <mergeCell ref="U369:V369"/>
    <mergeCell ref="W369:X369"/>
    <mergeCell ref="H370:I370"/>
    <mergeCell ref="J370:K370"/>
    <mergeCell ref="L370:M370"/>
    <mergeCell ref="N370:O370"/>
    <mergeCell ref="Q370:R370"/>
    <mergeCell ref="S370:T370"/>
    <mergeCell ref="U370:V370"/>
    <mergeCell ref="W370:X370"/>
    <mergeCell ref="H375:I375"/>
    <mergeCell ref="J375:K375"/>
    <mergeCell ref="L375:M375"/>
    <mergeCell ref="N375:O375"/>
    <mergeCell ref="Q375:R375"/>
    <mergeCell ref="S375:T375"/>
    <mergeCell ref="U375:V375"/>
    <mergeCell ref="W375:X375"/>
    <mergeCell ref="D377:I377"/>
    <mergeCell ref="J377:U377"/>
    <mergeCell ref="V377:AB377"/>
    <mergeCell ref="H373:I373"/>
    <mergeCell ref="J373:K373"/>
    <mergeCell ref="L373:M373"/>
    <mergeCell ref="N373:O373"/>
    <mergeCell ref="Q373:R373"/>
    <mergeCell ref="S373:T373"/>
    <mergeCell ref="U373:V373"/>
    <mergeCell ref="W373:X373"/>
    <mergeCell ref="H374:I374"/>
    <mergeCell ref="J374:K374"/>
    <mergeCell ref="L374:M374"/>
    <mergeCell ref="N374:O374"/>
    <mergeCell ref="Q374:R374"/>
    <mergeCell ref="S374:T374"/>
    <mergeCell ref="U374:V374"/>
    <mergeCell ref="W374:X374"/>
    <mergeCell ref="H381:I381"/>
    <mergeCell ref="L381:O381"/>
    <mergeCell ref="P381:S381"/>
    <mergeCell ref="T381:U381"/>
    <mergeCell ref="H382:I382"/>
    <mergeCell ref="L382:O382"/>
    <mergeCell ref="P382:S382"/>
    <mergeCell ref="T382:U382"/>
    <mergeCell ref="H383:I383"/>
    <mergeCell ref="L383:O383"/>
    <mergeCell ref="P383:S383"/>
    <mergeCell ref="T383:U383"/>
    <mergeCell ref="H378:I378"/>
    <mergeCell ref="L378:O378"/>
    <mergeCell ref="P378:S378"/>
    <mergeCell ref="T378:U378"/>
    <mergeCell ref="H379:I379"/>
    <mergeCell ref="L379:O379"/>
    <mergeCell ref="P379:S379"/>
    <mergeCell ref="T379:U379"/>
    <mergeCell ref="H380:I380"/>
    <mergeCell ref="L380:O380"/>
    <mergeCell ref="P380:S380"/>
    <mergeCell ref="T380:U380"/>
    <mergeCell ref="H386:I386"/>
    <mergeCell ref="L386:O386"/>
    <mergeCell ref="P386:S386"/>
    <mergeCell ref="T386:U386"/>
    <mergeCell ref="H384:I384"/>
    <mergeCell ref="L384:O384"/>
    <mergeCell ref="P384:S384"/>
    <mergeCell ref="T384:U384"/>
    <mergeCell ref="V384:AB384"/>
    <mergeCell ref="H385:I385"/>
    <mergeCell ref="L385:O385"/>
    <mergeCell ref="P385:S385"/>
    <mergeCell ref="T385:U385"/>
    <mergeCell ref="W391:X391"/>
    <mergeCell ref="D387:J387"/>
    <mergeCell ref="K387:N387"/>
    <mergeCell ref="O387:AB387"/>
    <mergeCell ref="D388:E388"/>
    <mergeCell ref="F388:G388"/>
    <mergeCell ref="H388:J388"/>
    <mergeCell ref="K388:P388"/>
    <mergeCell ref="Q388:R388"/>
    <mergeCell ref="S388:X388"/>
    <mergeCell ref="Y388:Z388"/>
    <mergeCell ref="AA388:AB388"/>
    <mergeCell ref="H392:I392"/>
    <mergeCell ref="J392:K392"/>
    <mergeCell ref="L392:M392"/>
    <mergeCell ref="N392:O392"/>
    <mergeCell ref="Q392:R392"/>
    <mergeCell ref="S392:T392"/>
    <mergeCell ref="U392:V392"/>
    <mergeCell ref="W392:X392"/>
    <mergeCell ref="D389:E389"/>
    <mergeCell ref="F389:G389"/>
    <mergeCell ref="H389:J389"/>
    <mergeCell ref="K389:L389"/>
    <mergeCell ref="M389:N389"/>
    <mergeCell ref="O389:AB389"/>
    <mergeCell ref="H390:I390"/>
    <mergeCell ref="J390:K390"/>
    <mergeCell ref="L390:M390"/>
    <mergeCell ref="N390:O390"/>
    <mergeCell ref="P390:P391"/>
    <mergeCell ref="Q390:R390"/>
    <mergeCell ref="S390:T390"/>
    <mergeCell ref="U390:V390"/>
    <mergeCell ref="W390:X390"/>
    <mergeCell ref="Y390:Y391"/>
    <mergeCell ref="Z390:AB390"/>
    <mergeCell ref="H391:I391"/>
    <mergeCell ref="J391:K391"/>
    <mergeCell ref="L391:M391"/>
    <mergeCell ref="N391:O391"/>
    <mergeCell ref="Q391:R391"/>
    <mergeCell ref="S391:T391"/>
    <mergeCell ref="U391:V391"/>
    <mergeCell ref="H395:I395"/>
    <mergeCell ref="J395:K395"/>
    <mergeCell ref="L395:M395"/>
    <mergeCell ref="N395:O395"/>
    <mergeCell ref="Q395:R395"/>
    <mergeCell ref="S395:T395"/>
    <mergeCell ref="U395:V395"/>
    <mergeCell ref="W395:X395"/>
    <mergeCell ref="H396:I396"/>
    <mergeCell ref="J396:K396"/>
    <mergeCell ref="L396:M396"/>
    <mergeCell ref="N396:O396"/>
    <mergeCell ref="Q396:R396"/>
    <mergeCell ref="S396:T396"/>
    <mergeCell ref="U396:V396"/>
    <mergeCell ref="W396:X396"/>
    <mergeCell ref="H393:I393"/>
    <mergeCell ref="J393:K393"/>
    <mergeCell ref="L393:M393"/>
    <mergeCell ref="N393:O393"/>
    <mergeCell ref="Q393:R393"/>
    <mergeCell ref="S393:T393"/>
    <mergeCell ref="U393:V393"/>
    <mergeCell ref="W393:X393"/>
    <mergeCell ref="H394:I394"/>
    <mergeCell ref="J394:K394"/>
    <mergeCell ref="L394:M394"/>
    <mergeCell ref="N394:O394"/>
    <mergeCell ref="Q394:R394"/>
    <mergeCell ref="S394:T394"/>
    <mergeCell ref="U394:V394"/>
    <mergeCell ref="W394:X394"/>
    <mergeCell ref="H399:I399"/>
    <mergeCell ref="J399:K399"/>
    <mergeCell ref="L399:M399"/>
    <mergeCell ref="N399:O399"/>
    <mergeCell ref="Q399:R399"/>
    <mergeCell ref="S399:T399"/>
    <mergeCell ref="U399:V399"/>
    <mergeCell ref="W399:X399"/>
    <mergeCell ref="H400:I400"/>
    <mergeCell ref="J400:K400"/>
    <mergeCell ref="L400:M400"/>
    <mergeCell ref="N400:O400"/>
    <mergeCell ref="Q400:R400"/>
    <mergeCell ref="S400:T400"/>
    <mergeCell ref="U400:V400"/>
    <mergeCell ref="W400:X400"/>
    <mergeCell ref="H397:I397"/>
    <mergeCell ref="J397:K397"/>
    <mergeCell ref="L397:M397"/>
    <mergeCell ref="N397:O397"/>
    <mergeCell ref="Q397:R397"/>
    <mergeCell ref="S397:T397"/>
    <mergeCell ref="U397:V397"/>
    <mergeCell ref="W397:X397"/>
    <mergeCell ref="H398:I398"/>
    <mergeCell ref="J398:K398"/>
    <mergeCell ref="L398:M398"/>
    <mergeCell ref="N398:O398"/>
    <mergeCell ref="Q398:R398"/>
    <mergeCell ref="S398:T398"/>
    <mergeCell ref="U398:V398"/>
    <mergeCell ref="W398:X398"/>
    <mergeCell ref="H403:I403"/>
    <mergeCell ref="J403:K403"/>
    <mergeCell ref="L403:M403"/>
    <mergeCell ref="N403:O403"/>
    <mergeCell ref="Q403:R403"/>
    <mergeCell ref="S403:T403"/>
    <mergeCell ref="U403:V403"/>
    <mergeCell ref="W403:X403"/>
    <mergeCell ref="H404:I404"/>
    <mergeCell ref="J404:K404"/>
    <mergeCell ref="L404:M404"/>
    <mergeCell ref="N404:O404"/>
    <mergeCell ref="Q404:R404"/>
    <mergeCell ref="S404:T404"/>
    <mergeCell ref="U404:V404"/>
    <mergeCell ref="W404:X404"/>
    <mergeCell ref="H401:I401"/>
    <mergeCell ref="J401:K401"/>
    <mergeCell ref="L401:M401"/>
    <mergeCell ref="N401:O401"/>
    <mergeCell ref="Q401:R401"/>
    <mergeCell ref="S401:T401"/>
    <mergeCell ref="U401:V401"/>
    <mergeCell ref="W401:X401"/>
    <mergeCell ref="H402:I402"/>
    <mergeCell ref="J402:K402"/>
    <mergeCell ref="L402:M402"/>
    <mergeCell ref="N402:O402"/>
    <mergeCell ref="Q402:R402"/>
    <mergeCell ref="S402:T402"/>
    <mergeCell ref="U402:V402"/>
    <mergeCell ref="W402:X402"/>
    <mergeCell ref="H407:I407"/>
    <mergeCell ref="J407:K407"/>
    <mergeCell ref="L407:M407"/>
    <mergeCell ref="N407:O407"/>
    <mergeCell ref="Q407:R407"/>
    <mergeCell ref="S407:T407"/>
    <mergeCell ref="U407:V407"/>
    <mergeCell ref="W407:X407"/>
    <mergeCell ref="D409:I409"/>
    <mergeCell ref="J409:U409"/>
    <mergeCell ref="V409:AB409"/>
    <mergeCell ref="H405:I405"/>
    <mergeCell ref="J405:K405"/>
    <mergeCell ref="L405:M405"/>
    <mergeCell ref="N405:O405"/>
    <mergeCell ref="Q405:R405"/>
    <mergeCell ref="S405:T405"/>
    <mergeCell ref="U405:V405"/>
    <mergeCell ref="W405:X405"/>
    <mergeCell ref="H406:I406"/>
    <mergeCell ref="J406:K406"/>
    <mergeCell ref="L406:M406"/>
    <mergeCell ref="N406:O406"/>
    <mergeCell ref="Q406:R406"/>
    <mergeCell ref="S406:T406"/>
    <mergeCell ref="U406:V406"/>
    <mergeCell ref="W406:X406"/>
    <mergeCell ref="W423:X423"/>
    <mergeCell ref="H413:I413"/>
    <mergeCell ref="L413:O413"/>
    <mergeCell ref="P413:S413"/>
    <mergeCell ref="T413:U413"/>
    <mergeCell ref="H414:I414"/>
    <mergeCell ref="L414:O414"/>
    <mergeCell ref="P414:S414"/>
    <mergeCell ref="T414:U414"/>
    <mergeCell ref="H415:I415"/>
    <mergeCell ref="L415:O415"/>
    <mergeCell ref="P415:S415"/>
    <mergeCell ref="T415:U415"/>
    <mergeCell ref="H410:I410"/>
    <mergeCell ref="L410:O410"/>
    <mergeCell ref="P410:S410"/>
    <mergeCell ref="T410:U410"/>
    <mergeCell ref="H411:I411"/>
    <mergeCell ref="L411:O411"/>
    <mergeCell ref="P411:S411"/>
    <mergeCell ref="T411:U411"/>
    <mergeCell ref="H412:I412"/>
    <mergeCell ref="L412:O412"/>
    <mergeCell ref="P412:S412"/>
    <mergeCell ref="T412:U412"/>
    <mergeCell ref="H418:I418"/>
    <mergeCell ref="L418:O418"/>
    <mergeCell ref="P418:S418"/>
    <mergeCell ref="T418:U418"/>
    <mergeCell ref="D419:J419"/>
    <mergeCell ref="K419:N419"/>
    <mergeCell ref="O419:AB419"/>
    <mergeCell ref="D420:E420"/>
    <mergeCell ref="F420:G420"/>
    <mergeCell ref="H420:J420"/>
    <mergeCell ref="K420:P420"/>
    <mergeCell ref="Q420:R420"/>
    <mergeCell ref="S420:X420"/>
    <mergeCell ref="Y420:Z420"/>
    <mergeCell ref="AA420:AB420"/>
    <mergeCell ref="H416:I416"/>
    <mergeCell ref="L416:O416"/>
    <mergeCell ref="P416:S416"/>
    <mergeCell ref="T416:U416"/>
    <mergeCell ref="V416:AB416"/>
    <mergeCell ref="H417:I417"/>
    <mergeCell ref="L417:O417"/>
    <mergeCell ref="P417:S417"/>
    <mergeCell ref="T417:U417"/>
    <mergeCell ref="H424:I424"/>
    <mergeCell ref="J424:K424"/>
    <mergeCell ref="L424:M424"/>
    <mergeCell ref="N424:O424"/>
    <mergeCell ref="Q424:R424"/>
    <mergeCell ref="S424:T424"/>
    <mergeCell ref="U424:V424"/>
    <mergeCell ref="W424:X424"/>
    <mergeCell ref="D421:E421"/>
    <mergeCell ref="F421:G421"/>
    <mergeCell ref="H421:J421"/>
    <mergeCell ref="K421:L421"/>
    <mergeCell ref="M421:N421"/>
    <mergeCell ref="O421:AB421"/>
    <mergeCell ref="H422:I422"/>
    <mergeCell ref="J422:K422"/>
    <mergeCell ref="L422:M422"/>
    <mergeCell ref="N422:O422"/>
    <mergeCell ref="P422:P423"/>
    <mergeCell ref="Q422:R422"/>
    <mergeCell ref="S422:T422"/>
    <mergeCell ref="U422:V422"/>
    <mergeCell ref="W422:X422"/>
    <mergeCell ref="Y422:Y423"/>
    <mergeCell ref="Z422:AB422"/>
    <mergeCell ref="H423:I423"/>
    <mergeCell ref="J423:K423"/>
    <mergeCell ref="L423:M423"/>
    <mergeCell ref="N423:O423"/>
    <mergeCell ref="Q423:R423"/>
    <mergeCell ref="S423:T423"/>
    <mergeCell ref="U423:V423"/>
    <mergeCell ref="H427:I427"/>
    <mergeCell ref="J427:K427"/>
    <mergeCell ref="L427:M427"/>
    <mergeCell ref="N427:O427"/>
    <mergeCell ref="Q427:R427"/>
    <mergeCell ref="S427:T427"/>
    <mergeCell ref="U427:V427"/>
    <mergeCell ref="W427:X427"/>
    <mergeCell ref="H428:I428"/>
    <mergeCell ref="J428:K428"/>
    <mergeCell ref="L428:M428"/>
    <mergeCell ref="N428:O428"/>
    <mergeCell ref="Q428:R428"/>
    <mergeCell ref="S428:T428"/>
    <mergeCell ref="U428:V428"/>
    <mergeCell ref="W428:X428"/>
    <mergeCell ref="H425:I425"/>
    <mergeCell ref="J425:K425"/>
    <mergeCell ref="L425:M425"/>
    <mergeCell ref="N425:O425"/>
    <mergeCell ref="Q425:R425"/>
    <mergeCell ref="S425:T425"/>
    <mergeCell ref="U425:V425"/>
    <mergeCell ref="W425:X425"/>
    <mergeCell ref="H426:I426"/>
    <mergeCell ref="J426:K426"/>
    <mergeCell ref="L426:M426"/>
    <mergeCell ref="N426:O426"/>
    <mergeCell ref="Q426:R426"/>
    <mergeCell ref="S426:T426"/>
    <mergeCell ref="U426:V426"/>
    <mergeCell ref="W426:X426"/>
    <mergeCell ref="H431:I431"/>
    <mergeCell ref="J431:K431"/>
    <mergeCell ref="L431:M431"/>
    <mergeCell ref="N431:O431"/>
    <mergeCell ref="Q431:R431"/>
    <mergeCell ref="S431:T431"/>
    <mergeCell ref="U431:V431"/>
    <mergeCell ref="W431:X431"/>
    <mergeCell ref="H432:I432"/>
    <mergeCell ref="J432:K432"/>
    <mergeCell ref="L432:M432"/>
    <mergeCell ref="N432:O432"/>
    <mergeCell ref="Q432:R432"/>
    <mergeCell ref="S432:T432"/>
    <mergeCell ref="U432:V432"/>
    <mergeCell ref="W432:X432"/>
    <mergeCell ref="H429:I429"/>
    <mergeCell ref="J429:K429"/>
    <mergeCell ref="L429:M429"/>
    <mergeCell ref="N429:O429"/>
    <mergeCell ref="Q429:R429"/>
    <mergeCell ref="S429:T429"/>
    <mergeCell ref="U429:V429"/>
    <mergeCell ref="W429:X429"/>
    <mergeCell ref="H430:I430"/>
    <mergeCell ref="J430:K430"/>
    <mergeCell ref="L430:M430"/>
    <mergeCell ref="N430:O430"/>
    <mergeCell ref="Q430:R430"/>
    <mergeCell ref="S430:T430"/>
    <mergeCell ref="U430:V430"/>
    <mergeCell ref="W430:X430"/>
    <mergeCell ref="H435:I435"/>
    <mergeCell ref="J435:K435"/>
    <mergeCell ref="L435:M435"/>
    <mergeCell ref="N435:O435"/>
    <mergeCell ref="Q435:R435"/>
    <mergeCell ref="S435:T435"/>
    <mergeCell ref="U435:V435"/>
    <mergeCell ref="W435:X435"/>
    <mergeCell ref="H436:I436"/>
    <mergeCell ref="J436:K436"/>
    <mergeCell ref="L436:M436"/>
    <mergeCell ref="N436:O436"/>
    <mergeCell ref="Q436:R436"/>
    <mergeCell ref="S436:T436"/>
    <mergeCell ref="U436:V436"/>
    <mergeCell ref="W436:X436"/>
    <mergeCell ref="H433:I433"/>
    <mergeCell ref="J433:K433"/>
    <mergeCell ref="L433:M433"/>
    <mergeCell ref="N433:O433"/>
    <mergeCell ref="Q433:R433"/>
    <mergeCell ref="S433:T433"/>
    <mergeCell ref="U433:V433"/>
    <mergeCell ref="W433:X433"/>
    <mergeCell ref="H434:I434"/>
    <mergeCell ref="J434:K434"/>
    <mergeCell ref="L434:M434"/>
    <mergeCell ref="N434:O434"/>
    <mergeCell ref="Q434:R434"/>
    <mergeCell ref="S434:T434"/>
    <mergeCell ref="U434:V434"/>
    <mergeCell ref="W434:X434"/>
    <mergeCell ref="H439:I439"/>
    <mergeCell ref="J439:K439"/>
    <mergeCell ref="L439:M439"/>
    <mergeCell ref="N439:O439"/>
    <mergeCell ref="Q439:R439"/>
    <mergeCell ref="S439:T439"/>
    <mergeCell ref="U439:V439"/>
    <mergeCell ref="W439:X439"/>
    <mergeCell ref="D441:I441"/>
    <mergeCell ref="J441:U441"/>
    <mergeCell ref="V441:AB441"/>
    <mergeCell ref="H437:I437"/>
    <mergeCell ref="J437:K437"/>
    <mergeCell ref="L437:M437"/>
    <mergeCell ref="N437:O437"/>
    <mergeCell ref="Q437:R437"/>
    <mergeCell ref="S437:T437"/>
    <mergeCell ref="U437:V437"/>
    <mergeCell ref="W437:X437"/>
    <mergeCell ref="H438:I438"/>
    <mergeCell ref="J438:K438"/>
    <mergeCell ref="L438:M438"/>
    <mergeCell ref="N438:O438"/>
    <mergeCell ref="Q438:R438"/>
    <mergeCell ref="S438:T438"/>
    <mergeCell ref="U438:V438"/>
    <mergeCell ref="W438:X438"/>
    <mergeCell ref="W455:X455"/>
    <mergeCell ref="H445:I445"/>
    <mergeCell ref="L445:O445"/>
    <mergeCell ref="P445:S445"/>
    <mergeCell ref="T445:U445"/>
    <mergeCell ref="H446:I446"/>
    <mergeCell ref="L446:O446"/>
    <mergeCell ref="P446:S446"/>
    <mergeCell ref="T446:U446"/>
    <mergeCell ref="H447:I447"/>
    <mergeCell ref="L447:O447"/>
    <mergeCell ref="P447:S447"/>
    <mergeCell ref="T447:U447"/>
    <mergeCell ref="H442:I442"/>
    <mergeCell ref="L442:O442"/>
    <mergeCell ref="P442:S442"/>
    <mergeCell ref="T442:U442"/>
    <mergeCell ref="H443:I443"/>
    <mergeCell ref="L443:O443"/>
    <mergeCell ref="P443:S443"/>
    <mergeCell ref="T443:U443"/>
    <mergeCell ref="H444:I444"/>
    <mergeCell ref="L444:O444"/>
    <mergeCell ref="P444:S444"/>
    <mergeCell ref="T444:U444"/>
    <mergeCell ref="H450:I450"/>
    <mergeCell ref="L450:O450"/>
    <mergeCell ref="P450:S450"/>
    <mergeCell ref="T450:U450"/>
    <mergeCell ref="D451:J451"/>
    <mergeCell ref="K451:N451"/>
    <mergeCell ref="O451:AB451"/>
    <mergeCell ref="D452:E452"/>
    <mergeCell ref="F452:G452"/>
    <mergeCell ref="H452:J452"/>
    <mergeCell ref="K452:P452"/>
    <mergeCell ref="Q452:R452"/>
    <mergeCell ref="S452:X452"/>
    <mergeCell ref="Y452:Z452"/>
    <mergeCell ref="AA452:AB452"/>
    <mergeCell ref="H448:I448"/>
    <mergeCell ref="L448:O448"/>
    <mergeCell ref="P448:S448"/>
    <mergeCell ref="T448:U448"/>
    <mergeCell ref="V448:AB448"/>
    <mergeCell ref="H449:I449"/>
    <mergeCell ref="L449:O449"/>
    <mergeCell ref="P449:S449"/>
    <mergeCell ref="T449:U449"/>
    <mergeCell ref="H456:I456"/>
    <mergeCell ref="J456:K456"/>
    <mergeCell ref="L456:M456"/>
    <mergeCell ref="N456:O456"/>
    <mergeCell ref="Q456:R456"/>
    <mergeCell ref="S456:T456"/>
    <mergeCell ref="U456:V456"/>
    <mergeCell ref="W456:X456"/>
    <mergeCell ref="D453:E453"/>
    <mergeCell ref="F453:G453"/>
    <mergeCell ref="H453:J453"/>
    <mergeCell ref="K453:L453"/>
    <mergeCell ref="M453:N453"/>
    <mergeCell ref="O453:AB453"/>
    <mergeCell ref="H454:I454"/>
    <mergeCell ref="J454:K454"/>
    <mergeCell ref="L454:M454"/>
    <mergeCell ref="N454:O454"/>
    <mergeCell ref="P454:P455"/>
    <mergeCell ref="Q454:R454"/>
    <mergeCell ref="S454:T454"/>
    <mergeCell ref="U454:V454"/>
    <mergeCell ref="W454:X454"/>
    <mergeCell ref="Y454:Y455"/>
    <mergeCell ref="Z454:AB454"/>
    <mergeCell ref="H455:I455"/>
    <mergeCell ref="J455:K455"/>
    <mergeCell ref="L455:M455"/>
    <mergeCell ref="N455:O455"/>
    <mergeCell ref="Q455:R455"/>
    <mergeCell ref="S455:T455"/>
    <mergeCell ref="U455:V455"/>
    <mergeCell ref="H459:I459"/>
    <mergeCell ref="J459:K459"/>
    <mergeCell ref="L459:M459"/>
    <mergeCell ref="N459:O459"/>
    <mergeCell ref="Q459:R459"/>
    <mergeCell ref="S459:T459"/>
    <mergeCell ref="U459:V459"/>
    <mergeCell ref="W459:X459"/>
    <mergeCell ref="H460:I460"/>
    <mergeCell ref="J460:K460"/>
    <mergeCell ref="L460:M460"/>
    <mergeCell ref="N460:O460"/>
    <mergeCell ref="Q460:R460"/>
    <mergeCell ref="S460:T460"/>
    <mergeCell ref="U460:V460"/>
    <mergeCell ref="W460:X460"/>
    <mergeCell ref="H457:I457"/>
    <mergeCell ref="J457:K457"/>
    <mergeCell ref="L457:M457"/>
    <mergeCell ref="N457:O457"/>
    <mergeCell ref="Q457:R457"/>
    <mergeCell ref="S457:T457"/>
    <mergeCell ref="U457:V457"/>
    <mergeCell ref="W457:X457"/>
    <mergeCell ref="H458:I458"/>
    <mergeCell ref="J458:K458"/>
    <mergeCell ref="L458:M458"/>
    <mergeCell ref="N458:O458"/>
    <mergeCell ref="Q458:R458"/>
    <mergeCell ref="S458:T458"/>
    <mergeCell ref="U458:V458"/>
    <mergeCell ref="W458:X458"/>
    <mergeCell ref="H463:I463"/>
    <mergeCell ref="J463:K463"/>
    <mergeCell ref="L463:M463"/>
    <mergeCell ref="N463:O463"/>
    <mergeCell ref="Q463:R463"/>
    <mergeCell ref="S463:T463"/>
    <mergeCell ref="U463:V463"/>
    <mergeCell ref="W463:X463"/>
    <mergeCell ref="H464:I464"/>
    <mergeCell ref="J464:K464"/>
    <mergeCell ref="L464:M464"/>
    <mergeCell ref="N464:O464"/>
    <mergeCell ref="Q464:R464"/>
    <mergeCell ref="S464:T464"/>
    <mergeCell ref="U464:V464"/>
    <mergeCell ref="W464:X464"/>
    <mergeCell ref="H461:I461"/>
    <mergeCell ref="J461:K461"/>
    <mergeCell ref="L461:M461"/>
    <mergeCell ref="N461:O461"/>
    <mergeCell ref="Q461:R461"/>
    <mergeCell ref="S461:T461"/>
    <mergeCell ref="U461:V461"/>
    <mergeCell ref="W461:X461"/>
    <mergeCell ref="H462:I462"/>
    <mergeCell ref="J462:K462"/>
    <mergeCell ref="L462:M462"/>
    <mergeCell ref="N462:O462"/>
    <mergeCell ref="Q462:R462"/>
    <mergeCell ref="S462:T462"/>
    <mergeCell ref="U462:V462"/>
    <mergeCell ref="W462:X462"/>
    <mergeCell ref="H467:I467"/>
    <mergeCell ref="J467:K467"/>
    <mergeCell ref="L467:M467"/>
    <mergeCell ref="N467:O467"/>
    <mergeCell ref="Q467:R467"/>
    <mergeCell ref="S467:T467"/>
    <mergeCell ref="U467:V467"/>
    <mergeCell ref="W467:X467"/>
    <mergeCell ref="H468:I468"/>
    <mergeCell ref="J468:K468"/>
    <mergeCell ref="L468:M468"/>
    <mergeCell ref="N468:O468"/>
    <mergeCell ref="Q468:R468"/>
    <mergeCell ref="S468:T468"/>
    <mergeCell ref="U468:V468"/>
    <mergeCell ref="W468:X468"/>
    <mergeCell ref="H465:I465"/>
    <mergeCell ref="J465:K465"/>
    <mergeCell ref="L465:M465"/>
    <mergeCell ref="N465:O465"/>
    <mergeCell ref="Q465:R465"/>
    <mergeCell ref="S465:T465"/>
    <mergeCell ref="U465:V465"/>
    <mergeCell ref="W465:X465"/>
    <mergeCell ref="H466:I466"/>
    <mergeCell ref="J466:K466"/>
    <mergeCell ref="L466:M466"/>
    <mergeCell ref="N466:O466"/>
    <mergeCell ref="Q466:R466"/>
    <mergeCell ref="S466:T466"/>
    <mergeCell ref="U466:V466"/>
    <mergeCell ref="W466:X466"/>
    <mergeCell ref="H471:I471"/>
    <mergeCell ref="J471:K471"/>
    <mergeCell ref="L471:M471"/>
    <mergeCell ref="N471:O471"/>
    <mergeCell ref="Q471:R471"/>
    <mergeCell ref="S471:T471"/>
    <mergeCell ref="U471:V471"/>
    <mergeCell ref="W471:X471"/>
    <mergeCell ref="D473:I473"/>
    <mergeCell ref="J473:U473"/>
    <mergeCell ref="V473:AB473"/>
    <mergeCell ref="H469:I469"/>
    <mergeCell ref="J469:K469"/>
    <mergeCell ref="L469:M469"/>
    <mergeCell ref="N469:O469"/>
    <mergeCell ref="Q469:R469"/>
    <mergeCell ref="S469:T469"/>
    <mergeCell ref="U469:V469"/>
    <mergeCell ref="W469:X469"/>
    <mergeCell ref="H470:I470"/>
    <mergeCell ref="J470:K470"/>
    <mergeCell ref="L470:M470"/>
    <mergeCell ref="N470:O470"/>
    <mergeCell ref="Q470:R470"/>
    <mergeCell ref="S470:T470"/>
    <mergeCell ref="U470:V470"/>
    <mergeCell ref="W470:X470"/>
    <mergeCell ref="W487:X487"/>
    <mergeCell ref="H477:I477"/>
    <mergeCell ref="L477:O477"/>
    <mergeCell ref="P477:S477"/>
    <mergeCell ref="T477:U477"/>
    <mergeCell ref="H478:I478"/>
    <mergeCell ref="L478:O478"/>
    <mergeCell ref="P478:S478"/>
    <mergeCell ref="T478:U478"/>
    <mergeCell ref="H479:I479"/>
    <mergeCell ref="L479:O479"/>
    <mergeCell ref="P479:S479"/>
    <mergeCell ref="T479:U479"/>
    <mergeCell ref="H474:I474"/>
    <mergeCell ref="L474:O474"/>
    <mergeCell ref="P474:S474"/>
    <mergeCell ref="T474:U474"/>
    <mergeCell ref="H475:I475"/>
    <mergeCell ref="L475:O475"/>
    <mergeCell ref="P475:S475"/>
    <mergeCell ref="T475:U475"/>
    <mergeCell ref="H476:I476"/>
    <mergeCell ref="L476:O476"/>
    <mergeCell ref="P476:S476"/>
    <mergeCell ref="T476:U476"/>
    <mergeCell ref="H482:I482"/>
    <mergeCell ref="L482:O482"/>
    <mergeCell ref="P482:S482"/>
    <mergeCell ref="T482:U482"/>
    <mergeCell ref="D483:J483"/>
    <mergeCell ref="K483:N483"/>
    <mergeCell ref="O483:AB483"/>
    <mergeCell ref="D484:E484"/>
    <mergeCell ref="F484:G484"/>
    <mergeCell ref="H484:J484"/>
    <mergeCell ref="K484:P484"/>
    <mergeCell ref="Q484:R484"/>
    <mergeCell ref="S484:X484"/>
    <mergeCell ref="Y484:Z484"/>
    <mergeCell ref="AA484:AB484"/>
    <mergeCell ref="H480:I480"/>
    <mergeCell ref="L480:O480"/>
    <mergeCell ref="P480:S480"/>
    <mergeCell ref="T480:U480"/>
    <mergeCell ref="V480:AB480"/>
    <mergeCell ref="H481:I481"/>
    <mergeCell ref="L481:O481"/>
    <mergeCell ref="P481:S481"/>
    <mergeCell ref="T481:U481"/>
    <mergeCell ref="H488:I488"/>
    <mergeCell ref="J488:K488"/>
    <mergeCell ref="L488:M488"/>
    <mergeCell ref="N488:O488"/>
    <mergeCell ref="Q488:R488"/>
    <mergeCell ref="S488:T488"/>
    <mergeCell ref="U488:V488"/>
    <mergeCell ref="W488:X488"/>
    <mergeCell ref="D485:E485"/>
    <mergeCell ref="F485:G485"/>
    <mergeCell ref="H485:J485"/>
    <mergeCell ref="K485:L485"/>
    <mergeCell ref="M485:N485"/>
    <mergeCell ref="O485:AB485"/>
    <mergeCell ref="H486:I486"/>
    <mergeCell ref="J486:K486"/>
    <mergeCell ref="L486:M486"/>
    <mergeCell ref="N486:O486"/>
    <mergeCell ref="P486:P487"/>
    <mergeCell ref="Q486:R486"/>
    <mergeCell ref="S486:T486"/>
    <mergeCell ref="U486:V486"/>
    <mergeCell ref="W486:X486"/>
    <mergeCell ref="Y486:Y487"/>
    <mergeCell ref="Z486:AB486"/>
    <mergeCell ref="H487:I487"/>
    <mergeCell ref="J487:K487"/>
    <mergeCell ref="L487:M487"/>
    <mergeCell ref="N487:O487"/>
    <mergeCell ref="Q487:R487"/>
    <mergeCell ref="S487:T487"/>
    <mergeCell ref="U487:V487"/>
    <mergeCell ref="H491:I491"/>
    <mergeCell ref="J491:K491"/>
    <mergeCell ref="L491:M491"/>
    <mergeCell ref="N491:O491"/>
    <mergeCell ref="Q491:R491"/>
    <mergeCell ref="S491:T491"/>
    <mergeCell ref="U491:V491"/>
    <mergeCell ref="W491:X491"/>
    <mergeCell ref="H492:I492"/>
    <mergeCell ref="J492:K492"/>
    <mergeCell ref="L492:M492"/>
    <mergeCell ref="N492:O492"/>
    <mergeCell ref="Q492:R492"/>
    <mergeCell ref="S492:T492"/>
    <mergeCell ref="U492:V492"/>
    <mergeCell ref="W492:X492"/>
    <mergeCell ref="H489:I489"/>
    <mergeCell ref="J489:K489"/>
    <mergeCell ref="L489:M489"/>
    <mergeCell ref="N489:O489"/>
    <mergeCell ref="Q489:R489"/>
    <mergeCell ref="S489:T489"/>
    <mergeCell ref="U489:V489"/>
    <mergeCell ref="W489:X489"/>
    <mergeCell ref="H490:I490"/>
    <mergeCell ref="J490:K490"/>
    <mergeCell ref="L490:M490"/>
    <mergeCell ref="N490:O490"/>
    <mergeCell ref="Q490:R490"/>
    <mergeCell ref="S490:T490"/>
    <mergeCell ref="U490:V490"/>
    <mergeCell ref="W490:X490"/>
    <mergeCell ref="H495:I495"/>
    <mergeCell ref="J495:K495"/>
    <mergeCell ref="L495:M495"/>
    <mergeCell ref="N495:O495"/>
    <mergeCell ref="Q495:R495"/>
    <mergeCell ref="S495:T495"/>
    <mergeCell ref="U495:V495"/>
    <mergeCell ref="W495:X495"/>
    <mergeCell ref="H496:I496"/>
    <mergeCell ref="J496:K496"/>
    <mergeCell ref="L496:M496"/>
    <mergeCell ref="N496:O496"/>
    <mergeCell ref="Q496:R496"/>
    <mergeCell ref="S496:T496"/>
    <mergeCell ref="U496:V496"/>
    <mergeCell ref="W496:X496"/>
    <mergeCell ref="H493:I493"/>
    <mergeCell ref="J493:K493"/>
    <mergeCell ref="L493:M493"/>
    <mergeCell ref="N493:O493"/>
    <mergeCell ref="Q493:R493"/>
    <mergeCell ref="S493:T493"/>
    <mergeCell ref="U493:V493"/>
    <mergeCell ref="W493:X493"/>
    <mergeCell ref="H494:I494"/>
    <mergeCell ref="J494:K494"/>
    <mergeCell ref="L494:M494"/>
    <mergeCell ref="N494:O494"/>
    <mergeCell ref="Q494:R494"/>
    <mergeCell ref="S494:T494"/>
    <mergeCell ref="U494:V494"/>
    <mergeCell ref="W494:X494"/>
    <mergeCell ref="H499:I499"/>
    <mergeCell ref="J499:K499"/>
    <mergeCell ref="L499:M499"/>
    <mergeCell ref="N499:O499"/>
    <mergeCell ref="Q499:R499"/>
    <mergeCell ref="S499:T499"/>
    <mergeCell ref="U499:V499"/>
    <mergeCell ref="W499:X499"/>
    <mergeCell ref="H500:I500"/>
    <mergeCell ref="J500:K500"/>
    <mergeCell ref="L500:M500"/>
    <mergeCell ref="N500:O500"/>
    <mergeCell ref="Q500:R500"/>
    <mergeCell ref="S500:T500"/>
    <mergeCell ref="U500:V500"/>
    <mergeCell ref="W500:X500"/>
    <mergeCell ref="H497:I497"/>
    <mergeCell ref="J497:K497"/>
    <mergeCell ref="L497:M497"/>
    <mergeCell ref="N497:O497"/>
    <mergeCell ref="Q497:R497"/>
    <mergeCell ref="S497:T497"/>
    <mergeCell ref="U497:V497"/>
    <mergeCell ref="W497:X497"/>
    <mergeCell ref="H498:I498"/>
    <mergeCell ref="J498:K498"/>
    <mergeCell ref="L498:M498"/>
    <mergeCell ref="N498:O498"/>
    <mergeCell ref="Q498:R498"/>
    <mergeCell ref="S498:T498"/>
    <mergeCell ref="U498:V498"/>
    <mergeCell ref="W498:X498"/>
    <mergeCell ref="W503:X503"/>
    <mergeCell ref="D505:I505"/>
    <mergeCell ref="J505:U505"/>
    <mergeCell ref="V505:AB505"/>
    <mergeCell ref="H501:I501"/>
    <mergeCell ref="J501:K501"/>
    <mergeCell ref="L501:M501"/>
    <mergeCell ref="N501:O501"/>
    <mergeCell ref="Q501:R501"/>
    <mergeCell ref="S501:T501"/>
    <mergeCell ref="U501:V501"/>
    <mergeCell ref="W501:X501"/>
    <mergeCell ref="H502:I502"/>
    <mergeCell ref="J502:K502"/>
    <mergeCell ref="L502:M502"/>
    <mergeCell ref="N502:O502"/>
    <mergeCell ref="Q502:R502"/>
    <mergeCell ref="S502:T502"/>
    <mergeCell ref="U502:V502"/>
    <mergeCell ref="W502:X502"/>
    <mergeCell ref="H506:I506"/>
    <mergeCell ref="L506:O506"/>
    <mergeCell ref="P506:S506"/>
    <mergeCell ref="T506:U506"/>
    <mergeCell ref="H507:I507"/>
    <mergeCell ref="L507:O507"/>
    <mergeCell ref="P507:S507"/>
    <mergeCell ref="T507:U507"/>
    <mergeCell ref="H508:I508"/>
    <mergeCell ref="L508:O508"/>
    <mergeCell ref="P508:S508"/>
    <mergeCell ref="T508:U508"/>
    <mergeCell ref="H503:I503"/>
    <mergeCell ref="J503:K503"/>
    <mergeCell ref="L503:M503"/>
    <mergeCell ref="N503:O503"/>
    <mergeCell ref="Q503:R503"/>
    <mergeCell ref="S503:T503"/>
    <mergeCell ref="U503:V503"/>
    <mergeCell ref="H514:I514"/>
    <mergeCell ref="L514:O514"/>
    <mergeCell ref="P514:S514"/>
    <mergeCell ref="T514:U514"/>
    <mergeCell ref="H512:I512"/>
    <mergeCell ref="L512:O512"/>
    <mergeCell ref="P512:S512"/>
    <mergeCell ref="T512:U512"/>
    <mergeCell ref="V512:AB512"/>
    <mergeCell ref="H513:I513"/>
    <mergeCell ref="L513:O513"/>
    <mergeCell ref="P513:S513"/>
    <mergeCell ref="T513:U513"/>
    <mergeCell ref="H509:I509"/>
    <mergeCell ref="L509:O509"/>
    <mergeCell ref="P509:S509"/>
    <mergeCell ref="T509:U509"/>
    <mergeCell ref="H510:I510"/>
    <mergeCell ref="L510:O510"/>
    <mergeCell ref="P510:S510"/>
    <mergeCell ref="T510:U510"/>
    <mergeCell ref="H511:I511"/>
    <mergeCell ref="L511:O511"/>
    <mergeCell ref="P511:S511"/>
    <mergeCell ref="T511:U511"/>
  </mergeCells>
  <phoneticPr fontId="46" type="noConversion"/>
  <printOptions horizontalCentered="1"/>
  <pageMargins left="0.31496062992125984" right="0.31496062992125984" top="0.55118110236220474" bottom="0.55118110236220474" header="0.31496062992125984" footer="0.31496062992125984"/>
  <pageSetup paperSize="9" scale="97" orientation="landscape" blackAndWhite="1" horizontalDpi="4294967293" r:id="rId1"/>
  <headerFooter>
    <oddHeader xml:space="preserve">&amp;C
 </oddHeader>
    <oddFooter>&amp;L&amp;"+,Regular"&amp;9&amp;D &amp;T&amp;C&amp;G&amp;R&amp;"+,Regular"&amp;9&amp;F/&amp;A/Page &amp;P of &amp;N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4">
    <tabColor theme="9" tint="-0.249977111117893"/>
  </sheetPr>
  <dimension ref="A1:BU194"/>
  <sheetViews>
    <sheetView showZeros="0" view="pageBreakPreview" topLeftCell="D90" zoomScaleNormal="100" zoomScaleSheetLayoutView="100" workbookViewId="0">
      <selection activeCell="F19" sqref="F19"/>
    </sheetView>
  </sheetViews>
  <sheetFormatPr defaultColWidth="8.7109375" defaultRowHeight="15" x14ac:dyDescent="0.25"/>
  <cols>
    <col min="1" max="1" width="5.7109375" style="92" hidden="1" customWidth="1"/>
    <col min="2" max="2" width="4.7109375" style="93" hidden="1" customWidth="1"/>
    <col min="3" max="3" width="4.7109375" style="92" hidden="1" customWidth="1"/>
    <col min="4" max="5" width="4.7109375" style="92" customWidth="1"/>
    <col min="6" max="6" width="22.7109375" style="92" customWidth="1"/>
    <col min="7" max="7" width="12.7109375" style="92" customWidth="1"/>
    <col min="8" max="33" width="2.7109375" style="92" customWidth="1"/>
    <col min="34" max="36" width="4.7109375" style="92" customWidth="1"/>
    <col min="37" max="37" width="2.7109375" style="92" customWidth="1"/>
    <col min="38" max="39" width="2.7109375" style="131" customWidth="1"/>
    <col min="40" max="41" width="3.7109375" style="92" hidden="1" customWidth="1"/>
    <col min="42" max="43" width="4.42578125" style="92" hidden="1" customWidth="1"/>
    <col min="44" max="45" width="3.7109375" style="92" hidden="1" customWidth="1"/>
    <col min="46" max="47" width="4.42578125" style="92" hidden="1" customWidth="1"/>
    <col min="48" max="51" width="3.7109375" style="92" hidden="1" customWidth="1"/>
    <col min="52" max="53" width="5" style="122" hidden="1" customWidth="1"/>
    <col min="54" max="70" width="3.7109375" style="92" hidden="1" customWidth="1"/>
    <col min="71" max="73" width="8.7109375" style="92" hidden="1" customWidth="1"/>
    <col min="74" max="74" width="8.7109375" style="92" customWidth="1"/>
    <col min="75" max="16384" width="8.7109375" style="92"/>
  </cols>
  <sheetData>
    <row r="1" spans="1:72" hidden="1" x14ac:dyDescent="0.25"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</row>
    <row r="2" spans="1:72" hidden="1" x14ac:dyDescent="0.25"/>
    <row r="3" spans="1:72" s="4" customFormat="1" ht="21" x14ac:dyDescent="0.25">
      <c r="A3" s="2" t="str">
        <f>MatchDay!$U$6</f>
        <v>X</v>
      </c>
      <c r="B3" s="10" t="str">
        <f>IFERROR(VLOOKUP($A4,fh,2,FALSE),"")</f>
        <v/>
      </c>
      <c r="C3" s="10" t="str">
        <f>IFERROR(VLOOKUP($A4,fdistance,3,FALSE),"")</f>
        <v/>
      </c>
      <c r="D3" s="499" t="s">
        <v>271</v>
      </c>
      <c r="E3" s="500"/>
      <c r="F3" s="500"/>
      <c r="G3" s="539"/>
      <c r="H3" s="501" t="s">
        <v>144</v>
      </c>
      <c r="I3" s="502"/>
      <c r="J3" s="502"/>
      <c r="K3" s="502"/>
      <c r="L3" s="502"/>
      <c r="M3" s="506"/>
      <c r="N3" s="503" t="str">
        <f>MatchDay!$C$2&amp;" "&amp;MatchDay!$C$3&amp;" "&amp;MatchDay!$C$4</f>
        <v>LOWER NORTH West 2</v>
      </c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5"/>
      <c r="AP3" s="8"/>
      <c r="AT3" s="8"/>
      <c r="AU3" s="8"/>
      <c r="AV3" s="8"/>
      <c r="AW3" s="8"/>
      <c r="AX3" s="8"/>
      <c r="AY3" s="8"/>
      <c r="AZ3" s="136"/>
      <c r="BA3" s="136"/>
      <c r="BB3" s="8"/>
      <c r="BC3" s="8"/>
      <c r="BD3" s="8"/>
      <c r="BE3" s="8"/>
    </row>
    <row r="4" spans="1:72" s="4" customFormat="1" ht="15.75" customHeight="1" x14ac:dyDescent="0.25">
      <c r="A4" s="1" t="str">
        <f>IFERROR(IF(LEFT(MatchDay!$C$2,1)="L","L"&amp;A6,"U"&amp;A6),"")</f>
        <v>LFH01</v>
      </c>
      <c r="B4" s="8">
        <v>27</v>
      </c>
      <c r="D4" s="476" t="s">
        <v>145</v>
      </c>
      <c r="E4" s="477"/>
      <c r="F4" s="466" t="str">
        <f>IFERROR(UPPER(VLOOKUP(A5,teamlookup,6,FALSE)),"")</f>
        <v/>
      </c>
      <c r="G4" s="468"/>
      <c r="H4" s="476" t="s">
        <v>149</v>
      </c>
      <c r="I4" s="480"/>
      <c r="J4" s="477"/>
      <c r="K4" s="466" t="str">
        <f>MatchDay!$C$8</f>
        <v>Macclesfield Leisure Centre</v>
      </c>
      <c r="L4" s="467"/>
      <c r="M4" s="467"/>
      <c r="N4" s="467"/>
      <c r="O4" s="467"/>
      <c r="P4" s="467"/>
      <c r="Q4" s="467"/>
      <c r="R4" s="467"/>
      <c r="S4" s="467"/>
      <c r="T4" s="467"/>
      <c r="U4" s="467"/>
      <c r="V4" s="467"/>
      <c r="W4" s="467"/>
      <c r="X4" s="467"/>
      <c r="Y4" s="468"/>
      <c r="Z4" s="476" t="s">
        <v>119</v>
      </c>
      <c r="AA4" s="480"/>
      <c r="AB4" s="477"/>
      <c r="AC4" s="494">
        <f>MatchDay!$C$7</f>
        <v>45053</v>
      </c>
      <c r="AD4" s="495"/>
      <c r="AE4" s="495"/>
      <c r="AF4" s="495"/>
      <c r="AG4" s="495"/>
      <c r="AH4" s="495"/>
      <c r="AI4" s="495"/>
      <c r="AJ4" s="495"/>
      <c r="AK4" s="495"/>
      <c r="AL4" s="495"/>
      <c r="AM4" s="496"/>
      <c r="AN4" s="37"/>
      <c r="AP4" s="8"/>
      <c r="AT4" s="8"/>
      <c r="AU4" s="8"/>
      <c r="AV4" s="8"/>
      <c r="AW4" s="8"/>
      <c r="AX4" s="8"/>
      <c r="AY4" s="8"/>
      <c r="AZ4" s="136"/>
      <c r="BA4" s="136"/>
      <c r="BB4" s="8"/>
      <c r="BC4" s="8"/>
      <c r="BD4" s="8"/>
      <c r="BE4" s="8"/>
    </row>
    <row r="5" spans="1:72" s="4" customFormat="1" ht="15.75" customHeight="1" x14ac:dyDescent="0.25">
      <c r="A5" s="5">
        <f>IFERROR(IF(A3=1,VLOOKUP(A4,judges,VLOOKUP(MatchDay!$U$2*10+MatchDay!$C$5,judgesp,5,FALSE),FALSE),VLOOKUP(A4,judges,VLOOKUP(MatchDay!$U$2*10+MatchDay!$C$5,judges2,5,FALSE),FALSE)),"")</f>
        <v>4</v>
      </c>
      <c r="B5" s="38" t="str">
        <f>IFERROR(VLOOKUP($A6,fheight,2,FALSE),"")</f>
        <v>C</v>
      </c>
      <c r="C5" s="138"/>
      <c r="D5" s="476" t="s">
        <v>120</v>
      </c>
      <c r="E5" s="477"/>
      <c r="F5" s="478" t="str">
        <f>IFERROR(VLOOKUP(A4,timetables,2,FALSE)&amp;" "&amp;VLOOKUP(A4,timetables,3,FALSE),"")</f>
        <v>High Jump U15 Girls</v>
      </c>
      <c r="G5" s="479"/>
      <c r="H5" s="476" t="s">
        <v>121</v>
      </c>
      <c r="I5" s="480"/>
      <c r="J5" s="477"/>
      <c r="K5" s="517">
        <f>IFERROR(IF(A3=1,VLOOKUP(A4,Timetables!$A:$G,6,FALSE),VLOOKUP(A4,Timetables!$A:$G,7,FALSE)),"")</f>
        <v>0.48958333333333331</v>
      </c>
      <c r="L5" s="518"/>
      <c r="M5" s="519"/>
      <c r="N5" s="520" t="s">
        <v>150</v>
      </c>
      <c r="O5" s="521"/>
      <c r="P5" s="521"/>
      <c r="Q5" s="522"/>
      <c r="R5" s="520" t="str">
        <f>IFERROR(VLOOKUP(A4,records,3,FALSE)&amp;", "&amp;VLOOKUP(A4,records,4,FALSE)&amp;", "&amp;VLOOKUP(A4,records,5,FALSE)&amp;", "&amp;VLOOKUP(A4,records,6,FALSE)&amp;", "&amp;VLOOKUP(A4,records,7,FALSE)&amp;" "&amp;VLOOKUP(A4,records,8,FALSE),"")</f>
        <v/>
      </c>
      <c r="S5" s="521"/>
      <c r="T5" s="521"/>
      <c r="U5" s="521"/>
      <c r="V5" s="521"/>
      <c r="W5" s="521"/>
      <c r="X5" s="521"/>
      <c r="Y5" s="521"/>
      <c r="Z5" s="521"/>
      <c r="AA5" s="521"/>
      <c r="AB5" s="521"/>
      <c r="AC5" s="521"/>
      <c r="AD5" s="521"/>
      <c r="AE5" s="521"/>
      <c r="AF5" s="521"/>
      <c r="AG5" s="521"/>
      <c r="AH5" s="521"/>
      <c r="AI5" s="521"/>
      <c r="AJ5" s="521"/>
      <c r="AK5" s="521"/>
      <c r="AL5" s="521"/>
      <c r="AM5" s="522"/>
      <c r="AN5" s="8"/>
      <c r="AP5" s="8"/>
      <c r="AT5" s="8"/>
      <c r="AU5" s="8"/>
      <c r="AV5" s="8"/>
      <c r="AW5" s="8"/>
      <c r="AX5" s="8"/>
      <c r="AY5" s="8"/>
      <c r="AZ5" s="136"/>
      <c r="BA5" s="136"/>
      <c r="BB5" s="8"/>
      <c r="BC5" s="8"/>
      <c r="BD5" s="8"/>
      <c r="BE5" s="8"/>
    </row>
    <row r="6" spans="1:72" s="4" customFormat="1" ht="38.25" customHeight="1" x14ac:dyDescent="0.25">
      <c r="A6" s="5" t="s">
        <v>272</v>
      </c>
      <c r="B6" s="10" t="str">
        <f>IFERROR(VLOOKUP($A6,fheight,3,FALSE),"")</f>
        <v>G</v>
      </c>
      <c r="C6" s="10">
        <f>IFERROR(VLOOKUP($A6,fheight,4,FALSE),"")</f>
        <v>4</v>
      </c>
      <c r="D6" s="39" t="s">
        <v>122</v>
      </c>
      <c r="E6" s="39" t="s">
        <v>123</v>
      </c>
      <c r="F6" s="39" t="s">
        <v>124</v>
      </c>
      <c r="G6" s="40" t="s">
        <v>125</v>
      </c>
      <c r="H6" s="523">
        <v>1.1499999999999999</v>
      </c>
      <c r="I6" s="535"/>
      <c r="J6" s="523">
        <v>1.2</v>
      </c>
      <c r="K6" s="535"/>
      <c r="L6" s="523">
        <v>1.25</v>
      </c>
      <c r="M6" s="535"/>
      <c r="N6" s="523">
        <v>1.3</v>
      </c>
      <c r="O6" s="535"/>
      <c r="P6" s="523">
        <v>1.35</v>
      </c>
      <c r="Q6" s="535"/>
      <c r="R6" s="523">
        <v>1.4</v>
      </c>
      <c r="S6" s="535"/>
      <c r="T6" s="523"/>
      <c r="U6" s="535"/>
      <c r="V6" s="523"/>
      <c r="W6" s="535"/>
      <c r="X6" s="523"/>
      <c r="Y6" s="535"/>
      <c r="Z6" s="523"/>
      <c r="AA6" s="535"/>
      <c r="AB6" s="523"/>
      <c r="AC6" s="535"/>
      <c r="AD6" s="523"/>
      <c r="AE6" s="535"/>
      <c r="AF6" s="537" t="s">
        <v>266</v>
      </c>
      <c r="AG6" s="538"/>
      <c r="AH6" s="529" t="s">
        <v>267</v>
      </c>
      <c r="AI6" s="529" t="s">
        <v>268</v>
      </c>
      <c r="AJ6" s="529" t="s">
        <v>363</v>
      </c>
      <c r="AK6" s="41"/>
      <c r="AL6" s="531" t="s">
        <v>136</v>
      </c>
      <c r="AM6" s="532"/>
      <c r="AN6" s="42" t="s">
        <v>269</v>
      </c>
      <c r="AP6" s="8"/>
      <c r="AT6" s="8"/>
      <c r="AU6" s="8"/>
      <c r="AV6" s="8"/>
      <c r="AW6" s="8"/>
      <c r="AX6" s="8"/>
      <c r="AY6" s="8"/>
      <c r="AZ6" s="136"/>
      <c r="BA6" s="136"/>
      <c r="BB6" s="8"/>
      <c r="BC6" s="8"/>
      <c r="BD6" s="8"/>
      <c r="BE6" s="8"/>
    </row>
    <row r="7" spans="1:72" s="4" customFormat="1" ht="13.5" x14ac:dyDescent="0.3">
      <c r="A7" s="121">
        <f>IFERROR(SEARCH("U17",F5),0)</f>
        <v>0</v>
      </c>
      <c r="B7" s="1"/>
      <c r="C7" s="1"/>
      <c r="D7" s="43"/>
      <c r="E7" s="43"/>
      <c r="F7" s="58"/>
      <c r="G7" s="57"/>
      <c r="H7" s="513" t="s">
        <v>137</v>
      </c>
      <c r="I7" s="536"/>
      <c r="J7" s="513" t="s">
        <v>137</v>
      </c>
      <c r="K7" s="536"/>
      <c r="L7" s="513" t="s">
        <v>137</v>
      </c>
      <c r="M7" s="536"/>
      <c r="N7" s="513" t="s">
        <v>137</v>
      </c>
      <c r="O7" s="536"/>
      <c r="P7" s="513" t="s">
        <v>137</v>
      </c>
      <c r="Q7" s="536"/>
      <c r="R7" s="513" t="s">
        <v>137</v>
      </c>
      <c r="S7" s="536"/>
      <c r="T7" s="513" t="s">
        <v>137</v>
      </c>
      <c r="U7" s="536"/>
      <c r="V7" s="513" t="s">
        <v>137</v>
      </c>
      <c r="W7" s="536"/>
      <c r="X7" s="513" t="s">
        <v>137</v>
      </c>
      <c r="Y7" s="536"/>
      <c r="Z7" s="513" t="s">
        <v>137</v>
      </c>
      <c r="AA7" s="536"/>
      <c r="AB7" s="513" t="s">
        <v>137</v>
      </c>
      <c r="AC7" s="536"/>
      <c r="AD7" s="513" t="s">
        <v>137</v>
      </c>
      <c r="AE7" s="536"/>
      <c r="AF7" s="513" t="s">
        <v>137</v>
      </c>
      <c r="AG7" s="536"/>
      <c r="AH7" s="530"/>
      <c r="AI7" s="530"/>
      <c r="AJ7" s="530"/>
      <c r="AK7" s="44"/>
      <c r="AL7" s="533"/>
      <c r="AM7" s="534"/>
      <c r="AN7" s="42"/>
      <c r="AP7" s="9"/>
      <c r="AQ7" s="9"/>
      <c r="AR7" s="45"/>
      <c r="AS7" s="45"/>
      <c r="AT7" s="45"/>
      <c r="AU7" s="46"/>
      <c r="AV7" s="45"/>
      <c r="AW7" s="9"/>
      <c r="AX7" s="9"/>
      <c r="AY7" s="47"/>
      <c r="AZ7" s="135"/>
      <c r="BA7" s="135"/>
      <c r="BB7" s="9"/>
      <c r="BC7" s="9">
        <v>1</v>
      </c>
      <c r="BD7" s="9">
        <v>2</v>
      </c>
      <c r="BE7" s="9">
        <v>3</v>
      </c>
      <c r="BF7" s="9">
        <v>4</v>
      </c>
      <c r="BG7" s="9">
        <v>5</v>
      </c>
      <c r="BH7" s="9">
        <v>6</v>
      </c>
      <c r="BI7" s="9">
        <v>7</v>
      </c>
      <c r="BJ7" s="9">
        <v>8</v>
      </c>
      <c r="BK7" s="9">
        <v>1</v>
      </c>
      <c r="BL7" s="9">
        <v>2</v>
      </c>
      <c r="BM7" s="9">
        <v>3</v>
      </c>
      <c r="BN7" s="9">
        <v>4</v>
      </c>
      <c r="BO7" s="9">
        <v>5</v>
      </c>
      <c r="BP7" s="9">
        <v>6</v>
      </c>
      <c r="BQ7" s="9">
        <v>7</v>
      </c>
      <c r="BR7" s="9">
        <v>8</v>
      </c>
      <c r="BS7" s="46"/>
    </row>
    <row r="8" spans="1:72" s="4" customFormat="1" ht="16.149999999999999" customHeight="1" x14ac:dyDescent="0.35">
      <c r="A8" s="8">
        <f>IFERROR(IF(D8&gt;MatchDay!$U$2,"-",VLOOKUP(A4,timetables,MatchDay!$U$4,FALSE)),0)</f>
        <v>1</v>
      </c>
      <c r="B8" s="10">
        <f ca="1">IFERROR(IF(OR(AK8=0,AK8="B"),"",RANK(AZ8,AZ8:AZ23,1)),"")</f>
        <v>2</v>
      </c>
      <c r="C8" s="10" t="str">
        <f ca="1">IFERROR(IF(OR(AK8=0,AK8="A"),"",RANK(BA8,BA8:BA23,1)),"")</f>
        <v/>
      </c>
      <c r="D8" s="56">
        <v>1</v>
      </c>
      <c r="E8" s="17">
        <f>A8</f>
        <v>1</v>
      </c>
      <c r="F8" s="319" t="str">
        <f>IFERROR(VLOOKUP($A4&amp;E8,downloads!$A$1:$E$1000,2,FALSE),"")</f>
        <v>Olivia WELCH</v>
      </c>
      <c r="G8" s="18" t="str">
        <f t="shared" ref="G8:G23" si="0">IFERROR(VLOOKUP(E8,teamlookup,5,FALSE),"-")</f>
        <v>C&amp;N</v>
      </c>
      <c r="H8" s="497"/>
      <c r="I8" s="498"/>
      <c r="J8" s="497"/>
      <c r="K8" s="498"/>
      <c r="L8" s="497"/>
      <c r="M8" s="498"/>
      <c r="N8" s="497"/>
      <c r="O8" s="498"/>
      <c r="P8" s="497"/>
      <c r="Q8" s="498"/>
      <c r="R8" s="497"/>
      <c r="S8" s="498"/>
      <c r="T8" s="497"/>
      <c r="U8" s="498"/>
      <c r="V8" s="497"/>
      <c r="W8" s="498"/>
      <c r="X8" s="497"/>
      <c r="Y8" s="498"/>
      <c r="Z8" s="497"/>
      <c r="AA8" s="498"/>
      <c r="AB8" s="497"/>
      <c r="AC8" s="498"/>
      <c r="AD8" s="497"/>
      <c r="AE8" s="498"/>
      <c r="AF8" s="511">
        <f ca="1">IFERROR(INDIRECT(CONCATENATE("'Height Input'!"&amp;B6&amp;C6)),"")</f>
        <v>1.35</v>
      </c>
      <c r="AG8" s="512"/>
      <c r="AH8" s="48"/>
      <c r="AI8" s="48"/>
      <c r="AJ8" s="49">
        <f ca="1">IFERROR(IF(AF8="X",MatchDay!$U$2+MatchDay!$U$2+1-COUNTIF($AF8:AF8,"X"),IF(AF8&gt;=97,1,INT(INDIRECT(CONCATENATE("'Height Input'!"&amp;$B5&amp;$C6))))),"")</f>
        <v>3</v>
      </c>
      <c r="AK8" s="50" t="str">
        <f ca="1">IFERROR(IF(OR(AJ8=0,AJ8=""),0,IF(OR(AJ8&lt;=VLOOKUP(BT8,$E16:$AJ23,32,FALSE),VLOOKUP(BT8,$E16:$AJ23,32,FALSE)=0),"A","B")),0)</f>
        <v>A</v>
      </c>
      <c r="AL8" s="123">
        <f ca="1">IFERROR(IF(OR(AK8=0,AK8="B"),"",RANK(AW8,AW8:AW23,1)),"")</f>
        <v>2</v>
      </c>
      <c r="AM8" s="123" t="str">
        <f ca="1">IFERROR(IF(OR(AK8=0,AK8="A"),"",RANK(AX8,AX8:AX23,1)),"")</f>
        <v/>
      </c>
      <c r="AN8" s="51">
        <f ca="1">IFERROR(IF(AF8="X",0,(INDIRECT(CONCATENATE("'Height Input'!"&amp;$B5&amp;$C6))-AJ8)*10),"")</f>
        <v>0</v>
      </c>
      <c r="AO8" s="8"/>
      <c r="AP8" s="9" t="str">
        <f ca="1">IF(AQ8="","",IF(AQ8=1,AR8,REPT(AR8,AQ8-1)))</f>
        <v/>
      </c>
      <c r="AQ8" s="9" t="str">
        <f ca="1">IF(AR8="","",HLOOKUP(AL8,BC7:BJ24,18,FALSE))</f>
        <v/>
      </c>
      <c r="AR8" s="45" t="str">
        <f ca="1">IF(OR(AL8=0,AL8=""),"",IF(COUNTIFS(AL8:AL23,AL8)&gt;1,"=",""))</f>
        <v/>
      </c>
      <c r="AS8" s="45"/>
      <c r="AT8" s="9" t="str">
        <f ca="1">IF(AU8="","",IF(AU8=1,AV8,REPT(AV8,AU8-1)))</f>
        <v/>
      </c>
      <c r="AU8" s="9" t="str">
        <f ca="1">IF(AV8="","",HLOOKUP(AM8,BK7:BR24,18,FALSE))</f>
        <v/>
      </c>
      <c r="AV8" s="45" t="str">
        <f ca="1">IF(OR(AM8=0,AM8=""),"",IF(COUNTIFS(AM8:AM23,AM8)&gt;1,"=",""))</f>
        <v/>
      </c>
      <c r="AW8" s="9">
        <f ca="1">IF(OR(AJ8=0,AF8=0,AK8="B"),"",AJ8)</f>
        <v>3</v>
      </c>
      <c r="AX8" s="9" t="str">
        <f t="shared" ref="AX8:AX23" ca="1" si="1">IF(OR(AJ8=0,AF8=0,AK8="A"),"",AJ8)</f>
        <v/>
      </c>
      <c r="AY8" s="47"/>
      <c r="AZ8" s="135">
        <f ca="1">IF(AW8="","",AW8+(AN8/10))</f>
        <v>3</v>
      </c>
      <c r="BA8" s="135" t="str">
        <f ca="1">IF(AX8="","",AX8+(AN8/10))</f>
        <v/>
      </c>
      <c r="BB8" s="9"/>
      <c r="BC8" s="52" t="str">
        <f ca="1">IF(AL8="","",IF(AL8=BC7,AL8,""))</f>
        <v/>
      </c>
      <c r="BD8" s="52">
        <f ca="1">IF(AL8="","",IF(AL8=BD7,AL8,""))</f>
        <v>2</v>
      </c>
      <c r="BE8" s="52" t="str">
        <f ca="1">IF(AL8="","",IF(AL8=BE7,AL8,""))</f>
        <v/>
      </c>
      <c r="BF8" s="52" t="str">
        <f ca="1">IF(AL8="","",IF(AL8=BF7,AL8,""))</f>
        <v/>
      </c>
      <c r="BG8" s="52" t="str">
        <f ca="1">IF(AL8="","",IF(AL8=BG7,AL8,""))</f>
        <v/>
      </c>
      <c r="BH8" s="52" t="str">
        <f ca="1">IF(AL8="","",IF(AL8=BH7,AL8,""))</f>
        <v/>
      </c>
      <c r="BI8" s="52" t="str">
        <f ca="1">IF(AL8="","",IF(AL8=BI7,AL8,""))</f>
        <v/>
      </c>
      <c r="BJ8" s="52" t="str">
        <f ca="1">IF(AL8="","",IF(AL8=BJ7,AL8,""))</f>
        <v/>
      </c>
      <c r="BK8" s="52" t="str">
        <f ca="1">IF(AM8="","",IF(AM8=BK7,AM8,""))</f>
        <v/>
      </c>
      <c r="BL8" s="52" t="str">
        <f ca="1">IF(AM8="","",IF(AM8=BL7,AM8,""))</f>
        <v/>
      </c>
      <c r="BM8" s="52" t="str">
        <f ca="1">IF(AM8="","",IF(AM8=BM7,AM8,""))</f>
        <v/>
      </c>
      <c r="BN8" s="52" t="str">
        <f ca="1">IF(AM8="","",IF(AM8=BN7,AM8,""))</f>
        <v/>
      </c>
      <c r="BO8" s="52" t="str">
        <f ca="1">IF(AM8="","",IF(AM8=BO7,AM8,""))</f>
        <v/>
      </c>
      <c r="BP8" s="52" t="str">
        <f ca="1">IF(AM8="","",IF(AM8=BP7,AM8,""))</f>
        <v/>
      </c>
      <c r="BQ8" s="52" t="str">
        <f ca="1">IF(AM8="","",IF(AM8=BQ7,AM8,""))</f>
        <v/>
      </c>
      <c r="BR8" s="52" t="str">
        <f ca="1">IF(AM8="","",IF(AM8=BR7,AM8,""))</f>
        <v/>
      </c>
      <c r="BS8" s="46"/>
      <c r="BT8" s="4">
        <f>IFERROR(IF(A7=0,A8*11,A8&amp;A8),"")</f>
        <v>11</v>
      </c>
    </row>
    <row r="9" spans="1:72" s="4" customFormat="1" ht="16.149999999999999" customHeight="1" x14ac:dyDescent="0.35">
      <c r="A9" s="8">
        <f>IFERROR(IF(D9&gt;MatchDay!$U$2,"-",VLOOKUP(A4,timetables,MatchDay!$U$4+1,FALSE)),0)</f>
        <v>2</v>
      </c>
      <c r="B9" s="10" t="str">
        <f ca="1">IFERROR(IF(OR(AK9=0,AK9="B"),"",RANK(AZ9,AZ8:AZ23,1)),"")</f>
        <v/>
      </c>
      <c r="C9" s="10" t="str">
        <f ca="1">IFERROR(IF(OR(AK9=0,AK9="A"),"",RANK(BA9,BA8:BA23,1)),"")</f>
        <v/>
      </c>
      <c r="D9" s="55">
        <v>2</v>
      </c>
      <c r="E9" s="17">
        <f t="shared" ref="E9:E23" si="2">A9</f>
        <v>2</v>
      </c>
      <c r="F9" s="319" t="str">
        <f>IFERROR(VLOOKUP($A4&amp;E9,downloads!$A$1:$E$1000,2,FALSE),"")</f>
        <v/>
      </c>
      <c r="G9" s="18" t="str">
        <f t="shared" si="0"/>
        <v>ECHT</v>
      </c>
      <c r="H9" s="497"/>
      <c r="I9" s="498"/>
      <c r="J9" s="497"/>
      <c r="K9" s="498"/>
      <c r="L9" s="497"/>
      <c r="M9" s="498"/>
      <c r="N9" s="497"/>
      <c r="O9" s="498"/>
      <c r="P9" s="497"/>
      <c r="Q9" s="498"/>
      <c r="R9" s="497"/>
      <c r="S9" s="498"/>
      <c r="T9" s="497"/>
      <c r="U9" s="498"/>
      <c r="V9" s="497"/>
      <c r="W9" s="498"/>
      <c r="X9" s="497"/>
      <c r="Y9" s="498"/>
      <c r="Z9" s="497"/>
      <c r="AA9" s="498"/>
      <c r="AB9" s="497"/>
      <c r="AC9" s="498"/>
      <c r="AD9" s="497"/>
      <c r="AE9" s="498"/>
      <c r="AF9" s="511">
        <f ca="1">IFERROR(INDIRECT(CONCATENATE("'Height Input'!"&amp;B6&amp;C6+1)),"")</f>
        <v>0</v>
      </c>
      <c r="AG9" s="512"/>
      <c r="AH9" s="48"/>
      <c r="AI9" s="48"/>
      <c r="AJ9" s="49">
        <f ca="1">IFERROR(IF(AF9="X",MatchDay!$U$2+MatchDay!$U$2+1-COUNTIF($AF8:AF9,"X"),IF(AF9&gt;=97,1,INT(INDIRECT(CONCATENATE("'Height Input'!"&amp;$B5&amp;$C6+1))))),"")</f>
        <v>0</v>
      </c>
      <c r="AK9" s="50">
        <f ca="1">IFERROR(IF(OR(AJ9=0,AJ9=""),0,IF(OR(AJ9&lt;=VLOOKUP(BT9,$E16:$AJ23,32,FALSE),VLOOKUP(BT9,$E16:$AJ23,32,FALSE)=0),"A","B")),0)</f>
        <v>0</v>
      </c>
      <c r="AL9" s="123" t="str">
        <f ca="1">IFERROR(IF(OR(AK9=0,AK9="B"),"",RANK(AW9,AW8:AW23,1)),"")</f>
        <v/>
      </c>
      <c r="AM9" s="123" t="str">
        <f ca="1">IFERROR(IF(OR(AK9=0,AK9="A"),"",RANK(AX9,AX8:AX23,1)),"")</f>
        <v/>
      </c>
      <c r="AN9" s="51">
        <f ca="1">IFERROR(IF(AF9="X",0,(INDIRECT(CONCATENATE("'Height Input'!"&amp;$B5&amp;$C6+1))-AJ9)*10),"")</f>
        <v>0</v>
      </c>
      <c r="AO9" s="8"/>
      <c r="AP9" s="9" t="str">
        <f t="shared" ref="AP9:AP23" ca="1" si="3">IF(AQ9="","",IF(AQ9=1,AR9,REPT(AR9,AQ9-1)))</f>
        <v/>
      </c>
      <c r="AQ9" s="9" t="str">
        <f ca="1">IF(AR9="","",HLOOKUP(AL9,BC7:BJ24,18,FALSE))</f>
        <v/>
      </c>
      <c r="AR9" s="45" t="str">
        <f ca="1">IF(OR(AL9=0,AL9=""),"",IF(COUNTIFS(AL8:AL23,AL9)&gt;1,"=",""))</f>
        <v/>
      </c>
      <c r="AS9" s="45"/>
      <c r="AT9" s="9" t="str">
        <f t="shared" ref="AT9:AT23" ca="1" si="4">IF(AU9="","",IF(AU9=1,AV9,REPT(AV9,AU9-1)))</f>
        <v/>
      </c>
      <c r="AU9" s="9" t="str">
        <f ca="1">IF(AV9="","",HLOOKUP(AM9,BK7:BR24,18,FALSE))</f>
        <v/>
      </c>
      <c r="AV9" s="45" t="str">
        <f ca="1">IF(OR(AM9=0,AM9=""),"",IF(COUNTIFS(AM8:AM23,AM9)&gt;1,"=",""))</f>
        <v/>
      </c>
      <c r="AW9" s="9" t="str">
        <f t="shared" ref="AW9:AW23" ca="1" si="5">IF(OR(AJ9=0,AF9=0,AK9="B"),"",AJ9)</f>
        <v/>
      </c>
      <c r="AX9" s="9" t="str">
        <f t="shared" ca="1" si="1"/>
        <v/>
      </c>
      <c r="AY9" s="47"/>
      <c r="AZ9" s="135" t="str">
        <f ca="1">IF(AW9="","",AW9+(AN9/10))</f>
        <v/>
      </c>
      <c r="BA9" s="135" t="str">
        <f t="shared" ref="BA9:BA23" ca="1" si="6">IF(AX9="","",AX9+(AN9/10))</f>
        <v/>
      </c>
      <c r="BB9" s="9"/>
      <c r="BC9" s="52" t="str">
        <f ca="1">IF(AL9="","",IF(AL9=BC7,AL9,""))</f>
        <v/>
      </c>
      <c r="BD9" s="52" t="str">
        <f ca="1">IF(AL9="","",IF(AL9=BD7,AL9,""))</f>
        <v/>
      </c>
      <c r="BE9" s="52" t="str">
        <f ca="1">IF(AL9="","",IF(AL9=BE7,AL9,""))</f>
        <v/>
      </c>
      <c r="BF9" s="52" t="str">
        <f ca="1">IF(AL9="","",IF(AL9=BF7,AL9,""))</f>
        <v/>
      </c>
      <c r="BG9" s="52" t="str">
        <f ca="1">IF(AL9="","",IF(AL9=BG7,AL9,""))</f>
        <v/>
      </c>
      <c r="BH9" s="52" t="str">
        <f ca="1">IF(AL9="","",IF(AL9=BH7,AL9,""))</f>
        <v/>
      </c>
      <c r="BI9" s="52" t="str">
        <f ca="1">IF(AL9="","",IF(AL9=BI7,AL9,""))</f>
        <v/>
      </c>
      <c r="BJ9" s="52" t="str">
        <f ca="1">IF(AL9="","",IF(AL9=BJ7,AL9,""))</f>
        <v/>
      </c>
      <c r="BK9" s="52" t="str">
        <f ca="1">IF(AM9="","",IF(AM9=BK7,AM9,""))</f>
        <v/>
      </c>
      <c r="BL9" s="52" t="str">
        <f ca="1">IF(AM9="","",IF(AM9=BL7,AM9,""))</f>
        <v/>
      </c>
      <c r="BM9" s="52" t="str">
        <f ca="1">IF(AM9="","",IF(AM9=BM7,AM9,""))</f>
        <v/>
      </c>
      <c r="BN9" s="52" t="str">
        <f ca="1">IF(AM9="","",IF(AM9=BN7,AM9,""))</f>
        <v/>
      </c>
      <c r="BO9" s="52" t="str">
        <f ca="1">IF(AM9="","",IF(AM9=BO7,AM9,""))</f>
        <v/>
      </c>
      <c r="BP9" s="52" t="str">
        <f ca="1">IF(AM9="","",IF(AM9=BP7,AM9,""))</f>
        <v/>
      </c>
      <c r="BQ9" s="52" t="str">
        <f ca="1">IF(AM9="","",IF(AM9=BQ7,AM9,""))</f>
        <v/>
      </c>
      <c r="BR9" s="52" t="str">
        <f ca="1">IF(AM9="","",IF(AM9=BR7,AM9,""))</f>
        <v/>
      </c>
      <c r="BS9" s="46"/>
      <c r="BT9" s="4">
        <f>IFERROR(IF(A7=0,A9*11,A9&amp;A9),"")</f>
        <v>22</v>
      </c>
    </row>
    <row r="10" spans="1:72" s="4" customFormat="1" ht="16.149999999999999" customHeight="1" x14ac:dyDescent="0.35">
      <c r="A10" s="8">
        <f>IFERROR(IF(D10&gt;MatchDay!$U$2,"-",VLOOKUP(A4,timetables,MatchDay!$U$4+2,FALSE)),0)</f>
        <v>6</v>
      </c>
      <c r="B10" s="10" t="str">
        <f ca="1">IFERROR(IF(OR(AK10=0,AK10="B"),"",RANK(AZ10,AZ8:AZ23,1)),"")</f>
        <v/>
      </c>
      <c r="C10" s="10" t="str">
        <f ca="1">IFERROR(IF(OR(AK10=0,AK10="A"),"",RANK(BA10,BA8:BA23,1)),"")</f>
        <v/>
      </c>
      <c r="D10" s="55">
        <v>3</v>
      </c>
      <c r="E10" s="17">
        <f t="shared" si="2"/>
        <v>6</v>
      </c>
      <c r="F10" s="319" t="str">
        <f>IFERROR(VLOOKUP($A4&amp;E10,downloads!$A$1:$E$1000,2,FALSE),"")</f>
        <v/>
      </c>
      <c r="G10" s="18" t="str">
        <f t="shared" si="0"/>
        <v>Stock</v>
      </c>
      <c r="H10" s="497"/>
      <c r="I10" s="498"/>
      <c r="J10" s="497"/>
      <c r="K10" s="498"/>
      <c r="L10" s="497"/>
      <c r="M10" s="498"/>
      <c r="N10" s="497"/>
      <c r="O10" s="498"/>
      <c r="P10" s="497"/>
      <c r="Q10" s="498"/>
      <c r="R10" s="497"/>
      <c r="S10" s="498"/>
      <c r="T10" s="497"/>
      <c r="U10" s="498"/>
      <c r="V10" s="497"/>
      <c r="W10" s="498"/>
      <c r="X10" s="497"/>
      <c r="Y10" s="498"/>
      <c r="Z10" s="497"/>
      <c r="AA10" s="498"/>
      <c r="AB10" s="497"/>
      <c r="AC10" s="498"/>
      <c r="AD10" s="497"/>
      <c r="AE10" s="498"/>
      <c r="AF10" s="511">
        <f ca="1">IFERROR(INDIRECT(CONCATENATE("'Height Input'!"&amp;B6&amp;C6+2)),"")</f>
        <v>0</v>
      </c>
      <c r="AG10" s="512"/>
      <c r="AH10" s="48"/>
      <c r="AI10" s="48"/>
      <c r="AJ10" s="49">
        <f ca="1">IFERROR(IF(AF10="X",MatchDay!$U$2+MatchDay!$U$2+1-COUNTIF($AF8:AF10,"X"),IF(AF10&gt;=97,1,INT(INDIRECT(CONCATENATE("'Height Input'!"&amp;$B5&amp;$C6+2))))),"")</f>
        <v>0</v>
      </c>
      <c r="AK10" s="50">
        <f ca="1">IFERROR(IF(OR(AJ10=0,AJ10=""),0,IF(OR(AJ10&lt;=VLOOKUP(BT10,$E16:$AJ23,32,FALSE),VLOOKUP(BT10,$E16:$AJ23,32,FALSE)=0),"A","B")),0)</f>
        <v>0</v>
      </c>
      <c r="AL10" s="123" t="str">
        <f ca="1">IFERROR(IF(OR(AK10=0,AK10="B"),"",RANK(AW10,AW8:AW23,1)),"")</f>
        <v/>
      </c>
      <c r="AM10" s="123" t="str">
        <f ca="1">IFERROR(IF(OR(AK10=0,AK10="A"),"",RANK(AX10,AX8:AX23,1)),"")</f>
        <v/>
      </c>
      <c r="AN10" s="51">
        <f ca="1">IFERROR(IF(AF10="X",0,(INDIRECT(CONCATENATE("'Height Input'!"&amp;$B5&amp;$C6+2))-AJ10)*10),"")</f>
        <v>0</v>
      </c>
      <c r="AO10" s="8"/>
      <c r="AP10" s="9" t="str">
        <f t="shared" ca="1" si="3"/>
        <v/>
      </c>
      <c r="AQ10" s="9" t="str">
        <f ca="1">IF(AR10="","",HLOOKUP(AL10,BC7:BJ24,18,FALSE))</f>
        <v/>
      </c>
      <c r="AR10" s="45" t="str">
        <f ca="1">IF(OR(AL10=0,AL10=""),"",IF(COUNTIFS(AL8:AL23,AL10)&gt;1,"=",""))</f>
        <v/>
      </c>
      <c r="AS10" s="45"/>
      <c r="AT10" s="9" t="str">
        <f t="shared" ca="1" si="4"/>
        <v/>
      </c>
      <c r="AU10" s="9" t="str">
        <f ca="1">IF(AV10="","",HLOOKUP(AM10,BK7:BR24,18,FALSE))</f>
        <v/>
      </c>
      <c r="AV10" s="45" t="str">
        <f ca="1">IF(OR(AM10=0,AM10=""),"",IF(COUNTIFS(AM8:AM23,AM10)&gt;1,"=",""))</f>
        <v/>
      </c>
      <c r="AW10" s="9" t="str">
        <f t="shared" ca="1" si="5"/>
        <v/>
      </c>
      <c r="AX10" s="9" t="str">
        <f t="shared" ca="1" si="1"/>
        <v/>
      </c>
      <c r="AY10" s="47"/>
      <c r="AZ10" s="135" t="str">
        <f ca="1">IF(AW10="","",AW10+(AN10/10))</f>
        <v/>
      </c>
      <c r="BA10" s="135" t="str">
        <f t="shared" ca="1" si="6"/>
        <v/>
      </c>
      <c r="BB10" s="9"/>
      <c r="BC10" s="52" t="str">
        <f ca="1">IF(AL10="","",IF(AL10=BC7,AL10,""))</f>
        <v/>
      </c>
      <c r="BD10" s="52" t="str">
        <f ca="1">IF(AL10="","",IF(AL10=BD7,AL10,""))</f>
        <v/>
      </c>
      <c r="BE10" s="52" t="str">
        <f ca="1">IF(AL10="","",IF(AL10=BE7,AL10,""))</f>
        <v/>
      </c>
      <c r="BF10" s="52" t="str">
        <f ca="1">IF(AL10="","",IF(AL10=BF7,AL10,""))</f>
        <v/>
      </c>
      <c r="BG10" s="52" t="str">
        <f ca="1">IF(AL10="","",IF(AL10=BG7,AL10,""))</f>
        <v/>
      </c>
      <c r="BH10" s="52" t="str">
        <f ca="1">IF(AL10="","",IF(AL10=BH7,AL10,""))</f>
        <v/>
      </c>
      <c r="BI10" s="52" t="str">
        <f ca="1">IF(AL10="","",IF(AL10=BI7,AL10,""))</f>
        <v/>
      </c>
      <c r="BJ10" s="52" t="str">
        <f ca="1">IF(AL10="","",IF(AL10=BJ7,AL10,""))</f>
        <v/>
      </c>
      <c r="BK10" s="52" t="str">
        <f ca="1">IF(AM10="","",IF(AM10=BK7,AM10,""))</f>
        <v/>
      </c>
      <c r="BL10" s="52" t="str">
        <f ca="1">IF(AM10="","",IF(AM10=BL7,AM10,""))</f>
        <v/>
      </c>
      <c r="BM10" s="52" t="str">
        <f ca="1">IF(AM10="","",IF(AM10=BM7,AM10,""))</f>
        <v/>
      </c>
      <c r="BN10" s="52" t="str">
        <f ca="1">IF(AM10="","",IF(AM10=BN7,AM10,""))</f>
        <v/>
      </c>
      <c r="BO10" s="52" t="str">
        <f ca="1">IF(AM10="","",IF(AM10=BO7,AM10,""))</f>
        <v/>
      </c>
      <c r="BP10" s="52" t="str">
        <f ca="1">IF(AM10="","",IF(AM10=BP7,AM10,""))</f>
        <v/>
      </c>
      <c r="BQ10" s="52" t="str">
        <f ca="1">IF(AM10="","",IF(AM10=BQ7,AM10,""))</f>
        <v/>
      </c>
      <c r="BR10" s="52" t="str">
        <f ca="1">IF(AM10="","",IF(AM10=BR7,AM10,""))</f>
        <v/>
      </c>
      <c r="BS10" s="46"/>
      <c r="BT10" s="4">
        <f>IFERROR(IF(A7=0,A10*11,A10&amp;A10),"")</f>
        <v>66</v>
      </c>
    </row>
    <row r="11" spans="1:72" s="4" customFormat="1" ht="16.149999999999999" customHeight="1" x14ac:dyDescent="0.35">
      <c r="A11" s="8">
        <f>IFERROR(IF(D11&gt;MatchDay!$U$2,"-",VLOOKUP(A4,timetables,MatchDay!$U$4+3,FALSE)),0)</f>
        <v>7</v>
      </c>
      <c r="B11" s="10" t="str">
        <f ca="1">IFERROR(IF(OR(AK11=0,AK11="B"),"",RANK(AZ11,AZ8:AZ23,1)),"")</f>
        <v/>
      </c>
      <c r="C11" s="10">
        <f ca="1">IFERROR(IF(OR(AK11=0,AK11="A"),"",RANK(BA11,BA8:BA23,1)),"")</f>
        <v>1</v>
      </c>
      <c r="D11" s="55">
        <v>4</v>
      </c>
      <c r="E11" s="17">
        <f t="shared" si="2"/>
        <v>7</v>
      </c>
      <c r="F11" s="319" t="str">
        <f>IFERROR(VLOOKUP($A4&amp;E11,downloads!$A$1:$E$1000,2,FALSE),"")</f>
        <v>Lauren HEWITT</v>
      </c>
      <c r="G11" s="18" t="str">
        <f t="shared" si="0"/>
        <v>Wigan</v>
      </c>
      <c r="H11" s="497"/>
      <c r="I11" s="498"/>
      <c r="J11" s="497"/>
      <c r="K11" s="498"/>
      <c r="L11" s="497"/>
      <c r="M11" s="498"/>
      <c r="N11" s="497"/>
      <c r="O11" s="498"/>
      <c r="P11" s="497"/>
      <c r="Q11" s="498"/>
      <c r="R11" s="497"/>
      <c r="S11" s="498"/>
      <c r="T11" s="497"/>
      <c r="U11" s="498"/>
      <c r="V11" s="497"/>
      <c r="W11" s="498"/>
      <c r="X11" s="497"/>
      <c r="Y11" s="498"/>
      <c r="Z11" s="497"/>
      <c r="AA11" s="498"/>
      <c r="AB11" s="497"/>
      <c r="AC11" s="498"/>
      <c r="AD11" s="497"/>
      <c r="AE11" s="498"/>
      <c r="AF11" s="511">
        <f ca="1">IFERROR(INDIRECT(CONCATENATE("'Height Input'!"&amp;B6&amp;C6+3)),"")</f>
        <v>1.45</v>
      </c>
      <c r="AG11" s="512"/>
      <c r="AH11" s="48"/>
      <c r="AI11" s="48"/>
      <c r="AJ11" s="49">
        <f ca="1">IFERROR(IF(AF11="X",MatchDay!$U$2+MatchDay!$U$2+1-COUNTIF($AF8:AF11,"X"),IF(AF11&gt;=97,1,INT(INDIRECT(CONCATENATE("'Height Input'!"&amp;$B5&amp;$C6+3))))),"")</f>
        <v>2</v>
      </c>
      <c r="AK11" s="50" t="str">
        <f ca="1">IFERROR(IF(OR(AJ11=0,AJ11=""),0,IF(OR(AJ11&lt;=VLOOKUP(BT11,$E16:$AJ23,32,FALSE),VLOOKUP(BT11,$E16:$AJ23,32,FALSE)=0),"A","B")),0)</f>
        <v>B</v>
      </c>
      <c r="AL11" s="123" t="str">
        <f ca="1">IFERROR(IF(OR(AK11=0,AK11="B"),"",RANK(AW11,AW8:AW23,1)),"")</f>
        <v/>
      </c>
      <c r="AM11" s="123">
        <f ca="1">IFERROR(IF(OR(AK11=0,AK11="A"),"",RANK(AX11,AX8:AX23,1)),"")</f>
        <v>1</v>
      </c>
      <c r="AN11" s="51">
        <f ca="1">IFERROR(IF(AF11="X",0,(INDIRECT(CONCATENATE("'Height Input'!"&amp;$B5&amp;$C6+3))-AJ11)*10),"")</f>
        <v>0</v>
      </c>
      <c r="AO11" s="8"/>
      <c r="AP11" s="9" t="str">
        <f t="shared" ca="1" si="3"/>
        <v/>
      </c>
      <c r="AQ11" s="9" t="str">
        <f ca="1">IF(AR11="","",HLOOKUP(AL11,BC7:BJ24,18,FALSE))</f>
        <v/>
      </c>
      <c r="AR11" s="45" t="str">
        <f ca="1">IF(OR(AL11=0,AL11=""),"",IF(COUNTIFS(AL8:AL23,AL11)&gt;1,"=",""))</f>
        <v/>
      </c>
      <c r="AS11" s="45"/>
      <c r="AT11" s="9" t="str">
        <f t="shared" ca="1" si="4"/>
        <v/>
      </c>
      <c r="AU11" s="9" t="str">
        <f ca="1">IF(AV11="","",HLOOKUP(AM11,BK7:BR24,18,FALSE))</f>
        <v/>
      </c>
      <c r="AV11" s="45" t="str">
        <f ca="1">IF(OR(AM11=0,AM11=""),"",IF(COUNTIFS(AM8:AM23,AM11)&gt;1,"=",""))</f>
        <v/>
      </c>
      <c r="AW11" s="9" t="str">
        <f t="shared" ca="1" si="5"/>
        <v/>
      </c>
      <c r="AX11" s="9">
        <f t="shared" ca="1" si="1"/>
        <v>2</v>
      </c>
      <c r="AY11" s="47"/>
      <c r="AZ11" s="135" t="str">
        <f t="shared" ref="AZ11:AZ23" ca="1" si="7">IF(AW11="","",AW11+(AN11/10))</f>
        <v/>
      </c>
      <c r="BA11" s="135">
        <f t="shared" ca="1" si="6"/>
        <v>2</v>
      </c>
      <c r="BB11" s="9"/>
      <c r="BC11" s="52" t="str">
        <f ca="1">IF(AL11="","",IF(AL11=BC7,AL11,""))</f>
        <v/>
      </c>
      <c r="BD11" s="52" t="str">
        <f ca="1">IF(AL11="","",IF(AL11=BD7,AL11,""))</f>
        <v/>
      </c>
      <c r="BE11" s="52" t="str">
        <f ca="1">IF(AL11="","",IF(AL11=BE7,AL11,""))</f>
        <v/>
      </c>
      <c r="BF11" s="52" t="str">
        <f ca="1">IF(AL11="","",IF(AL11=BF7,AL11,""))</f>
        <v/>
      </c>
      <c r="BG11" s="52" t="str">
        <f ca="1">IF(AL11="","",IF(AL11=BG7,AL11,""))</f>
        <v/>
      </c>
      <c r="BH11" s="52" t="str">
        <f ca="1">IF(AL11="","",IF(AL11=BH7,AL11,""))</f>
        <v/>
      </c>
      <c r="BI11" s="52" t="str">
        <f ca="1">IF(AL11="","",IF(AL11=BI7,AL11,""))</f>
        <v/>
      </c>
      <c r="BJ11" s="52" t="str">
        <f ca="1">IF(AL11="","",IF(AL11=BJ7,AL11,""))</f>
        <v/>
      </c>
      <c r="BK11" s="52">
        <f ca="1">IF(AM11="","",IF(AM11=BK7,AM11,""))</f>
        <v>1</v>
      </c>
      <c r="BL11" s="52" t="str">
        <f ca="1">IF(AM11="","",IF(AM11=BL7,AM11,""))</f>
        <v/>
      </c>
      <c r="BM11" s="52" t="str">
        <f ca="1">IF(AM11="","",IF(AM11=BM7,AM11,""))</f>
        <v/>
      </c>
      <c r="BN11" s="52" t="str">
        <f ca="1">IF(AM11="","",IF(AM11=BN7,AM11,""))</f>
        <v/>
      </c>
      <c r="BO11" s="52" t="str">
        <f ca="1">IF(AM11="","",IF(AM11=BO7,AM11,""))</f>
        <v/>
      </c>
      <c r="BP11" s="52" t="str">
        <f ca="1">IF(AM11="","",IF(AM11=BP7,AM11,""))</f>
        <v/>
      </c>
      <c r="BQ11" s="52" t="str">
        <f ca="1">IF(AM11="","",IF(AM11=BQ7,AM11,""))</f>
        <v/>
      </c>
      <c r="BR11" s="52" t="str">
        <f ca="1">IF(AM11="","",IF(AM11=BR7,AM11,""))</f>
        <v/>
      </c>
      <c r="BS11" s="46"/>
      <c r="BT11" s="4">
        <f>IFERROR(IF(A7=0,A11*11,A11&amp;A11),"")</f>
        <v>77</v>
      </c>
    </row>
    <row r="12" spans="1:72" s="4" customFormat="1" ht="16.149999999999999" customHeight="1" x14ac:dyDescent="0.35">
      <c r="A12" s="8">
        <f>IFERROR(IF(D12&gt;MatchDay!$U$2,"-",VLOOKUP(A4,timetables,MatchDay!$U$4+4,FALSE)),0)</f>
        <v>3</v>
      </c>
      <c r="B12" s="10">
        <f ca="1">IFERROR(IF(OR(AK12=0,AK12="B"),"",RANK(AZ12,AZ8:AZ23,1)),"")</f>
        <v>3</v>
      </c>
      <c r="C12" s="10" t="str">
        <f ca="1">IFERROR(IF(OR(AK12=0,AK12="A"),"",RANK(BA12,BA8:BA23,1)),"")</f>
        <v/>
      </c>
      <c r="D12" s="55">
        <v>5</v>
      </c>
      <c r="E12" s="17">
        <f t="shared" si="2"/>
        <v>3</v>
      </c>
      <c r="F12" s="319" t="str">
        <f>IFERROR(VLOOKUP($A4&amp;E12,downloads!$A$1:$E$1000,2,FALSE),"")</f>
        <v>Freya CASH</v>
      </c>
      <c r="G12" s="18" t="str">
        <f t="shared" si="0"/>
        <v>Leigh</v>
      </c>
      <c r="H12" s="497"/>
      <c r="I12" s="498"/>
      <c r="J12" s="497"/>
      <c r="K12" s="498"/>
      <c r="L12" s="497"/>
      <c r="M12" s="498"/>
      <c r="N12" s="497"/>
      <c r="O12" s="498"/>
      <c r="P12" s="497"/>
      <c r="Q12" s="498"/>
      <c r="R12" s="497"/>
      <c r="S12" s="498"/>
      <c r="T12" s="497"/>
      <c r="U12" s="498"/>
      <c r="V12" s="497"/>
      <c r="W12" s="498"/>
      <c r="X12" s="497"/>
      <c r="Y12" s="498"/>
      <c r="Z12" s="497"/>
      <c r="AA12" s="498"/>
      <c r="AB12" s="497"/>
      <c r="AC12" s="498"/>
      <c r="AD12" s="497"/>
      <c r="AE12" s="498"/>
      <c r="AF12" s="511">
        <f ca="1">IFERROR(INDIRECT(CONCATENATE("'Height Input'!"&amp;B6&amp;C6+4)),"")</f>
        <v>1.3</v>
      </c>
      <c r="AG12" s="512"/>
      <c r="AH12" s="48"/>
      <c r="AI12" s="48"/>
      <c r="AJ12" s="49">
        <f ca="1">IFERROR(IF(AF12="X",MatchDay!$U$2+MatchDay!$U$2+1-COUNTIF($AF8:AF12,"X"),IF(AF12&gt;=97,1,INT(INDIRECT(CONCATENATE("'Height Input'!"&amp;$B5&amp;$C6+4))))),"")</f>
        <v>4</v>
      </c>
      <c r="AK12" s="50" t="str">
        <f ca="1">IFERROR(IF(OR(AJ12=0,AJ12=""),0,IF(OR(AJ12&lt;=VLOOKUP(BT12,$E16:$AJ23,32,FALSE),VLOOKUP(BT12,$E16:$AJ23,32,FALSE)=0),"A","B")),0)</f>
        <v>A</v>
      </c>
      <c r="AL12" s="123">
        <f ca="1">IFERROR(IF(OR(AK12=0,AK12="B"),"",RANK(AW12,AW8:AW23,1)),"")</f>
        <v>3</v>
      </c>
      <c r="AM12" s="123" t="str">
        <f ca="1">IFERROR(IF(OR(AK12=0,AK12="A"),"",RANK(AX12,AX8:AX23,1)),"")</f>
        <v/>
      </c>
      <c r="AN12" s="51">
        <f ca="1">IFERROR(IF(AF12="X",0,(INDIRECT(CONCATENATE("'Height Input'!"&amp;$B5&amp;$C6+4))-AJ12)*10),"")</f>
        <v>0</v>
      </c>
      <c r="AO12" s="8"/>
      <c r="AP12" s="9" t="str">
        <f t="shared" ca="1" si="3"/>
        <v/>
      </c>
      <c r="AQ12" s="9" t="str">
        <f ca="1">IF(AR12="","",HLOOKUP(AL12,BC7:BJ24,18,FALSE))</f>
        <v/>
      </c>
      <c r="AR12" s="45" t="str">
        <f ca="1">IF(OR(AL12=0,AL12=""),"",IF(COUNTIFS(AL8:AL23,AL12)&gt;1,"=",""))</f>
        <v/>
      </c>
      <c r="AS12" s="45"/>
      <c r="AT12" s="9" t="str">
        <f t="shared" ca="1" si="4"/>
        <v/>
      </c>
      <c r="AU12" s="9" t="str">
        <f ca="1">IF(AV12="","",HLOOKUP(AM12,BK7:BR24,18,FALSE))</f>
        <v/>
      </c>
      <c r="AV12" s="45" t="str">
        <f ca="1">IF(OR(AM12=0,AM12=""),"",IF(COUNTIFS(AM8:AM23,AM12)&gt;1,"=",""))</f>
        <v/>
      </c>
      <c r="AW12" s="9">
        <f t="shared" ca="1" si="5"/>
        <v>4</v>
      </c>
      <c r="AX12" s="9" t="str">
        <f t="shared" ca="1" si="1"/>
        <v/>
      </c>
      <c r="AY12" s="47"/>
      <c r="AZ12" s="135">
        <f t="shared" ca="1" si="7"/>
        <v>4</v>
      </c>
      <c r="BA12" s="135" t="str">
        <f t="shared" ca="1" si="6"/>
        <v/>
      </c>
      <c r="BB12" s="9"/>
      <c r="BC12" s="52" t="str">
        <f ca="1">IF(AL12="","",IF(AL12=BC7,AL12,""))</f>
        <v/>
      </c>
      <c r="BD12" s="52" t="str">
        <f ca="1">IF(AL12="","",IF(AL12=BD7,AL12,""))</f>
        <v/>
      </c>
      <c r="BE12" s="52">
        <f ca="1">IF(AL12="","",IF(AL12=BE7,AL12,""))</f>
        <v>3</v>
      </c>
      <c r="BF12" s="52" t="str">
        <f ca="1">IF(AL12="","",IF(AL12=BF7,AL12,""))</f>
        <v/>
      </c>
      <c r="BG12" s="52" t="str">
        <f ca="1">IF(AL12="","",IF(AL12=BG7,AL12,""))</f>
        <v/>
      </c>
      <c r="BH12" s="52" t="str">
        <f ca="1">IF(AL12="","",IF(AL12=BH7,AL12,""))</f>
        <v/>
      </c>
      <c r="BI12" s="52" t="str">
        <f ca="1">IF(AL12="","",IF(AL12=BI7,AL12,""))</f>
        <v/>
      </c>
      <c r="BJ12" s="52" t="str">
        <f ca="1">IF(AL12="","",IF(AL12=BJ7,AL12,""))</f>
        <v/>
      </c>
      <c r="BK12" s="52" t="str">
        <f ca="1">IF(AM12="","",IF(AM12=BK7,AM12,""))</f>
        <v/>
      </c>
      <c r="BL12" s="52" t="str">
        <f ca="1">IF(AM12="","",IF(AM12=BL7,AM12,""))</f>
        <v/>
      </c>
      <c r="BM12" s="52" t="str">
        <f ca="1">IF(AM12="","",IF(AM12=BM7,AM12,""))</f>
        <v/>
      </c>
      <c r="BN12" s="52" t="str">
        <f ca="1">IF(AM12="","",IF(AM12=BN7,AM12,""))</f>
        <v/>
      </c>
      <c r="BO12" s="52" t="str">
        <f ca="1">IF(AM12="","",IF(AM12=BO7,AM12,""))</f>
        <v/>
      </c>
      <c r="BP12" s="52" t="str">
        <f ca="1">IF(AM12="","",IF(AM12=BP7,AM12,""))</f>
        <v/>
      </c>
      <c r="BQ12" s="52" t="str">
        <f ca="1">IF(AM12="","",IF(AM12=BQ7,AM12,""))</f>
        <v/>
      </c>
      <c r="BR12" s="52" t="str">
        <f ca="1">IF(AM12="","",IF(AM12=BR7,AM12,""))</f>
        <v/>
      </c>
      <c r="BS12" s="46"/>
      <c r="BT12" s="4">
        <f>IFERROR(IF(A7=0,A12*11,A12&amp;A12),"")</f>
        <v>33</v>
      </c>
    </row>
    <row r="13" spans="1:72" s="4" customFormat="1" ht="16.149999999999999" customHeight="1" x14ac:dyDescent="0.35">
      <c r="A13" s="8">
        <f>IFERROR(IF(D13&gt;MatchDay!$U$2,"-",VLOOKUP(A4,timetables,MatchDay!$U$4+5,FALSE)),0)</f>
        <v>4</v>
      </c>
      <c r="B13" s="10" t="str">
        <f ca="1">IFERROR(IF(OR(AK13=0,AK13="B"),"",RANK(AZ13,AZ8:AZ23,1)),"")</f>
        <v/>
      </c>
      <c r="C13" s="10" t="str">
        <f ca="1">IFERROR(IF(OR(AK13=0,AK13="A"),"",RANK(BA13,BA8:BA23,1)),"")</f>
        <v/>
      </c>
      <c r="D13" s="55">
        <v>6</v>
      </c>
      <c r="E13" s="17">
        <f t="shared" si="2"/>
        <v>4</v>
      </c>
      <c r="F13" s="319" t="str">
        <f>IFERROR(VLOOKUP($A4&amp;E13,downloads!$A$1:$E$1000,2,FALSE),"")</f>
        <v/>
      </c>
      <c r="G13" s="18" t="str">
        <f t="shared" si="0"/>
        <v>Macc</v>
      </c>
      <c r="H13" s="497"/>
      <c r="I13" s="498"/>
      <c r="J13" s="497"/>
      <c r="K13" s="498"/>
      <c r="L13" s="497"/>
      <c r="M13" s="498"/>
      <c r="N13" s="497"/>
      <c r="O13" s="498"/>
      <c r="P13" s="497"/>
      <c r="Q13" s="498"/>
      <c r="R13" s="497"/>
      <c r="S13" s="498"/>
      <c r="T13" s="497"/>
      <c r="U13" s="498"/>
      <c r="V13" s="497"/>
      <c r="W13" s="498"/>
      <c r="X13" s="497"/>
      <c r="Y13" s="498"/>
      <c r="Z13" s="497"/>
      <c r="AA13" s="498"/>
      <c r="AB13" s="497"/>
      <c r="AC13" s="498"/>
      <c r="AD13" s="497"/>
      <c r="AE13" s="498"/>
      <c r="AF13" s="511">
        <f ca="1">IFERROR(INDIRECT(CONCATENATE("'Height Input'!"&amp;B6&amp;C6+5)),"")</f>
        <v>0</v>
      </c>
      <c r="AG13" s="512"/>
      <c r="AH13" s="48"/>
      <c r="AI13" s="48"/>
      <c r="AJ13" s="49">
        <f ca="1">IFERROR(IF(AF13="X",MatchDay!$U$2+MatchDay!$U$2+1-COUNTIF($AF8:AF13,"X"),IF(AF13&gt;=97,1,INT(INDIRECT(CONCATENATE("'Height Input'!"&amp;$B5&amp;$C6+5))))),"")</f>
        <v>0</v>
      </c>
      <c r="AK13" s="50">
        <f ca="1">IFERROR(IF(OR(AJ13=0,AJ13=""),0,IF(OR(AJ13&lt;=VLOOKUP(BT13,$E16:$AJ23,32,FALSE),VLOOKUP(BT13,$E16:$AJ23,32,FALSE)=0),"A","B")),0)</f>
        <v>0</v>
      </c>
      <c r="AL13" s="123" t="str">
        <f ca="1">IFERROR(IF(OR(AK13=0,AK13="B"),"",RANK(AW13,AW8:AW23,1)),"")</f>
        <v/>
      </c>
      <c r="AM13" s="123" t="str">
        <f ca="1">IFERROR(IF(OR(AK13=0,AK13="A"),"",RANK(AX13,AX8:AX23,1)),"")</f>
        <v/>
      </c>
      <c r="AN13" s="51">
        <f ca="1">IFERROR(IF(AF13="X",0,(INDIRECT(CONCATENATE("'Height Input'!"&amp;$B5&amp;$C6+5))-AJ13)*10),"")</f>
        <v>0</v>
      </c>
      <c r="AO13" s="8"/>
      <c r="AP13" s="9" t="str">
        <f t="shared" ca="1" si="3"/>
        <v/>
      </c>
      <c r="AQ13" s="9" t="str">
        <f ca="1">IF(AR13="","",HLOOKUP(AL13,BC7:BJ24,18,FALSE))</f>
        <v/>
      </c>
      <c r="AR13" s="45" t="str">
        <f ca="1">IF(OR(AL13=0,AL13=""),"",IF(COUNTIFS(AL8:AL23,AL13)&gt;1,"=",""))</f>
        <v/>
      </c>
      <c r="AS13" s="45"/>
      <c r="AT13" s="9" t="str">
        <f t="shared" ca="1" si="4"/>
        <v/>
      </c>
      <c r="AU13" s="9" t="str">
        <f ca="1">IF(AV13="","",HLOOKUP(AM13,BK7:BR24,18,FALSE))</f>
        <v/>
      </c>
      <c r="AV13" s="45" t="str">
        <f ca="1">IF(OR(AM13=0,AM13=""),"",IF(COUNTIFS(AM8:AM23,AM13)&gt;1,"=",""))</f>
        <v/>
      </c>
      <c r="AW13" s="9" t="str">
        <f t="shared" ca="1" si="5"/>
        <v/>
      </c>
      <c r="AX13" s="9" t="str">
        <f t="shared" ca="1" si="1"/>
        <v/>
      </c>
      <c r="AY13" s="47"/>
      <c r="AZ13" s="135" t="str">
        <f t="shared" ca="1" si="7"/>
        <v/>
      </c>
      <c r="BA13" s="135" t="str">
        <f t="shared" ca="1" si="6"/>
        <v/>
      </c>
      <c r="BB13" s="9"/>
      <c r="BC13" s="52" t="str">
        <f ca="1">IF(AL13="","",IF(AL13=BC7,AL13,""))</f>
        <v/>
      </c>
      <c r="BD13" s="52" t="str">
        <f ca="1">IF(AL13="","",IF(AL13=BD7,AL13,""))</f>
        <v/>
      </c>
      <c r="BE13" s="52" t="str">
        <f ca="1">IF(AL13="","",IF(AL13=BE7,AL13,""))</f>
        <v/>
      </c>
      <c r="BF13" s="52" t="str">
        <f ca="1">IF(AL13="","",IF(AL13=BF7,AL13,""))</f>
        <v/>
      </c>
      <c r="BG13" s="52" t="str">
        <f ca="1">IF(AL13="","",IF(AL13=BG7,AL13,""))</f>
        <v/>
      </c>
      <c r="BH13" s="52" t="str">
        <f ca="1">IF(AL13="","",IF(AL13=BH7,AL13,""))</f>
        <v/>
      </c>
      <c r="BI13" s="52" t="str">
        <f ca="1">IF(AL13="","",IF(AL13=BI7,AL13,""))</f>
        <v/>
      </c>
      <c r="BJ13" s="52" t="str">
        <f ca="1">IF(AL13="","",IF(AL13=BJ7,AL13,""))</f>
        <v/>
      </c>
      <c r="BK13" s="52" t="str">
        <f ca="1">IF(AM13="","",IF(AM13=BK7,AM13,""))</f>
        <v/>
      </c>
      <c r="BL13" s="52" t="str">
        <f ca="1">IF(AM13="","",IF(AM13=BL7,AM13,""))</f>
        <v/>
      </c>
      <c r="BM13" s="52" t="str">
        <f ca="1">IF(AM13="","",IF(AM13=BM7,AM13,""))</f>
        <v/>
      </c>
      <c r="BN13" s="52" t="str">
        <f ca="1">IF(AM13="","",IF(AM13=BN7,AM13,""))</f>
        <v/>
      </c>
      <c r="BO13" s="52" t="str">
        <f ca="1">IF(AM13="","",IF(AM13=BO7,AM13,""))</f>
        <v/>
      </c>
      <c r="BP13" s="52" t="str">
        <f ca="1">IF(AM13="","",IF(AM13=BP7,AM13,""))</f>
        <v/>
      </c>
      <c r="BQ13" s="52" t="str">
        <f ca="1">IF(AM13="","",IF(AM13=BQ7,AM13,""))</f>
        <v/>
      </c>
      <c r="BR13" s="52" t="str">
        <f ca="1">IF(AM13="","",IF(AM13=BR7,AM13,""))</f>
        <v/>
      </c>
      <c r="BS13" s="46"/>
      <c r="BT13" s="4">
        <f>IFERROR(IF(A7=0,A13*11,A13&amp;A13),"")</f>
        <v>44</v>
      </c>
    </row>
    <row r="14" spans="1:72" s="4" customFormat="1" ht="16.149999999999999" customHeight="1" x14ac:dyDescent="0.35">
      <c r="A14" s="8">
        <f>IFERROR(IF(D14&gt;MatchDay!$U$2,"-",VLOOKUP(A4,timetables,MatchDay!$U$4+6,FALSE)),0)</f>
        <v>5</v>
      </c>
      <c r="B14" s="10">
        <f ca="1">IFERROR(IF(OR(AK14=0,AK14="B"),"",RANK(AZ14,AZ8:AZ23,1)),"")</f>
        <v>4</v>
      </c>
      <c r="C14" s="10" t="str">
        <f ca="1">IFERROR(IF(OR(AK14=0,AK14="A"),"",RANK(BA14,BA8:BA23,1)),"")</f>
        <v/>
      </c>
      <c r="D14" s="55">
        <v>7</v>
      </c>
      <c r="E14" s="17">
        <f t="shared" si="2"/>
        <v>5</v>
      </c>
      <c r="F14" s="319" t="str">
        <f>IFERROR(VLOOKUP($A4&amp;E14,downloads!$A$1:$E$1000,2,FALSE),"")</f>
        <v>Krista JONES</v>
      </c>
      <c r="G14" s="18" t="str">
        <f t="shared" si="0"/>
        <v>Menai</v>
      </c>
      <c r="H14" s="497"/>
      <c r="I14" s="498"/>
      <c r="J14" s="497"/>
      <c r="K14" s="498"/>
      <c r="L14" s="497"/>
      <c r="M14" s="498"/>
      <c r="N14" s="497"/>
      <c r="O14" s="498"/>
      <c r="P14" s="497"/>
      <c r="Q14" s="498"/>
      <c r="R14" s="497"/>
      <c r="S14" s="498"/>
      <c r="T14" s="497"/>
      <c r="U14" s="498"/>
      <c r="V14" s="497"/>
      <c r="W14" s="498"/>
      <c r="X14" s="497"/>
      <c r="Y14" s="498"/>
      <c r="Z14" s="497"/>
      <c r="AA14" s="498"/>
      <c r="AB14" s="497"/>
      <c r="AC14" s="498"/>
      <c r="AD14" s="497"/>
      <c r="AE14" s="498"/>
      <c r="AF14" s="511">
        <f ca="1">IFERROR(INDIRECT(CONCATENATE("'Height Input'!"&amp;B6&amp;C6+6)),"")</f>
        <v>1.1499999999999999</v>
      </c>
      <c r="AG14" s="512"/>
      <c r="AH14" s="48"/>
      <c r="AI14" s="48"/>
      <c r="AJ14" s="49">
        <f ca="1">IFERROR(IF(AF14="X",MatchDay!$U$2+MatchDay!$U$2+1-COUNTIF($AF8:AF14,"X"),IF(AF14&gt;=97,1,INT(INDIRECT(CONCATENATE("'Height Input'!"&amp;$B5&amp;$C6+6))))),"")</f>
        <v>7</v>
      </c>
      <c r="AK14" s="50" t="str">
        <f ca="1">IFERROR(IF(OR(AJ14=0,AJ14=""),0,IF(OR(AJ14&lt;=VLOOKUP(BT14,$E16:$AJ23,32,FALSE),VLOOKUP(BT14,$E16:$AJ23,32,FALSE)=0),"A","B")),0)</f>
        <v>A</v>
      </c>
      <c r="AL14" s="123">
        <f ca="1">IFERROR(IF(OR(AK14=0,AK14="B"),"",RANK(AW14,AW8:AW23,1)),"")</f>
        <v>4</v>
      </c>
      <c r="AM14" s="123" t="str">
        <f ca="1">IFERROR(IF(OR(AK14=0,AK14="A"),"",RANK(AX14,AX8:AX23,1)),"")</f>
        <v/>
      </c>
      <c r="AN14" s="51">
        <f ca="1">IFERROR(IF(AF14="X",0,(INDIRECT(CONCATENATE("'Height Input'!"&amp;$B5&amp;$C6+6))-AJ14)*10),"")</f>
        <v>0</v>
      </c>
      <c r="AO14" s="8"/>
      <c r="AP14" s="9" t="str">
        <f t="shared" ca="1" si="3"/>
        <v/>
      </c>
      <c r="AQ14" s="9" t="str">
        <f ca="1">IF(AR14="","",HLOOKUP(AL14,BC7:BJ24,18,FALSE))</f>
        <v/>
      </c>
      <c r="AR14" s="45" t="str">
        <f ca="1">IF(OR(AL14=0,AL14=""),"",IF(COUNTIFS(AL8:AL23,AL14)&gt;1,"=",""))</f>
        <v/>
      </c>
      <c r="AS14" s="45"/>
      <c r="AT14" s="9" t="str">
        <f t="shared" ca="1" si="4"/>
        <v/>
      </c>
      <c r="AU14" s="9" t="str">
        <f ca="1">IF(AV14="","",HLOOKUP(AM14,BK7:BR24,18,FALSE))</f>
        <v/>
      </c>
      <c r="AV14" s="45" t="str">
        <f ca="1">IF(OR(AM14=0,AM14=""),"",IF(COUNTIFS(AM8:AM23,AM14)&gt;1,"=",""))</f>
        <v/>
      </c>
      <c r="AW14" s="9">
        <f t="shared" ca="1" si="5"/>
        <v>7</v>
      </c>
      <c r="AX14" s="9" t="str">
        <f t="shared" ca="1" si="1"/>
        <v/>
      </c>
      <c r="AY14" s="47"/>
      <c r="AZ14" s="135">
        <f t="shared" ca="1" si="7"/>
        <v>7</v>
      </c>
      <c r="BA14" s="135" t="str">
        <f t="shared" ca="1" si="6"/>
        <v/>
      </c>
      <c r="BB14" s="9"/>
      <c r="BC14" s="52" t="str">
        <f ca="1">IF(AL14="","",IF(AL14=BC7,AL14,""))</f>
        <v/>
      </c>
      <c r="BD14" s="52" t="str">
        <f ca="1">IF(AL14="","",IF(AL14=BD7,AL14,""))</f>
        <v/>
      </c>
      <c r="BE14" s="52" t="str">
        <f ca="1">IF(AL14="","",IF(AL14=BE7,AL14,""))</f>
        <v/>
      </c>
      <c r="BF14" s="52">
        <f ca="1">IF(AL14="","",IF(AL14=BF7,AL14,""))</f>
        <v>4</v>
      </c>
      <c r="BG14" s="52" t="str">
        <f ca="1">IF(AL14="","",IF(AL14=BG7,AL14,""))</f>
        <v/>
      </c>
      <c r="BH14" s="52" t="str">
        <f ca="1">IF(AL14="","",IF(AL14=BH7,AL14,""))</f>
        <v/>
      </c>
      <c r="BI14" s="52" t="str">
        <f ca="1">IF(AL14="","",IF(AL14=BI7,AL14,""))</f>
        <v/>
      </c>
      <c r="BJ14" s="52" t="str">
        <f ca="1">IF(AL14="","",IF(AL14=BJ7,AL14,""))</f>
        <v/>
      </c>
      <c r="BK14" s="52" t="str">
        <f ca="1">IF(AM14="","",IF(AM14=BK7,AM14,""))</f>
        <v/>
      </c>
      <c r="BL14" s="52" t="str">
        <f ca="1">IF(AM14="","",IF(AM14=BL7,AM14,""))</f>
        <v/>
      </c>
      <c r="BM14" s="52" t="str">
        <f ca="1">IF(AM14="","",IF(AM14=BM7,AM14,""))</f>
        <v/>
      </c>
      <c r="BN14" s="52" t="str">
        <f ca="1">IF(AM14="","",IF(AM14=BN7,AM14,""))</f>
        <v/>
      </c>
      <c r="BO14" s="52" t="str">
        <f ca="1">IF(AM14="","",IF(AM14=BO7,AM14,""))</f>
        <v/>
      </c>
      <c r="BP14" s="52" t="str">
        <f ca="1">IF(AM14="","",IF(AM14=BP7,AM14,""))</f>
        <v/>
      </c>
      <c r="BQ14" s="52" t="str">
        <f ca="1">IF(AM14="","",IF(AM14=BQ7,AM14,""))</f>
        <v/>
      </c>
      <c r="BR14" s="52" t="str">
        <f ca="1">IF(AM14="","",IF(AM14=BR7,AM14,""))</f>
        <v/>
      </c>
      <c r="BS14" s="46"/>
      <c r="BT14" s="4">
        <f>IFERROR(IF(A7=0,A14*11,A14&amp;A14),"")</f>
        <v>55</v>
      </c>
    </row>
    <row r="15" spans="1:72" s="4" customFormat="1" ht="16.149999999999999" customHeight="1" x14ac:dyDescent="0.35">
      <c r="A15" s="8" t="str">
        <f>IFERROR(IF(D15&gt;MatchDay!$U$2,"-",VLOOKUP(A4,timetables,MatchDay!$U$4+7,FALSE)),0)</f>
        <v>-</v>
      </c>
      <c r="B15" s="10" t="str">
        <f ca="1">IFERROR(IF(OR(AK15=0,AK15="B"),"",RANK(AZ15,AZ8:AZ23,1)),"")</f>
        <v/>
      </c>
      <c r="C15" s="10" t="str">
        <f ca="1">IFERROR(IF(OR(AK15=0,AK15="A"),"",RANK(BA15,BA8:BA23,1)),"")</f>
        <v/>
      </c>
      <c r="D15" s="55">
        <v>8</v>
      </c>
      <c r="E15" s="17" t="str">
        <f t="shared" si="2"/>
        <v>-</v>
      </c>
      <c r="F15" s="319" t="str">
        <f>IFERROR(VLOOKUP($A4&amp;E15,downloads!$A$1:$E$1000,2,FALSE),"")</f>
        <v/>
      </c>
      <c r="G15" s="18" t="str">
        <f t="shared" si="0"/>
        <v/>
      </c>
      <c r="H15" s="497"/>
      <c r="I15" s="498"/>
      <c r="J15" s="497"/>
      <c r="K15" s="498"/>
      <c r="L15" s="497"/>
      <c r="M15" s="498"/>
      <c r="N15" s="497"/>
      <c r="O15" s="498"/>
      <c r="P15" s="497"/>
      <c r="Q15" s="498"/>
      <c r="R15" s="497"/>
      <c r="S15" s="498"/>
      <c r="T15" s="497"/>
      <c r="U15" s="498"/>
      <c r="V15" s="497"/>
      <c r="W15" s="498"/>
      <c r="X15" s="497"/>
      <c r="Y15" s="498"/>
      <c r="Z15" s="497"/>
      <c r="AA15" s="498"/>
      <c r="AB15" s="497"/>
      <c r="AC15" s="498"/>
      <c r="AD15" s="497"/>
      <c r="AE15" s="498"/>
      <c r="AF15" s="511">
        <f ca="1">IFERROR(INDIRECT(CONCATENATE("'Height Input'!"&amp;B6&amp;C6+7)),"")</f>
        <v>0</v>
      </c>
      <c r="AG15" s="512"/>
      <c r="AH15" s="48"/>
      <c r="AI15" s="48"/>
      <c r="AJ15" s="49">
        <f ca="1">IFERROR(IF(AF15="X",MatchDay!$U$2+MatchDay!$U$2+1-COUNTIF($AF8:AF15,"X"),IF(AF15&gt;=97,1,INT(INDIRECT(CONCATENATE("'Height Input'!"&amp;$B5&amp;$C6+7))))),"")</f>
        <v>0</v>
      </c>
      <c r="AK15" s="50">
        <f ca="1">IFERROR(IF(OR(AJ15=0,AJ15=""),0,IF(OR(AJ15&lt;=VLOOKUP(BT15,$E16:$AJ23,32,FALSE),VLOOKUP(BT15,$E16:$AJ23,32,FALSE)=0),"A","B")),0)</f>
        <v>0</v>
      </c>
      <c r="AL15" s="123" t="str">
        <f ca="1">IFERROR(IF(OR(AK15=0,AK15="B"),"",RANK(AW15,AW8:AW23,1)),"")</f>
        <v/>
      </c>
      <c r="AM15" s="123" t="str">
        <f ca="1">IFERROR(IF(OR(AK15=0,AK15="A"),"",RANK(AX15,AX8:AX23,1)),"")</f>
        <v/>
      </c>
      <c r="AN15" s="51">
        <f ca="1">IFERROR(IF(AF15="X",0,(INDIRECT(CONCATENATE("'Height Input'!"&amp;$B5&amp;$C6+7))-AJ15)*10),"")</f>
        <v>0</v>
      </c>
      <c r="AO15" s="8"/>
      <c r="AP15" s="9" t="str">
        <f t="shared" ca="1" si="3"/>
        <v/>
      </c>
      <c r="AQ15" s="9" t="str">
        <f ca="1">IF(AR15="","",HLOOKUP(AL15,BC7:BJ24,18,FALSE))</f>
        <v/>
      </c>
      <c r="AR15" s="45" t="str">
        <f ca="1">IF(OR(AL15=0,AL15=""),"",IF(COUNTIFS(AL8:AL23,AL15)&gt;1,"=",""))</f>
        <v/>
      </c>
      <c r="AS15" s="45"/>
      <c r="AT15" s="9" t="str">
        <f t="shared" ca="1" si="4"/>
        <v/>
      </c>
      <c r="AU15" s="9" t="str">
        <f ca="1">IF(AV15="","",HLOOKUP(AM15,BK7:BR24,18,FALSE))</f>
        <v/>
      </c>
      <c r="AV15" s="45" t="str">
        <f ca="1">IF(OR(AM15=0,AM15=""),"",IF(COUNTIFS(AM8:AM23,AM15)&gt;1,"=",""))</f>
        <v/>
      </c>
      <c r="AW15" s="9" t="str">
        <f t="shared" ca="1" si="5"/>
        <v/>
      </c>
      <c r="AX15" s="9" t="str">
        <f t="shared" ca="1" si="1"/>
        <v/>
      </c>
      <c r="AY15" s="47"/>
      <c r="AZ15" s="135" t="str">
        <f t="shared" ca="1" si="7"/>
        <v/>
      </c>
      <c r="BA15" s="135" t="str">
        <f t="shared" ca="1" si="6"/>
        <v/>
      </c>
      <c r="BB15" s="9"/>
      <c r="BC15" s="52" t="str">
        <f ca="1">IF(AL15="","",IF(AL15=BC7,AL15,""))</f>
        <v/>
      </c>
      <c r="BD15" s="52" t="str">
        <f ca="1">IF(AL15="","",IF(AL15=BD7,AL15,""))</f>
        <v/>
      </c>
      <c r="BE15" s="52" t="str">
        <f ca="1">IF(AL15="","",IF(AL15=BE7,AL15,""))</f>
        <v/>
      </c>
      <c r="BF15" s="52" t="str">
        <f ca="1">IF(AL15="","",IF(AL15=BF7,AL15,""))</f>
        <v/>
      </c>
      <c r="BG15" s="52" t="str">
        <f ca="1">IF(AL15="","",IF(AL15=BG7,AL15,""))</f>
        <v/>
      </c>
      <c r="BH15" s="52" t="str">
        <f ca="1">IF(AL15="","",IF(AL15=BH7,AL15,""))</f>
        <v/>
      </c>
      <c r="BI15" s="52" t="str">
        <f ca="1">IF(AL15="","",IF(AL15=BI7,AL15,""))</f>
        <v/>
      </c>
      <c r="BJ15" s="52" t="str">
        <f ca="1">IF(AL15="","",IF(AL15=BJ7,AL15,""))</f>
        <v/>
      </c>
      <c r="BK15" s="52" t="str">
        <f ca="1">IF(AM15="","",IF(AM15=BK7,AM15,""))</f>
        <v/>
      </c>
      <c r="BL15" s="52" t="str">
        <f ca="1">IF(AM15="","",IF(AM15=BL7,AM15,""))</f>
        <v/>
      </c>
      <c r="BM15" s="52" t="str">
        <f ca="1">IF(AM15="","",IF(AM15=BM7,AM15,""))</f>
        <v/>
      </c>
      <c r="BN15" s="52" t="str">
        <f ca="1">IF(AM15="","",IF(AM15=BN7,AM15,""))</f>
        <v/>
      </c>
      <c r="BO15" s="52" t="str">
        <f ca="1">IF(AM15="","",IF(AM15=BO7,AM15,""))</f>
        <v/>
      </c>
      <c r="BP15" s="52" t="str">
        <f ca="1">IF(AM15="","",IF(AM15=BP7,AM15,""))</f>
        <v/>
      </c>
      <c r="BQ15" s="52" t="str">
        <f ca="1">IF(AM15="","",IF(AM15=BQ7,AM15,""))</f>
        <v/>
      </c>
      <c r="BR15" s="52" t="str">
        <f ca="1">IF(AM15="","",IF(AM15=BR7,AM15,""))</f>
        <v/>
      </c>
      <c r="BS15" s="46"/>
      <c r="BT15" s="4" t="str">
        <f>IFERROR(IF(A7=0,A15*11,A15&amp;A15),"")</f>
        <v/>
      </c>
    </row>
    <row r="16" spans="1:72" s="4" customFormat="1" ht="16.149999999999999" customHeight="1" x14ac:dyDescent="0.35">
      <c r="A16" s="8">
        <f>IFERROR(IF(A7=0,A8*11,A8&amp;A8),"-")</f>
        <v>11</v>
      </c>
      <c r="B16" s="10" t="str">
        <f ca="1">IFERROR(IF(OR(AK16=0,AK16="B"),"",RANK(AZ16,AZ8:AZ23,1)),"")</f>
        <v/>
      </c>
      <c r="C16" s="10">
        <f ca="1">IFERROR(IF(OR(AK16=0,AK16="A"),"",RANK(BA16,BA8:BA23,1)),"")</f>
        <v>3</v>
      </c>
      <c r="D16" s="55">
        <v>9</v>
      </c>
      <c r="E16" s="17">
        <f t="shared" si="2"/>
        <v>11</v>
      </c>
      <c r="F16" s="319" t="str">
        <f>IFERROR(VLOOKUP($A4&amp;E16,downloads!$A$1:$E$1000,2,FALSE),"")</f>
        <v>Elisha CARTER</v>
      </c>
      <c r="G16" s="18" t="str">
        <f t="shared" si="0"/>
        <v>C&amp;N</v>
      </c>
      <c r="H16" s="497"/>
      <c r="I16" s="498"/>
      <c r="J16" s="497"/>
      <c r="K16" s="498"/>
      <c r="L16" s="497"/>
      <c r="M16" s="498"/>
      <c r="N16" s="497"/>
      <c r="O16" s="498"/>
      <c r="P16" s="497"/>
      <c r="Q16" s="498"/>
      <c r="R16" s="497"/>
      <c r="S16" s="498"/>
      <c r="T16" s="497"/>
      <c r="U16" s="498"/>
      <c r="V16" s="497"/>
      <c r="W16" s="498"/>
      <c r="X16" s="497"/>
      <c r="Y16" s="498"/>
      <c r="Z16" s="497"/>
      <c r="AA16" s="498"/>
      <c r="AB16" s="497"/>
      <c r="AC16" s="498"/>
      <c r="AD16" s="497"/>
      <c r="AE16" s="498"/>
      <c r="AF16" s="511">
        <f ca="1">IFERROR(INDIRECT(CONCATENATE("'Height Input'!"&amp;B6&amp;C6+8)),"")</f>
        <v>1.2</v>
      </c>
      <c r="AG16" s="512"/>
      <c r="AH16" s="48"/>
      <c r="AI16" s="48"/>
      <c r="AJ16" s="49">
        <f ca="1">IFERROR(IF(AF16="X",MatchDay!$U$2+MatchDay!$U$2+1-COUNTIF($AF8:AF16,"X"),IF(AF16&gt;=97,1,INT(INDIRECT(CONCATENATE("'Height Input'!"&amp;$B5&amp;$C6+8))))),"")</f>
        <v>6</v>
      </c>
      <c r="AK16" s="50" t="str">
        <f ca="1">IFERROR(IF(OR(AJ16=0,AJ16=""),0,IF(OR(AJ16&lt;VLOOKUP(BT16,$E8:$AJ15,32,FALSE),VLOOKUP(BT16,$E8:$AJ15,32,FALSE)=0),"A","B")),0)</f>
        <v>B</v>
      </c>
      <c r="AL16" s="123" t="str">
        <f ca="1">IFERROR(IF(OR(AK16=0,AK16="B"),"",RANK(AW16,AW8:AW23,1)),"")</f>
        <v/>
      </c>
      <c r="AM16" s="123">
        <f ca="1">IFERROR(IF(OR(AK16=0,AK16="A"),"",RANK(AX16,AX8:AX23,1)),"")</f>
        <v>3</v>
      </c>
      <c r="AN16" s="51">
        <f ca="1">IFERROR(IF(AF16="X",0,(INDIRECT(CONCATENATE("'Height Input'!"&amp;$B5&amp;$C6+8))-AJ16)*10),"")</f>
        <v>0</v>
      </c>
      <c r="AO16" s="8"/>
      <c r="AP16" s="9" t="str">
        <f t="shared" ca="1" si="3"/>
        <v/>
      </c>
      <c r="AQ16" s="9" t="str">
        <f ca="1">IF(AR16="","",HLOOKUP(AL16,BC7:BJ24,18,FALSE))</f>
        <v/>
      </c>
      <c r="AR16" s="45" t="str">
        <f ca="1">IF(OR(AL16=0,AL16=""),"",IF(COUNTIFS(AL8:AL23,AL16)&gt;1,"=",""))</f>
        <v/>
      </c>
      <c r="AS16" s="45"/>
      <c r="AT16" s="9" t="str">
        <f t="shared" ca="1" si="4"/>
        <v/>
      </c>
      <c r="AU16" s="9" t="str">
        <f ca="1">IF(AV16="","",HLOOKUP(AM16,BK7:BR24,18,FALSE))</f>
        <v/>
      </c>
      <c r="AV16" s="45" t="str">
        <f ca="1">IF(OR(AM16=0,AM16=""),"",IF(COUNTIFS(AM8:AM23,AM16)&gt;1,"=",""))</f>
        <v/>
      </c>
      <c r="AW16" s="9" t="str">
        <f t="shared" ca="1" si="5"/>
        <v/>
      </c>
      <c r="AX16" s="9">
        <f t="shared" ca="1" si="1"/>
        <v>6</v>
      </c>
      <c r="AY16" s="47"/>
      <c r="AZ16" s="135" t="str">
        <f t="shared" ca="1" si="7"/>
        <v/>
      </c>
      <c r="BA16" s="135">
        <f t="shared" ca="1" si="6"/>
        <v>6</v>
      </c>
      <c r="BB16" s="9"/>
      <c r="BC16" s="52" t="str">
        <f ca="1">IF(AL16="","",IF(AL16=BC7,AL16,""))</f>
        <v/>
      </c>
      <c r="BD16" s="52" t="str">
        <f ca="1">IF(AL16="","",IF(AL16=BD7,AL16,""))</f>
        <v/>
      </c>
      <c r="BE16" s="52" t="str">
        <f ca="1">IF(AL16="","",IF(AL16=BE7,AL16,""))</f>
        <v/>
      </c>
      <c r="BF16" s="52" t="str">
        <f ca="1">IF(AL16="","",IF(AL16=BF7,AL16,""))</f>
        <v/>
      </c>
      <c r="BG16" s="52" t="str">
        <f ca="1">IF(AL16="","",IF(AL16=BG7,AL16,""))</f>
        <v/>
      </c>
      <c r="BH16" s="52" t="str">
        <f ca="1">IF(AL16="","",IF(AL16=BH7,AL16,""))</f>
        <v/>
      </c>
      <c r="BI16" s="52" t="str">
        <f ca="1">IF(AL16="","",IF(AL16=BI7,AL16,""))</f>
        <v/>
      </c>
      <c r="BJ16" s="52" t="str">
        <f ca="1">IF(AL16="","",IF(AL16=BJ7,AL16,""))</f>
        <v/>
      </c>
      <c r="BK16" s="52" t="str">
        <f ca="1">IF(AM16="","",IF(AM16=BK7,AM16,""))</f>
        <v/>
      </c>
      <c r="BL16" s="52" t="str">
        <f ca="1">IF(AM16="","",IF(AM16=BL7,AM16,""))</f>
        <v/>
      </c>
      <c r="BM16" s="52">
        <f ca="1">IF(AM16="","",IF(AM16=BM7,AM16,""))</f>
        <v>3</v>
      </c>
      <c r="BN16" s="52" t="str">
        <f ca="1">IF(AM16="","",IF(AM16=BN7,AM16,""))</f>
        <v/>
      </c>
      <c r="BO16" s="52" t="str">
        <f ca="1">IF(AM16="","",IF(AM16=BO7,AM16,""))</f>
        <v/>
      </c>
      <c r="BP16" s="52" t="str">
        <f ca="1">IF(AM16="","",IF(AM16=BP7,AM16,""))</f>
        <v/>
      </c>
      <c r="BQ16" s="52" t="str">
        <f ca="1">IF(AM16="","",IF(AM16=BQ7,AM16,""))</f>
        <v/>
      </c>
      <c r="BR16" s="52" t="str">
        <f ca="1">IF(AM16="","",IF(AM16=BR7,AM16,""))</f>
        <v/>
      </c>
      <c r="BS16" s="46"/>
      <c r="BT16" s="4">
        <f>IFERROR(IF(A7=0,A16/11,LEFT(A16,1)),"")</f>
        <v>1</v>
      </c>
    </row>
    <row r="17" spans="1:72" s="4" customFormat="1" ht="16.149999999999999" customHeight="1" x14ac:dyDescent="0.35">
      <c r="A17" s="8">
        <f>IFERROR(IF(A7=0,A9*11,A9&amp;A9),"-")</f>
        <v>22</v>
      </c>
      <c r="B17" s="10" t="str">
        <f ca="1">IFERROR(IF(OR(AK17=0,AK17="B"),"",RANK(AZ17,AZ8:AZ23,1)),"")</f>
        <v/>
      </c>
      <c r="C17" s="10" t="str">
        <f ca="1">IFERROR(IF(OR(AK17=0,AK17="A"),"",RANK(BA17,BA8:BA23,1)),"")</f>
        <v/>
      </c>
      <c r="D17" s="55">
        <v>10</v>
      </c>
      <c r="E17" s="17">
        <f t="shared" si="2"/>
        <v>22</v>
      </c>
      <c r="F17" s="319" t="str">
        <f>IFERROR(VLOOKUP($A4&amp;E17,downloads!$A$1:$E$1000,2,FALSE),"")</f>
        <v/>
      </c>
      <c r="G17" s="18" t="str">
        <f t="shared" si="0"/>
        <v>ECHT</v>
      </c>
      <c r="H17" s="497"/>
      <c r="I17" s="498"/>
      <c r="J17" s="497"/>
      <c r="K17" s="498"/>
      <c r="L17" s="497"/>
      <c r="M17" s="498"/>
      <c r="N17" s="497"/>
      <c r="O17" s="498"/>
      <c r="P17" s="497"/>
      <c r="Q17" s="498"/>
      <c r="R17" s="497"/>
      <c r="S17" s="498"/>
      <c r="T17" s="497"/>
      <c r="U17" s="498"/>
      <c r="V17" s="497"/>
      <c r="W17" s="498"/>
      <c r="X17" s="497"/>
      <c r="Y17" s="498"/>
      <c r="Z17" s="497"/>
      <c r="AA17" s="498"/>
      <c r="AB17" s="497"/>
      <c r="AC17" s="498"/>
      <c r="AD17" s="497"/>
      <c r="AE17" s="498"/>
      <c r="AF17" s="511">
        <f ca="1">IFERROR(INDIRECT(CONCATENATE("'Height Input'!"&amp;B6&amp;C6+9)),"")</f>
        <v>0</v>
      </c>
      <c r="AG17" s="512"/>
      <c r="AH17" s="48"/>
      <c r="AI17" s="48"/>
      <c r="AJ17" s="49">
        <f ca="1">IFERROR(IF(AF17="X",MatchDay!$U$2+MatchDay!$U$2+1-COUNTIF($AF8:AF17,"X"),IF(AF17&gt;=97,1,INT(INDIRECT(CONCATENATE("'Height Input'!"&amp;$B5&amp;$C6+9))))),"")</f>
        <v>0</v>
      </c>
      <c r="AK17" s="50">
        <f ca="1">IFERROR(IF(OR(AJ17=0,AJ17=""),0,IF(OR(AJ17&lt;VLOOKUP(BT17,$E8:$AJ15,32,FALSE),VLOOKUP(BT17,$E8:$AJ15,32,FALSE)=0),"A","B")),0)</f>
        <v>0</v>
      </c>
      <c r="AL17" s="123" t="str">
        <f ca="1">IFERROR(IF(OR(AK17=0,AK17="B"),"",RANK(AW17,AW8:AW23,1)),"")</f>
        <v/>
      </c>
      <c r="AM17" s="123" t="str">
        <f ca="1">IFERROR(IF(OR(AK17=0,AK17="A"),"",RANK(AX17,AX8:AX23,1)),"")</f>
        <v/>
      </c>
      <c r="AN17" s="51">
        <f ca="1">IFERROR(IF(AF17="X",0,(INDIRECT(CONCATENATE("'Height Input'!"&amp;$B5&amp;$C6+9))-AJ17)*10),"")</f>
        <v>0</v>
      </c>
      <c r="AO17" s="8"/>
      <c r="AP17" s="9" t="str">
        <f t="shared" ca="1" si="3"/>
        <v/>
      </c>
      <c r="AQ17" s="9" t="str">
        <f ca="1">IF(AR17="","",HLOOKUP(AL17,BC7:BJ24,18,FALSE))</f>
        <v/>
      </c>
      <c r="AR17" s="45" t="str">
        <f ca="1">IF(OR(AL17=0,AL17=""),"",IF(COUNTIFS(AL8:AL23,AL17)&gt;1,"=",""))</f>
        <v/>
      </c>
      <c r="AS17" s="45"/>
      <c r="AT17" s="9" t="str">
        <f t="shared" ca="1" si="4"/>
        <v/>
      </c>
      <c r="AU17" s="9" t="str">
        <f ca="1">IF(AV17="","",HLOOKUP(AM17,BK7:BR24,18,FALSE))</f>
        <v/>
      </c>
      <c r="AV17" s="45" t="str">
        <f ca="1">IF(OR(AM17=0,AM17=""),"",IF(COUNTIFS(AM8:AM23,AM17)&gt;1,"=",""))</f>
        <v/>
      </c>
      <c r="AW17" s="9" t="str">
        <f t="shared" ca="1" si="5"/>
        <v/>
      </c>
      <c r="AX17" s="9" t="str">
        <f t="shared" ca="1" si="1"/>
        <v/>
      </c>
      <c r="AY17" s="47"/>
      <c r="AZ17" s="135" t="str">
        <f t="shared" ca="1" si="7"/>
        <v/>
      </c>
      <c r="BA17" s="135" t="str">
        <f t="shared" ca="1" si="6"/>
        <v/>
      </c>
      <c r="BB17" s="9"/>
      <c r="BC17" s="52" t="str">
        <f ca="1">IF(AL17="","",IF(AL17=BC7,AL17,""))</f>
        <v/>
      </c>
      <c r="BD17" s="52" t="str">
        <f ca="1">IF(AL17="","",IF(AL17=BD7,AL17,""))</f>
        <v/>
      </c>
      <c r="BE17" s="52" t="str">
        <f ca="1">IF(AL17="","",IF(AL17=BE7,AL17,""))</f>
        <v/>
      </c>
      <c r="BF17" s="52" t="str">
        <f ca="1">IF(AL17="","",IF(AL17=BF7,AL17,""))</f>
        <v/>
      </c>
      <c r="BG17" s="52" t="str">
        <f ca="1">IF(AL17="","",IF(AL17=BG7,AL17,""))</f>
        <v/>
      </c>
      <c r="BH17" s="52" t="str">
        <f ca="1">IF(AL17="","",IF(AL17=BH7,AL17,""))</f>
        <v/>
      </c>
      <c r="BI17" s="52" t="str">
        <f ca="1">IF(AL17="","",IF(AL17=BI7,AL17,""))</f>
        <v/>
      </c>
      <c r="BJ17" s="52" t="str">
        <f ca="1">IF(AL17="","",IF(AL17=BJ7,AL17,""))</f>
        <v/>
      </c>
      <c r="BK17" s="52" t="str">
        <f ca="1">IF(AM17="","",IF(AM17=BK7,AM17,""))</f>
        <v/>
      </c>
      <c r="BL17" s="52" t="str">
        <f ca="1">IF(AM17="","",IF(AM17=BL7,AM17,""))</f>
        <v/>
      </c>
      <c r="BM17" s="52" t="str">
        <f ca="1">IF(AM17="","",IF(AM17=BM7,AM17,""))</f>
        <v/>
      </c>
      <c r="BN17" s="52" t="str">
        <f ca="1">IF(AM17="","",IF(AM17=BN7,AM17,""))</f>
        <v/>
      </c>
      <c r="BO17" s="52" t="str">
        <f ca="1">IF(AM17="","",IF(AM17=BO7,AM17,""))</f>
        <v/>
      </c>
      <c r="BP17" s="52" t="str">
        <f ca="1">IF(AM17="","",IF(AM17=BP7,AM17,""))</f>
        <v/>
      </c>
      <c r="BQ17" s="52" t="str">
        <f ca="1">IF(AM17="","",IF(AM17=BQ7,AM17,""))</f>
        <v/>
      </c>
      <c r="BR17" s="52" t="str">
        <f ca="1">IF(AM17="","",IF(AM17=BR7,AM17,""))</f>
        <v/>
      </c>
      <c r="BS17" s="46"/>
      <c r="BT17" s="4">
        <f>IFERROR(IF(A7=0,A17/11,LEFT(A17,1)),"")</f>
        <v>2</v>
      </c>
    </row>
    <row r="18" spans="1:72" s="4" customFormat="1" ht="16.149999999999999" customHeight="1" x14ac:dyDescent="0.35">
      <c r="A18" s="8">
        <f>IFERROR(IF(A7=0,A10*11,A10&amp;A10),"-")</f>
        <v>66</v>
      </c>
      <c r="B18" s="10" t="str">
        <f ca="1">IFERROR(IF(OR(AK18=0,AK18="B"),"",RANK(AZ18,AZ8:AZ23,1)),"")</f>
        <v/>
      </c>
      <c r="C18" s="10" t="str">
        <f ca="1">IFERROR(IF(OR(AK18=0,AK18="A"),"",RANK(BA18,BA8:BA23,1)),"")</f>
        <v/>
      </c>
      <c r="D18" s="55">
        <v>11</v>
      </c>
      <c r="E18" s="17">
        <f t="shared" si="2"/>
        <v>66</v>
      </c>
      <c r="F18" s="319" t="str">
        <f>IFERROR(VLOOKUP($A4&amp;E18,downloads!$A$1:$E$1000,2,FALSE),"")</f>
        <v/>
      </c>
      <c r="G18" s="18" t="str">
        <f t="shared" si="0"/>
        <v>Stock</v>
      </c>
      <c r="H18" s="497"/>
      <c r="I18" s="498"/>
      <c r="J18" s="497"/>
      <c r="K18" s="498"/>
      <c r="L18" s="497"/>
      <c r="M18" s="498"/>
      <c r="N18" s="497"/>
      <c r="O18" s="498"/>
      <c r="P18" s="497"/>
      <c r="Q18" s="498"/>
      <c r="R18" s="497"/>
      <c r="S18" s="498"/>
      <c r="T18" s="497"/>
      <c r="U18" s="498"/>
      <c r="V18" s="497"/>
      <c r="W18" s="498"/>
      <c r="X18" s="497"/>
      <c r="Y18" s="498"/>
      <c r="Z18" s="497"/>
      <c r="AA18" s="498"/>
      <c r="AB18" s="497"/>
      <c r="AC18" s="498"/>
      <c r="AD18" s="497"/>
      <c r="AE18" s="498"/>
      <c r="AF18" s="511">
        <f ca="1">IFERROR(INDIRECT(CONCATENATE("'Height Input'!"&amp;B6&amp;C6+10)),"")</f>
        <v>0</v>
      </c>
      <c r="AG18" s="512"/>
      <c r="AH18" s="48"/>
      <c r="AI18" s="48"/>
      <c r="AJ18" s="49">
        <f ca="1">IFERROR(IF(AF18="X",MatchDay!$U$2+MatchDay!$U$2+1-COUNTIF($AF8:AF18,"X"),IF(AF18&gt;=97,1,INT(INDIRECT(CONCATENATE("'Height Input'!"&amp;$B5&amp;$C6+10))))),"")</f>
        <v>0</v>
      </c>
      <c r="AK18" s="50">
        <f ca="1">IFERROR(IF(OR(AJ18=0,AJ18=""),0,IF(OR(AJ18&lt;VLOOKUP(BT18,$E8:$AJ15,32,FALSE),VLOOKUP(BT18,$E8:$AJ15,32,FALSE)=0),"A","B")),0)</f>
        <v>0</v>
      </c>
      <c r="AL18" s="123" t="str">
        <f ca="1">IFERROR(IF(OR(AK18=0,AK18="B"),"",RANK(AW18,AW8:AW23,1)),"")</f>
        <v/>
      </c>
      <c r="AM18" s="123" t="str">
        <f ca="1">IFERROR(IF(OR(AK18=0,AK18="A"),"",RANK(AX18,AX8:AX23,1)),"")</f>
        <v/>
      </c>
      <c r="AN18" s="51">
        <f ca="1">IFERROR(IF(AF18="X",0,(INDIRECT(CONCATENATE("'Height Input'!"&amp;$B5&amp;$C6+10))-AJ18)*10),"")</f>
        <v>0</v>
      </c>
      <c r="AO18" s="8"/>
      <c r="AP18" s="9" t="str">
        <f t="shared" ca="1" si="3"/>
        <v/>
      </c>
      <c r="AQ18" s="9" t="str">
        <f ca="1">IF(AR18="","",HLOOKUP(AL18,BC7:BJ24,18,FALSE))</f>
        <v/>
      </c>
      <c r="AR18" s="45" t="str">
        <f ca="1">IF(OR(AL18=0,AL18=""),"",IF(COUNTIFS(AL8:AL23,AL18)&gt;1,"=",""))</f>
        <v/>
      </c>
      <c r="AS18" s="45"/>
      <c r="AT18" s="9" t="str">
        <f t="shared" ca="1" si="4"/>
        <v/>
      </c>
      <c r="AU18" s="9" t="str">
        <f ca="1">IF(AV18="","",HLOOKUP(AM18,BK7:BR24,18,FALSE))</f>
        <v/>
      </c>
      <c r="AV18" s="45" t="str">
        <f ca="1">IF(OR(AM18=0,AM18=""),"",IF(COUNTIFS(AM8:AM23,AM18)&gt;1,"=",""))</f>
        <v/>
      </c>
      <c r="AW18" s="9" t="str">
        <f t="shared" ca="1" si="5"/>
        <v/>
      </c>
      <c r="AX18" s="9" t="str">
        <f t="shared" ca="1" si="1"/>
        <v/>
      </c>
      <c r="AY18" s="47"/>
      <c r="AZ18" s="135" t="str">
        <f t="shared" ca="1" si="7"/>
        <v/>
      </c>
      <c r="BA18" s="135" t="str">
        <f t="shared" ca="1" si="6"/>
        <v/>
      </c>
      <c r="BB18" s="9"/>
      <c r="BC18" s="52" t="str">
        <f ca="1">IF(AL18="","",IF(AL18=BC7,AL18,""))</f>
        <v/>
      </c>
      <c r="BD18" s="52" t="str">
        <f ca="1">IF(AL18="","",IF(AL18=BD7,AL18,""))</f>
        <v/>
      </c>
      <c r="BE18" s="52" t="str">
        <f ca="1">IF(AL18="","",IF(AL18=BE7,AL18,""))</f>
        <v/>
      </c>
      <c r="BF18" s="52" t="str">
        <f ca="1">IF(AL18="","",IF(AL18=BF7,AL18,""))</f>
        <v/>
      </c>
      <c r="BG18" s="52" t="str">
        <f ca="1">IF(AL18="","",IF(AL18=BG7,AL18,""))</f>
        <v/>
      </c>
      <c r="BH18" s="52" t="str">
        <f ca="1">IF(AL18="","",IF(AL18=BH7,AL18,""))</f>
        <v/>
      </c>
      <c r="BI18" s="52" t="str">
        <f ca="1">IF(AL18="","",IF(AL18=BI7,AL18,""))</f>
        <v/>
      </c>
      <c r="BJ18" s="52" t="str">
        <f ca="1">IF(AL18="","",IF(AL18=BJ7,AL18,""))</f>
        <v/>
      </c>
      <c r="BK18" s="52" t="str">
        <f ca="1">IF(AM18="","",IF(AM18=BK7,AM18,""))</f>
        <v/>
      </c>
      <c r="BL18" s="52" t="str">
        <f ca="1">IF(AM18="","",IF(AM18=BL7,AM18,""))</f>
        <v/>
      </c>
      <c r="BM18" s="52" t="str">
        <f ca="1">IF(AM18="","",IF(AM18=BM7,AM18,""))</f>
        <v/>
      </c>
      <c r="BN18" s="52" t="str">
        <f ca="1">IF(AM18="","",IF(AM18=BN7,AM18,""))</f>
        <v/>
      </c>
      <c r="BO18" s="52" t="str">
        <f ca="1">IF(AM18="","",IF(AM18=BO7,AM18,""))</f>
        <v/>
      </c>
      <c r="BP18" s="52" t="str">
        <f ca="1">IF(AM18="","",IF(AM18=BP7,AM18,""))</f>
        <v/>
      </c>
      <c r="BQ18" s="52" t="str">
        <f ca="1">IF(AM18="","",IF(AM18=BQ7,AM18,""))</f>
        <v/>
      </c>
      <c r="BR18" s="52" t="str">
        <f ca="1">IF(AM18="","",IF(AM18=BR7,AM18,""))</f>
        <v/>
      </c>
      <c r="BS18" s="46"/>
      <c r="BT18" s="4">
        <f>IFERROR(IF(A7=0,A18/11,LEFT(A18,1)),"")</f>
        <v>6</v>
      </c>
    </row>
    <row r="19" spans="1:72" s="4" customFormat="1" ht="16.149999999999999" customHeight="1" x14ac:dyDescent="0.35">
      <c r="A19" s="8">
        <f>IFERROR(IF(A7=0,A11*11,A11&amp;A11),"-")</f>
        <v>77</v>
      </c>
      <c r="B19" s="10">
        <f ca="1">IFERROR(IF(OR(AK19=0,AK19="B"),"",RANK(AZ19,AZ8:AZ23,1)),"")</f>
        <v>1</v>
      </c>
      <c r="C19" s="10" t="str">
        <f ca="1">IFERROR(IF(OR(AK19=0,AK19="A"),"",RANK(BA19,BA8:BA23,1)),"")</f>
        <v/>
      </c>
      <c r="D19" s="55">
        <v>12</v>
      </c>
      <c r="E19" s="17">
        <f t="shared" si="2"/>
        <v>77</v>
      </c>
      <c r="F19" s="319" t="str">
        <f>IFERROR(VLOOKUP($A4&amp;E19,downloads!$A$1:$E$1000,2,FALSE),"")</f>
        <v>Kady HALL</v>
      </c>
      <c r="G19" s="18" t="str">
        <f t="shared" si="0"/>
        <v>Wigan</v>
      </c>
      <c r="H19" s="497"/>
      <c r="I19" s="498"/>
      <c r="J19" s="497"/>
      <c r="K19" s="498"/>
      <c r="L19" s="497"/>
      <c r="M19" s="498"/>
      <c r="N19" s="497"/>
      <c r="O19" s="498"/>
      <c r="P19" s="497"/>
      <c r="Q19" s="498"/>
      <c r="R19" s="497"/>
      <c r="S19" s="498"/>
      <c r="T19" s="497"/>
      <c r="U19" s="498"/>
      <c r="V19" s="497"/>
      <c r="W19" s="498"/>
      <c r="X19" s="497"/>
      <c r="Y19" s="498"/>
      <c r="Z19" s="497"/>
      <c r="AA19" s="498"/>
      <c r="AB19" s="497"/>
      <c r="AC19" s="498"/>
      <c r="AD19" s="497"/>
      <c r="AE19" s="498"/>
      <c r="AF19" s="511">
        <f ca="1">IFERROR(INDIRECT(CONCATENATE("'Height Input'!"&amp;B6&amp;C6+11)),"")</f>
        <v>1.5</v>
      </c>
      <c r="AG19" s="512"/>
      <c r="AH19" s="48"/>
      <c r="AI19" s="48"/>
      <c r="AJ19" s="49">
        <f ca="1">IFERROR(IF(AF19="X",MatchDay!$U$2+MatchDay!$U$2+1-COUNTIF($AF8:AF19,"X"),IF(AF19&gt;=97,1,INT(INDIRECT(CONCATENATE("'Height Input'!"&amp;$B5&amp;$C6+11))))),"")</f>
        <v>1</v>
      </c>
      <c r="AK19" s="50" t="str">
        <f ca="1">IFERROR(IF(OR(AJ19=0,AJ19=""),0,IF(OR(AJ19&lt;VLOOKUP(BT19,$E8:$AJ15,32,FALSE),VLOOKUP(BT19,$E8:$AJ15,32,FALSE)=0),"A","B")),0)</f>
        <v>A</v>
      </c>
      <c r="AL19" s="123">
        <f ca="1">IFERROR(IF(OR(AK19=0,AK19="B"),"",RANK(AW19,AW8:AW23,1)),"")</f>
        <v>1</v>
      </c>
      <c r="AM19" s="123" t="str">
        <f ca="1">IFERROR(IF(OR(AK19=0,AK19="A"),"",RANK(AX19,AX8:AX23,1)),"")</f>
        <v/>
      </c>
      <c r="AN19" s="51">
        <f ca="1">IFERROR(IF(AF19="X",0,(INDIRECT(CONCATENATE("'Height Input'!"&amp;$B5&amp;$C6+11))-AJ19)*10),"")</f>
        <v>0</v>
      </c>
      <c r="AO19" s="8"/>
      <c r="AP19" s="9" t="str">
        <f t="shared" ca="1" si="3"/>
        <v/>
      </c>
      <c r="AQ19" s="9" t="str">
        <f ca="1">IF(AR19="","",HLOOKUP(AL19,BC7:BJ24,18,FALSE))</f>
        <v/>
      </c>
      <c r="AR19" s="45" t="str">
        <f ca="1">IF(OR(AL19=0,AL19=""),"",IF(COUNTIFS(AL8:AL23,AL19)&gt;1,"=",""))</f>
        <v/>
      </c>
      <c r="AS19" s="45"/>
      <c r="AT19" s="9" t="str">
        <f t="shared" ca="1" si="4"/>
        <v/>
      </c>
      <c r="AU19" s="9" t="str">
        <f ca="1">IF(AV19="","",HLOOKUP(AM19,BK7:BR24,18,FALSE))</f>
        <v/>
      </c>
      <c r="AV19" s="45" t="str">
        <f ca="1">IF(OR(AM19=0,AM19=""),"",IF(COUNTIFS(AM8:AM23,AM19)&gt;1,"=",""))</f>
        <v/>
      </c>
      <c r="AW19" s="9">
        <f t="shared" ca="1" si="5"/>
        <v>1</v>
      </c>
      <c r="AX19" s="9" t="str">
        <f t="shared" ca="1" si="1"/>
        <v/>
      </c>
      <c r="AY19" s="47"/>
      <c r="AZ19" s="135">
        <f t="shared" ca="1" si="7"/>
        <v>1</v>
      </c>
      <c r="BA19" s="135" t="str">
        <f t="shared" ca="1" si="6"/>
        <v/>
      </c>
      <c r="BB19" s="9"/>
      <c r="BC19" s="52">
        <f ca="1">IF(AL19="","",IF(AL19=BC7,AL19,""))</f>
        <v>1</v>
      </c>
      <c r="BD19" s="52" t="str">
        <f ca="1">IF(AL19="","",IF(AL19=BD7,AL19,""))</f>
        <v/>
      </c>
      <c r="BE19" s="52" t="str">
        <f ca="1">IF(AL19="","",IF(AL19=BE7,AL19,""))</f>
        <v/>
      </c>
      <c r="BF19" s="52" t="str">
        <f ca="1">IF(AL19="","",IF(AL19=BF7,AL19,""))</f>
        <v/>
      </c>
      <c r="BG19" s="52" t="str">
        <f ca="1">IF(AL19="","",IF(AL19=BG7,AL19,""))</f>
        <v/>
      </c>
      <c r="BH19" s="52" t="str">
        <f ca="1">IF(AL19="","",IF(AL19=BH7,AL19,""))</f>
        <v/>
      </c>
      <c r="BI19" s="52" t="str">
        <f ca="1">IF(AL19="","",IF(AL19=BI7,AL19,""))</f>
        <v/>
      </c>
      <c r="BJ19" s="52" t="str">
        <f ca="1">IF(AL19="","",IF(AL19=BJ7,AL19,""))</f>
        <v/>
      </c>
      <c r="BK19" s="52" t="str">
        <f ca="1">IF(AM19="","",IF(AM19=BK7,AM19,""))</f>
        <v/>
      </c>
      <c r="BL19" s="52" t="str">
        <f ca="1">IF(AM19="","",IF(AM19=BL7,AM19,""))</f>
        <v/>
      </c>
      <c r="BM19" s="52" t="str">
        <f ca="1">IF(AM19="","",IF(AM19=BM7,AM19,""))</f>
        <v/>
      </c>
      <c r="BN19" s="52" t="str">
        <f ca="1">IF(AM19="","",IF(AM19=BN7,AM19,""))</f>
        <v/>
      </c>
      <c r="BO19" s="52" t="str">
        <f ca="1">IF(AM19="","",IF(AM19=BO7,AM19,""))</f>
        <v/>
      </c>
      <c r="BP19" s="52" t="str">
        <f ca="1">IF(AM19="","",IF(AM19=BP7,AM19,""))</f>
        <v/>
      </c>
      <c r="BQ19" s="52" t="str">
        <f ca="1">IF(AM19="","",IF(AM19=BQ7,AM19,""))</f>
        <v/>
      </c>
      <c r="BR19" s="52" t="str">
        <f ca="1">IF(AM19="","",IF(AM19=BR7,AM19,""))</f>
        <v/>
      </c>
      <c r="BS19" s="46"/>
      <c r="BT19" s="4">
        <f>IFERROR(IF(A7=0,A19/11,LEFT(A19,1)),"")</f>
        <v>7</v>
      </c>
    </row>
    <row r="20" spans="1:72" s="4" customFormat="1" ht="16.149999999999999" customHeight="1" x14ac:dyDescent="0.35">
      <c r="A20" s="8">
        <f>IFERROR(IF(A7=0,A12*11,A12&amp;A12),"-")</f>
        <v>33</v>
      </c>
      <c r="B20" s="10" t="str">
        <f ca="1">IFERROR(IF(OR(AK20=0,AK20="B"),"",RANK(AZ20,AZ8:AZ23,1)),"")</f>
        <v/>
      </c>
      <c r="C20" s="10">
        <f ca="1">IFERROR(IF(OR(AK20=0,AK20="A"),"",RANK(BA20,BA8:BA23,1)),"")</f>
        <v>2</v>
      </c>
      <c r="D20" s="55">
        <v>13</v>
      </c>
      <c r="E20" s="17">
        <f t="shared" si="2"/>
        <v>33</v>
      </c>
      <c r="F20" s="319" t="str">
        <f>IFERROR(VLOOKUP($A4&amp;E20,downloads!$A$1:$E$1000,2,FALSE),"")</f>
        <v>Gabriella TAYLOR</v>
      </c>
      <c r="G20" s="18" t="str">
        <f t="shared" si="0"/>
        <v>Leigh</v>
      </c>
      <c r="H20" s="497"/>
      <c r="I20" s="498"/>
      <c r="J20" s="497"/>
      <c r="K20" s="498"/>
      <c r="L20" s="497"/>
      <c r="M20" s="498"/>
      <c r="N20" s="497"/>
      <c r="O20" s="498"/>
      <c r="P20" s="497"/>
      <c r="Q20" s="498"/>
      <c r="R20" s="497"/>
      <c r="S20" s="498"/>
      <c r="T20" s="497"/>
      <c r="U20" s="498"/>
      <c r="V20" s="497"/>
      <c r="W20" s="498"/>
      <c r="X20" s="497"/>
      <c r="Y20" s="498"/>
      <c r="Z20" s="497"/>
      <c r="AA20" s="498"/>
      <c r="AB20" s="497"/>
      <c r="AC20" s="498"/>
      <c r="AD20" s="497"/>
      <c r="AE20" s="498"/>
      <c r="AF20" s="511">
        <f ca="1">IFERROR(INDIRECT(CONCATENATE("'Height Input'!"&amp;B6&amp;C6+12)),"")</f>
        <v>1.25</v>
      </c>
      <c r="AG20" s="512"/>
      <c r="AH20" s="48"/>
      <c r="AI20" s="48"/>
      <c r="AJ20" s="49">
        <f ca="1">IFERROR(IF(AF20="X",MatchDay!$U$2+MatchDay!$U$2+1-COUNTIF($AF8:AF20,"X"),IF(AF20&gt;=97,1,INT(INDIRECT(CONCATENATE("'Height Input'!"&amp;$B5&amp;$C6+12))))),"")</f>
        <v>5</v>
      </c>
      <c r="AK20" s="50" t="str">
        <f ca="1">IFERROR(IF(OR(AJ20=0,AJ20=""),0,IF(OR(AJ20&lt;VLOOKUP(BT20,$E8:$AJ15,32,FALSE),VLOOKUP(BT20,$E8:$AJ15,32,FALSE)=0),"A","B")),0)</f>
        <v>B</v>
      </c>
      <c r="AL20" s="123" t="str">
        <f ca="1">IFERROR(IF(OR(AK20=0,AK20="B"),"",RANK(AW20,AW8:AW23,1)),"")</f>
        <v/>
      </c>
      <c r="AM20" s="123">
        <f ca="1">IFERROR(IF(OR(AK20=0,AK20="A"),"",RANK(AX20,AX8:AX23,1)),"")</f>
        <v>2</v>
      </c>
      <c r="AN20" s="51">
        <f ca="1">IFERROR(IF(AF20="X",0,(INDIRECT(CONCATENATE("'Height Input'!"&amp;$B5&amp;$C6+12))-AJ20)*10),"")</f>
        <v>0</v>
      </c>
      <c r="AO20" s="8"/>
      <c r="AP20" s="9" t="str">
        <f t="shared" ca="1" si="3"/>
        <v/>
      </c>
      <c r="AQ20" s="9" t="str">
        <f ca="1">IF(AR20="","",HLOOKUP(AL20,BC7:BJ24,18,FALSE))</f>
        <v/>
      </c>
      <c r="AR20" s="45" t="str">
        <f ca="1">IF(OR(AL20=0,AL20=""),"",IF(COUNTIFS(AL8:AL23,AL20)&gt;1,"=",""))</f>
        <v/>
      </c>
      <c r="AS20" s="45"/>
      <c r="AT20" s="9" t="str">
        <f t="shared" ca="1" si="4"/>
        <v/>
      </c>
      <c r="AU20" s="9" t="str">
        <f ca="1">IF(AV20="","",HLOOKUP(AM20,BK7:BR24,18,FALSE))</f>
        <v/>
      </c>
      <c r="AV20" s="45" t="str">
        <f ca="1">IF(OR(AM20=0,AM20=""),"",IF(COUNTIFS(AM8:AM23,AM20)&gt;1,"=",""))</f>
        <v/>
      </c>
      <c r="AW20" s="9" t="str">
        <f t="shared" ca="1" si="5"/>
        <v/>
      </c>
      <c r="AX20" s="9">
        <f t="shared" ca="1" si="1"/>
        <v>5</v>
      </c>
      <c r="AY20" s="47"/>
      <c r="AZ20" s="135" t="str">
        <f t="shared" ca="1" si="7"/>
        <v/>
      </c>
      <c r="BA20" s="135">
        <f t="shared" ca="1" si="6"/>
        <v>5</v>
      </c>
      <c r="BB20" s="9"/>
      <c r="BC20" s="52" t="str">
        <f ca="1">IF(AL20="","",IF(AL20=BC7,AL20,""))</f>
        <v/>
      </c>
      <c r="BD20" s="52" t="str">
        <f ca="1">IF(AL20="","",IF(AL20=BD7,AL20,""))</f>
        <v/>
      </c>
      <c r="BE20" s="52" t="str">
        <f ca="1">IF(AL20="","",IF(AL20=BE7,AL20,""))</f>
        <v/>
      </c>
      <c r="BF20" s="52" t="str">
        <f ca="1">IF(AL20="","",IF(AL20=BF7,AL20,""))</f>
        <v/>
      </c>
      <c r="BG20" s="52" t="str">
        <f ca="1">IF(AL20="","",IF(AL20=BG7,AL20,""))</f>
        <v/>
      </c>
      <c r="BH20" s="52" t="str">
        <f ca="1">IF(AL20="","",IF(AL20=BH7,AL20,""))</f>
        <v/>
      </c>
      <c r="BI20" s="52" t="str">
        <f ca="1">IF(AL20="","",IF(AL20=BI7,AL20,""))</f>
        <v/>
      </c>
      <c r="BJ20" s="52" t="str">
        <f ca="1">IF(AL20="","",IF(AL20=BJ7,AL20,""))</f>
        <v/>
      </c>
      <c r="BK20" s="52" t="str">
        <f ca="1">IF(AM20="","",IF(AM20=BK7,AM20,""))</f>
        <v/>
      </c>
      <c r="BL20" s="52">
        <f ca="1">IF(AM20="","",IF(AM20=BL7,AM20,""))</f>
        <v>2</v>
      </c>
      <c r="BM20" s="52" t="str">
        <f ca="1">IF(AM20="","",IF(AM20=BM7,AM20,""))</f>
        <v/>
      </c>
      <c r="BN20" s="52" t="str">
        <f ca="1">IF(AM20="","",IF(AM20=BN7,AM20,""))</f>
        <v/>
      </c>
      <c r="BO20" s="52" t="str">
        <f ca="1">IF(AM20="","",IF(AM20=BO7,AM20,""))</f>
        <v/>
      </c>
      <c r="BP20" s="52" t="str">
        <f ca="1">IF(AM20="","",IF(AM20=BP7,AM20,""))</f>
        <v/>
      </c>
      <c r="BQ20" s="52" t="str">
        <f ca="1">IF(AM20="","",IF(AM20=BQ7,AM20,""))</f>
        <v/>
      </c>
      <c r="BR20" s="52" t="str">
        <f ca="1">IF(AM20="","",IF(AM20=BR7,AM20,""))</f>
        <v/>
      </c>
      <c r="BS20" s="46"/>
      <c r="BT20" s="4">
        <f>IFERROR(IF(A7=0,A20/11,LEFT(A20,1)),"")</f>
        <v>3</v>
      </c>
    </row>
    <row r="21" spans="1:72" s="4" customFormat="1" ht="16.149999999999999" customHeight="1" x14ac:dyDescent="0.35">
      <c r="A21" s="8">
        <f>IFERROR(IF(A7=0,A13*11,A13&amp;A13),"-")</f>
        <v>44</v>
      </c>
      <c r="B21" s="10" t="str">
        <f ca="1">IFERROR(IF(OR(AK21=0,AK21="B"),"",RANK(AZ21,AZ8:AZ23,1)),"")</f>
        <v/>
      </c>
      <c r="C21" s="10" t="str">
        <f ca="1">IFERROR(IF(OR(AK21=0,AK21="A"),"",RANK(BA21,BA8:BA23,1)),"")</f>
        <v/>
      </c>
      <c r="D21" s="55">
        <v>14</v>
      </c>
      <c r="E21" s="17">
        <f t="shared" si="2"/>
        <v>44</v>
      </c>
      <c r="F21" s="319" t="str">
        <f>IFERROR(VLOOKUP($A4&amp;E21,downloads!$A$1:$E$1000,2,FALSE),"")</f>
        <v/>
      </c>
      <c r="G21" s="18" t="str">
        <f t="shared" si="0"/>
        <v>Macc</v>
      </c>
      <c r="H21" s="497"/>
      <c r="I21" s="498"/>
      <c r="J21" s="497"/>
      <c r="K21" s="498"/>
      <c r="L21" s="497"/>
      <c r="M21" s="498"/>
      <c r="N21" s="497"/>
      <c r="O21" s="498"/>
      <c r="P21" s="497"/>
      <c r="Q21" s="498"/>
      <c r="R21" s="497"/>
      <c r="S21" s="498"/>
      <c r="T21" s="497"/>
      <c r="U21" s="498"/>
      <c r="V21" s="497"/>
      <c r="W21" s="498"/>
      <c r="X21" s="497"/>
      <c r="Y21" s="498"/>
      <c r="Z21" s="497"/>
      <c r="AA21" s="498"/>
      <c r="AB21" s="497"/>
      <c r="AC21" s="498"/>
      <c r="AD21" s="497"/>
      <c r="AE21" s="498"/>
      <c r="AF21" s="511">
        <f ca="1">IFERROR(INDIRECT(CONCATENATE("'Height Input'!"&amp;B6&amp;C6+13)),"")</f>
        <v>0</v>
      </c>
      <c r="AG21" s="512"/>
      <c r="AH21" s="48"/>
      <c r="AI21" s="48"/>
      <c r="AJ21" s="49">
        <f ca="1">IFERROR(IF(AF21="X",MatchDay!$U$2+MatchDay!$U$2+1-COUNTIF($AF8:AF21,"X"),IF(AF21&gt;=97,1,INT(INDIRECT(CONCATENATE("'Height Input'!"&amp;$B5&amp;$C6+13))))),"")</f>
        <v>0</v>
      </c>
      <c r="AK21" s="50">
        <f ca="1">IFERROR(IF(OR(AJ21=0,AJ21=""),0,IF(OR(AJ21&lt;VLOOKUP(BT21,$E8:$AJ15,32,FALSE),VLOOKUP(BT21,$E8:$AJ15,32,FALSE)=0),"A","B")),0)</f>
        <v>0</v>
      </c>
      <c r="AL21" s="123" t="str">
        <f ca="1">IFERROR(IF(OR(AK21=0,AK21="B"),"",RANK(AW21,AW8:AW23,1)),"")</f>
        <v/>
      </c>
      <c r="AM21" s="123" t="str">
        <f ca="1">IFERROR(IF(OR(AK21=0,AK21="A"),"",RANK(AX21,AX8:AX23,1)),"")</f>
        <v/>
      </c>
      <c r="AN21" s="51">
        <f ca="1">IFERROR(IF(AF21="X",0,(INDIRECT(CONCATENATE("'Height Input'!"&amp;$B5&amp;$C6+13))-AJ21)*10),"")</f>
        <v>0</v>
      </c>
      <c r="AO21" s="8"/>
      <c r="AP21" s="9" t="str">
        <f t="shared" ca="1" si="3"/>
        <v/>
      </c>
      <c r="AQ21" s="9" t="str">
        <f ca="1">IF(AR21="","",HLOOKUP(AL21,BC7:BJ24,18,FALSE))</f>
        <v/>
      </c>
      <c r="AR21" s="45" t="str">
        <f ca="1">IF(OR(AL21=0,AL21=""),"",IF(COUNTIFS(AL8:AL23,AL21)&gt;1,"=",""))</f>
        <v/>
      </c>
      <c r="AS21" s="45"/>
      <c r="AT21" s="9" t="str">
        <f t="shared" ca="1" si="4"/>
        <v/>
      </c>
      <c r="AU21" s="9" t="str">
        <f ca="1">IF(AV21="","",HLOOKUP(AM21,BK7:BR24,18,FALSE))</f>
        <v/>
      </c>
      <c r="AV21" s="45" t="str">
        <f ca="1">IF(OR(AM21=0,AM21=""),"",IF(COUNTIFS(AM8:AM23,AM21)&gt;1,"=",""))</f>
        <v/>
      </c>
      <c r="AW21" s="9" t="str">
        <f t="shared" ca="1" si="5"/>
        <v/>
      </c>
      <c r="AX21" s="9" t="str">
        <f t="shared" ca="1" si="1"/>
        <v/>
      </c>
      <c r="AY21" s="47"/>
      <c r="AZ21" s="135" t="str">
        <f t="shared" ca="1" si="7"/>
        <v/>
      </c>
      <c r="BA21" s="135" t="str">
        <f t="shared" ca="1" si="6"/>
        <v/>
      </c>
      <c r="BB21" s="9"/>
      <c r="BC21" s="52" t="str">
        <f ca="1">IF(AL21="","",IF(AL21=BC7,AL21,""))</f>
        <v/>
      </c>
      <c r="BD21" s="52" t="str">
        <f ca="1">IF(AL21="","",IF(AL21=BD7,AL21,""))</f>
        <v/>
      </c>
      <c r="BE21" s="52" t="str">
        <f ca="1">IF(AL21="","",IF(AL21=BE7,AL21,""))</f>
        <v/>
      </c>
      <c r="BF21" s="52" t="str">
        <f ca="1">IF(AL21="","",IF(AL21=BF7,AL21,""))</f>
        <v/>
      </c>
      <c r="BG21" s="52" t="str">
        <f ca="1">IF(AL21="","",IF(AL21=BG7,AL21,""))</f>
        <v/>
      </c>
      <c r="BH21" s="52" t="str">
        <f ca="1">IF(AL21="","",IF(AL21=BH7,AL21,""))</f>
        <v/>
      </c>
      <c r="BI21" s="52" t="str">
        <f ca="1">IF(AL21="","",IF(AL21=BI7,AL21,""))</f>
        <v/>
      </c>
      <c r="BJ21" s="52" t="str">
        <f ca="1">IF(AL21="","",IF(AL21=BJ7,AL21,""))</f>
        <v/>
      </c>
      <c r="BK21" s="52" t="str">
        <f ca="1">IF(AM21="","",IF(AM21=BK7,AM21,""))</f>
        <v/>
      </c>
      <c r="BL21" s="52" t="str">
        <f ca="1">IF(AM21="","",IF(AM21=BL7,AM21,""))</f>
        <v/>
      </c>
      <c r="BM21" s="52" t="str">
        <f ca="1">IF(AM21="","",IF(AM21=BM7,AM21,""))</f>
        <v/>
      </c>
      <c r="BN21" s="52" t="str">
        <f ca="1">IF(AM21="","",IF(AM21=BN7,AM21,""))</f>
        <v/>
      </c>
      <c r="BO21" s="52" t="str">
        <f ca="1">IF(AM21="","",IF(AM21=BO7,AM21,""))</f>
        <v/>
      </c>
      <c r="BP21" s="52" t="str">
        <f ca="1">IF(AM21="","",IF(AM21=BP7,AM21,""))</f>
        <v/>
      </c>
      <c r="BQ21" s="52" t="str">
        <f ca="1">IF(AM21="","",IF(AM21=BQ7,AM21,""))</f>
        <v/>
      </c>
      <c r="BR21" s="52" t="str">
        <f ca="1">IF(AM21="","",IF(AM21=BR7,AM21,""))</f>
        <v/>
      </c>
      <c r="BS21" s="46"/>
      <c r="BT21" s="4">
        <f>IFERROR(IF(A7=0,A21/11,LEFT(A21,1)),"")</f>
        <v>4</v>
      </c>
    </row>
    <row r="22" spans="1:72" s="4" customFormat="1" ht="16.149999999999999" customHeight="1" x14ac:dyDescent="0.35">
      <c r="A22" s="8">
        <f>IFERROR(IF(A7=0,A14*11,A14&amp;A14),"-")</f>
        <v>55</v>
      </c>
      <c r="B22" s="10" t="str">
        <f ca="1">IFERROR(IF(OR(AK22=0,AK22="B"),"",RANK(AZ22,AZ8:AZ23,1)),"")</f>
        <v/>
      </c>
      <c r="C22" s="10" t="str">
        <f ca="1">IFERROR(IF(OR(AK22=0,AK22="A"),"",RANK(BA22,BA8:BA23,1)),"")</f>
        <v/>
      </c>
      <c r="D22" s="55">
        <v>15</v>
      </c>
      <c r="E22" s="17">
        <f t="shared" si="2"/>
        <v>55</v>
      </c>
      <c r="F22" s="319" t="str">
        <f>IFERROR(VLOOKUP($A4&amp;E22,downloads!$A$1:$E$1000,2,FALSE),"")</f>
        <v/>
      </c>
      <c r="G22" s="18" t="str">
        <f t="shared" si="0"/>
        <v>Menai</v>
      </c>
      <c r="H22" s="497"/>
      <c r="I22" s="498"/>
      <c r="J22" s="497"/>
      <c r="K22" s="498"/>
      <c r="L22" s="497"/>
      <c r="M22" s="498"/>
      <c r="N22" s="497"/>
      <c r="O22" s="498"/>
      <c r="P22" s="497"/>
      <c r="Q22" s="498"/>
      <c r="R22" s="497"/>
      <c r="S22" s="498"/>
      <c r="T22" s="497"/>
      <c r="U22" s="498"/>
      <c r="V22" s="497"/>
      <c r="W22" s="498"/>
      <c r="X22" s="497"/>
      <c r="Y22" s="498"/>
      <c r="Z22" s="497"/>
      <c r="AA22" s="498"/>
      <c r="AB22" s="497"/>
      <c r="AC22" s="498"/>
      <c r="AD22" s="497"/>
      <c r="AE22" s="498"/>
      <c r="AF22" s="511">
        <f ca="1">IFERROR(INDIRECT(CONCATENATE("'Height Input'!"&amp;B6&amp;C6+14)),"")</f>
        <v>0</v>
      </c>
      <c r="AG22" s="512"/>
      <c r="AH22" s="48"/>
      <c r="AI22" s="48"/>
      <c r="AJ22" s="49">
        <f ca="1">IFERROR(IF(AF22="X",MatchDay!$U$2+MatchDay!$U$2+1-COUNTIF($AF8:AF22,"X"),IF(AF22&gt;=97,1,INT(INDIRECT(CONCATENATE("'Height Input'!"&amp;$B5&amp;$C6+14))))),"")</f>
        <v>0</v>
      </c>
      <c r="AK22" s="50">
        <f ca="1">IFERROR(IF(OR(AJ22=0,AJ22=""),0,IF(OR(AJ22&lt;VLOOKUP(BT22,$E8:$AJ15,32,FALSE),VLOOKUP(BT22,$E8:$AJ15,32,FALSE)=0),"A","B")),0)</f>
        <v>0</v>
      </c>
      <c r="AL22" s="123" t="str">
        <f ca="1">IFERROR(IF(OR(AK22=0,AK22="B"),"",RANK(AW22,AW8:AW23,1)),"")</f>
        <v/>
      </c>
      <c r="AM22" s="123" t="str">
        <f ca="1">IFERROR(IF(OR(AK22=0,AK22="A"),"",RANK(AX22,AX8:AX23,1)),"")</f>
        <v/>
      </c>
      <c r="AN22" s="51">
        <f ca="1">IFERROR(IF(AF22="X",0,(INDIRECT(CONCATENATE("'Height Input'!"&amp;$B5&amp;$C6+14))-AJ22)*10),"")</f>
        <v>0</v>
      </c>
      <c r="AO22" s="8"/>
      <c r="AP22" s="9" t="str">
        <f t="shared" ca="1" si="3"/>
        <v/>
      </c>
      <c r="AQ22" s="9" t="str">
        <f ca="1">IF(AR22="","",HLOOKUP(AL22,BC7:BJ24,18,FALSE))</f>
        <v/>
      </c>
      <c r="AR22" s="45" t="str">
        <f ca="1">IF(OR(AL22=0,AL22=""),"",IF(COUNTIFS(AL8:AL23,AL22)&gt;1,"=",""))</f>
        <v/>
      </c>
      <c r="AS22" s="45"/>
      <c r="AT22" s="9" t="str">
        <f t="shared" ca="1" si="4"/>
        <v/>
      </c>
      <c r="AU22" s="9" t="str">
        <f ca="1">IF(AV22="","",HLOOKUP(AM22,BK7:BR24,18,FALSE))</f>
        <v/>
      </c>
      <c r="AV22" s="45" t="str">
        <f ca="1">IF(OR(AM22=0,AM22=""),"",IF(COUNTIFS(AM8:AM23,AM22)&gt;1,"=",""))</f>
        <v/>
      </c>
      <c r="AW22" s="9" t="str">
        <f t="shared" ca="1" si="5"/>
        <v/>
      </c>
      <c r="AX22" s="9" t="str">
        <f t="shared" ca="1" si="1"/>
        <v/>
      </c>
      <c r="AY22" s="47"/>
      <c r="AZ22" s="135" t="str">
        <f t="shared" ca="1" si="7"/>
        <v/>
      </c>
      <c r="BA22" s="135" t="str">
        <f t="shared" ca="1" si="6"/>
        <v/>
      </c>
      <c r="BB22" s="9"/>
      <c r="BC22" s="52" t="str">
        <f ca="1">IF(AL22="","",IF(AL22=BC7,AL22,""))</f>
        <v/>
      </c>
      <c r="BD22" s="52" t="str">
        <f ca="1">IF(AL22="","",IF(AL22=BD7,AL22,""))</f>
        <v/>
      </c>
      <c r="BE22" s="52" t="str">
        <f ca="1">IF(AL22="","",IF(AL22=BE7,AL22,""))</f>
        <v/>
      </c>
      <c r="BF22" s="52" t="str">
        <f ca="1">IF(AL22="","",IF(AL22=BF7,AL22,""))</f>
        <v/>
      </c>
      <c r="BG22" s="52" t="str">
        <f ca="1">IF(AL22="","",IF(AL22=BG7,AL22,""))</f>
        <v/>
      </c>
      <c r="BH22" s="52" t="str">
        <f ca="1">IF(AL22="","",IF(AL22=BH7,AL22,""))</f>
        <v/>
      </c>
      <c r="BI22" s="52" t="str">
        <f ca="1">IF(AL22="","",IF(AL22=BI7,AL22,""))</f>
        <v/>
      </c>
      <c r="BJ22" s="52" t="str">
        <f ca="1">IF(AL22="","",IF(AL22=BJ7,AL22,""))</f>
        <v/>
      </c>
      <c r="BK22" s="52" t="str">
        <f ca="1">IF(AM22="","",IF(AM22=BK7,AM22,""))</f>
        <v/>
      </c>
      <c r="BL22" s="52" t="str">
        <f ca="1">IF(AM22="","",IF(AM22=BL7,AM22,""))</f>
        <v/>
      </c>
      <c r="BM22" s="52" t="str">
        <f ca="1">IF(AM22="","",IF(AM22=BM7,AM22,""))</f>
        <v/>
      </c>
      <c r="BN22" s="52" t="str">
        <f ca="1">IF(AM22="","",IF(AM22=BN7,AM22,""))</f>
        <v/>
      </c>
      <c r="BO22" s="52" t="str">
        <f ca="1">IF(AM22="","",IF(AM22=BO7,AM22,""))</f>
        <v/>
      </c>
      <c r="BP22" s="52" t="str">
        <f ca="1">IF(AM22="","",IF(AM22=BP7,AM22,""))</f>
        <v/>
      </c>
      <c r="BQ22" s="52" t="str">
        <f ca="1">IF(AM22="","",IF(AM22=BQ7,AM22,""))</f>
        <v/>
      </c>
      <c r="BR22" s="52" t="str">
        <f ca="1">IF(AM22="","",IF(AM22=BR7,AM22,""))</f>
        <v/>
      </c>
      <c r="BS22" s="46"/>
      <c r="BT22" s="4">
        <f>IFERROR(IF(A7=0,A22/11,LEFT(A22,1)),"")</f>
        <v>5</v>
      </c>
    </row>
    <row r="23" spans="1:72" s="4" customFormat="1" ht="16.149999999999999" customHeight="1" x14ac:dyDescent="0.35">
      <c r="A23" s="8" t="str">
        <f>IFERROR(IF(A7=0,A15*11,A15&amp;A15),"-")</f>
        <v>-</v>
      </c>
      <c r="B23" s="10" t="str">
        <f ca="1">IFERROR(IF(OR(AK23=0,AK23="B"),"",RANK(AZ23,AZ8:AZ23,1)),"")</f>
        <v/>
      </c>
      <c r="C23" s="10" t="str">
        <f ca="1">IFERROR(IF(OR(AK23=0,AK23="A"),"",RANK(BA23,BA8:BA23,1)),"")</f>
        <v/>
      </c>
      <c r="D23" s="55">
        <v>16</v>
      </c>
      <c r="E23" s="17" t="str">
        <f t="shared" si="2"/>
        <v>-</v>
      </c>
      <c r="F23" s="319" t="str">
        <f>IFERROR(VLOOKUP($A4&amp;E23,downloads!$A$1:$E$1000,2,FALSE),"")</f>
        <v/>
      </c>
      <c r="G23" s="18" t="str">
        <f t="shared" si="0"/>
        <v/>
      </c>
      <c r="H23" s="497"/>
      <c r="I23" s="498"/>
      <c r="J23" s="497"/>
      <c r="K23" s="498"/>
      <c r="L23" s="497"/>
      <c r="M23" s="498"/>
      <c r="N23" s="497"/>
      <c r="O23" s="498"/>
      <c r="P23" s="497"/>
      <c r="Q23" s="498"/>
      <c r="R23" s="497"/>
      <c r="S23" s="498"/>
      <c r="T23" s="497"/>
      <c r="U23" s="498"/>
      <c r="V23" s="497"/>
      <c r="W23" s="498"/>
      <c r="X23" s="497"/>
      <c r="Y23" s="498"/>
      <c r="Z23" s="497"/>
      <c r="AA23" s="498"/>
      <c r="AB23" s="497"/>
      <c r="AC23" s="498"/>
      <c r="AD23" s="497"/>
      <c r="AE23" s="498"/>
      <c r="AF23" s="511">
        <f ca="1">IFERROR(INDIRECT(CONCATENATE("'Height Input'!"&amp;B6&amp;C6+15)),"")</f>
        <v>0</v>
      </c>
      <c r="AG23" s="512"/>
      <c r="AH23" s="48"/>
      <c r="AI23" s="48"/>
      <c r="AJ23" s="49">
        <f ca="1">IFERROR(IF(AF23="X",MatchDay!$U$2+MatchDay!$U$2+1-COUNTIF($AF8:AF23,"X"),IF(AF23&gt;=97,1,INT(INDIRECT(CONCATENATE("'Height Input'!"&amp;$B5&amp;$C6+15))))),"")</f>
        <v>0</v>
      </c>
      <c r="AK23" s="50">
        <f ca="1">IFERROR(IF(OR(AJ23=0,AJ23=""),0,IF(OR(AJ23&lt;VLOOKUP(BT23,$E8:$AJ15,32,FALSE),VLOOKUP(BT23,$E8:$AJ15,32,FALSE)=0),"A","B")),0)</f>
        <v>0</v>
      </c>
      <c r="AL23" s="123" t="str">
        <f ca="1">IFERROR(IF(OR(AK23=0,AK23="B"),"",RANK(AW23,AW8:AW23,1)),"")</f>
        <v/>
      </c>
      <c r="AM23" s="123" t="str">
        <f ca="1">IFERROR(IF(OR(AK23=0,AK23="A"),"",RANK(AX23,AX8:AX23,1)),"")</f>
        <v/>
      </c>
      <c r="AN23" s="51">
        <f ca="1">IFERROR(IF(AF23="X",0,(INDIRECT(CONCATENATE("'Height Input'!"&amp;$B5&amp;$C6+15))-AJ23)*10),"")</f>
        <v>0</v>
      </c>
      <c r="AO23" s="8"/>
      <c r="AP23" s="9" t="str">
        <f t="shared" ca="1" si="3"/>
        <v/>
      </c>
      <c r="AQ23" s="9" t="str">
        <f ca="1">IF(AR23="","",HLOOKUP(AL23,BC7:BJ24,18,FALSE))</f>
        <v/>
      </c>
      <c r="AR23" s="45" t="str">
        <f ca="1">IF(OR(AL23=0,AL23=""),"",IF(COUNTIFS(AL8:AL23,AL23)&gt;1,"=",""))</f>
        <v/>
      </c>
      <c r="AS23" s="45"/>
      <c r="AT23" s="9" t="str">
        <f t="shared" ca="1" si="4"/>
        <v/>
      </c>
      <c r="AU23" s="9" t="str">
        <f ca="1">IF(AV23="","",HLOOKUP(AM23,BK7:BR24,18,FALSE))</f>
        <v/>
      </c>
      <c r="AV23" s="45" t="str">
        <f ca="1">IF(OR(AM23=0,AM23=""),"",IF(COUNTIFS(AM8:AM23,AM23)&gt;1,"=",""))</f>
        <v/>
      </c>
      <c r="AW23" s="9" t="str">
        <f t="shared" ca="1" si="5"/>
        <v/>
      </c>
      <c r="AX23" s="9" t="str">
        <f t="shared" ca="1" si="1"/>
        <v/>
      </c>
      <c r="AY23" s="47"/>
      <c r="AZ23" s="135" t="str">
        <f t="shared" ca="1" si="7"/>
        <v/>
      </c>
      <c r="BA23" s="135" t="str">
        <f t="shared" ca="1" si="6"/>
        <v/>
      </c>
      <c r="BB23" s="9"/>
      <c r="BC23" s="52" t="str">
        <f ca="1">IF(AL23="","",IF(AL23=BC7,AL23,""))</f>
        <v/>
      </c>
      <c r="BD23" s="52" t="str">
        <f ca="1">IF(AL23="","",IF(AL23=BD7,AL23,""))</f>
        <v/>
      </c>
      <c r="BE23" s="52" t="str">
        <f ca="1">IF(AL23="","",IF(AL23=BE7,AL23,""))</f>
        <v/>
      </c>
      <c r="BF23" s="52" t="str">
        <f ca="1">IF(AL23="","",IF(AL23=BF7,AL23,""))</f>
        <v/>
      </c>
      <c r="BG23" s="52" t="str">
        <f ca="1">IF(AL23="","",IF(AL23=BG7,AL23,""))</f>
        <v/>
      </c>
      <c r="BH23" s="52" t="str">
        <f ca="1">IF(AL23="","",IF(AL23=BH7,AL23,""))</f>
        <v/>
      </c>
      <c r="BI23" s="52" t="str">
        <f ca="1">IF(AL23="","",IF(AL23=BI7,AL23,""))</f>
        <v/>
      </c>
      <c r="BJ23" s="52" t="str">
        <f ca="1">IF(AL23="","",IF(AL23=BJ7,AL23,""))</f>
        <v/>
      </c>
      <c r="BK23" s="52" t="str">
        <f ca="1">IF(AM23="","",IF(AM23=BK7,AM23,""))</f>
        <v/>
      </c>
      <c r="BL23" s="52" t="str">
        <f ca="1">IF(AM23="","",IF(AM23=BL7,AM23,""))</f>
        <v/>
      </c>
      <c r="BM23" s="52" t="str">
        <f ca="1">IF(AM23="","",IF(AM23=BM7,AM23,""))</f>
        <v/>
      </c>
      <c r="BN23" s="52" t="str">
        <f ca="1">IF(AM23="","",IF(AM23=BN7,AM23,""))</f>
        <v/>
      </c>
      <c r="BO23" s="52" t="str">
        <f ca="1">IF(AM23="","",IF(AM23=BO7,AM23,""))</f>
        <v/>
      </c>
      <c r="BP23" s="52" t="str">
        <f ca="1">IF(AM23="","",IF(AM23=BP7,AM23,""))</f>
        <v/>
      </c>
      <c r="BQ23" s="52" t="str">
        <f ca="1">IF(AM23="","",IF(AM23=BQ7,AM23,""))</f>
        <v/>
      </c>
      <c r="BR23" s="52" t="str">
        <f ca="1">IF(AM23="","",IF(AM23=BR7,AM23,""))</f>
        <v/>
      </c>
      <c r="BS23" s="46"/>
      <c r="BT23" s="4" t="str">
        <f>IFERROR(IF(A7=0,A23/11,LEFT(A23,1)),"")</f>
        <v/>
      </c>
    </row>
    <row r="24" spans="1:72" s="4" customFormat="1" ht="13.5" x14ac:dyDescent="0.3">
      <c r="A24" s="8"/>
      <c r="B24" s="1"/>
      <c r="C24" s="1"/>
      <c r="AL24" s="124"/>
      <c r="AM24" s="124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137"/>
      <c r="BA24" s="137"/>
      <c r="BB24" s="47"/>
      <c r="BC24" s="9">
        <f ca="1">COUNTIF(BC8:BC23,BC7)</f>
        <v>1</v>
      </c>
      <c r="BD24" s="9">
        <f t="shared" ref="BD24:BR24" ca="1" si="8">COUNTIF(BD8:BD23,BD7)</f>
        <v>1</v>
      </c>
      <c r="BE24" s="9">
        <f t="shared" ca="1" si="8"/>
        <v>1</v>
      </c>
      <c r="BF24" s="9">
        <f t="shared" ca="1" si="8"/>
        <v>1</v>
      </c>
      <c r="BG24" s="9">
        <f t="shared" ca="1" si="8"/>
        <v>0</v>
      </c>
      <c r="BH24" s="9">
        <f t="shared" ca="1" si="8"/>
        <v>0</v>
      </c>
      <c r="BI24" s="9">
        <f t="shared" ca="1" si="8"/>
        <v>0</v>
      </c>
      <c r="BJ24" s="9">
        <f t="shared" ca="1" si="8"/>
        <v>0</v>
      </c>
      <c r="BK24" s="9">
        <f t="shared" ca="1" si="8"/>
        <v>1</v>
      </c>
      <c r="BL24" s="9">
        <f t="shared" ca="1" si="8"/>
        <v>1</v>
      </c>
      <c r="BM24" s="9">
        <f t="shared" ca="1" si="8"/>
        <v>1</v>
      </c>
      <c r="BN24" s="9">
        <f t="shared" ca="1" si="8"/>
        <v>0</v>
      </c>
      <c r="BO24" s="9">
        <f t="shared" ca="1" si="8"/>
        <v>0</v>
      </c>
      <c r="BP24" s="9">
        <f t="shared" ca="1" si="8"/>
        <v>0</v>
      </c>
      <c r="BQ24" s="9">
        <f t="shared" ca="1" si="8"/>
        <v>0</v>
      </c>
      <c r="BR24" s="9">
        <f t="shared" ca="1" si="8"/>
        <v>0</v>
      </c>
    </row>
    <row r="25" spans="1:72" s="4" customFormat="1" x14ac:dyDescent="0.25">
      <c r="A25" s="8"/>
      <c r="B25" s="1"/>
      <c r="C25" s="1"/>
      <c r="D25" s="466" t="s">
        <v>139</v>
      </c>
      <c r="E25" s="507"/>
      <c r="F25" s="507"/>
      <c r="G25" s="507"/>
      <c r="H25" s="507"/>
      <c r="I25" s="508"/>
      <c r="J25" s="466" t="s">
        <v>140</v>
      </c>
      <c r="K25" s="507"/>
      <c r="L25" s="507"/>
      <c r="M25" s="507"/>
      <c r="N25" s="507"/>
      <c r="O25" s="507"/>
      <c r="P25" s="507"/>
      <c r="Q25" s="507"/>
      <c r="R25" s="507"/>
      <c r="S25" s="507"/>
      <c r="T25" s="507"/>
      <c r="U25" s="507"/>
      <c r="V25" s="507"/>
      <c r="W25" s="507"/>
      <c r="X25" s="507"/>
      <c r="Y25" s="507"/>
      <c r="Z25" s="507"/>
      <c r="AA25" s="508"/>
      <c r="AB25" s="466" t="s">
        <v>1134</v>
      </c>
      <c r="AC25" s="507"/>
      <c r="AD25" s="507"/>
      <c r="AE25" s="507"/>
      <c r="AF25" s="507"/>
      <c r="AG25" s="507"/>
      <c r="AH25" s="507"/>
      <c r="AI25" s="507"/>
      <c r="AJ25" s="507"/>
      <c r="AK25" s="507"/>
      <c r="AL25" s="507"/>
      <c r="AM25" s="50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136"/>
      <c r="BA25" s="136"/>
      <c r="BB25" s="8"/>
      <c r="BC25" s="8"/>
      <c r="BD25" s="8"/>
      <c r="BE25" s="8"/>
    </row>
    <row r="26" spans="1:72" s="4" customFormat="1" x14ac:dyDescent="0.25">
      <c r="A26" s="8" t="s">
        <v>55</v>
      </c>
      <c r="B26" s="1"/>
      <c r="C26" s="1"/>
      <c r="D26" s="12" t="s">
        <v>177</v>
      </c>
      <c r="E26" s="55" t="s">
        <v>141</v>
      </c>
      <c r="F26" s="55" t="s">
        <v>124</v>
      </c>
      <c r="G26" s="55" t="s">
        <v>125</v>
      </c>
      <c r="H26" s="513" t="s">
        <v>270</v>
      </c>
      <c r="I26" s="514"/>
      <c r="J26" s="466" t="s">
        <v>177</v>
      </c>
      <c r="K26" s="468"/>
      <c r="L26" s="466" t="s">
        <v>141</v>
      </c>
      <c r="M26" s="508"/>
      <c r="N26" s="469" t="s">
        <v>124</v>
      </c>
      <c r="O26" s="540"/>
      <c r="P26" s="540"/>
      <c r="Q26" s="540"/>
      <c r="R26" s="540"/>
      <c r="S26" s="540"/>
      <c r="T26" s="469" t="s">
        <v>125</v>
      </c>
      <c r="U26" s="540"/>
      <c r="V26" s="540"/>
      <c r="W26" s="540"/>
      <c r="X26" s="540"/>
      <c r="Y26" s="540"/>
      <c r="Z26" s="513" t="s">
        <v>270</v>
      </c>
      <c r="AA26" s="514"/>
      <c r="AB26" s="116"/>
      <c r="AC26" s="117"/>
      <c r="AD26" s="117"/>
      <c r="AE26" s="117"/>
      <c r="AF26" s="117"/>
      <c r="AG26" s="117"/>
      <c r="AH26" s="25"/>
      <c r="AI26" s="25"/>
      <c r="AJ26" s="25"/>
      <c r="AK26" s="25"/>
      <c r="AL26" s="125"/>
      <c r="AM26" s="126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136"/>
      <c r="BA26" s="136"/>
      <c r="BB26" s="8"/>
      <c r="BC26" s="8"/>
      <c r="BD26" s="8"/>
      <c r="BE26" s="8"/>
    </row>
    <row r="27" spans="1:72" s="4" customFormat="1" ht="16.149999999999999" customHeight="1" x14ac:dyDescent="0.25">
      <c r="A27" s="11">
        <f>IFERROR(VLOOKUP(A4,standards,3,FALSE),"-")</f>
        <v>1.1499999999999999</v>
      </c>
      <c r="B27" s="1"/>
      <c r="C27" s="10">
        <v>1</v>
      </c>
      <c r="D27" s="19">
        <f ca="1">IFERROR(IF(VLOOKUP(C27,B8:AP23,41,FALSE)="",VLOOKUP(C27,B8:AP23,37,FALSE),VLOOKUP(C27,B8:AP23,37,FALSE)&amp;VLOOKUP(C27,B8:AP23,41,FALSE)),"")</f>
        <v>1</v>
      </c>
      <c r="E27" s="19">
        <f ca="1">IFERROR(IF(OR(AF8=98,AF8=99),AF8,IF(VLOOKUP(C27,B8:AG23,31,FALSE)=0,0,VLOOKUP(C27,B8:AG23,4,FALSE))),0)</f>
        <v>77</v>
      </c>
      <c r="F27" s="27" t="str">
        <f ca="1">IFERROR(VLOOKUP(E27,$E8:$F23,2,FALSE),"")</f>
        <v>Kady HALL</v>
      </c>
      <c r="G27" s="27" t="str">
        <f t="shared" ref="G27:G34" ca="1" si="9">IFERROR(VLOOKUP(E27,teamlookup,5,FALSE),"")</f>
        <v>Wigan</v>
      </c>
      <c r="H27" s="459">
        <f ca="1">IFERROR(VLOOKUP(E27,E8:AG23,28,FALSE),0)</f>
        <v>1.5</v>
      </c>
      <c r="I27" s="460"/>
      <c r="J27" s="509">
        <f ca="1">IFERROR(IF(VLOOKUP(C27,C8:AT23,44,FALSE)="",VLOOKUP(C27,C8:AT23,37,FALSE),VLOOKUP(C27,C8:AT23,37,FALSE)&amp;VLOOKUP(C27,C8:AT23,44,FALSE)),"")</f>
        <v>1</v>
      </c>
      <c r="K27" s="510"/>
      <c r="L27" s="509">
        <f ca="1">IFERROR(IF(VLOOKUP(C27,C8:AG23,30,FALSE)=0,"",VLOOKUP(C27,C8:AG23,3,FALSE)),"")</f>
        <v>7</v>
      </c>
      <c r="M27" s="510"/>
      <c r="N27" s="461" t="str">
        <f ca="1">IFERROR(VLOOKUP(L27,E8:F23,2,FALSE),"")</f>
        <v>Lauren HEWITT</v>
      </c>
      <c r="O27" s="462"/>
      <c r="P27" s="462"/>
      <c r="Q27" s="462"/>
      <c r="R27" s="462"/>
      <c r="S27" s="463"/>
      <c r="T27" s="461" t="str">
        <f t="shared" ref="T27:T34" ca="1" si="10">IFERROR(VLOOKUP(L27,teamlookup,5,FALSE),"")</f>
        <v>Wigan</v>
      </c>
      <c r="U27" s="462"/>
      <c r="V27" s="462"/>
      <c r="W27" s="462"/>
      <c r="X27" s="462"/>
      <c r="Y27" s="463"/>
      <c r="Z27" s="459">
        <f ca="1">IFERROR(VLOOKUP(L27,E8:AG23,28,FALSE),0)</f>
        <v>1.45</v>
      </c>
      <c r="AA27" s="460"/>
      <c r="AB27" s="28"/>
      <c r="AC27" s="29"/>
      <c r="AD27" s="29"/>
      <c r="AE27" s="29"/>
      <c r="AF27" s="29"/>
      <c r="AG27" s="29"/>
      <c r="AH27" s="29"/>
      <c r="AI27" s="29"/>
      <c r="AJ27" s="29"/>
      <c r="AK27" s="29"/>
      <c r="AL27" s="127"/>
      <c r="AM27" s="128"/>
      <c r="AP27" s="8"/>
      <c r="AQ27" s="8"/>
      <c r="AR27" s="53"/>
      <c r="AS27" s="8"/>
      <c r="AT27" s="8"/>
      <c r="AU27" s="8"/>
      <c r="AV27" s="8"/>
      <c r="AW27" s="8"/>
      <c r="AX27" s="8"/>
      <c r="AY27" s="8"/>
      <c r="AZ27" s="136"/>
      <c r="BA27" s="136"/>
      <c r="BB27" s="8"/>
      <c r="BC27" s="8"/>
      <c r="BD27" s="8"/>
      <c r="BE27" s="8"/>
    </row>
    <row r="28" spans="1:72" s="4" customFormat="1" ht="16.149999999999999" customHeight="1" x14ac:dyDescent="0.25">
      <c r="A28" s="11">
        <f>IFERROR(VLOOKUP(A4,standards,4,FALSE),"-")</f>
        <v>1.2</v>
      </c>
      <c r="B28" s="1"/>
      <c r="C28" s="10">
        <v>2</v>
      </c>
      <c r="D28" s="19">
        <f ca="1">IFERROR(IF(VLOOKUP(C28,B8:AP23,41,FALSE)="",VLOOKUP(C28,B8:AP23,37,FALSE),VLOOKUP(C28,B8:AP23,37,FALSE)&amp;VLOOKUP(C28,B8:AP23,41,FALSE)),"")</f>
        <v>2</v>
      </c>
      <c r="E28" s="19">
        <f ca="1">IFERROR(IF(VLOOKUP(C28,B8:AG23,31,FALSE)=0,0,VLOOKUP(C28,B8:AG23,4,FALSE)),"")</f>
        <v>1</v>
      </c>
      <c r="F28" s="27" t="str">
        <f ca="1">IFERROR(VLOOKUP(E28,$E8:$F23,2,FALSE),"")</f>
        <v>Olivia WELCH</v>
      </c>
      <c r="G28" s="27" t="str">
        <f t="shared" ca="1" si="9"/>
        <v>C&amp;N</v>
      </c>
      <c r="H28" s="459">
        <f ca="1">IFERROR(VLOOKUP(E28,E8:AG23,28,FALSE),0)</f>
        <v>1.35</v>
      </c>
      <c r="I28" s="460"/>
      <c r="J28" s="509">
        <f ca="1">IFERROR(IF(VLOOKUP(C28,C8:AT23,44,FALSE)="",VLOOKUP(C28,C8:AT23,37,FALSE),VLOOKUP(C28,C8:AT23,37,FALSE)&amp;VLOOKUP(C28,C8:AT23,44,FALSE)),"")</f>
        <v>2</v>
      </c>
      <c r="K28" s="510"/>
      <c r="L28" s="509">
        <f ca="1">IFERROR(IF(VLOOKUP(C28,C8:AG23,30,FALSE)=0,"",VLOOKUP(C28,C8:AG23,3,FALSE)),"")</f>
        <v>33</v>
      </c>
      <c r="M28" s="510"/>
      <c r="N28" s="461" t="str">
        <f ca="1">IFERROR(VLOOKUP(L28,E8:F23,2,FALSE),"")</f>
        <v>Gabriella TAYLOR</v>
      </c>
      <c r="O28" s="462"/>
      <c r="P28" s="462"/>
      <c r="Q28" s="462"/>
      <c r="R28" s="462"/>
      <c r="S28" s="463"/>
      <c r="T28" s="461" t="str">
        <f t="shared" ca="1" si="10"/>
        <v>Leigh</v>
      </c>
      <c r="U28" s="462"/>
      <c r="V28" s="462"/>
      <c r="W28" s="462"/>
      <c r="X28" s="462"/>
      <c r="Y28" s="463"/>
      <c r="Z28" s="459">
        <f ca="1">IFERROR(VLOOKUP(L28,E8:AG23,28,FALSE),0)</f>
        <v>1.25</v>
      </c>
      <c r="AA28" s="460"/>
      <c r="AB28" s="118"/>
      <c r="AC28" s="20"/>
      <c r="AD28" s="20"/>
      <c r="AE28" s="20"/>
      <c r="AF28" s="20"/>
      <c r="AG28" s="20"/>
      <c r="AH28" s="20"/>
      <c r="AI28" s="20"/>
      <c r="AJ28" s="20"/>
      <c r="AK28" s="20"/>
      <c r="AL28" s="129"/>
      <c r="AM28" s="130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136"/>
      <c r="BA28" s="136"/>
      <c r="BB28" s="8"/>
      <c r="BC28" s="8"/>
      <c r="BD28" s="8"/>
      <c r="BE28" s="8"/>
    </row>
    <row r="29" spans="1:72" s="4" customFormat="1" ht="16.149999999999999" customHeight="1" x14ac:dyDescent="0.25">
      <c r="A29" s="11">
        <f>IFERROR(VLOOKUP(A4,standards,5,FALSE),"-")</f>
        <v>1.25</v>
      </c>
      <c r="B29" s="1"/>
      <c r="C29" s="10">
        <v>3</v>
      </c>
      <c r="D29" s="19">
        <f ca="1">IFERROR(IF(VLOOKUP(C29,B8:AP23,41,FALSE)="",VLOOKUP(C29,B8:AP23,37,FALSE),VLOOKUP(C29,B8:AP23,37,FALSE)&amp;VLOOKUP(C29,B8:AP23,41,FALSE)),"")</f>
        <v>3</v>
      </c>
      <c r="E29" s="19">
        <f ca="1">IFERROR(IF(VLOOKUP(C29,B8:AG23,31,FALSE)=0,0,VLOOKUP(C29,B8:AG23,4,FALSE)),"")</f>
        <v>3</v>
      </c>
      <c r="F29" s="27" t="str">
        <f ca="1">IFERROR(VLOOKUP(E29,$E8:$F23,2,FALSE),"")</f>
        <v>Freya CASH</v>
      </c>
      <c r="G29" s="27" t="str">
        <f t="shared" ca="1" si="9"/>
        <v>Leigh</v>
      </c>
      <c r="H29" s="459">
        <f ca="1">IFERROR(VLOOKUP(E29,E8:AG23,28,FALSE),0)</f>
        <v>1.3</v>
      </c>
      <c r="I29" s="460"/>
      <c r="J29" s="509">
        <f ca="1">IFERROR(IF(VLOOKUP(C29,C8:AT23,44,FALSE)="",VLOOKUP(C29,C8:AT23,37,FALSE),VLOOKUP(C29,C8:AT23,37,FALSE)&amp;VLOOKUP(C29,C8:AT23,44,FALSE)),"")</f>
        <v>3</v>
      </c>
      <c r="K29" s="510"/>
      <c r="L29" s="509">
        <f ca="1">IFERROR(IF(VLOOKUP(C29,C8:AG23,30,FALSE)=0,"",VLOOKUP(C29,C8:AG23,3,FALSE)),"")</f>
        <v>11</v>
      </c>
      <c r="M29" s="510"/>
      <c r="N29" s="461" t="str">
        <f ca="1">IFERROR(VLOOKUP(L29,E8:F23,2,FALSE),"")</f>
        <v>Elisha CARTER</v>
      </c>
      <c r="O29" s="462"/>
      <c r="P29" s="462"/>
      <c r="Q29" s="462"/>
      <c r="R29" s="462"/>
      <c r="S29" s="463"/>
      <c r="T29" s="461" t="str">
        <f t="shared" ca="1" si="10"/>
        <v>C&amp;N</v>
      </c>
      <c r="U29" s="462"/>
      <c r="V29" s="462"/>
      <c r="W29" s="462"/>
      <c r="X29" s="462"/>
      <c r="Y29" s="463"/>
      <c r="Z29" s="459">
        <f ca="1">IFERROR(VLOOKUP(L29,E8:AG23,28,FALSE),0)</f>
        <v>1.2</v>
      </c>
      <c r="AA29" s="460"/>
      <c r="AB29" s="118"/>
      <c r="AC29" s="20"/>
      <c r="AD29" s="20"/>
      <c r="AE29" s="20"/>
      <c r="AF29" s="20"/>
      <c r="AG29" s="20"/>
      <c r="AH29" s="20"/>
      <c r="AI29" s="20"/>
      <c r="AJ29" s="20"/>
      <c r="AK29" s="20"/>
      <c r="AL29" s="129"/>
      <c r="AM29" s="130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136"/>
      <c r="BA29" s="136"/>
      <c r="BB29" s="8"/>
      <c r="BC29" s="8"/>
      <c r="BD29" s="8"/>
      <c r="BE29" s="8"/>
    </row>
    <row r="30" spans="1:72" s="4" customFormat="1" ht="16.149999999999999" customHeight="1" x14ac:dyDescent="0.25">
      <c r="A30" s="11">
        <f>IFERROR(VLOOKUP(A4,EA!A:K,6,FALSE),"-")</f>
        <v>1.3</v>
      </c>
      <c r="B30" s="1"/>
      <c r="C30" s="10">
        <v>4</v>
      </c>
      <c r="D30" s="19">
        <f ca="1">IFERROR(IF(VLOOKUP(C30,B8:AP23,41,FALSE)="",VLOOKUP(C30,B8:AP23,37,FALSE),VLOOKUP(C30,B8:AP23,37,FALSE)&amp;VLOOKUP(C30,B8:AP23,41,FALSE)),"")</f>
        <v>4</v>
      </c>
      <c r="E30" s="19">
        <f ca="1">IFERROR(IF(VLOOKUP(C30,B8:AG23,31,FALSE)=0,0,VLOOKUP(C30,B8:AG23,4,FALSE)),"")</f>
        <v>5</v>
      </c>
      <c r="F30" s="27" t="str">
        <f ca="1">IFERROR(VLOOKUP(E30,$E8:$F23,2,FALSE),"")</f>
        <v>Krista JONES</v>
      </c>
      <c r="G30" s="27" t="str">
        <f t="shared" ca="1" si="9"/>
        <v>Menai</v>
      </c>
      <c r="H30" s="459">
        <f ca="1">IFERROR(VLOOKUP(E30,E8:AG23,28,FALSE),0)</f>
        <v>1.1499999999999999</v>
      </c>
      <c r="I30" s="460"/>
      <c r="J30" s="509" t="str">
        <f ca="1">IFERROR(IF(VLOOKUP(C30,C8:AT23,44,FALSE)="",VLOOKUP(C30,C8:AT23,37,FALSE),VLOOKUP(C30,C8:AT23,37,FALSE)&amp;VLOOKUP(C30,C8:AT23,44,FALSE)),"")</f>
        <v/>
      </c>
      <c r="K30" s="510"/>
      <c r="L30" s="509" t="str">
        <f ca="1">IFERROR(IF(VLOOKUP(C30,C8:AG23,30,FALSE)=0,"",VLOOKUP(C30,C8:AG23,3,FALSE)),"")</f>
        <v/>
      </c>
      <c r="M30" s="510"/>
      <c r="N30" s="461" t="str">
        <f ca="1">IFERROR(VLOOKUP(L30,E8:F23,2,FALSE),"")</f>
        <v/>
      </c>
      <c r="O30" s="462"/>
      <c r="P30" s="462"/>
      <c r="Q30" s="462"/>
      <c r="R30" s="462"/>
      <c r="S30" s="463"/>
      <c r="T30" s="461" t="str">
        <f t="shared" ca="1" si="10"/>
        <v/>
      </c>
      <c r="U30" s="462"/>
      <c r="V30" s="462"/>
      <c r="W30" s="462"/>
      <c r="X30" s="462"/>
      <c r="Y30" s="463"/>
      <c r="Z30" s="459">
        <f ca="1">IFERROR(VLOOKUP(L30,E8:AG23,28,FALSE),0)</f>
        <v>0</v>
      </c>
      <c r="AA30" s="460"/>
      <c r="AB30" s="24"/>
      <c r="AC30" s="25"/>
      <c r="AD30" s="25"/>
      <c r="AE30" s="25"/>
      <c r="AF30" s="25"/>
      <c r="AG30" s="25"/>
      <c r="AH30" s="25"/>
      <c r="AI30" s="25"/>
      <c r="AJ30" s="25"/>
      <c r="AK30" s="25"/>
      <c r="AL30" s="125"/>
      <c r="AM30" s="126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136"/>
      <c r="BA30" s="136"/>
      <c r="BB30" s="8"/>
      <c r="BC30" s="8"/>
      <c r="BD30" s="8"/>
      <c r="BE30" s="8"/>
    </row>
    <row r="31" spans="1:72" s="4" customFormat="1" ht="16.149999999999999" customHeight="1" x14ac:dyDescent="0.25">
      <c r="A31" s="8"/>
      <c r="B31" s="1"/>
      <c r="C31" s="10">
        <v>5</v>
      </c>
      <c r="D31" s="19" t="str">
        <f ca="1">IFERROR(IF(VLOOKUP(C31,B8:AP23,41,FALSE)="",VLOOKUP(C31,B8:AP23,37,FALSE),VLOOKUP(C31,B8:AP23,37,FALSE)&amp;VLOOKUP(C31,B8:AP23,41,FALSE)),"")</f>
        <v/>
      </c>
      <c r="E31" s="19" t="str">
        <f ca="1">IFERROR(IF(VLOOKUP(C31,B8:AG23,31,FALSE)=0,0,VLOOKUP(C31,B8:AG23,4,FALSE)),"")</f>
        <v/>
      </c>
      <c r="F31" s="27" t="str">
        <f ca="1">IFERROR(VLOOKUP(E31,$E8:$F23,2,FALSE),"")</f>
        <v/>
      </c>
      <c r="G31" s="27" t="str">
        <f t="shared" ca="1" si="9"/>
        <v/>
      </c>
      <c r="H31" s="459">
        <f ca="1">IFERROR(VLOOKUP(E31,E8:AG23,28,FALSE),0)</f>
        <v>0</v>
      </c>
      <c r="I31" s="460"/>
      <c r="J31" s="509" t="str">
        <f ca="1">IFERROR(IF(VLOOKUP(C31,C8:AT23,44,FALSE)="",VLOOKUP(C31,C8:AT23,37,FALSE),VLOOKUP(C31,C8:AT23,37,FALSE)&amp;VLOOKUP(C31,C8:AT23,44,FALSE)),"")</f>
        <v/>
      </c>
      <c r="K31" s="510"/>
      <c r="L31" s="509" t="str">
        <f ca="1">IFERROR(IF(VLOOKUP(C31,C8:AG23,30,FALSE)=0,"",VLOOKUP(C31,C8:AG23,3,FALSE)),"")</f>
        <v/>
      </c>
      <c r="M31" s="510"/>
      <c r="N31" s="461" t="str">
        <f ca="1">IFERROR(VLOOKUP(L31,E8:F23,2,FALSE),"")</f>
        <v/>
      </c>
      <c r="O31" s="462"/>
      <c r="P31" s="462"/>
      <c r="Q31" s="462"/>
      <c r="R31" s="462"/>
      <c r="S31" s="463"/>
      <c r="T31" s="461" t="str">
        <f t="shared" ca="1" si="10"/>
        <v/>
      </c>
      <c r="U31" s="462"/>
      <c r="V31" s="462"/>
      <c r="W31" s="462"/>
      <c r="X31" s="462"/>
      <c r="Y31" s="463"/>
      <c r="Z31" s="459">
        <f ca="1">IFERROR(VLOOKUP(L31,E8:AG23,28,FALSE),0)</f>
        <v>0</v>
      </c>
      <c r="AA31" s="460"/>
      <c r="AB31" s="28"/>
      <c r="AC31" s="29"/>
      <c r="AD31" s="29"/>
      <c r="AE31" s="29"/>
      <c r="AF31" s="29"/>
      <c r="AG31" s="29"/>
      <c r="AH31" s="29"/>
      <c r="AI31" s="29"/>
      <c r="AJ31" s="29"/>
      <c r="AK31" s="29"/>
      <c r="AL31" s="127"/>
      <c r="AM31" s="12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136"/>
      <c r="BA31" s="136"/>
      <c r="BB31" s="8"/>
      <c r="BC31" s="8"/>
      <c r="BD31" s="8"/>
      <c r="BE31" s="8"/>
    </row>
    <row r="32" spans="1:72" s="4" customFormat="1" ht="16.149999999999999" customHeight="1" x14ac:dyDescent="0.25">
      <c r="A32" s="8" t="s">
        <v>151</v>
      </c>
      <c r="B32" s="1"/>
      <c r="C32" s="10">
        <v>6</v>
      </c>
      <c r="D32" s="19" t="str">
        <f ca="1">IFERROR(IF(VLOOKUP(C32,B8:AP23,41,FALSE)="",VLOOKUP(C32,B8:AP23,37,FALSE),VLOOKUP(C32,B8:AP23,37,FALSE)&amp;VLOOKUP(C32,B8:AP23,41,FALSE)),"")</f>
        <v/>
      </c>
      <c r="E32" s="19" t="str">
        <f ca="1">IFERROR(IF(VLOOKUP(C32,B8:AG23,31,FALSE)=0,0,VLOOKUP(C32,B8:AG23,4,FALSE)),"")</f>
        <v/>
      </c>
      <c r="F32" s="27" t="str">
        <f ca="1">IFERROR(VLOOKUP(E32,$E8:$F23,2,FALSE),"")</f>
        <v/>
      </c>
      <c r="G32" s="27" t="str">
        <f t="shared" ca="1" si="9"/>
        <v/>
      </c>
      <c r="H32" s="459">
        <f ca="1">IFERROR(VLOOKUP(E32,E8:AG23,28,FALSE),0)</f>
        <v>0</v>
      </c>
      <c r="I32" s="460"/>
      <c r="J32" s="509" t="str">
        <f ca="1">IFERROR(IF(VLOOKUP(C32,C8:AT23,44,FALSE)="",VLOOKUP(C32,C8:AT23,37,FALSE),VLOOKUP(C32,C8:AT23,37,FALSE)&amp;VLOOKUP(C32,C8:AT23,44,FALSE)),"")</f>
        <v/>
      </c>
      <c r="K32" s="510"/>
      <c r="L32" s="509" t="str">
        <f ca="1">IFERROR(IF(VLOOKUP(C32,C8:AG23,30,FALSE)=0,"",VLOOKUP(C32,C8:AG23,3,FALSE)),"")</f>
        <v/>
      </c>
      <c r="M32" s="510"/>
      <c r="N32" s="461" t="str">
        <f ca="1">IFERROR(VLOOKUP(L32,E8:F23,2,FALSE),"")</f>
        <v/>
      </c>
      <c r="O32" s="462"/>
      <c r="P32" s="462"/>
      <c r="Q32" s="462"/>
      <c r="R32" s="462"/>
      <c r="S32" s="463"/>
      <c r="T32" s="461" t="str">
        <f t="shared" ca="1" si="10"/>
        <v/>
      </c>
      <c r="U32" s="462"/>
      <c r="V32" s="462"/>
      <c r="W32" s="462"/>
      <c r="X32" s="462"/>
      <c r="Y32" s="463"/>
      <c r="Z32" s="459">
        <f ca="1">IFERROR(VLOOKUP(L32,E8:AG23,28,FALSE),0)</f>
        <v>0</v>
      </c>
      <c r="AA32" s="460"/>
      <c r="AB32" s="466" t="s">
        <v>1135</v>
      </c>
      <c r="AC32" s="507"/>
      <c r="AD32" s="507"/>
      <c r="AE32" s="507"/>
      <c r="AF32" s="507"/>
      <c r="AG32" s="507"/>
      <c r="AH32" s="507"/>
      <c r="AI32" s="507"/>
      <c r="AJ32" s="507"/>
      <c r="AK32" s="507"/>
      <c r="AL32" s="507"/>
      <c r="AM32" s="50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136"/>
      <c r="BA32" s="136"/>
      <c r="BB32" s="8"/>
      <c r="BC32" s="8"/>
      <c r="BD32" s="8"/>
      <c r="BE32" s="8"/>
    </row>
    <row r="33" spans="1:72" s="4" customFormat="1" ht="16.149999999999999" customHeight="1" x14ac:dyDescent="0.25">
      <c r="A33" s="8">
        <f>IFERROR(VLOOKUP(A4,records,5,FALSE),"")</f>
        <v>1.73</v>
      </c>
      <c r="B33" s="1"/>
      <c r="C33" s="10">
        <v>7</v>
      </c>
      <c r="D33" s="19" t="str">
        <f ca="1">IFERROR(IF(VLOOKUP(C33,B8:AP23,41,FALSE)="",VLOOKUP(C33,B8:AP23,37,FALSE),VLOOKUP(C33,B8:AP23,37,FALSE)&amp;VLOOKUP(C33,B8:AP23,41,FALSE)),"")</f>
        <v/>
      </c>
      <c r="E33" s="19" t="str">
        <f ca="1">IFERROR(IF(VLOOKUP(C33,B8:AG23,31,FALSE)=0,0,VLOOKUP(C33,B8:AG23,4,FALSE)),"")</f>
        <v/>
      </c>
      <c r="F33" s="27" t="str">
        <f ca="1">IFERROR(VLOOKUP(E33,$E8:$F23,2,FALSE),"")</f>
        <v/>
      </c>
      <c r="G33" s="27" t="str">
        <f t="shared" ca="1" si="9"/>
        <v/>
      </c>
      <c r="H33" s="459">
        <f ca="1">IFERROR(VLOOKUP(E33,E8:AG23,28,FALSE),0)</f>
        <v>0</v>
      </c>
      <c r="I33" s="460"/>
      <c r="J33" s="509" t="str">
        <f ca="1">IFERROR(IF(VLOOKUP(C33,C8:AT23,44,FALSE)="",VLOOKUP(C33,C8:AT23,37,FALSE),VLOOKUP(C33,C8:AT23,37,FALSE)&amp;VLOOKUP(C33,C8:AT23,44,FALSE)),"")</f>
        <v/>
      </c>
      <c r="K33" s="510"/>
      <c r="L33" s="509" t="str">
        <f ca="1">IFERROR(IF(VLOOKUP(C33,C8:AG23,30,FALSE)=0,"",VLOOKUP(C33,C8:AG23,3,FALSE)),"")</f>
        <v/>
      </c>
      <c r="M33" s="510"/>
      <c r="N33" s="461" t="str">
        <f ca="1">IFERROR(VLOOKUP(L33,E8:F23,2,FALSE),"")</f>
        <v/>
      </c>
      <c r="O33" s="462"/>
      <c r="P33" s="462"/>
      <c r="Q33" s="462"/>
      <c r="R33" s="462"/>
      <c r="S33" s="463"/>
      <c r="T33" s="461" t="str">
        <f t="shared" ca="1" si="10"/>
        <v/>
      </c>
      <c r="U33" s="462"/>
      <c r="V33" s="462"/>
      <c r="W33" s="462"/>
      <c r="X33" s="462"/>
      <c r="Y33" s="463"/>
      <c r="Z33" s="459">
        <f ca="1">IFERROR(VLOOKUP(L33,E8:AG23,28,FALSE),0)</f>
        <v>0</v>
      </c>
      <c r="AA33" s="460"/>
      <c r="AB33" s="24"/>
      <c r="AC33" s="25"/>
      <c r="AD33" s="25"/>
      <c r="AE33" s="25"/>
      <c r="AF33" s="25"/>
      <c r="AG33" s="25"/>
      <c r="AH33" s="25"/>
      <c r="AI33" s="25"/>
      <c r="AJ33" s="25"/>
      <c r="AK33" s="25"/>
      <c r="AL33" s="125"/>
      <c r="AM33" s="126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136"/>
      <c r="BA33" s="136"/>
      <c r="BB33" s="8"/>
      <c r="BC33" s="8"/>
      <c r="BD33" s="8"/>
      <c r="BE33" s="8"/>
    </row>
    <row r="34" spans="1:72" s="4" customFormat="1" ht="23.25" customHeight="1" x14ac:dyDescent="0.25">
      <c r="A34" s="8"/>
      <c r="B34" s="1"/>
      <c r="C34" s="10">
        <v>8</v>
      </c>
      <c r="D34" s="19" t="str">
        <f ca="1">IFERROR(IF(VLOOKUP(C34,B8:AP23,41,FALSE)="",VLOOKUP(C34,B8:AP23,37,FALSE),VLOOKUP(C34,B8:AP23,37,FALSE)&amp;VLOOKUP(C34,B8:AP23,41,FALSE)),"")</f>
        <v/>
      </c>
      <c r="E34" s="19" t="str">
        <f ca="1">IFERROR(IF(VLOOKUP(C34,B8:AG23,31,FALSE)=0,0,VLOOKUP(C34,B8:AG23,4,FALSE)),"")</f>
        <v/>
      </c>
      <c r="F34" s="27" t="str">
        <f ca="1">IFERROR(VLOOKUP(E34,$E8:$F23,2,FALSE),"")</f>
        <v/>
      </c>
      <c r="G34" s="27" t="str">
        <f t="shared" ca="1" si="9"/>
        <v/>
      </c>
      <c r="H34" s="459">
        <f ca="1">IFERROR(VLOOKUP(E34,E8:AG23,28,FALSE),0)</f>
        <v>0</v>
      </c>
      <c r="I34" s="460"/>
      <c r="J34" s="509" t="str">
        <f ca="1">IFERROR(IF(VLOOKUP(C34,C8:AT23,44,FALSE)="",VLOOKUP(C34,C8:AT23,37,FALSE),VLOOKUP(C34,C8:AT23,37,FALSE)&amp;VLOOKUP(C34,C8:AT23,44,FALSE)),"")</f>
        <v/>
      </c>
      <c r="K34" s="510"/>
      <c r="L34" s="509" t="str">
        <f ca="1">IFERROR(IF(VLOOKUP(C34,C8:AG23,30,FALSE)=0,"",VLOOKUP(C34,C8:AG23,3,FALSE)),"")</f>
        <v/>
      </c>
      <c r="M34" s="510"/>
      <c r="N34" s="461" t="str">
        <f ca="1">IFERROR(VLOOKUP(L34,E8:F23,2,FALSE),"")</f>
        <v/>
      </c>
      <c r="O34" s="462"/>
      <c r="P34" s="462"/>
      <c r="Q34" s="462"/>
      <c r="R34" s="462"/>
      <c r="S34" s="463"/>
      <c r="T34" s="461" t="str">
        <f t="shared" ca="1" si="10"/>
        <v/>
      </c>
      <c r="U34" s="462"/>
      <c r="V34" s="462"/>
      <c r="W34" s="462"/>
      <c r="X34" s="462"/>
      <c r="Y34" s="463"/>
      <c r="Z34" s="459">
        <f ca="1">IFERROR(VLOOKUP(L34,E8:AG23,28,FALSE),0)</f>
        <v>0</v>
      </c>
      <c r="AA34" s="460"/>
      <c r="AB34" s="28"/>
      <c r="AC34" s="29"/>
      <c r="AD34" s="29"/>
      <c r="AE34" s="29"/>
      <c r="AF34" s="29"/>
      <c r="AG34" s="29"/>
      <c r="AH34" s="29"/>
      <c r="AI34" s="29"/>
      <c r="AJ34" s="29"/>
      <c r="AK34" s="29"/>
      <c r="AL34" s="127"/>
      <c r="AM34" s="12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136"/>
      <c r="BA34" s="136"/>
      <c r="BB34" s="8"/>
      <c r="BC34" s="8"/>
      <c r="BD34" s="8"/>
      <c r="BE34" s="8"/>
    </row>
    <row r="35" spans="1:72" s="4" customFormat="1" ht="21" x14ac:dyDescent="0.25">
      <c r="A35" s="2" t="str">
        <f>MatchDay!$U$6</f>
        <v>X</v>
      </c>
      <c r="B35" s="10" t="str">
        <f>IFERROR(VLOOKUP($A36,fh,2,FALSE),"")</f>
        <v/>
      </c>
      <c r="C35" s="10" t="str">
        <f>IFERROR(VLOOKUP($A36,fdistance,3,FALSE),"")</f>
        <v/>
      </c>
      <c r="D35" s="499" t="s">
        <v>271</v>
      </c>
      <c r="E35" s="500"/>
      <c r="F35" s="500"/>
      <c r="G35" s="500"/>
      <c r="H35" s="501" t="s">
        <v>144</v>
      </c>
      <c r="I35" s="502"/>
      <c r="J35" s="502"/>
      <c r="K35" s="502"/>
      <c r="L35" s="502"/>
      <c r="M35" s="506"/>
      <c r="N35" s="503" t="str">
        <f>MatchDay!$C$2&amp;" "&amp;MatchDay!$C$3&amp;" "&amp;MatchDay!$C$4</f>
        <v>LOWER NORTH West 2</v>
      </c>
      <c r="O35" s="504"/>
      <c r="P35" s="504"/>
      <c r="Q35" s="504"/>
      <c r="R35" s="504"/>
      <c r="S35" s="504"/>
      <c r="T35" s="504"/>
      <c r="U35" s="504"/>
      <c r="V35" s="504"/>
      <c r="W35" s="504"/>
      <c r="X35" s="504"/>
      <c r="Y35" s="504"/>
      <c r="Z35" s="504"/>
      <c r="AA35" s="504"/>
      <c r="AB35" s="504"/>
      <c r="AC35" s="504"/>
      <c r="AD35" s="504"/>
      <c r="AE35" s="504"/>
      <c r="AF35" s="504"/>
      <c r="AG35" s="504"/>
      <c r="AH35" s="504"/>
      <c r="AI35" s="504"/>
      <c r="AJ35" s="504"/>
      <c r="AK35" s="504"/>
      <c r="AL35" s="504"/>
      <c r="AM35" s="505"/>
      <c r="AP35" s="8"/>
      <c r="AT35" s="8"/>
      <c r="AU35" s="8"/>
      <c r="AV35" s="8"/>
      <c r="AW35" s="8"/>
      <c r="AX35" s="8"/>
      <c r="AY35" s="8"/>
      <c r="AZ35" s="136"/>
      <c r="BA35" s="136"/>
      <c r="BB35" s="8"/>
      <c r="BC35" s="8"/>
      <c r="BD35" s="8"/>
      <c r="BE35" s="8"/>
    </row>
    <row r="36" spans="1:72" s="4" customFormat="1" ht="15.75" customHeight="1" x14ac:dyDescent="0.25">
      <c r="A36" s="1" t="str">
        <f>IFERROR(IF(LEFT(MatchDay!$C$2,1)="L","L"&amp;A38,"U"&amp;A38),"")</f>
        <v>LFH02</v>
      </c>
      <c r="B36" s="8">
        <v>59</v>
      </c>
      <c r="D36" s="476" t="s">
        <v>145</v>
      </c>
      <c r="E36" s="477"/>
      <c r="F36" s="467" t="str">
        <f>IFERROR(UPPER(VLOOKUP(A37,teamlookup,6,FALSE)),"")</f>
        <v/>
      </c>
      <c r="G36" s="468"/>
      <c r="H36" s="476" t="s">
        <v>149</v>
      </c>
      <c r="I36" s="480"/>
      <c r="J36" s="477"/>
      <c r="K36" s="466" t="str">
        <f>MatchDay!$C$8</f>
        <v>Macclesfield Leisure Centre</v>
      </c>
      <c r="L36" s="467"/>
      <c r="M36" s="467"/>
      <c r="N36" s="467"/>
      <c r="O36" s="467"/>
      <c r="P36" s="467"/>
      <c r="Q36" s="467"/>
      <c r="R36" s="467"/>
      <c r="S36" s="467"/>
      <c r="T36" s="467"/>
      <c r="U36" s="467"/>
      <c r="V36" s="467"/>
      <c r="W36" s="467"/>
      <c r="X36" s="467"/>
      <c r="Y36" s="468"/>
      <c r="Z36" s="476" t="s">
        <v>119</v>
      </c>
      <c r="AA36" s="480"/>
      <c r="AB36" s="477"/>
      <c r="AC36" s="494">
        <f>MatchDay!$C$7</f>
        <v>45053</v>
      </c>
      <c r="AD36" s="495"/>
      <c r="AE36" s="495"/>
      <c r="AF36" s="495"/>
      <c r="AG36" s="495"/>
      <c r="AH36" s="495"/>
      <c r="AI36" s="495"/>
      <c r="AJ36" s="495"/>
      <c r="AK36" s="495"/>
      <c r="AL36" s="495"/>
      <c r="AM36" s="496"/>
      <c r="AN36" s="37"/>
      <c r="AP36" s="8"/>
      <c r="AT36" s="8"/>
      <c r="AU36" s="8"/>
      <c r="AV36" s="8"/>
      <c r="AW36" s="8"/>
      <c r="AX36" s="8"/>
      <c r="AY36" s="8"/>
      <c r="AZ36" s="136"/>
      <c r="BA36" s="136"/>
      <c r="BB36" s="8"/>
      <c r="BC36" s="8"/>
      <c r="BD36" s="8"/>
      <c r="BE36" s="8"/>
    </row>
    <row r="37" spans="1:72" s="4" customFormat="1" ht="15.75" customHeight="1" x14ac:dyDescent="0.25">
      <c r="A37" s="5">
        <f>IFERROR(IF(A35=1,VLOOKUP(A36,judges,VLOOKUP(MatchDay!$U$2*10+MatchDay!$C$5,judgesp,5,FALSE),FALSE),VLOOKUP(A36,judges,VLOOKUP(MatchDay!$U$2*10+MatchDay!$C$5,judges2,5,FALSE),FALSE)),"")</f>
        <v>3</v>
      </c>
      <c r="B37" s="38" t="str">
        <f>IFERROR(VLOOKUP($A38,fheight,2,FALSE),"")</f>
        <v>K</v>
      </c>
      <c r="C37" s="138"/>
      <c r="D37" s="476" t="s">
        <v>120</v>
      </c>
      <c r="E37" s="477"/>
      <c r="F37" s="478" t="str">
        <f>IFERROR(VLOOKUP(A36,timetables,2,FALSE)&amp;" "&amp;VLOOKUP(A36,timetables,3,FALSE),"")</f>
        <v>High Jump U13 Boys</v>
      </c>
      <c r="G37" s="479"/>
      <c r="H37" s="476" t="s">
        <v>121</v>
      </c>
      <c r="I37" s="480"/>
      <c r="J37" s="477"/>
      <c r="K37" s="517">
        <f>IFERROR(IF(A35=1,VLOOKUP(A36,Timetables!$A:$G,6,FALSE),VLOOKUP(A36,Timetables!$A:$G,7,FALSE)),"")</f>
        <v>0.54166666666666663</v>
      </c>
      <c r="L37" s="518"/>
      <c r="M37" s="519"/>
      <c r="N37" s="520" t="s">
        <v>150</v>
      </c>
      <c r="O37" s="521"/>
      <c r="P37" s="521"/>
      <c r="Q37" s="522"/>
      <c r="R37" s="520" t="str">
        <f>IFERROR(VLOOKUP(A36,records,3,FALSE)&amp;", "&amp;VLOOKUP(A36,records,4,FALSE)&amp;", "&amp;VLOOKUP(A36,records,5,FALSE)&amp;", "&amp;VLOOKUP(A36,records,6,FALSE)&amp;", "&amp;VLOOKUP(A36,records,7,FALSE)&amp;" "&amp;VLOOKUP(A36,records,8,FALSE),"")</f>
        <v/>
      </c>
      <c r="S37" s="521"/>
      <c r="T37" s="521"/>
      <c r="U37" s="521"/>
      <c r="V37" s="521"/>
      <c r="W37" s="521"/>
      <c r="X37" s="521"/>
      <c r="Y37" s="521"/>
      <c r="Z37" s="521"/>
      <c r="AA37" s="521"/>
      <c r="AB37" s="521"/>
      <c r="AC37" s="521"/>
      <c r="AD37" s="521"/>
      <c r="AE37" s="521"/>
      <c r="AF37" s="521"/>
      <c r="AG37" s="521"/>
      <c r="AH37" s="521"/>
      <c r="AI37" s="521"/>
      <c r="AJ37" s="521"/>
      <c r="AK37" s="521"/>
      <c r="AL37" s="521"/>
      <c r="AM37" s="522"/>
      <c r="AN37" s="8"/>
      <c r="AP37" s="8"/>
      <c r="AT37" s="8"/>
      <c r="AU37" s="8"/>
      <c r="AV37" s="8"/>
      <c r="AW37" s="8"/>
      <c r="AX37" s="8"/>
      <c r="AY37" s="8"/>
      <c r="AZ37" s="136"/>
      <c r="BA37" s="136"/>
      <c r="BB37" s="8"/>
      <c r="BC37" s="8"/>
      <c r="BD37" s="8"/>
      <c r="BE37" s="8"/>
    </row>
    <row r="38" spans="1:72" s="4" customFormat="1" ht="38.25" customHeight="1" x14ac:dyDescent="0.25">
      <c r="A38" s="5" t="s">
        <v>273</v>
      </c>
      <c r="B38" s="10" t="str">
        <f>IFERROR(VLOOKUP($A38,fheight,3,FALSE),"")</f>
        <v>O</v>
      </c>
      <c r="C38" s="10">
        <f>IFERROR(VLOOKUP($A38,fheight,4,FALSE),"")</f>
        <v>4</v>
      </c>
      <c r="D38" s="39" t="s">
        <v>122</v>
      </c>
      <c r="E38" s="39" t="s">
        <v>123</v>
      </c>
      <c r="F38" s="39" t="s">
        <v>124</v>
      </c>
      <c r="G38" s="40" t="s">
        <v>125</v>
      </c>
      <c r="H38" s="523">
        <v>1.05</v>
      </c>
      <c r="I38" s="524"/>
      <c r="J38" s="523">
        <v>1.1000000000000001</v>
      </c>
      <c r="K38" s="524"/>
      <c r="L38" s="523">
        <v>1.1499999999999999</v>
      </c>
      <c r="M38" s="524"/>
      <c r="N38" s="523">
        <v>1.2</v>
      </c>
      <c r="O38" s="524"/>
      <c r="P38" s="523">
        <v>1.25</v>
      </c>
      <c r="Q38" s="524"/>
      <c r="R38" s="523">
        <v>1.3</v>
      </c>
      <c r="S38" s="524"/>
      <c r="T38" s="523"/>
      <c r="U38" s="524"/>
      <c r="V38" s="523"/>
      <c r="W38" s="524"/>
      <c r="X38" s="523"/>
      <c r="Y38" s="524"/>
      <c r="Z38" s="523"/>
      <c r="AA38" s="524"/>
      <c r="AB38" s="523"/>
      <c r="AC38" s="524"/>
      <c r="AD38" s="523"/>
      <c r="AE38" s="524"/>
      <c r="AF38" s="525" t="s">
        <v>266</v>
      </c>
      <c r="AG38" s="526"/>
      <c r="AH38" s="527" t="s">
        <v>267</v>
      </c>
      <c r="AI38" s="527" t="s">
        <v>268</v>
      </c>
      <c r="AJ38" s="529" t="s">
        <v>363</v>
      </c>
      <c r="AK38" s="41"/>
      <c r="AL38" s="531" t="s">
        <v>136</v>
      </c>
      <c r="AM38" s="532"/>
      <c r="AN38" s="42" t="s">
        <v>269</v>
      </c>
      <c r="AP38" s="8"/>
      <c r="AT38" s="8"/>
      <c r="AU38" s="8"/>
      <c r="AV38" s="8"/>
      <c r="AW38" s="8"/>
      <c r="AX38" s="8"/>
      <c r="AY38" s="8"/>
      <c r="AZ38" s="136"/>
      <c r="BA38" s="136"/>
      <c r="BB38" s="8"/>
      <c r="BC38" s="8"/>
      <c r="BD38" s="8"/>
      <c r="BE38" s="8"/>
    </row>
    <row r="39" spans="1:72" s="4" customFormat="1" ht="13.5" x14ac:dyDescent="0.3">
      <c r="A39" s="121">
        <f>IFERROR(SEARCH("U17",F37),0)</f>
        <v>0</v>
      </c>
      <c r="B39" s="1"/>
      <c r="C39" s="1"/>
      <c r="D39" s="43"/>
      <c r="E39" s="43"/>
      <c r="F39" s="58"/>
      <c r="G39" s="57"/>
      <c r="H39" s="513" t="s">
        <v>137</v>
      </c>
      <c r="I39" s="516"/>
      <c r="J39" s="513" t="s">
        <v>137</v>
      </c>
      <c r="K39" s="516"/>
      <c r="L39" s="513" t="s">
        <v>137</v>
      </c>
      <c r="M39" s="516"/>
      <c r="N39" s="513" t="s">
        <v>137</v>
      </c>
      <c r="O39" s="516"/>
      <c r="P39" s="513" t="s">
        <v>137</v>
      </c>
      <c r="Q39" s="516"/>
      <c r="R39" s="513" t="s">
        <v>137</v>
      </c>
      <c r="S39" s="516"/>
      <c r="T39" s="513" t="s">
        <v>137</v>
      </c>
      <c r="U39" s="516"/>
      <c r="V39" s="513" t="s">
        <v>137</v>
      </c>
      <c r="W39" s="516"/>
      <c r="X39" s="513" t="s">
        <v>137</v>
      </c>
      <c r="Y39" s="516"/>
      <c r="Z39" s="513" t="s">
        <v>137</v>
      </c>
      <c r="AA39" s="516"/>
      <c r="AB39" s="513" t="s">
        <v>137</v>
      </c>
      <c r="AC39" s="516"/>
      <c r="AD39" s="513" t="s">
        <v>137</v>
      </c>
      <c r="AE39" s="516"/>
      <c r="AF39" s="513" t="s">
        <v>137</v>
      </c>
      <c r="AG39" s="514"/>
      <c r="AH39" s="528"/>
      <c r="AI39" s="528"/>
      <c r="AJ39" s="530"/>
      <c r="AK39" s="44"/>
      <c r="AL39" s="533"/>
      <c r="AM39" s="534"/>
      <c r="AN39" s="42"/>
      <c r="AP39" s="9"/>
      <c r="AQ39" s="9"/>
      <c r="AR39" s="45"/>
      <c r="AS39" s="45"/>
      <c r="AT39" s="45"/>
      <c r="AU39" s="46"/>
      <c r="AV39" s="45"/>
      <c r="AW39" s="9"/>
      <c r="AX39" s="9"/>
      <c r="AY39" s="47"/>
      <c r="AZ39" s="135"/>
      <c r="BA39" s="135"/>
      <c r="BB39" s="9"/>
      <c r="BC39" s="9">
        <v>1</v>
      </c>
      <c r="BD39" s="9">
        <v>2</v>
      </c>
      <c r="BE39" s="9">
        <v>3</v>
      </c>
      <c r="BF39" s="9">
        <v>4</v>
      </c>
      <c r="BG39" s="9">
        <v>5</v>
      </c>
      <c r="BH39" s="9">
        <v>6</v>
      </c>
      <c r="BI39" s="9">
        <v>7</v>
      </c>
      <c r="BJ39" s="9">
        <v>8</v>
      </c>
      <c r="BK39" s="9">
        <v>1</v>
      </c>
      <c r="BL39" s="9">
        <v>2</v>
      </c>
      <c r="BM39" s="9">
        <v>3</v>
      </c>
      <c r="BN39" s="9">
        <v>4</v>
      </c>
      <c r="BO39" s="9">
        <v>5</v>
      </c>
      <c r="BP39" s="9">
        <v>6</v>
      </c>
      <c r="BQ39" s="9">
        <v>7</v>
      </c>
      <c r="BR39" s="9">
        <v>8</v>
      </c>
      <c r="BS39" s="46"/>
    </row>
    <row r="40" spans="1:72" s="4" customFormat="1" ht="16.149999999999999" customHeight="1" x14ac:dyDescent="0.35">
      <c r="A40" s="8">
        <f>IFERROR(IF(D40&gt;MatchDay!$U$2,"-",VLOOKUP(A36,timetables,MatchDay!$U$4,FALSE)),0)</f>
        <v>1</v>
      </c>
      <c r="B40" s="10" t="str">
        <f ca="1">IFERROR(IF(OR(AK40=0,AK40="B"),"",RANK(AZ40,AZ40:AZ55,1)),"")</f>
        <v/>
      </c>
      <c r="C40" s="10">
        <f ca="1">IFERROR(IF(OR(AK40=0,AK40="A"),"",RANK(BA40,BA40:BA55,1)),"")</f>
        <v>1</v>
      </c>
      <c r="D40" s="56">
        <v>1</v>
      </c>
      <c r="E40" s="17">
        <f>A40</f>
        <v>1</v>
      </c>
      <c r="F40" s="319" t="str">
        <f>IFERROR(VLOOKUP($A36&amp;E40,downloads!$A$1:$E$1000,2,FALSE),"")</f>
        <v>Ewan DAVIES</v>
      </c>
      <c r="G40" s="18" t="str">
        <f t="shared" ref="G40:G55" si="11">IFERROR(VLOOKUP(E40,teamlookup,5,FALSE),"-")</f>
        <v>C&amp;N</v>
      </c>
      <c r="H40" s="497"/>
      <c r="I40" s="498"/>
      <c r="J40" s="497"/>
      <c r="K40" s="498"/>
      <c r="L40" s="497"/>
      <c r="M40" s="498"/>
      <c r="N40" s="497"/>
      <c r="O40" s="498"/>
      <c r="P40" s="497"/>
      <c r="Q40" s="498"/>
      <c r="R40" s="497"/>
      <c r="S40" s="498"/>
      <c r="T40" s="497"/>
      <c r="U40" s="498"/>
      <c r="V40" s="497"/>
      <c r="W40" s="498"/>
      <c r="X40" s="497"/>
      <c r="Y40" s="498"/>
      <c r="Z40" s="497"/>
      <c r="AA40" s="498"/>
      <c r="AB40" s="497"/>
      <c r="AC40" s="498"/>
      <c r="AD40" s="497"/>
      <c r="AE40" s="498"/>
      <c r="AF40" s="511">
        <f ca="1">IFERROR(INDIRECT(CONCATENATE("'Height Input'!"&amp;B38&amp;C38)),"")</f>
        <v>1.2</v>
      </c>
      <c r="AG40" s="512"/>
      <c r="AH40" s="48"/>
      <c r="AI40" s="48"/>
      <c r="AJ40" s="49">
        <f ca="1">IFERROR(IF(AF40="X",MatchDay!$U$2+MatchDay!$U$2+1-COUNTIF($AF40:AF40,"X"),IF(AF40&gt;=97,1,INT(INDIRECT(CONCATENATE("'Height Input'!"&amp;$B37&amp;$C38))))),"")</f>
        <v>5</v>
      </c>
      <c r="AK40" s="50" t="str">
        <f ca="1">IFERROR(IF(OR(AJ40=0,AJ40=""),0,IF(OR(AJ40&lt;=VLOOKUP(BT40,$E48:$AJ55,32,FALSE),VLOOKUP(BT40,$E48:$AJ55,32,FALSE)=0),"A","B")),0)</f>
        <v>B</v>
      </c>
      <c r="AL40" s="123" t="str">
        <f ca="1">IFERROR(IF(OR(AK40=0,AK40="B"),"",RANK(AW40,AW40:AW55,1)),"")</f>
        <v/>
      </c>
      <c r="AM40" s="123">
        <f ca="1">IFERROR(IF(OR(AK40=0,AK40="A"),"",RANK(AX40,AX40:AX55,1)),"")</f>
        <v>1</v>
      </c>
      <c r="AN40" s="51">
        <f ca="1">IFERROR(IF(AF40="X",0,(INDIRECT(CONCATENATE("'Height Input'!"&amp;$B37&amp;$C38))-AJ40)*10),"")</f>
        <v>0</v>
      </c>
      <c r="AO40" s="8"/>
      <c r="AP40" s="9" t="str">
        <f ca="1">IF(AQ40="","",IF(AQ40=1,AR40,REPT(AR40,AQ40-1)))</f>
        <v/>
      </c>
      <c r="AQ40" s="9" t="str">
        <f ca="1">IF(AR40="","",HLOOKUP(AL40,BC39:BJ56,18,FALSE))</f>
        <v/>
      </c>
      <c r="AR40" s="45" t="str">
        <f ca="1">IF(OR(AL40=0,AL40=""),"",IF(COUNTIFS(AL40:AL55,AL40)&gt;1,"=",""))</f>
        <v/>
      </c>
      <c r="AS40" s="45"/>
      <c r="AT40" s="9" t="str">
        <f ca="1">IF(AU40="","",IF(AU40=1,AV40,REPT(AV40,AU40-1)))</f>
        <v/>
      </c>
      <c r="AU40" s="9" t="str">
        <f ca="1">IF(AV40="","",HLOOKUP(AM40,BK39:BR56,18,FALSE))</f>
        <v/>
      </c>
      <c r="AV40" s="45" t="str">
        <f ca="1">IF(OR(AM40=0,AM40=""),"",IF(COUNTIFS(AM40:AM55,AM40)&gt;1,"=",""))</f>
        <v/>
      </c>
      <c r="AW40" s="9" t="str">
        <f t="shared" ref="AW40:AW55" ca="1" si="12">IF(OR(AJ40=0,AF40=0,AK40="B"),"",AJ40)</f>
        <v/>
      </c>
      <c r="AX40" s="9">
        <f t="shared" ref="AX40:AX55" ca="1" si="13">IF(OR(AJ40=0,AF40=0,AK40="A"),"",AJ40)</f>
        <v>5</v>
      </c>
      <c r="AY40" s="47"/>
      <c r="AZ40" s="135" t="str">
        <f t="shared" ref="AZ40:AZ55" ca="1" si="14">IF(AW40="","",AW40+(AN40/10))</f>
        <v/>
      </c>
      <c r="BA40" s="135">
        <f t="shared" ref="BA40:BA55" ca="1" si="15">IF(AX40="","",AX40+(AN40/10))</f>
        <v>5</v>
      </c>
      <c r="BB40" s="9"/>
      <c r="BC40" s="52" t="str">
        <f ca="1">IF(AL40="","",IF(AL40=BC39,AL40,""))</f>
        <v/>
      </c>
      <c r="BD40" s="52" t="str">
        <f ca="1">IF(AL40="","",IF(AL40=BD39,AL40,""))</f>
        <v/>
      </c>
      <c r="BE40" s="52" t="str">
        <f ca="1">IF(AL40="","",IF(AL40=BE39,AL40,""))</f>
        <v/>
      </c>
      <c r="BF40" s="52" t="str">
        <f ca="1">IF(AL40="","",IF(AL40=BF39,AL40,""))</f>
        <v/>
      </c>
      <c r="BG40" s="52" t="str">
        <f ca="1">IF(AL40="","",IF(AL40=BG39,AL40,""))</f>
        <v/>
      </c>
      <c r="BH40" s="52" t="str">
        <f ca="1">IF(AL40="","",IF(AL40=BH39,AL40,""))</f>
        <v/>
      </c>
      <c r="BI40" s="52" t="str">
        <f ca="1">IF(AL40="","",IF(AL40=BI39,AL40,""))</f>
        <v/>
      </c>
      <c r="BJ40" s="52" t="str">
        <f ca="1">IF(AL40="","",IF(AL40=BJ39,AL40,""))</f>
        <v/>
      </c>
      <c r="BK40" s="52">
        <f ca="1">IF(AM40="","",IF(AM40=BK39,AM40,""))</f>
        <v>1</v>
      </c>
      <c r="BL40" s="52" t="str">
        <f ca="1">IF(AM40="","",IF(AM40=BL39,AM40,""))</f>
        <v/>
      </c>
      <c r="BM40" s="52" t="str">
        <f ca="1">IF(AM40="","",IF(AM40=BM39,AM40,""))</f>
        <v/>
      </c>
      <c r="BN40" s="52" t="str">
        <f ca="1">IF(AM40="","",IF(AM40=BN39,AM40,""))</f>
        <v/>
      </c>
      <c r="BO40" s="52" t="str">
        <f ca="1">IF(AM40="","",IF(AM40=BO39,AM40,""))</f>
        <v/>
      </c>
      <c r="BP40" s="52" t="str">
        <f ca="1">IF(AM40="","",IF(AM40=BP39,AM40,""))</f>
        <v/>
      </c>
      <c r="BQ40" s="52" t="str">
        <f ca="1">IF(AM40="","",IF(AM40=BQ39,AM40,""))</f>
        <v/>
      </c>
      <c r="BR40" s="52" t="str">
        <f ca="1">IF(AM40="","",IF(AM40=BR39,AM40,""))</f>
        <v/>
      </c>
      <c r="BS40" s="46"/>
      <c r="BT40" s="4">
        <f>IFERROR(IF(A39=0,A40*11,A40&amp;A40),"")</f>
        <v>11</v>
      </c>
    </row>
    <row r="41" spans="1:72" s="4" customFormat="1" ht="16.149999999999999" customHeight="1" x14ac:dyDescent="0.35">
      <c r="A41" s="8">
        <f>IFERROR(IF(D41&gt;MatchDay!$U$2,"-",VLOOKUP(A36,timetables,MatchDay!$U$4+1,FALSE)),0)</f>
        <v>2</v>
      </c>
      <c r="B41" s="10">
        <f ca="1">IFERROR(IF(OR(AK41=0,AK41="B"),"",RANK(AZ41,AZ40:AZ55,1)),"")</f>
        <v>3</v>
      </c>
      <c r="C41" s="10" t="str">
        <f ca="1">IFERROR(IF(OR(AK41=0,AK41="A"),"",RANK(BA41,BA40:BA55,1)),"")</f>
        <v/>
      </c>
      <c r="D41" s="55">
        <v>2</v>
      </c>
      <c r="E41" s="17">
        <f t="shared" ref="E41:E55" si="16">A41</f>
        <v>2</v>
      </c>
      <c r="F41" s="319" t="str">
        <f>IFERROR(VLOOKUP($A36&amp;E41,downloads!$A$1:$E$1000,2,FALSE),"")</f>
        <v>Ryan MCCARTHY</v>
      </c>
      <c r="G41" s="18" t="str">
        <f t="shared" si="11"/>
        <v>ECHT</v>
      </c>
      <c r="H41" s="497"/>
      <c r="I41" s="498"/>
      <c r="J41" s="497"/>
      <c r="K41" s="498"/>
      <c r="L41" s="497"/>
      <c r="M41" s="498"/>
      <c r="N41" s="497"/>
      <c r="O41" s="498"/>
      <c r="P41" s="497"/>
      <c r="Q41" s="498"/>
      <c r="R41" s="497"/>
      <c r="S41" s="498"/>
      <c r="T41" s="497"/>
      <c r="U41" s="498"/>
      <c r="V41" s="497"/>
      <c r="W41" s="498"/>
      <c r="X41" s="497"/>
      <c r="Y41" s="498"/>
      <c r="Z41" s="497"/>
      <c r="AA41" s="498"/>
      <c r="AB41" s="497"/>
      <c r="AC41" s="498"/>
      <c r="AD41" s="497"/>
      <c r="AE41" s="498"/>
      <c r="AF41" s="511">
        <f ca="1">IFERROR(INDIRECT(CONCATENATE("'Height Input'!"&amp;B38&amp;C38+1)),"")</f>
        <v>1.25</v>
      </c>
      <c r="AG41" s="512"/>
      <c r="AH41" s="48"/>
      <c r="AI41" s="48"/>
      <c r="AJ41" s="49">
        <f ca="1">IFERROR(IF(AF41="X",MatchDay!$U$2+MatchDay!$U$2+1-COUNTIF($AF40:AF41,"X"),IF(AF41&gt;=97,1,INT(INDIRECT(CONCATENATE("'Height Input'!"&amp;$B37&amp;$C38+1))))),"")</f>
        <v>3</v>
      </c>
      <c r="AK41" s="50" t="str">
        <f ca="1">IFERROR(IF(OR(AJ41=0,AJ41=""),0,IF(OR(AJ41&lt;=VLOOKUP(BT41,$E48:$AJ55,32,FALSE),VLOOKUP(BT41,$E48:$AJ55,32,FALSE)=0),"A","B")),0)</f>
        <v>A</v>
      </c>
      <c r="AL41" s="123">
        <f ca="1">IFERROR(IF(OR(AK41=0,AK41="B"),"",RANK(AW41,AW40:AW55,1)),"")</f>
        <v>3</v>
      </c>
      <c r="AM41" s="123" t="str">
        <f ca="1">IFERROR(IF(OR(AK41=0,AK41="A"),"",RANK(AX41,AX40:AX55,1)),"")</f>
        <v/>
      </c>
      <c r="AN41" s="51">
        <f ca="1">IFERROR(IF(AF41="X",0,(INDIRECT(CONCATENATE("'Height Input'!"&amp;$B37&amp;$C38+1))-AJ41)*10),"")</f>
        <v>0</v>
      </c>
      <c r="AO41" s="8"/>
      <c r="AP41" s="9" t="str">
        <f t="shared" ref="AP41:AP55" ca="1" si="17">IF(AQ41="","",IF(AQ41=1,AR41,REPT(AR41,AQ41-1)))</f>
        <v/>
      </c>
      <c r="AQ41" s="9" t="str">
        <f ca="1">IF(AR41="","",HLOOKUP(AL41,BC39:BJ56,18,FALSE))</f>
        <v/>
      </c>
      <c r="AR41" s="45" t="str">
        <f ca="1">IF(OR(AL41=0,AL41=""),"",IF(COUNTIFS(AL40:AL55,AL41)&gt;1,"=",""))</f>
        <v/>
      </c>
      <c r="AS41" s="45"/>
      <c r="AT41" s="9" t="str">
        <f t="shared" ref="AT41:AT55" ca="1" si="18">IF(AU41="","",IF(AU41=1,AV41,REPT(AV41,AU41-1)))</f>
        <v/>
      </c>
      <c r="AU41" s="9" t="str">
        <f ca="1">IF(AV41="","",HLOOKUP(AM41,BK39:BR56,18,FALSE))</f>
        <v/>
      </c>
      <c r="AV41" s="45" t="str">
        <f ca="1">IF(OR(AM41=0,AM41=""),"",IF(COUNTIFS(AM40:AM55,AM41)&gt;1,"=",""))</f>
        <v/>
      </c>
      <c r="AW41" s="9">
        <f t="shared" ca="1" si="12"/>
        <v>3</v>
      </c>
      <c r="AX41" s="9" t="str">
        <f t="shared" ca="1" si="13"/>
        <v/>
      </c>
      <c r="AY41" s="47"/>
      <c r="AZ41" s="135">
        <f t="shared" ca="1" si="14"/>
        <v>3</v>
      </c>
      <c r="BA41" s="135" t="str">
        <f t="shared" ca="1" si="15"/>
        <v/>
      </c>
      <c r="BB41" s="9"/>
      <c r="BC41" s="52" t="str">
        <f ca="1">IF(AL41="","",IF(AL41=BC39,AL41,""))</f>
        <v/>
      </c>
      <c r="BD41" s="52" t="str">
        <f ca="1">IF(AL41="","",IF(AL41=BD39,AL41,""))</f>
        <v/>
      </c>
      <c r="BE41" s="52">
        <f ca="1">IF(AL41="","",IF(AL41=BE39,AL41,""))</f>
        <v>3</v>
      </c>
      <c r="BF41" s="52" t="str">
        <f ca="1">IF(AL41="","",IF(AL41=BF39,AL41,""))</f>
        <v/>
      </c>
      <c r="BG41" s="52" t="str">
        <f ca="1">IF(AL41="","",IF(AL41=BG39,AL41,""))</f>
        <v/>
      </c>
      <c r="BH41" s="52" t="str">
        <f ca="1">IF(AL41="","",IF(AL41=BH39,AL41,""))</f>
        <v/>
      </c>
      <c r="BI41" s="52" t="str">
        <f ca="1">IF(AL41="","",IF(AL41=BI39,AL41,""))</f>
        <v/>
      </c>
      <c r="BJ41" s="52" t="str">
        <f ca="1">IF(AL41="","",IF(AL41=BJ39,AL41,""))</f>
        <v/>
      </c>
      <c r="BK41" s="52" t="str">
        <f ca="1">IF(AM41="","",IF(AM41=BK39,AM41,""))</f>
        <v/>
      </c>
      <c r="BL41" s="52" t="str">
        <f ca="1">IF(AM41="","",IF(AM41=BL39,AM41,""))</f>
        <v/>
      </c>
      <c r="BM41" s="52" t="str">
        <f ca="1">IF(AM41="","",IF(AM41=BM39,AM41,""))</f>
        <v/>
      </c>
      <c r="BN41" s="52" t="str">
        <f ca="1">IF(AM41="","",IF(AM41=BN39,AM41,""))</f>
        <v/>
      </c>
      <c r="BO41" s="52" t="str">
        <f ca="1">IF(AM41="","",IF(AM41=BO39,AM41,""))</f>
        <v/>
      </c>
      <c r="BP41" s="52" t="str">
        <f ca="1">IF(AM41="","",IF(AM41=BP39,AM41,""))</f>
        <v/>
      </c>
      <c r="BQ41" s="52" t="str">
        <f ca="1">IF(AM41="","",IF(AM41=BQ39,AM41,""))</f>
        <v/>
      </c>
      <c r="BR41" s="52" t="str">
        <f ca="1">IF(AM41="","",IF(AM41=BR39,AM41,""))</f>
        <v/>
      </c>
      <c r="BS41" s="46"/>
      <c r="BT41" s="4">
        <f>IFERROR(IF(A39=0,A41*11,A41&amp;A41),"")</f>
        <v>22</v>
      </c>
    </row>
    <row r="42" spans="1:72" s="4" customFormat="1" ht="16.149999999999999" customHeight="1" x14ac:dyDescent="0.35">
      <c r="A42" s="8">
        <f>IFERROR(IF(D42&gt;MatchDay!$U$2,"-",VLOOKUP(A36,timetables,MatchDay!$U$4+2,FALSE)),0)</f>
        <v>6</v>
      </c>
      <c r="B42" s="10" t="str">
        <f ca="1">IFERROR(IF(OR(AK42=0,AK42="B"),"",RANK(AZ42,AZ40:AZ55,1)),"")</f>
        <v/>
      </c>
      <c r="C42" s="10" t="str">
        <f ca="1">IFERROR(IF(OR(AK42=0,AK42="A"),"",RANK(BA42,BA40:BA55,1)),"")</f>
        <v/>
      </c>
      <c r="D42" s="55">
        <v>3</v>
      </c>
      <c r="E42" s="17">
        <f t="shared" si="16"/>
        <v>6</v>
      </c>
      <c r="F42" s="319" t="str">
        <f>IFERROR(VLOOKUP($A36&amp;E42,downloads!$A$1:$E$1000,2,FALSE),"")</f>
        <v/>
      </c>
      <c r="G42" s="18" t="str">
        <f t="shared" si="11"/>
        <v>Stock</v>
      </c>
      <c r="H42" s="497"/>
      <c r="I42" s="498"/>
      <c r="J42" s="497"/>
      <c r="K42" s="498"/>
      <c r="L42" s="497"/>
      <c r="M42" s="498"/>
      <c r="N42" s="497"/>
      <c r="O42" s="498"/>
      <c r="P42" s="497"/>
      <c r="Q42" s="498"/>
      <c r="R42" s="497"/>
      <c r="S42" s="498"/>
      <c r="T42" s="497"/>
      <c r="U42" s="498"/>
      <c r="V42" s="497"/>
      <c r="W42" s="498"/>
      <c r="X42" s="497"/>
      <c r="Y42" s="498"/>
      <c r="Z42" s="497"/>
      <c r="AA42" s="498"/>
      <c r="AB42" s="497"/>
      <c r="AC42" s="498"/>
      <c r="AD42" s="497"/>
      <c r="AE42" s="498"/>
      <c r="AF42" s="511">
        <f ca="1">IFERROR(INDIRECT(CONCATENATE("'Height Input'!"&amp;B38&amp;C38+2)),"")</f>
        <v>0</v>
      </c>
      <c r="AG42" s="512"/>
      <c r="AH42" s="48"/>
      <c r="AI42" s="48"/>
      <c r="AJ42" s="49">
        <f ca="1">IFERROR(IF(AF42="X",MatchDay!$U$2+MatchDay!$U$2+1-COUNTIF($AF40:AF42,"X"),IF(AF42&gt;=97,1,INT(INDIRECT(CONCATENATE("'Height Input'!"&amp;$B37&amp;$C38+2))))),"")</f>
        <v>0</v>
      </c>
      <c r="AK42" s="50">
        <f ca="1">IFERROR(IF(OR(AJ42=0,AJ42=""),0,IF(OR(AJ42&lt;=VLOOKUP(BT42,$E48:$AJ55,32,FALSE),VLOOKUP(BT42,$E48:$AJ55,32,FALSE)=0),"A","B")),0)</f>
        <v>0</v>
      </c>
      <c r="AL42" s="123" t="str">
        <f ca="1">IFERROR(IF(OR(AK42=0,AK42="B"),"",RANK(AW42,AW40:AW55,1)),"")</f>
        <v/>
      </c>
      <c r="AM42" s="123" t="str">
        <f ca="1">IFERROR(IF(OR(AK42=0,AK42="A"),"",RANK(AX42,AX40:AX55,1)),"")</f>
        <v/>
      </c>
      <c r="AN42" s="51">
        <f ca="1">IFERROR(IF(AF42="X",0,(INDIRECT(CONCATENATE("'Height Input'!"&amp;$B37&amp;$C38+2))-AJ42)*10),"")</f>
        <v>0</v>
      </c>
      <c r="AO42" s="8"/>
      <c r="AP42" s="9" t="str">
        <f t="shared" ca="1" si="17"/>
        <v/>
      </c>
      <c r="AQ42" s="9" t="str">
        <f ca="1">IF(AR42="","",HLOOKUP(AL42,BC39:BJ56,18,FALSE))</f>
        <v/>
      </c>
      <c r="AR42" s="45" t="str">
        <f ca="1">IF(OR(AL42=0,AL42=""),"",IF(COUNTIFS(AL40:AL55,AL42)&gt;1,"=",""))</f>
        <v/>
      </c>
      <c r="AS42" s="45"/>
      <c r="AT42" s="9" t="str">
        <f t="shared" ca="1" si="18"/>
        <v/>
      </c>
      <c r="AU42" s="9" t="str">
        <f ca="1">IF(AV42="","",HLOOKUP(AM42,BK39:BR56,18,FALSE))</f>
        <v/>
      </c>
      <c r="AV42" s="45" t="str">
        <f ca="1">IF(OR(AM42=0,AM42=""),"",IF(COUNTIFS(AM40:AM55,AM42)&gt;1,"=",""))</f>
        <v/>
      </c>
      <c r="AW42" s="9" t="str">
        <f t="shared" ca="1" si="12"/>
        <v/>
      </c>
      <c r="AX42" s="9" t="str">
        <f t="shared" ca="1" si="13"/>
        <v/>
      </c>
      <c r="AY42" s="47"/>
      <c r="AZ42" s="135" t="str">
        <f t="shared" ca="1" si="14"/>
        <v/>
      </c>
      <c r="BA42" s="135" t="str">
        <f t="shared" ca="1" si="15"/>
        <v/>
      </c>
      <c r="BB42" s="9"/>
      <c r="BC42" s="52" t="str">
        <f ca="1">IF(AL42="","",IF(AL42=BC39,AL42,""))</f>
        <v/>
      </c>
      <c r="BD42" s="52" t="str">
        <f ca="1">IF(AL42="","",IF(AL42=BD39,AL42,""))</f>
        <v/>
      </c>
      <c r="BE42" s="52" t="str">
        <f ca="1">IF(AL42="","",IF(AL42=BE39,AL42,""))</f>
        <v/>
      </c>
      <c r="BF42" s="52" t="str">
        <f ca="1">IF(AL42="","",IF(AL42=BF39,AL42,""))</f>
        <v/>
      </c>
      <c r="BG42" s="52" t="str">
        <f ca="1">IF(AL42="","",IF(AL42=BG39,AL42,""))</f>
        <v/>
      </c>
      <c r="BH42" s="52" t="str">
        <f ca="1">IF(AL42="","",IF(AL42=BH39,AL42,""))</f>
        <v/>
      </c>
      <c r="BI42" s="52" t="str">
        <f ca="1">IF(AL42="","",IF(AL42=BI39,AL42,""))</f>
        <v/>
      </c>
      <c r="BJ42" s="52" t="str">
        <f ca="1">IF(AL42="","",IF(AL42=BJ39,AL42,""))</f>
        <v/>
      </c>
      <c r="BK42" s="52" t="str">
        <f ca="1">IF(AM42="","",IF(AM42=BK39,AM42,""))</f>
        <v/>
      </c>
      <c r="BL42" s="52" t="str">
        <f ca="1">IF(AM42="","",IF(AM42=BL39,AM42,""))</f>
        <v/>
      </c>
      <c r="BM42" s="52" t="str">
        <f ca="1">IF(AM42="","",IF(AM42=BM39,AM42,""))</f>
        <v/>
      </c>
      <c r="BN42" s="52" t="str">
        <f ca="1">IF(AM42="","",IF(AM42=BN39,AM42,""))</f>
        <v/>
      </c>
      <c r="BO42" s="52" t="str">
        <f ca="1">IF(AM42="","",IF(AM42=BO39,AM42,""))</f>
        <v/>
      </c>
      <c r="BP42" s="52" t="str">
        <f ca="1">IF(AM42="","",IF(AM42=BP39,AM42,""))</f>
        <v/>
      </c>
      <c r="BQ42" s="52" t="str">
        <f ca="1">IF(AM42="","",IF(AM42=BQ39,AM42,""))</f>
        <v/>
      </c>
      <c r="BR42" s="52" t="str">
        <f ca="1">IF(AM42="","",IF(AM42=BR39,AM42,""))</f>
        <v/>
      </c>
      <c r="BS42" s="46"/>
      <c r="BT42" s="4">
        <f>IFERROR(IF(A39=0,A42*11,A42&amp;A42),"")</f>
        <v>66</v>
      </c>
    </row>
    <row r="43" spans="1:72" s="4" customFormat="1" ht="16.149999999999999" customHeight="1" x14ac:dyDescent="0.35">
      <c r="A43" s="8">
        <f>IFERROR(IF(D43&gt;MatchDay!$U$2,"-",VLOOKUP(A36,timetables,MatchDay!$U$4+3,FALSE)),0)</f>
        <v>7</v>
      </c>
      <c r="B43" s="10">
        <f ca="1">IFERROR(IF(OR(AK43=0,AK43="B"),"",RANK(AZ43,AZ40:AZ55,1)),"")</f>
        <v>4</v>
      </c>
      <c r="C43" s="10" t="str">
        <f ca="1">IFERROR(IF(OR(AK43=0,AK43="A"),"",RANK(BA43,BA40:BA55,1)),"")</f>
        <v/>
      </c>
      <c r="D43" s="55">
        <v>4</v>
      </c>
      <c r="E43" s="17">
        <f t="shared" si="16"/>
        <v>7</v>
      </c>
      <c r="F43" s="319" t="str">
        <f>IFERROR(VLOOKUP($A36&amp;E43,downloads!$A$1:$E$1000,2,FALSE),"")</f>
        <v>Samuel HODGKINSON</v>
      </c>
      <c r="G43" s="18" t="str">
        <f t="shared" si="11"/>
        <v>Wigan</v>
      </c>
      <c r="H43" s="497"/>
      <c r="I43" s="498"/>
      <c r="J43" s="497"/>
      <c r="K43" s="498"/>
      <c r="L43" s="497"/>
      <c r="M43" s="498"/>
      <c r="N43" s="497"/>
      <c r="O43" s="498"/>
      <c r="P43" s="497"/>
      <c r="Q43" s="498"/>
      <c r="R43" s="497"/>
      <c r="S43" s="498"/>
      <c r="T43" s="497"/>
      <c r="U43" s="498"/>
      <c r="V43" s="497"/>
      <c r="W43" s="498"/>
      <c r="X43" s="497"/>
      <c r="Y43" s="498"/>
      <c r="Z43" s="497"/>
      <c r="AA43" s="498"/>
      <c r="AB43" s="497"/>
      <c r="AC43" s="498"/>
      <c r="AD43" s="497"/>
      <c r="AE43" s="498"/>
      <c r="AF43" s="511">
        <f ca="1">IFERROR(INDIRECT(CONCATENATE("'Height Input'!"&amp;B38&amp;C38+3)),"")</f>
        <v>1.25</v>
      </c>
      <c r="AG43" s="512"/>
      <c r="AH43" s="48"/>
      <c r="AI43" s="48"/>
      <c r="AJ43" s="49">
        <f ca="1">IFERROR(IF(AF43="X",MatchDay!$U$2+MatchDay!$U$2+1-COUNTIF($AF40:AF43,"X"),IF(AF43&gt;=97,1,INT(INDIRECT(CONCATENATE("'Height Input'!"&amp;$B37&amp;$C38+3))))),"")</f>
        <v>4</v>
      </c>
      <c r="AK43" s="50" t="str">
        <f ca="1">IFERROR(IF(OR(AJ43=0,AJ43=""),0,IF(OR(AJ43&lt;=VLOOKUP(BT43,$E48:$AJ55,32,FALSE),VLOOKUP(BT43,$E48:$AJ55,32,FALSE)=0),"A","B")),0)</f>
        <v>A</v>
      </c>
      <c r="AL43" s="123">
        <f ca="1">IFERROR(IF(OR(AK43=0,AK43="B"),"",RANK(AW43,AW40:AW55,1)),"")</f>
        <v>4</v>
      </c>
      <c r="AM43" s="123" t="str">
        <f ca="1">IFERROR(IF(OR(AK43=0,AK43="A"),"",RANK(AX43,AX40:AX55,1)),"")</f>
        <v/>
      </c>
      <c r="AN43" s="51">
        <f ca="1">IFERROR(IF(AF43="X",0,(INDIRECT(CONCATENATE("'Height Input'!"&amp;$B37&amp;$C38+3))-AJ43)*10),"")</f>
        <v>0</v>
      </c>
      <c r="AO43" s="8"/>
      <c r="AP43" s="9" t="str">
        <f t="shared" ca="1" si="17"/>
        <v/>
      </c>
      <c r="AQ43" s="9" t="str">
        <f ca="1">IF(AR43="","",HLOOKUP(AL43,BC39:BJ56,18,FALSE))</f>
        <v/>
      </c>
      <c r="AR43" s="45" t="str">
        <f ca="1">IF(OR(AL43=0,AL43=""),"",IF(COUNTIFS(AL40:AL55,AL43)&gt;1,"=",""))</f>
        <v/>
      </c>
      <c r="AS43" s="45"/>
      <c r="AT43" s="9" t="str">
        <f t="shared" ca="1" si="18"/>
        <v/>
      </c>
      <c r="AU43" s="9" t="str">
        <f ca="1">IF(AV43="","",HLOOKUP(AM43,BK39:BR56,18,FALSE))</f>
        <v/>
      </c>
      <c r="AV43" s="45" t="str">
        <f ca="1">IF(OR(AM43=0,AM43=""),"",IF(COUNTIFS(AM40:AM55,AM43)&gt;1,"=",""))</f>
        <v/>
      </c>
      <c r="AW43" s="9">
        <f t="shared" ca="1" si="12"/>
        <v>4</v>
      </c>
      <c r="AX43" s="9" t="str">
        <f t="shared" ca="1" si="13"/>
        <v/>
      </c>
      <c r="AY43" s="47"/>
      <c r="AZ43" s="135">
        <f t="shared" ca="1" si="14"/>
        <v>4</v>
      </c>
      <c r="BA43" s="135" t="str">
        <f t="shared" ca="1" si="15"/>
        <v/>
      </c>
      <c r="BB43" s="9"/>
      <c r="BC43" s="52" t="str">
        <f ca="1">IF(AL43="","",IF(AL43=BC39,AL43,""))</f>
        <v/>
      </c>
      <c r="BD43" s="52" t="str">
        <f ca="1">IF(AL43="","",IF(AL43=BD39,AL43,""))</f>
        <v/>
      </c>
      <c r="BE43" s="52" t="str">
        <f ca="1">IF(AL43="","",IF(AL43=BE39,AL43,""))</f>
        <v/>
      </c>
      <c r="BF43" s="52">
        <f ca="1">IF(AL43="","",IF(AL43=BF39,AL43,""))</f>
        <v>4</v>
      </c>
      <c r="BG43" s="52" t="str">
        <f ca="1">IF(AL43="","",IF(AL43=BG39,AL43,""))</f>
        <v/>
      </c>
      <c r="BH43" s="52" t="str">
        <f ca="1">IF(AL43="","",IF(AL43=BH39,AL43,""))</f>
        <v/>
      </c>
      <c r="BI43" s="52" t="str">
        <f ca="1">IF(AL43="","",IF(AL43=BI39,AL43,""))</f>
        <v/>
      </c>
      <c r="BJ43" s="52" t="str">
        <f ca="1">IF(AL43="","",IF(AL43=BJ39,AL43,""))</f>
        <v/>
      </c>
      <c r="BK43" s="52" t="str">
        <f ca="1">IF(AM43="","",IF(AM43=BK39,AM43,""))</f>
        <v/>
      </c>
      <c r="BL43" s="52" t="str">
        <f ca="1">IF(AM43="","",IF(AM43=BL39,AM43,""))</f>
        <v/>
      </c>
      <c r="BM43" s="52" t="str">
        <f ca="1">IF(AM43="","",IF(AM43=BM39,AM43,""))</f>
        <v/>
      </c>
      <c r="BN43" s="52" t="str">
        <f ca="1">IF(AM43="","",IF(AM43=BN39,AM43,""))</f>
        <v/>
      </c>
      <c r="BO43" s="52" t="str">
        <f ca="1">IF(AM43="","",IF(AM43=BO39,AM43,""))</f>
        <v/>
      </c>
      <c r="BP43" s="52" t="str">
        <f ca="1">IF(AM43="","",IF(AM43=BP39,AM43,""))</f>
        <v/>
      </c>
      <c r="BQ43" s="52" t="str">
        <f ca="1">IF(AM43="","",IF(AM43=BQ39,AM43,""))</f>
        <v/>
      </c>
      <c r="BR43" s="52" t="str">
        <f ca="1">IF(AM43="","",IF(AM43=BR39,AM43,""))</f>
        <v/>
      </c>
      <c r="BS43" s="46"/>
      <c r="BT43" s="4">
        <f>IFERROR(IF(A39=0,A43*11,A43&amp;A43),"")</f>
        <v>77</v>
      </c>
    </row>
    <row r="44" spans="1:72" s="4" customFormat="1" ht="16.149999999999999" customHeight="1" x14ac:dyDescent="0.35">
      <c r="A44" s="8">
        <f>IFERROR(IF(D44&gt;MatchDay!$U$2,"-",VLOOKUP(A36,timetables,MatchDay!$U$4+4,FALSE)),0)</f>
        <v>3</v>
      </c>
      <c r="B44" s="10" t="str">
        <f ca="1">IFERROR(IF(OR(AK44=0,AK44="B"),"",RANK(AZ44,AZ40:AZ55,1)),"")</f>
        <v/>
      </c>
      <c r="C44" s="10" t="str">
        <f ca="1">IFERROR(IF(OR(AK44=0,AK44="A"),"",RANK(BA44,BA40:BA55,1)),"")</f>
        <v/>
      </c>
      <c r="D44" s="55">
        <v>5</v>
      </c>
      <c r="E44" s="17">
        <f t="shared" si="16"/>
        <v>3</v>
      </c>
      <c r="F44" s="319" t="str">
        <f>IFERROR(VLOOKUP($A36&amp;E44,downloads!$A$1:$E$1000,2,FALSE),"")</f>
        <v>Henri MANNION</v>
      </c>
      <c r="G44" s="18" t="str">
        <f t="shared" si="11"/>
        <v>Leigh</v>
      </c>
      <c r="H44" s="497"/>
      <c r="I44" s="498"/>
      <c r="J44" s="497"/>
      <c r="K44" s="498"/>
      <c r="L44" s="497"/>
      <c r="M44" s="498"/>
      <c r="N44" s="497"/>
      <c r="O44" s="498"/>
      <c r="P44" s="497"/>
      <c r="Q44" s="498"/>
      <c r="R44" s="497"/>
      <c r="S44" s="498"/>
      <c r="T44" s="497"/>
      <c r="U44" s="498"/>
      <c r="V44" s="497"/>
      <c r="W44" s="498"/>
      <c r="X44" s="497"/>
      <c r="Y44" s="498"/>
      <c r="Z44" s="497"/>
      <c r="AA44" s="498"/>
      <c r="AB44" s="497"/>
      <c r="AC44" s="498"/>
      <c r="AD44" s="497"/>
      <c r="AE44" s="498"/>
      <c r="AF44" s="511">
        <f ca="1">IFERROR(INDIRECT(CONCATENATE("'Height Input'!"&amp;B38&amp;C38+4)),"")</f>
        <v>0</v>
      </c>
      <c r="AG44" s="512"/>
      <c r="AH44" s="48"/>
      <c r="AI44" s="48"/>
      <c r="AJ44" s="49">
        <f ca="1">IFERROR(IF(AF44="X",MatchDay!$U$2+MatchDay!$U$2+1-COUNTIF($AF40:AF44,"X"),IF(AF44&gt;=97,1,INT(INDIRECT(CONCATENATE("'Height Input'!"&amp;$B37&amp;$C38+4))))),"")</f>
        <v>0</v>
      </c>
      <c r="AK44" s="50">
        <f ca="1">IFERROR(IF(OR(AJ44=0,AJ44=""),0,IF(OR(AJ44&lt;=VLOOKUP(BT44,$E48:$AJ55,32,FALSE),VLOOKUP(BT44,$E48:$AJ55,32,FALSE)=0),"A","B")),0)</f>
        <v>0</v>
      </c>
      <c r="AL44" s="123" t="str">
        <f ca="1">IFERROR(IF(OR(AK44=0,AK44="B"),"",RANK(AW44,AW40:AW55,1)),"")</f>
        <v/>
      </c>
      <c r="AM44" s="123" t="str">
        <f ca="1">IFERROR(IF(OR(AK44=0,AK44="A"),"",RANK(AX44,AX40:AX55,1)),"")</f>
        <v/>
      </c>
      <c r="AN44" s="51">
        <f ca="1">IFERROR(IF(AF44="X",0,(INDIRECT(CONCATENATE("'Height Input'!"&amp;$B37&amp;$C38+4))-AJ44)*10),"")</f>
        <v>0</v>
      </c>
      <c r="AO44" s="8"/>
      <c r="AP44" s="9" t="str">
        <f t="shared" ca="1" si="17"/>
        <v/>
      </c>
      <c r="AQ44" s="9" t="str">
        <f ca="1">IF(AR44="","",HLOOKUP(AL44,BC39:BJ56,18,FALSE))</f>
        <v/>
      </c>
      <c r="AR44" s="45" t="str">
        <f ca="1">IF(OR(AL44=0,AL44=""),"",IF(COUNTIFS(AL40:AL55,AL44)&gt;1,"=",""))</f>
        <v/>
      </c>
      <c r="AS44" s="45"/>
      <c r="AT44" s="9" t="str">
        <f t="shared" ca="1" si="18"/>
        <v/>
      </c>
      <c r="AU44" s="9" t="str">
        <f ca="1">IF(AV44="","",HLOOKUP(AM44,BK39:BR56,18,FALSE))</f>
        <v/>
      </c>
      <c r="AV44" s="45" t="str">
        <f ca="1">IF(OR(AM44=0,AM44=""),"",IF(COUNTIFS(AM40:AM55,AM44)&gt;1,"=",""))</f>
        <v/>
      </c>
      <c r="AW44" s="9" t="str">
        <f t="shared" ca="1" si="12"/>
        <v/>
      </c>
      <c r="AX44" s="9" t="str">
        <f t="shared" ca="1" si="13"/>
        <v/>
      </c>
      <c r="AY44" s="47"/>
      <c r="AZ44" s="135" t="str">
        <f t="shared" ca="1" si="14"/>
        <v/>
      </c>
      <c r="BA44" s="135" t="str">
        <f t="shared" ca="1" si="15"/>
        <v/>
      </c>
      <c r="BB44" s="9"/>
      <c r="BC44" s="52" t="str">
        <f ca="1">IF(AL44="","",IF(AL44=BC39,AL44,""))</f>
        <v/>
      </c>
      <c r="BD44" s="52" t="str">
        <f ca="1">IF(AL44="","",IF(AL44=BD39,AL44,""))</f>
        <v/>
      </c>
      <c r="BE44" s="52" t="str">
        <f ca="1">IF(AL44="","",IF(AL44=BE39,AL44,""))</f>
        <v/>
      </c>
      <c r="BF44" s="52" t="str">
        <f ca="1">IF(AL44="","",IF(AL44=BF39,AL44,""))</f>
        <v/>
      </c>
      <c r="BG44" s="52" t="str">
        <f ca="1">IF(AL44="","",IF(AL44=BG39,AL44,""))</f>
        <v/>
      </c>
      <c r="BH44" s="52" t="str">
        <f ca="1">IF(AL44="","",IF(AL44=BH39,AL44,""))</f>
        <v/>
      </c>
      <c r="BI44" s="52" t="str">
        <f ca="1">IF(AL44="","",IF(AL44=BI39,AL44,""))</f>
        <v/>
      </c>
      <c r="BJ44" s="52" t="str">
        <f ca="1">IF(AL44="","",IF(AL44=BJ39,AL44,""))</f>
        <v/>
      </c>
      <c r="BK44" s="52" t="str">
        <f ca="1">IF(AM44="","",IF(AM44=BK39,AM44,""))</f>
        <v/>
      </c>
      <c r="BL44" s="52" t="str">
        <f ca="1">IF(AM44="","",IF(AM44=BL39,AM44,""))</f>
        <v/>
      </c>
      <c r="BM44" s="52" t="str">
        <f ca="1">IF(AM44="","",IF(AM44=BM39,AM44,""))</f>
        <v/>
      </c>
      <c r="BN44" s="52" t="str">
        <f ca="1">IF(AM44="","",IF(AM44=BN39,AM44,""))</f>
        <v/>
      </c>
      <c r="BO44" s="52" t="str">
        <f ca="1">IF(AM44="","",IF(AM44=BO39,AM44,""))</f>
        <v/>
      </c>
      <c r="BP44" s="52" t="str">
        <f ca="1">IF(AM44="","",IF(AM44=BP39,AM44,""))</f>
        <v/>
      </c>
      <c r="BQ44" s="52" t="str">
        <f ca="1">IF(AM44="","",IF(AM44=BQ39,AM44,""))</f>
        <v/>
      </c>
      <c r="BR44" s="52" t="str">
        <f ca="1">IF(AM44="","",IF(AM44=BR39,AM44,""))</f>
        <v/>
      </c>
      <c r="BS44" s="46"/>
      <c r="BT44" s="4">
        <f>IFERROR(IF(A39=0,A44*11,A44&amp;A44),"")</f>
        <v>33</v>
      </c>
    </row>
    <row r="45" spans="1:72" s="4" customFormat="1" ht="16.149999999999999" customHeight="1" x14ac:dyDescent="0.35">
      <c r="A45" s="8">
        <f>IFERROR(IF(D45&gt;MatchDay!$U$2,"-",VLOOKUP(A36,timetables,MatchDay!$U$4+5,FALSE)),0)</f>
        <v>4</v>
      </c>
      <c r="B45" s="10">
        <f ca="1">IFERROR(IF(OR(AK45=0,AK45="B"),"",RANK(AZ45,AZ40:AZ55,1)),"")</f>
        <v>2</v>
      </c>
      <c r="C45" s="10" t="str">
        <f ca="1">IFERROR(IF(OR(AK45=0,AK45="A"),"",RANK(BA45,BA40:BA55,1)),"")</f>
        <v/>
      </c>
      <c r="D45" s="55">
        <v>6</v>
      </c>
      <c r="E45" s="17">
        <f t="shared" si="16"/>
        <v>4</v>
      </c>
      <c r="F45" s="319" t="str">
        <f>IFERROR(VLOOKUP($A36&amp;E45,downloads!$A$1:$E$1000,2,FALSE),"")</f>
        <v>Tomas BEDOYA</v>
      </c>
      <c r="G45" s="18" t="str">
        <f t="shared" si="11"/>
        <v>Macc</v>
      </c>
      <c r="H45" s="497"/>
      <c r="I45" s="498"/>
      <c r="J45" s="497"/>
      <c r="K45" s="498"/>
      <c r="L45" s="497"/>
      <c r="M45" s="498"/>
      <c r="N45" s="497"/>
      <c r="O45" s="498"/>
      <c r="P45" s="497"/>
      <c r="Q45" s="498"/>
      <c r="R45" s="497"/>
      <c r="S45" s="498"/>
      <c r="T45" s="497"/>
      <c r="U45" s="498"/>
      <c r="V45" s="497"/>
      <c r="W45" s="498"/>
      <c r="X45" s="497"/>
      <c r="Y45" s="498"/>
      <c r="Z45" s="497"/>
      <c r="AA45" s="498"/>
      <c r="AB45" s="497"/>
      <c r="AC45" s="498"/>
      <c r="AD45" s="497"/>
      <c r="AE45" s="498"/>
      <c r="AF45" s="511">
        <f ca="1">IFERROR(INDIRECT(CONCATENATE("'Height Input'!"&amp;B38&amp;C38+5)),"")</f>
        <v>1.33</v>
      </c>
      <c r="AG45" s="512"/>
      <c r="AH45" s="48"/>
      <c r="AI45" s="48"/>
      <c r="AJ45" s="49">
        <f ca="1">IFERROR(IF(AF45="X",MatchDay!$U$2+MatchDay!$U$2+1-COUNTIF($AF40:AF45,"X"),IF(AF45&gt;=97,1,INT(INDIRECT(CONCATENATE("'Height Input'!"&amp;$B37&amp;$C38+5))))),"")</f>
        <v>2</v>
      </c>
      <c r="AK45" s="50" t="str">
        <f ca="1">IFERROR(IF(OR(AJ45=0,AJ45=""),0,IF(OR(AJ45&lt;=VLOOKUP(BT45,$E48:$AJ55,32,FALSE),VLOOKUP(BT45,$E48:$AJ55,32,FALSE)=0),"A","B")),0)</f>
        <v>A</v>
      </c>
      <c r="AL45" s="123">
        <f ca="1">IFERROR(IF(OR(AK45=0,AK45="B"),"",RANK(AW45,AW40:AW55,1)),"")</f>
        <v>2</v>
      </c>
      <c r="AM45" s="123" t="str">
        <f ca="1">IFERROR(IF(OR(AK45=0,AK45="A"),"",RANK(AX45,AX40:AX55,1)),"")</f>
        <v/>
      </c>
      <c r="AN45" s="51">
        <f ca="1">IFERROR(IF(AF45="X",0,(INDIRECT(CONCATENATE("'Height Input'!"&amp;$B37&amp;$C38+5))-AJ45)*10),"")</f>
        <v>0</v>
      </c>
      <c r="AO45" s="8"/>
      <c r="AP45" s="9" t="str">
        <f t="shared" ca="1" si="17"/>
        <v/>
      </c>
      <c r="AQ45" s="9" t="str">
        <f ca="1">IF(AR45="","",HLOOKUP(AL45,BC39:BJ56,18,FALSE))</f>
        <v/>
      </c>
      <c r="AR45" s="45" t="str">
        <f ca="1">IF(OR(AL45=0,AL45=""),"",IF(COUNTIFS(AL40:AL55,AL45)&gt;1,"=",""))</f>
        <v/>
      </c>
      <c r="AS45" s="45"/>
      <c r="AT45" s="9" t="str">
        <f t="shared" ca="1" si="18"/>
        <v/>
      </c>
      <c r="AU45" s="9" t="str">
        <f ca="1">IF(AV45="","",HLOOKUP(AM45,BK39:BR56,18,FALSE))</f>
        <v/>
      </c>
      <c r="AV45" s="45" t="str">
        <f ca="1">IF(OR(AM45=0,AM45=""),"",IF(COUNTIFS(AM40:AM55,AM45)&gt;1,"=",""))</f>
        <v/>
      </c>
      <c r="AW45" s="9">
        <f t="shared" ca="1" si="12"/>
        <v>2</v>
      </c>
      <c r="AX45" s="9" t="str">
        <f t="shared" ca="1" si="13"/>
        <v/>
      </c>
      <c r="AY45" s="47"/>
      <c r="AZ45" s="135">
        <f t="shared" ca="1" si="14"/>
        <v>2</v>
      </c>
      <c r="BA45" s="135" t="str">
        <f t="shared" ca="1" si="15"/>
        <v/>
      </c>
      <c r="BB45" s="9"/>
      <c r="BC45" s="52" t="str">
        <f ca="1">IF(AL45="","",IF(AL45=BC39,AL45,""))</f>
        <v/>
      </c>
      <c r="BD45" s="52">
        <f ca="1">IF(AL45="","",IF(AL45=BD39,AL45,""))</f>
        <v>2</v>
      </c>
      <c r="BE45" s="52" t="str">
        <f ca="1">IF(AL45="","",IF(AL45=BE39,AL45,""))</f>
        <v/>
      </c>
      <c r="BF45" s="52" t="str">
        <f ca="1">IF(AL45="","",IF(AL45=BF39,AL45,""))</f>
        <v/>
      </c>
      <c r="BG45" s="52" t="str">
        <f ca="1">IF(AL45="","",IF(AL45=BG39,AL45,""))</f>
        <v/>
      </c>
      <c r="BH45" s="52" t="str">
        <f ca="1">IF(AL45="","",IF(AL45=BH39,AL45,""))</f>
        <v/>
      </c>
      <c r="BI45" s="52" t="str">
        <f ca="1">IF(AL45="","",IF(AL45=BI39,AL45,""))</f>
        <v/>
      </c>
      <c r="BJ45" s="52" t="str">
        <f ca="1">IF(AL45="","",IF(AL45=BJ39,AL45,""))</f>
        <v/>
      </c>
      <c r="BK45" s="52" t="str">
        <f ca="1">IF(AM45="","",IF(AM45=BK39,AM45,""))</f>
        <v/>
      </c>
      <c r="BL45" s="52" t="str">
        <f ca="1">IF(AM45="","",IF(AM45=BL39,AM45,""))</f>
        <v/>
      </c>
      <c r="BM45" s="52" t="str">
        <f ca="1">IF(AM45="","",IF(AM45=BM39,AM45,""))</f>
        <v/>
      </c>
      <c r="BN45" s="52" t="str">
        <f ca="1">IF(AM45="","",IF(AM45=BN39,AM45,""))</f>
        <v/>
      </c>
      <c r="BO45" s="52" t="str">
        <f ca="1">IF(AM45="","",IF(AM45=BO39,AM45,""))</f>
        <v/>
      </c>
      <c r="BP45" s="52" t="str">
        <f ca="1">IF(AM45="","",IF(AM45=BP39,AM45,""))</f>
        <v/>
      </c>
      <c r="BQ45" s="52" t="str">
        <f ca="1">IF(AM45="","",IF(AM45=BQ39,AM45,""))</f>
        <v/>
      </c>
      <c r="BR45" s="52" t="str">
        <f ca="1">IF(AM45="","",IF(AM45=BR39,AM45,""))</f>
        <v/>
      </c>
      <c r="BS45" s="46"/>
      <c r="BT45" s="4">
        <f>IFERROR(IF(A39=0,A45*11,A45&amp;A45),"")</f>
        <v>44</v>
      </c>
    </row>
    <row r="46" spans="1:72" s="4" customFormat="1" ht="16.149999999999999" customHeight="1" x14ac:dyDescent="0.35">
      <c r="A46" s="8">
        <f>IFERROR(IF(D46&gt;MatchDay!$U$2,"-",VLOOKUP(A36,timetables,MatchDay!$U$4+6,FALSE)),0)</f>
        <v>5</v>
      </c>
      <c r="B46" s="10" t="str">
        <f ca="1">IFERROR(IF(OR(AK46=0,AK46="B"),"",RANK(AZ46,AZ40:AZ55,1)),"")</f>
        <v/>
      </c>
      <c r="C46" s="10" t="str">
        <f ca="1">IFERROR(IF(OR(AK46=0,AK46="A"),"",RANK(BA46,BA40:BA55,1)),"")</f>
        <v/>
      </c>
      <c r="D46" s="55">
        <v>7</v>
      </c>
      <c r="E46" s="17">
        <f t="shared" si="16"/>
        <v>5</v>
      </c>
      <c r="F46" s="319" t="str">
        <f>IFERROR(VLOOKUP($A36&amp;E46,downloads!$A$1:$E$1000,2,FALSE),"")</f>
        <v>Perry MARSLAND</v>
      </c>
      <c r="G46" s="18" t="str">
        <f t="shared" si="11"/>
        <v>Menai</v>
      </c>
      <c r="H46" s="497"/>
      <c r="I46" s="498"/>
      <c r="J46" s="497"/>
      <c r="K46" s="498"/>
      <c r="L46" s="497"/>
      <c r="M46" s="498"/>
      <c r="N46" s="497"/>
      <c r="O46" s="498"/>
      <c r="P46" s="497"/>
      <c r="Q46" s="498"/>
      <c r="R46" s="497"/>
      <c r="S46" s="498"/>
      <c r="T46" s="497"/>
      <c r="U46" s="498"/>
      <c r="V46" s="497"/>
      <c r="W46" s="498"/>
      <c r="X46" s="497"/>
      <c r="Y46" s="498"/>
      <c r="Z46" s="497"/>
      <c r="AA46" s="498"/>
      <c r="AB46" s="497"/>
      <c r="AC46" s="498"/>
      <c r="AD46" s="497"/>
      <c r="AE46" s="498"/>
      <c r="AF46" s="511">
        <f ca="1">IFERROR(INDIRECT(CONCATENATE("'Height Input'!"&amp;B38&amp;C38+6)),"")</f>
        <v>0</v>
      </c>
      <c r="AG46" s="512"/>
      <c r="AH46" s="48"/>
      <c r="AI46" s="48"/>
      <c r="AJ46" s="49">
        <f ca="1">IFERROR(IF(AF46="X",MatchDay!$U$2+MatchDay!$U$2+1-COUNTIF($AF40:AF46,"X"),IF(AF46&gt;=97,1,INT(INDIRECT(CONCATENATE("'Height Input'!"&amp;$B37&amp;$C38+6))))),"")</f>
        <v>0</v>
      </c>
      <c r="AK46" s="50">
        <f ca="1">IFERROR(IF(OR(AJ46=0,AJ46=""),0,IF(OR(AJ46&lt;=VLOOKUP(BT46,$E48:$AJ55,32,FALSE),VLOOKUP(BT46,$E48:$AJ55,32,FALSE)=0),"A","B")),0)</f>
        <v>0</v>
      </c>
      <c r="AL46" s="123" t="str">
        <f ca="1">IFERROR(IF(OR(AK46=0,AK46="B"),"",RANK(AW46,AW40:AW55,1)),"")</f>
        <v/>
      </c>
      <c r="AM46" s="123" t="str">
        <f ca="1">IFERROR(IF(OR(AK46=0,AK46="A"),"",RANK(AX46,AX40:AX55,1)),"")</f>
        <v/>
      </c>
      <c r="AN46" s="51">
        <f ca="1">IFERROR(IF(AF46="X",0,(INDIRECT(CONCATENATE("'Height Input'!"&amp;$B37&amp;$C38+6))-AJ46)*10),"")</f>
        <v>0</v>
      </c>
      <c r="AO46" s="8"/>
      <c r="AP46" s="9" t="str">
        <f t="shared" ca="1" si="17"/>
        <v/>
      </c>
      <c r="AQ46" s="9" t="str">
        <f ca="1">IF(AR46="","",HLOOKUP(AL46,BC39:BJ56,18,FALSE))</f>
        <v/>
      </c>
      <c r="AR46" s="45" t="str">
        <f ca="1">IF(OR(AL46=0,AL46=""),"",IF(COUNTIFS(AL40:AL55,AL46)&gt;1,"=",""))</f>
        <v/>
      </c>
      <c r="AS46" s="45"/>
      <c r="AT46" s="9" t="str">
        <f t="shared" ca="1" si="18"/>
        <v/>
      </c>
      <c r="AU46" s="9" t="str">
        <f ca="1">IF(AV46="","",HLOOKUP(AM46,BK39:BR56,18,FALSE))</f>
        <v/>
      </c>
      <c r="AV46" s="45" t="str">
        <f ca="1">IF(OR(AM46=0,AM46=""),"",IF(COUNTIFS(AM40:AM55,AM46)&gt;1,"=",""))</f>
        <v/>
      </c>
      <c r="AW46" s="9" t="str">
        <f t="shared" ca="1" si="12"/>
        <v/>
      </c>
      <c r="AX46" s="9" t="str">
        <f t="shared" ca="1" si="13"/>
        <v/>
      </c>
      <c r="AY46" s="47"/>
      <c r="AZ46" s="135" t="str">
        <f t="shared" ca="1" si="14"/>
        <v/>
      </c>
      <c r="BA46" s="135" t="str">
        <f t="shared" ca="1" si="15"/>
        <v/>
      </c>
      <c r="BB46" s="9"/>
      <c r="BC46" s="52" t="str">
        <f ca="1">IF(AL46="","",IF(AL46=BC39,AL46,""))</f>
        <v/>
      </c>
      <c r="BD46" s="52" t="str">
        <f ca="1">IF(AL46="","",IF(AL46=BD39,AL46,""))</f>
        <v/>
      </c>
      <c r="BE46" s="52" t="str">
        <f ca="1">IF(AL46="","",IF(AL46=BE39,AL46,""))</f>
        <v/>
      </c>
      <c r="BF46" s="52" t="str">
        <f ca="1">IF(AL46="","",IF(AL46=BF39,AL46,""))</f>
        <v/>
      </c>
      <c r="BG46" s="52" t="str">
        <f ca="1">IF(AL46="","",IF(AL46=BG39,AL46,""))</f>
        <v/>
      </c>
      <c r="BH46" s="52" t="str">
        <f ca="1">IF(AL46="","",IF(AL46=BH39,AL46,""))</f>
        <v/>
      </c>
      <c r="BI46" s="52" t="str">
        <f ca="1">IF(AL46="","",IF(AL46=BI39,AL46,""))</f>
        <v/>
      </c>
      <c r="BJ46" s="52" t="str">
        <f ca="1">IF(AL46="","",IF(AL46=BJ39,AL46,""))</f>
        <v/>
      </c>
      <c r="BK46" s="52" t="str">
        <f ca="1">IF(AM46="","",IF(AM46=BK39,AM46,""))</f>
        <v/>
      </c>
      <c r="BL46" s="52" t="str">
        <f ca="1">IF(AM46="","",IF(AM46=BL39,AM46,""))</f>
        <v/>
      </c>
      <c r="BM46" s="52" t="str">
        <f ca="1">IF(AM46="","",IF(AM46=BM39,AM46,""))</f>
        <v/>
      </c>
      <c r="BN46" s="52" t="str">
        <f ca="1">IF(AM46="","",IF(AM46=BN39,AM46,""))</f>
        <v/>
      </c>
      <c r="BO46" s="52" t="str">
        <f ca="1">IF(AM46="","",IF(AM46=BO39,AM46,""))</f>
        <v/>
      </c>
      <c r="BP46" s="52" t="str">
        <f ca="1">IF(AM46="","",IF(AM46=BP39,AM46,""))</f>
        <v/>
      </c>
      <c r="BQ46" s="52" t="str">
        <f ca="1">IF(AM46="","",IF(AM46=BQ39,AM46,""))</f>
        <v/>
      </c>
      <c r="BR46" s="52" t="str">
        <f ca="1">IF(AM46="","",IF(AM46=BR39,AM46,""))</f>
        <v/>
      </c>
      <c r="BS46" s="46"/>
      <c r="BT46" s="4">
        <f>IFERROR(IF(A39=0,A46*11,A46&amp;A46),"")</f>
        <v>55</v>
      </c>
    </row>
    <row r="47" spans="1:72" s="4" customFormat="1" ht="16.149999999999999" customHeight="1" x14ac:dyDescent="0.35">
      <c r="A47" s="8" t="str">
        <f>IFERROR(IF(D47&gt;MatchDay!$U$2,"-",VLOOKUP(A36,timetables,MatchDay!$U$4+7,FALSE)),0)</f>
        <v>-</v>
      </c>
      <c r="B47" s="10" t="str">
        <f ca="1">IFERROR(IF(OR(AK47=0,AK47="B"),"",RANK(AZ47,AZ40:AZ55,1)),"")</f>
        <v/>
      </c>
      <c r="C47" s="10" t="str">
        <f ca="1">IFERROR(IF(OR(AK47=0,AK47="A"),"",RANK(BA47,BA40:BA55,1)),"")</f>
        <v/>
      </c>
      <c r="D47" s="55">
        <v>8</v>
      </c>
      <c r="E47" s="17" t="str">
        <f t="shared" si="16"/>
        <v>-</v>
      </c>
      <c r="F47" s="319" t="str">
        <f>IFERROR(VLOOKUP($A36&amp;E47,downloads!$A$1:$E$1000,2,FALSE),"")</f>
        <v/>
      </c>
      <c r="G47" s="18" t="str">
        <f t="shared" si="11"/>
        <v/>
      </c>
      <c r="H47" s="497"/>
      <c r="I47" s="498"/>
      <c r="J47" s="497"/>
      <c r="K47" s="498"/>
      <c r="L47" s="497"/>
      <c r="M47" s="498"/>
      <c r="N47" s="497"/>
      <c r="O47" s="498"/>
      <c r="P47" s="497"/>
      <c r="Q47" s="498"/>
      <c r="R47" s="497"/>
      <c r="S47" s="498"/>
      <c r="T47" s="497"/>
      <c r="U47" s="498"/>
      <c r="V47" s="497"/>
      <c r="W47" s="498"/>
      <c r="X47" s="497"/>
      <c r="Y47" s="498"/>
      <c r="Z47" s="497"/>
      <c r="AA47" s="498"/>
      <c r="AB47" s="497"/>
      <c r="AC47" s="498"/>
      <c r="AD47" s="497"/>
      <c r="AE47" s="498"/>
      <c r="AF47" s="511">
        <f ca="1">IFERROR(INDIRECT(CONCATENATE("'Height Input'!"&amp;B38&amp;C38+7)),"")</f>
        <v>0</v>
      </c>
      <c r="AG47" s="512"/>
      <c r="AH47" s="48"/>
      <c r="AI47" s="48"/>
      <c r="AJ47" s="49">
        <f ca="1">IFERROR(IF(AF47="X",MatchDay!$U$2+MatchDay!$U$2+1-COUNTIF($AF40:AF47,"X"),IF(AF47&gt;=97,1,INT(INDIRECT(CONCATENATE("'Height Input'!"&amp;$B37&amp;$C38+7))))),"")</f>
        <v>0</v>
      </c>
      <c r="AK47" s="50">
        <f ca="1">IFERROR(IF(OR(AJ47=0,AJ47=""),0,IF(OR(AJ47&lt;=VLOOKUP(BT47,$E48:$AJ55,32,FALSE),VLOOKUP(BT47,$E48:$AJ55,32,FALSE)=0),"A","B")),0)</f>
        <v>0</v>
      </c>
      <c r="AL47" s="123" t="str">
        <f ca="1">IFERROR(IF(OR(AK47=0,AK47="B"),"",RANK(AW47,AW40:AW55,1)),"")</f>
        <v/>
      </c>
      <c r="AM47" s="123" t="str">
        <f ca="1">IFERROR(IF(OR(AK47=0,AK47="A"),"",RANK(AX47,AX40:AX55,1)),"")</f>
        <v/>
      </c>
      <c r="AN47" s="51">
        <f ca="1">IFERROR(IF(AF47="X",0,(INDIRECT(CONCATENATE("'Height Input'!"&amp;$B37&amp;$C38+7))-AJ47)*10),"")</f>
        <v>0</v>
      </c>
      <c r="AO47" s="8"/>
      <c r="AP47" s="9" t="str">
        <f t="shared" ca="1" si="17"/>
        <v/>
      </c>
      <c r="AQ47" s="9" t="str">
        <f ca="1">IF(AR47="","",HLOOKUP(AL47,BC39:BJ56,18,FALSE))</f>
        <v/>
      </c>
      <c r="AR47" s="45" t="str">
        <f ca="1">IF(OR(AL47=0,AL47=""),"",IF(COUNTIFS(AL40:AL55,AL47)&gt;1,"=",""))</f>
        <v/>
      </c>
      <c r="AS47" s="45"/>
      <c r="AT47" s="9" t="str">
        <f t="shared" ca="1" si="18"/>
        <v/>
      </c>
      <c r="AU47" s="9" t="str">
        <f ca="1">IF(AV47="","",HLOOKUP(AM47,BK39:BR56,18,FALSE))</f>
        <v/>
      </c>
      <c r="AV47" s="45" t="str">
        <f ca="1">IF(OR(AM47=0,AM47=""),"",IF(COUNTIFS(AM40:AM55,AM47)&gt;1,"=",""))</f>
        <v/>
      </c>
      <c r="AW47" s="9" t="str">
        <f t="shared" ca="1" si="12"/>
        <v/>
      </c>
      <c r="AX47" s="9" t="str">
        <f t="shared" ca="1" si="13"/>
        <v/>
      </c>
      <c r="AY47" s="47"/>
      <c r="AZ47" s="135" t="str">
        <f t="shared" ca="1" si="14"/>
        <v/>
      </c>
      <c r="BA47" s="135" t="str">
        <f t="shared" ca="1" si="15"/>
        <v/>
      </c>
      <c r="BB47" s="9"/>
      <c r="BC47" s="52" t="str">
        <f ca="1">IF(AL47="","",IF(AL47=BC39,AL47,""))</f>
        <v/>
      </c>
      <c r="BD47" s="52" t="str">
        <f ca="1">IF(AL47="","",IF(AL47=BD39,AL47,""))</f>
        <v/>
      </c>
      <c r="BE47" s="52" t="str">
        <f ca="1">IF(AL47="","",IF(AL47=BE39,AL47,""))</f>
        <v/>
      </c>
      <c r="BF47" s="52" t="str">
        <f ca="1">IF(AL47="","",IF(AL47=BF39,AL47,""))</f>
        <v/>
      </c>
      <c r="BG47" s="52" t="str">
        <f ca="1">IF(AL47="","",IF(AL47=BG39,AL47,""))</f>
        <v/>
      </c>
      <c r="BH47" s="52" t="str">
        <f ca="1">IF(AL47="","",IF(AL47=BH39,AL47,""))</f>
        <v/>
      </c>
      <c r="BI47" s="52" t="str">
        <f ca="1">IF(AL47="","",IF(AL47=BI39,AL47,""))</f>
        <v/>
      </c>
      <c r="BJ47" s="52" t="str">
        <f ca="1">IF(AL47="","",IF(AL47=BJ39,AL47,""))</f>
        <v/>
      </c>
      <c r="BK47" s="52" t="str">
        <f ca="1">IF(AM47="","",IF(AM47=BK39,AM47,""))</f>
        <v/>
      </c>
      <c r="BL47" s="52" t="str">
        <f ca="1">IF(AM47="","",IF(AM47=BL39,AM47,""))</f>
        <v/>
      </c>
      <c r="BM47" s="52" t="str">
        <f ca="1">IF(AM47="","",IF(AM47=BM39,AM47,""))</f>
        <v/>
      </c>
      <c r="BN47" s="52" t="str">
        <f ca="1">IF(AM47="","",IF(AM47=BN39,AM47,""))</f>
        <v/>
      </c>
      <c r="BO47" s="52" t="str">
        <f ca="1">IF(AM47="","",IF(AM47=BO39,AM47,""))</f>
        <v/>
      </c>
      <c r="BP47" s="52" t="str">
        <f ca="1">IF(AM47="","",IF(AM47=BP39,AM47,""))</f>
        <v/>
      </c>
      <c r="BQ47" s="52" t="str">
        <f ca="1">IF(AM47="","",IF(AM47=BQ39,AM47,""))</f>
        <v/>
      </c>
      <c r="BR47" s="52" t="str">
        <f ca="1">IF(AM47="","",IF(AM47=BR39,AM47,""))</f>
        <v/>
      </c>
      <c r="BS47" s="46"/>
      <c r="BT47" s="4" t="str">
        <f>IFERROR(IF(A39=0,A47*11,A47&amp;A47),"")</f>
        <v/>
      </c>
    </row>
    <row r="48" spans="1:72" s="4" customFormat="1" ht="16.149999999999999" customHeight="1" x14ac:dyDescent="0.35">
      <c r="A48" s="8">
        <f>IFERROR(IF(A39=0,A40*11,A40&amp;A40),"-")</f>
        <v>11</v>
      </c>
      <c r="B48" s="10">
        <f ca="1">IFERROR(IF(OR(AK48=0,AK48="B"),"",RANK(AZ48,AZ40:AZ55,1)),"")</f>
        <v>1</v>
      </c>
      <c r="C48" s="10" t="str">
        <f ca="1">IFERROR(IF(OR(AK48=0,AK48="A"),"",RANK(BA48,BA40:BA55,1)),"")</f>
        <v/>
      </c>
      <c r="D48" s="55">
        <v>9</v>
      </c>
      <c r="E48" s="17">
        <f t="shared" si="16"/>
        <v>11</v>
      </c>
      <c r="F48" s="319" t="str">
        <f>IFERROR(VLOOKUP($A36&amp;E48,downloads!$A$1:$E$1000,2,FALSE),"")</f>
        <v>Kaidan DOS REIS</v>
      </c>
      <c r="G48" s="18" t="str">
        <f t="shared" si="11"/>
        <v>C&amp;N</v>
      </c>
      <c r="H48" s="497"/>
      <c r="I48" s="498"/>
      <c r="J48" s="497"/>
      <c r="K48" s="498"/>
      <c r="L48" s="497"/>
      <c r="M48" s="498"/>
      <c r="N48" s="497"/>
      <c r="O48" s="498"/>
      <c r="P48" s="497"/>
      <c r="Q48" s="498"/>
      <c r="R48" s="497"/>
      <c r="S48" s="498"/>
      <c r="T48" s="497"/>
      <c r="U48" s="498"/>
      <c r="V48" s="497"/>
      <c r="W48" s="498"/>
      <c r="X48" s="497"/>
      <c r="Y48" s="498"/>
      <c r="Z48" s="497"/>
      <c r="AA48" s="498"/>
      <c r="AB48" s="497"/>
      <c r="AC48" s="498"/>
      <c r="AD48" s="497"/>
      <c r="AE48" s="498"/>
      <c r="AF48" s="511">
        <f ca="1">IFERROR(INDIRECT(CONCATENATE("'Height Input'!"&amp;B38&amp;C38+8)),"")</f>
        <v>1.36</v>
      </c>
      <c r="AG48" s="512"/>
      <c r="AH48" s="48"/>
      <c r="AI48" s="48"/>
      <c r="AJ48" s="49">
        <f ca="1">IFERROR(IF(AF48="X",MatchDay!$U$2+MatchDay!$U$2+1-COUNTIF($AF40:AF48,"X"),IF(AF48&gt;=97,1,INT(INDIRECT(CONCATENATE("'Height Input'!"&amp;$B37&amp;$C38+8))))),"")</f>
        <v>1</v>
      </c>
      <c r="AK48" s="50" t="str">
        <f ca="1">IFERROR(IF(OR(AJ48=0,AJ48=""),0,IF(OR(AJ48&lt;VLOOKUP(BT48,$E40:$AJ47,32,FALSE),VLOOKUP(BT48,$E40:$AJ47,32,FALSE)=0),"A","B")),0)</f>
        <v>A</v>
      </c>
      <c r="AL48" s="123">
        <f ca="1">IFERROR(IF(OR(AK48=0,AK48="B"),"",RANK(AW48,AW40:AW55,1)),"")</f>
        <v>1</v>
      </c>
      <c r="AM48" s="123" t="str">
        <f ca="1">IFERROR(IF(OR(AK48=0,AK48="A"),"",RANK(AX48,AX40:AX55,1)),"")</f>
        <v/>
      </c>
      <c r="AN48" s="51">
        <f ca="1">IFERROR(IF(AF48="X",0,(INDIRECT(CONCATENATE("'Height Input'!"&amp;$B37&amp;$C38+8))-AJ48)*10),"")</f>
        <v>0</v>
      </c>
      <c r="AO48" s="8"/>
      <c r="AP48" s="9" t="str">
        <f t="shared" ca="1" si="17"/>
        <v/>
      </c>
      <c r="AQ48" s="9" t="str">
        <f ca="1">IF(AR48="","",HLOOKUP(AL48,BC39:BJ56,18,FALSE))</f>
        <v/>
      </c>
      <c r="AR48" s="45" t="str">
        <f ca="1">IF(OR(AL48=0,AL48=""),"",IF(COUNTIFS(AL40:AL55,AL48)&gt;1,"=",""))</f>
        <v/>
      </c>
      <c r="AS48" s="45"/>
      <c r="AT48" s="9" t="str">
        <f t="shared" ca="1" si="18"/>
        <v/>
      </c>
      <c r="AU48" s="9" t="str">
        <f ca="1">IF(AV48="","",HLOOKUP(AM48,BK39:BR56,18,FALSE))</f>
        <v/>
      </c>
      <c r="AV48" s="45" t="str">
        <f ca="1">IF(OR(AM48=0,AM48=""),"",IF(COUNTIFS(AM40:AM55,AM48)&gt;1,"=",""))</f>
        <v/>
      </c>
      <c r="AW48" s="9">
        <f t="shared" ca="1" si="12"/>
        <v>1</v>
      </c>
      <c r="AX48" s="9" t="str">
        <f t="shared" ca="1" si="13"/>
        <v/>
      </c>
      <c r="AY48" s="47"/>
      <c r="AZ48" s="135">
        <f t="shared" ca="1" si="14"/>
        <v>1</v>
      </c>
      <c r="BA48" s="135" t="str">
        <f t="shared" ca="1" si="15"/>
        <v/>
      </c>
      <c r="BB48" s="9"/>
      <c r="BC48" s="52">
        <f ca="1">IF(AL48="","",IF(AL48=BC39,AL48,""))</f>
        <v>1</v>
      </c>
      <c r="BD48" s="52" t="str">
        <f ca="1">IF(AL48="","",IF(AL48=BD39,AL48,""))</f>
        <v/>
      </c>
      <c r="BE48" s="52" t="str">
        <f ca="1">IF(AL48="","",IF(AL48=BE39,AL48,""))</f>
        <v/>
      </c>
      <c r="BF48" s="52" t="str">
        <f ca="1">IF(AL48="","",IF(AL48=BF39,AL48,""))</f>
        <v/>
      </c>
      <c r="BG48" s="52" t="str">
        <f ca="1">IF(AL48="","",IF(AL48=BG39,AL48,""))</f>
        <v/>
      </c>
      <c r="BH48" s="52" t="str">
        <f ca="1">IF(AL48="","",IF(AL48=BH39,AL48,""))</f>
        <v/>
      </c>
      <c r="BI48" s="52" t="str">
        <f ca="1">IF(AL48="","",IF(AL48=BI39,AL48,""))</f>
        <v/>
      </c>
      <c r="BJ48" s="52" t="str">
        <f ca="1">IF(AL48="","",IF(AL48=BJ39,AL48,""))</f>
        <v/>
      </c>
      <c r="BK48" s="52" t="str">
        <f ca="1">IF(AM48="","",IF(AM48=BK39,AM48,""))</f>
        <v/>
      </c>
      <c r="BL48" s="52" t="str">
        <f ca="1">IF(AM48="","",IF(AM48=BL39,AM48,""))</f>
        <v/>
      </c>
      <c r="BM48" s="52" t="str">
        <f ca="1">IF(AM48="","",IF(AM48=BM39,AM48,""))</f>
        <v/>
      </c>
      <c r="BN48" s="52" t="str">
        <f ca="1">IF(AM48="","",IF(AM48=BN39,AM48,""))</f>
        <v/>
      </c>
      <c r="BO48" s="52" t="str">
        <f ca="1">IF(AM48="","",IF(AM48=BO39,AM48,""))</f>
        <v/>
      </c>
      <c r="BP48" s="52" t="str">
        <f ca="1">IF(AM48="","",IF(AM48=BP39,AM48,""))</f>
        <v/>
      </c>
      <c r="BQ48" s="52" t="str">
        <f ca="1">IF(AM48="","",IF(AM48=BQ39,AM48,""))</f>
        <v/>
      </c>
      <c r="BR48" s="52" t="str">
        <f ca="1">IF(AM48="","",IF(AM48=BR39,AM48,""))</f>
        <v/>
      </c>
      <c r="BS48" s="46"/>
      <c r="BT48" s="4">
        <f>IFERROR(IF(A39=0,A48/11,LEFT(A48,1)),"")</f>
        <v>1</v>
      </c>
    </row>
    <row r="49" spans="1:72" s="4" customFormat="1" ht="16.149999999999999" customHeight="1" x14ac:dyDescent="0.35">
      <c r="A49" s="8">
        <f>IFERROR(IF(A39=0,A41*11,A41&amp;A41),"-")</f>
        <v>22</v>
      </c>
      <c r="B49" s="10" t="str">
        <f ca="1">IFERROR(IF(OR(AK49=0,AK49="B"),"",RANK(AZ49,AZ40:AZ55,1)),"")</f>
        <v/>
      </c>
      <c r="C49" s="10" t="str">
        <f ca="1">IFERROR(IF(OR(AK49=0,AK49="A"),"",RANK(BA49,BA40:BA55,1)),"")</f>
        <v/>
      </c>
      <c r="D49" s="55">
        <v>10</v>
      </c>
      <c r="E49" s="17">
        <f t="shared" si="16"/>
        <v>22</v>
      </c>
      <c r="F49" s="319" t="str">
        <f>IFERROR(VLOOKUP($A36&amp;E49,downloads!$A$1:$E$1000,2,FALSE),"")</f>
        <v/>
      </c>
      <c r="G49" s="18" t="str">
        <f t="shared" si="11"/>
        <v>ECHT</v>
      </c>
      <c r="H49" s="497"/>
      <c r="I49" s="498"/>
      <c r="J49" s="497"/>
      <c r="K49" s="498"/>
      <c r="L49" s="497"/>
      <c r="M49" s="498"/>
      <c r="N49" s="497"/>
      <c r="O49" s="498"/>
      <c r="P49" s="497"/>
      <c r="Q49" s="498"/>
      <c r="R49" s="497"/>
      <c r="S49" s="498"/>
      <c r="T49" s="497"/>
      <c r="U49" s="498"/>
      <c r="V49" s="497"/>
      <c r="W49" s="498"/>
      <c r="X49" s="497"/>
      <c r="Y49" s="498"/>
      <c r="Z49" s="497"/>
      <c r="AA49" s="498"/>
      <c r="AB49" s="497"/>
      <c r="AC49" s="498"/>
      <c r="AD49" s="497"/>
      <c r="AE49" s="498"/>
      <c r="AF49" s="511">
        <f ca="1">IFERROR(INDIRECT(CONCATENATE("'Height Input'!"&amp;B38&amp;C38+9)),"")</f>
        <v>0</v>
      </c>
      <c r="AG49" s="512"/>
      <c r="AH49" s="48"/>
      <c r="AI49" s="48"/>
      <c r="AJ49" s="49">
        <f ca="1">IFERROR(IF(AF49="X",MatchDay!$U$2+MatchDay!$U$2+1-COUNTIF($AF40:AF49,"X"),IF(AF49&gt;=97,1,INT(INDIRECT(CONCATENATE("'Height Input'!"&amp;$B37&amp;$C38+9))))),"")</f>
        <v>0</v>
      </c>
      <c r="AK49" s="50">
        <f ca="1">IFERROR(IF(OR(AJ49=0,AJ49=""),0,IF(OR(AJ49&lt;VLOOKUP(BT49,$E40:$AJ47,32,FALSE),VLOOKUP(BT49,$E40:$AJ47,32,FALSE)=0),"A","B")),0)</f>
        <v>0</v>
      </c>
      <c r="AL49" s="123" t="str">
        <f ca="1">IFERROR(IF(OR(AK49=0,AK49="B"),"",RANK(AW49,AW40:AW55,1)),"")</f>
        <v/>
      </c>
      <c r="AM49" s="123" t="str">
        <f ca="1">IFERROR(IF(OR(AK49=0,AK49="A"),"",RANK(AX49,AX40:AX55,1)),"")</f>
        <v/>
      </c>
      <c r="AN49" s="51">
        <f ca="1">IFERROR(IF(AF49="X",0,(INDIRECT(CONCATENATE("'Height Input'!"&amp;$B37&amp;$C38+9))-AJ49)*10),"")</f>
        <v>0</v>
      </c>
      <c r="AO49" s="8"/>
      <c r="AP49" s="9" t="str">
        <f t="shared" ca="1" si="17"/>
        <v/>
      </c>
      <c r="AQ49" s="9" t="str">
        <f ca="1">IF(AR49="","",HLOOKUP(AL49,BC39:BJ56,18,FALSE))</f>
        <v/>
      </c>
      <c r="AR49" s="45" t="str">
        <f ca="1">IF(OR(AL49=0,AL49=""),"",IF(COUNTIFS(AL40:AL55,AL49)&gt;1,"=",""))</f>
        <v/>
      </c>
      <c r="AS49" s="45"/>
      <c r="AT49" s="9" t="str">
        <f t="shared" ca="1" si="18"/>
        <v/>
      </c>
      <c r="AU49" s="9" t="str">
        <f ca="1">IF(AV49="","",HLOOKUP(AM49,BK39:BR56,18,FALSE))</f>
        <v/>
      </c>
      <c r="AV49" s="45" t="str">
        <f ca="1">IF(OR(AM49=0,AM49=""),"",IF(COUNTIFS(AM40:AM55,AM49)&gt;1,"=",""))</f>
        <v/>
      </c>
      <c r="AW49" s="9" t="str">
        <f t="shared" ca="1" si="12"/>
        <v/>
      </c>
      <c r="AX49" s="9" t="str">
        <f t="shared" ca="1" si="13"/>
        <v/>
      </c>
      <c r="AY49" s="47"/>
      <c r="AZ49" s="135" t="str">
        <f t="shared" ca="1" si="14"/>
        <v/>
      </c>
      <c r="BA49" s="135" t="str">
        <f t="shared" ca="1" si="15"/>
        <v/>
      </c>
      <c r="BB49" s="9"/>
      <c r="BC49" s="52" t="str">
        <f ca="1">IF(AL49="","",IF(AL49=BC39,AL49,""))</f>
        <v/>
      </c>
      <c r="BD49" s="52" t="str">
        <f ca="1">IF(AL49="","",IF(AL49=BD39,AL49,""))</f>
        <v/>
      </c>
      <c r="BE49" s="52" t="str">
        <f ca="1">IF(AL49="","",IF(AL49=BE39,AL49,""))</f>
        <v/>
      </c>
      <c r="BF49" s="52" t="str">
        <f ca="1">IF(AL49="","",IF(AL49=BF39,AL49,""))</f>
        <v/>
      </c>
      <c r="BG49" s="52" t="str">
        <f ca="1">IF(AL49="","",IF(AL49=BG39,AL49,""))</f>
        <v/>
      </c>
      <c r="BH49" s="52" t="str">
        <f ca="1">IF(AL49="","",IF(AL49=BH39,AL49,""))</f>
        <v/>
      </c>
      <c r="BI49" s="52" t="str">
        <f ca="1">IF(AL49="","",IF(AL49=BI39,AL49,""))</f>
        <v/>
      </c>
      <c r="BJ49" s="52" t="str">
        <f ca="1">IF(AL49="","",IF(AL49=BJ39,AL49,""))</f>
        <v/>
      </c>
      <c r="BK49" s="52" t="str">
        <f ca="1">IF(AM49="","",IF(AM49=BK39,AM49,""))</f>
        <v/>
      </c>
      <c r="BL49" s="52" t="str">
        <f ca="1">IF(AM49="","",IF(AM49=BL39,AM49,""))</f>
        <v/>
      </c>
      <c r="BM49" s="52" t="str">
        <f ca="1">IF(AM49="","",IF(AM49=BM39,AM49,""))</f>
        <v/>
      </c>
      <c r="BN49" s="52" t="str">
        <f ca="1">IF(AM49="","",IF(AM49=BN39,AM49,""))</f>
        <v/>
      </c>
      <c r="BO49" s="52" t="str">
        <f ca="1">IF(AM49="","",IF(AM49=BO39,AM49,""))</f>
        <v/>
      </c>
      <c r="BP49" s="52" t="str">
        <f ca="1">IF(AM49="","",IF(AM49=BP39,AM49,""))</f>
        <v/>
      </c>
      <c r="BQ49" s="52" t="str">
        <f ca="1">IF(AM49="","",IF(AM49=BQ39,AM49,""))</f>
        <v/>
      </c>
      <c r="BR49" s="52" t="str">
        <f ca="1">IF(AM49="","",IF(AM49=BR39,AM49,""))</f>
        <v/>
      </c>
      <c r="BS49" s="46"/>
      <c r="BT49" s="4">
        <f>IFERROR(IF(A39=0,A49/11,LEFT(A49,1)),"")</f>
        <v>2</v>
      </c>
    </row>
    <row r="50" spans="1:72" s="4" customFormat="1" ht="16.149999999999999" customHeight="1" x14ac:dyDescent="0.35">
      <c r="A50" s="8">
        <f>IFERROR(IF(A39=0,A42*11,A42&amp;A42),"-")</f>
        <v>66</v>
      </c>
      <c r="B50" s="10" t="str">
        <f ca="1">IFERROR(IF(OR(AK50=0,AK50="B"),"",RANK(AZ50,AZ40:AZ55,1)),"")</f>
        <v/>
      </c>
      <c r="C50" s="10" t="str">
        <f ca="1">IFERROR(IF(OR(AK50=0,AK50="A"),"",RANK(BA50,BA40:BA55,1)),"")</f>
        <v/>
      </c>
      <c r="D50" s="55">
        <v>11</v>
      </c>
      <c r="E50" s="17">
        <f t="shared" si="16"/>
        <v>66</v>
      </c>
      <c r="F50" s="319" t="str">
        <f>IFERROR(VLOOKUP($A36&amp;E50,downloads!$A$1:$E$1000,2,FALSE),"")</f>
        <v/>
      </c>
      <c r="G50" s="18" t="str">
        <f t="shared" si="11"/>
        <v>Stock</v>
      </c>
      <c r="H50" s="497"/>
      <c r="I50" s="498"/>
      <c r="J50" s="497"/>
      <c r="K50" s="498"/>
      <c r="L50" s="497"/>
      <c r="M50" s="498"/>
      <c r="N50" s="497"/>
      <c r="O50" s="498"/>
      <c r="P50" s="497"/>
      <c r="Q50" s="498"/>
      <c r="R50" s="497"/>
      <c r="S50" s="498"/>
      <c r="T50" s="497"/>
      <c r="U50" s="498"/>
      <c r="V50" s="497"/>
      <c r="W50" s="498"/>
      <c r="X50" s="497"/>
      <c r="Y50" s="498"/>
      <c r="Z50" s="497"/>
      <c r="AA50" s="498"/>
      <c r="AB50" s="497"/>
      <c r="AC50" s="498"/>
      <c r="AD50" s="497"/>
      <c r="AE50" s="498"/>
      <c r="AF50" s="511">
        <f ca="1">IFERROR(INDIRECT(CONCATENATE("'Height Input'!"&amp;B38&amp;C38+10)),"")</f>
        <v>0</v>
      </c>
      <c r="AG50" s="512"/>
      <c r="AH50" s="48"/>
      <c r="AI50" s="48"/>
      <c r="AJ50" s="49">
        <f ca="1">IFERROR(IF(AF50="X",MatchDay!$U$2+MatchDay!$U$2+1-COUNTIF($AF40:AF50,"X"),IF(AF50&gt;=97,1,INT(INDIRECT(CONCATENATE("'Height Input'!"&amp;$B37&amp;$C38+10))))),"")</f>
        <v>0</v>
      </c>
      <c r="AK50" s="50">
        <f ca="1">IFERROR(IF(OR(AJ50=0,AJ50=""),0,IF(OR(AJ50&lt;VLOOKUP(BT50,$E40:$AJ47,32,FALSE),VLOOKUP(BT50,$E40:$AJ47,32,FALSE)=0),"A","B")),0)</f>
        <v>0</v>
      </c>
      <c r="AL50" s="123" t="str">
        <f ca="1">IFERROR(IF(OR(AK50=0,AK50="B"),"",RANK(AW50,AW40:AW55,1)),"")</f>
        <v/>
      </c>
      <c r="AM50" s="123" t="str">
        <f ca="1">IFERROR(IF(OR(AK50=0,AK50="A"),"",RANK(AX50,AX40:AX55,1)),"")</f>
        <v/>
      </c>
      <c r="AN50" s="51">
        <f ca="1">IFERROR(IF(AF50="X",0,(INDIRECT(CONCATENATE("'Height Input'!"&amp;$B37&amp;$C38+10))-AJ50)*10),"")</f>
        <v>0</v>
      </c>
      <c r="AO50" s="8"/>
      <c r="AP50" s="9" t="str">
        <f t="shared" ca="1" si="17"/>
        <v/>
      </c>
      <c r="AQ50" s="9" t="str">
        <f ca="1">IF(AR50="","",HLOOKUP(AL50,BC39:BJ56,18,FALSE))</f>
        <v/>
      </c>
      <c r="AR50" s="45" t="str">
        <f ca="1">IF(OR(AL50=0,AL50=""),"",IF(COUNTIFS(AL40:AL55,AL50)&gt;1,"=",""))</f>
        <v/>
      </c>
      <c r="AS50" s="45"/>
      <c r="AT50" s="9" t="str">
        <f t="shared" ca="1" si="18"/>
        <v/>
      </c>
      <c r="AU50" s="9" t="str">
        <f ca="1">IF(AV50="","",HLOOKUP(AM50,BK39:BR56,18,FALSE))</f>
        <v/>
      </c>
      <c r="AV50" s="45" t="str">
        <f ca="1">IF(OR(AM50=0,AM50=""),"",IF(COUNTIFS(AM40:AM55,AM50)&gt;1,"=",""))</f>
        <v/>
      </c>
      <c r="AW50" s="9" t="str">
        <f t="shared" ca="1" si="12"/>
        <v/>
      </c>
      <c r="AX50" s="9" t="str">
        <f t="shared" ca="1" si="13"/>
        <v/>
      </c>
      <c r="AY50" s="47"/>
      <c r="AZ50" s="135" t="str">
        <f t="shared" ca="1" si="14"/>
        <v/>
      </c>
      <c r="BA50" s="135" t="str">
        <f t="shared" ca="1" si="15"/>
        <v/>
      </c>
      <c r="BB50" s="9"/>
      <c r="BC50" s="52" t="str">
        <f ca="1">IF(AL50="","",IF(AL50=BC39,AL50,""))</f>
        <v/>
      </c>
      <c r="BD50" s="52" t="str">
        <f ca="1">IF(AL50="","",IF(AL50=BD39,AL50,""))</f>
        <v/>
      </c>
      <c r="BE50" s="52" t="str">
        <f ca="1">IF(AL50="","",IF(AL50=BE39,AL50,""))</f>
        <v/>
      </c>
      <c r="BF50" s="52" t="str">
        <f ca="1">IF(AL50="","",IF(AL50=BF39,AL50,""))</f>
        <v/>
      </c>
      <c r="BG50" s="52" t="str">
        <f ca="1">IF(AL50="","",IF(AL50=BG39,AL50,""))</f>
        <v/>
      </c>
      <c r="BH50" s="52" t="str">
        <f ca="1">IF(AL50="","",IF(AL50=BH39,AL50,""))</f>
        <v/>
      </c>
      <c r="BI50" s="52" t="str">
        <f ca="1">IF(AL50="","",IF(AL50=BI39,AL50,""))</f>
        <v/>
      </c>
      <c r="BJ50" s="52" t="str">
        <f ca="1">IF(AL50="","",IF(AL50=BJ39,AL50,""))</f>
        <v/>
      </c>
      <c r="BK50" s="52" t="str">
        <f ca="1">IF(AM50="","",IF(AM50=BK39,AM50,""))</f>
        <v/>
      </c>
      <c r="BL50" s="52" t="str">
        <f ca="1">IF(AM50="","",IF(AM50=BL39,AM50,""))</f>
        <v/>
      </c>
      <c r="BM50" s="52" t="str">
        <f ca="1">IF(AM50="","",IF(AM50=BM39,AM50,""))</f>
        <v/>
      </c>
      <c r="BN50" s="52" t="str">
        <f ca="1">IF(AM50="","",IF(AM50=BN39,AM50,""))</f>
        <v/>
      </c>
      <c r="BO50" s="52" t="str">
        <f ca="1">IF(AM50="","",IF(AM50=BO39,AM50,""))</f>
        <v/>
      </c>
      <c r="BP50" s="52" t="str">
        <f ca="1">IF(AM50="","",IF(AM50=BP39,AM50,""))</f>
        <v/>
      </c>
      <c r="BQ50" s="52" t="str">
        <f ca="1">IF(AM50="","",IF(AM50=BQ39,AM50,""))</f>
        <v/>
      </c>
      <c r="BR50" s="52" t="str">
        <f ca="1">IF(AM50="","",IF(AM50=BR39,AM50,""))</f>
        <v/>
      </c>
      <c r="BS50" s="46"/>
      <c r="BT50" s="4">
        <f>IFERROR(IF(A39=0,A50/11,LEFT(A50,1)),"")</f>
        <v>6</v>
      </c>
    </row>
    <row r="51" spans="1:72" s="4" customFormat="1" ht="16.149999999999999" customHeight="1" x14ac:dyDescent="0.35">
      <c r="A51" s="8">
        <f>IFERROR(IF(A39=0,A43*11,A43&amp;A43),"-")</f>
        <v>77</v>
      </c>
      <c r="B51" s="10" t="str">
        <f ca="1">IFERROR(IF(OR(AK51=0,AK51="B"),"",RANK(AZ51,AZ40:AZ55,1)),"")</f>
        <v/>
      </c>
      <c r="C51" s="10" t="str">
        <f ca="1">IFERROR(IF(OR(AK51=0,AK51="A"),"",RANK(BA51,BA40:BA55,1)),"")</f>
        <v/>
      </c>
      <c r="D51" s="55">
        <v>12</v>
      </c>
      <c r="E51" s="17">
        <f t="shared" si="16"/>
        <v>77</v>
      </c>
      <c r="F51" s="319" t="str">
        <f>IFERROR(VLOOKUP($A36&amp;E51,downloads!$A$1:$E$1000,2,FALSE),"")</f>
        <v>James DARBY</v>
      </c>
      <c r="G51" s="18" t="str">
        <f t="shared" si="11"/>
        <v>Wigan</v>
      </c>
      <c r="H51" s="497"/>
      <c r="I51" s="498"/>
      <c r="J51" s="497"/>
      <c r="K51" s="498"/>
      <c r="L51" s="497"/>
      <c r="M51" s="498"/>
      <c r="N51" s="497"/>
      <c r="O51" s="498"/>
      <c r="P51" s="497"/>
      <c r="Q51" s="498"/>
      <c r="R51" s="497"/>
      <c r="S51" s="498"/>
      <c r="T51" s="497"/>
      <c r="U51" s="498"/>
      <c r="V51" s="497"/>
      <c r="W51" s="498"/>
      <c r="X51" s="497"/>
      <c r="Y51" s="498"/>
      <c r="Z51" s="497"/>
      <c r="AA51" s="498"/>
      <c r="AB51" s="497"/>
      <c r="AC51" s="498"/>
      <c r="AD51" s="497"/>
      <c r="AE51" s="498"/>
      <c r="AF51" s="511">
        <f ca="1">IFERROR(INDIRECT(CONCATENATE("'Height Input'!"&amp;B38&amp;C38+11)),"")</f>
        <v>0</v>
      </c>
      <c r="AG51" s="512"/>
      <c r="AH51" s="48"/>
      <c r="AI51" s="48"/>
      <c r="AJ51" s="49">
        <f ca="1">IFERROR(IF(AF51="X",MatchDay!$U$2+MatchDay!$U$2+1-COUNTIF($AF40:AF51,"X"),IF(AF51&gt;=97,1,INT(INDIRECT(CONCATENATE("'Height Input'!"&amp;$B37&amp;$C38+11))))),"")</f>
        <v>0</v>
      </c>
      <c r="AK51" s="50">
        <f ca="1">IFERROR(IF(OR(AJ51=0,AJ51=""),0,IF(OR(AJ51&lt;VLOOKUP(BT51,$E40:$AJ47,32,FALSE),VLOOKUP(BT51,$E40:$AJ47,32,FALSE)=0),"A","B")),0)</f>
        <v>0</v>
      </c>
      <c r="AL51" s="123" t="str">
        <f ca="1">IFERROR(IF(OR(AK51=0,AK51="B"),"",RANK(AW51,AW40:AW55,1)),"")</f>
        <v/>
      </c>
      <c r="AM51" s="123" t="str">
        <f ca="1">IFERROR(IF(OR(AK51=0,AK51="A"),"",RANK(AX51,AX40:AX55,1)),"")</f>
        <v/>
      </c>
      <c r="AN51" s="51">
        <f ca="1">IFERROR(IF(AF51="X",0,(INDIRECT(CONCATENATE("'Height Input'!"&amp;$B37&amp;$C38+11))-AJ51)*10),"")</f>
        <v>0</v>
      </c>
      <c r="AO51" s="8"/>
      <c r="AP51" s="9" t="str">
        <f t="shared" ca="1" si="17"/>
        <v/>
      </c>
      <c r="AQ51" s="9" t="str">
        <f ca="1">IF(AR51="","",HLOOKUP(AL51,BC39:BJ56,18,FALSE))</f>
        <v/>
      </c>
      <c r="AR51" s="45" t="str">
        <f ca="1">IF(OR(AL51=0,AL51=""),"",IF(COUNTIFS(AL40:AL55,AL51)&gt;1,"=",""))</f>
        <v/>
      </c>
      <c r="AS51" s="45"/>
      <c r="AT51" s="9" t="str">
        <f t="shared" ca="1" si="18"/>
        <v/>
      </c>
      <c r="AU51" s="9" t="str">
        <f ca="1">IF(AV51="","",HLOOKUP(AM51,BK39:BR56,18,FALSE))</f>
        <v/>
      </c>
      <c r="AV51" s="45" t="str">
        <f ca="1">IF(OR(AM51=0,AM51=""),"",IF(COUNTIFS(AM40:AM55,AM51)&gt;1,"=",""))</f>
        <v/>
      </c>
      <c r="AW51" s="9" t="str">
        <f t="shared" ca="1" si="12"/>
        <v/>
      </c>
      <c r="AX51" s="9" t="str">
        <f t="shared" ca="1" si="13"/>
        <v/>
      </c>
      <c r="AY51" s="47"/>
      <c r="AZ51" s="135" t="str">
        <f t="shared" ca="1" si="14"/>
        <v/>
      </c>
      <c r="BA51" s="135" t="str">
        <f t="shared" ca="1" si="15"/>
        <v/>
      </c>
      <c r="BB51" s="9"/>
      <c r="BC51" s="52" t="str">
        <f ca="1">IF(AL51="","",IF(AL51=BC39,AL51,""))</f>
        <v/>
      </c>
      <c r="BD51" s="52" t="str">
        <f ca="1">IF(AL51="","",IF(AL51=BD39,AL51,""))</f>
        <v/>
      </c>
      <c r="BE51" s="52" t="str">
        <f ca="1">IF(AL51="","",IF(AL51=BE39,AL51,""))</f>
        <v/>
      </c>
      <c r="BF51" s="52" t="str">
        <f ca="1">IF(AL51="","",IF(AL51=BF39,AL51,""))</f>
        <v/>
      </c>
      <c r="BG51" s="52" t="str">
        <f ca="1">IF(AL51="","",IF(AL51=BG39,AL51,""))</f>
        <v/>
      </c>
      <c r="BH51" s="52" t="str">
        <f ca="1">IF(AL51="","",IF(AL51=BH39,AL51,""))</f>
        <v/>
      </c>
      <c r="BI51" s="52" t="str">
        <f ca="1">IF(AL51="","",IF(AL51=BI39,AL51,""))</f>
        <v/>
      </c>
      <c r="BJ51" s="52" t="str">
        <f ca="1">IF(AL51="","",IF(AL51=BJ39,AL51,""))</f>
        <v/>
      </c>
      <c r="BK51" s="52" t="str">
        <f ca="1">IF(AM51="","",IF(AM51=BK39,AM51,""))</f>
        <v/>
      </c>
      <c r="BL51" s="52" t="str">
        <f ca="1">IF(AM51="","",IF(AM51=BL39,AM51,""))</f>
        <v/>
      </c>
      <c r="BM51" s="52" t="str">
        <f ca="1">IF(AM51="","",IF(AM51=BM39,AM51,""))</f>
        <v/>
      </c>
      <c r="BN51" s="52" t="str">
        <f ca="1">IF(AM51="","",IF(AM51=BN39,AM51,""))</f>
        <v/>
      </c>
      <c r="BO51" s="52" t="str">
        <f ca="1">IF(AM51="","",IF(AM51=BO39,AM51,""))</f>
        <v/>
      </c>
      <c r="BP51" s="52" t="str">
        <f ca="1">IF(AM51="","",IF(AM51=BP39,AM51,""))</f>
        <v/>
      </c>
      <c r="BQ51" s="52" t="str">
        <f ca="1">IF(AM51="","",IF(AM51=BQ39,AM51,""))</f>
        <v/>
      </c>
      <c r="BR51" s="52" t="str">
        <f ca="1">IF(AM51="","",IF(AM51=BR39,AM51,""))</f>
        <v/>
      </c>
      <c r="BS51" s="46"/>
      <c r="BT51" s="4">
        <f>IFERROR(IF(A39=0,A51/11,LEFT(A51,1)),"")</f>
        <v>7</v>
      </c>
    </row>
    <row r="52" spans="1:72" s="4" customFormat="1" ht="16.149999999999999" customHeight="1" x14ac:dyDescent="0.35">
      <c r="A52" s="8">
        <f>IFERROR(IF(A39=0,A44*11,A44&amp;A44),"-")</f>
        <v>33</v>
      </c>
      <c r="B52" s="10" t="str">
        <f ca="1">IFERROR(IF(OR(AK52=0,AK52="B"),"",RANK(AZ52,AZ40:AZ55,1)),"")</f>
        <v/>
      </c>
      <c r="C52" s="10" t="str">
        <f ca="1">IFERROR(IF(OR(AK52=0,AK52="A"),"",RANK(BA52,BA40:BA55,1)),"")</f>
        <v/>
      </c>
      <c r="D52" s="55">
        <v>13</v>
      </c>
      <c r="E52" s="17">
        <f t="shared" si="16"/>
        <v>33</v>
      </c>
      <c r="F52" s="319" t="str">
        <f>IFERROR(VLOOKUP($A36&amp;E52,downloads!$A$1:$E$1000,2,FALSE),"")</f>
        <v/>
      </c>
      <c r="G52" s="18" t="str">
        <f t="shared" si="11"/>
        <v>Leigh</v>
      </c>
      <c r="H52" s="497"/>
      <c r="I52" s="498"/>
      <c r="J52" s="497"/>
      <c r="K52" s="498"/>
      <c r="L52" s="497"/>
      <c r="M52" s="498"/>
      <c r="N52" s="497"/>
      <c r="O52" s="498"/>
      <c r="P52" s="497"/>
      <c r="Q52" s="498"/>
      <c r="R52" s="497"/>
      <c r="S52" s="498"/>
      <c r="T52" s="497"/>
      <c r="U52" s="498"/>
      <c r="V52" s="497"/>
      <c r="W52" s="498"/>
      <c r="X52" s="497"/>
      <c r="Y52" s="498"/>
      <c r="Z52" s="497"/>
      <c r="AA52" s="498"/>
      <c r="AB52" s="497"/>
      <c r="AC52" s="498"/>
      <c r="AD52" s="497"/>
      <c r="AE52" s="498"/>
      <c r="AF52" s="511">
        <f ca="1">IFERROR(INDIRECT(CONCATENATE("'Height Input'!"&amp;B38&amp;C38+12)),"")</f>
        <v>0</v>
      </c>
      <c r="AG52" s="512"/>
      <c r="AH52" s="48"/>
      <c r="AI52" s="48"/>
      <c r="AJ52" s="49">
        <f ca="1">IFERROR(IF(AF52="X",MatchDay!$U$2+MatchDay!$U$2+1-COUNTIF($AF40:AF52,"X"),IF(AF52&gt;=97,1,INT(INDIRECT(CONCATENATE("'Height Input'!"&amp;$B37&amp;$C38+12))))),"")</f>
        <v>0</v>
      </c>
      <c r="AK52" s="50">
        <f ca="1">IFERROR(IF(OR(AJ52=0,AJ52=""),0,IF(OR(AJ52&lt;VLOOKUP(BT52,$E40:$AJ47,32,FALSE),VLOOKUP(BT52,$E40:$AJ47,32,FALSE)=0),"A","B")),0)</f>
        <v>0</v>
      </c>
      <c r="AL52" s="123" t="str">
        <f ca="1">IFERROR(IF(OR(AK52=0,AK52="B"),"",RANK(AW52,AW40:AW55,1)),"")</f>
        <v/>
      </c>
      <c r="AM52" s="123" t="str">
        <f ca="1">IFERROR(IF(OR(AK52=0,AK52="A"),"",RANK(AX52,AX40:AX55,1)),"")</f>
        <v/>
      </c>
      <c r="AN52" s="51">
        <f ca="1">IFERROR(IF(AF52="X",0,(INDIRECT(CONCATENATE("'Height Input'!"&amp;$B37&amp;$C38+12))-AJ52)*10),"")</f>
        <v>0</v>
      </c>
      <c r="AO52" s="8"/>
      <c r="AP52" s="9" t="str">
        <f t="shared" ca="1" si="17"/>
        <v/>
      </c>
      <c r="AQ52" s="9" t="str">
        <f ca="1">IF(AR52="","",HLOOKUP(AL52,BC39:BJ56,18,FALSE))</f>
        <v/>
      </c>
      <c r="AR52" s="45" t="str">
        <f ca="1">IF(OR(AL52=0,AL52=""),"",IF(COUNTIFS(AL40:AL55,AL52)&gt;1,"=",""))</f>
        <v/>
      </c>
      <c r="AS52" s="45"/>
      <c r="AT52" s="9" t="str">
        <f t="shared" ca="1" si="18"/>
        <v/>
      </c>
      <c r="AU52" s="9" t="str">
        <f ca="1">IF(AV52="","",HLOOKUP(AM52,BK39:BR56,18,FALSE))</f>
        <v/>
      </c>
      <c r="AV52" s="45" t="str">
        <f ca="1">IF(OR(AM52=0,AM52=""),"",IF(COUNTIFS(AM40:AM55,AM52)&gt;1,"=",""))</f>
        <v/>
      </c>
      <c r="AW52" s="9" t="str">
        <f t="shared" ca="1" si="12"/>
        <v/>
      </c>
      <c r="AX52" s="9" t="str">
        <f t="shared" ca="1" si="13"/>
        <v/>
      </c>
      <c r="AY52" s="47"/>
      <c r="AZ52" s="135" t="str">
        <f t="shared" ca="1" si="14"/>
        <v/>
      </c>
      <c r="BA52" s="135" t="str">
        <f t="shared" ca="1" si="15"/>
        <v/>
      </c>
      <c r="BB52" s="9"/>
      <c r="BC52" s="52" t="str">
        <f ca="1">IF(AL52="","",IF(AL52=BC39,AL52,""))</f>
        <v/>
      </c>
      <c r="BD52" s="52" t="str">
        <f ca="1">IF(AL52="","",IF(AL52=BD39,AL52,""))</f>
        <v/>
      </c>
      <c r="BE52" s="52" t="str">
        <f ca="1">IF(AL52="","",IF(AL52=BE39,AL52,""))</f>
        <v/>
      </c>
      <c r="BF52" s="52" t="str">
        <f ca="1">IF(AL52="","",IF(AL52=BF39,AL52,""))</f>
        <v/>
      </c>
      <c r="BG52" s="52" t="str">
        <f ca="1">IF(AL52="","",IF(AL52=BG39,AL52,""))</f>
        <v/>
      </c>
      <c r="BH52" s="52" t="str">
        <f ca="1">IF(AL52="","",IF(AL52=BH39,AL52,""))</f>
        <v/>
      </c>
      <c r="BI52" s="52" t="str">
        <f ca="1">IF(AL52="","",IF(AL52=BI39,AL52,""))</f>
        <v/>
      </c>
      <c r="BJ52" s="52" t="str">
        <f ca="1">IF(AL52="","",IF(AL52=BJ39,AL52,""))</f>
        <v/>
      </c>
      <c r="BK52" s="52" t="str">
        <f ca="1">IF(AM52="","",IF(AM52=BK39,AM52,""))</f>
        <v/>
      </c>
      <c r="BL52" s="52" t="str">
        <f ca="1">IF(AM52="","",IF(AM52=BL39,AM52,""))</f>
        <v/>
      </c>
      <c r="BM52" s="52" t="str">
        <f ca="1">IF(AM52="","",IF(AM52=BM39,AM52,""))</f>
        <v/>
      </c>
      <c r="BN52" s="52" t="str">
        <f ca="1">IF(AM52="","",IF(AM52=BN39,AM52,""))</f>
        <v/>
      </c>
      <c r="BO52" s="52" t="str">
        <f ca="1">IF(AM52="","",IF(AM52=BO39,AM52,""))</f>
        <v/>
      </c>
      <c r="BP52" s="52" t="str">
        <f ca="1">IF(AM52="","",IF(AM52=BP39,AM52,""))</f>
        <v/>
      </c>
      <c r="BQ52" s="52" t="str">
        <f ca="1">IF(AM52="","",IF(AM52=BQ39,AM52,""))</f>
        <v/>
      </c>
      <c r="BR52" s="52" t="str">
        <f ca="1">IF(AM52="","",IF(AM52=BR39,AM52,""))</f>
        <v/>
      </c>
      <c r="BS52" s="46"/>
      <c r="BT52" s="4">
        <f>IFERROR(IF(A39=0,A52/11,LEFT(A52,1)),"")</f>
        <v>3</v>
      </c>
    </row>
    <row r="53" spans="1:72" s="4" customFormat="1" ht="16.149999999999999" customHeight="1" x14ac:dyDescent="0.35">
      <c r="A53" s="8">
        <f>IFERROR(IF(A39=0,A45*11,A45&amp;A45),"-")</f>
        <v>44</v>
      </c>
      <c r="B53" s="10" t="str">
        <f ca="1">IFERROR(IF(OR(AK53=0,AK53="B"),"",RANK(AZ53,AZ40:AZ55,1)),"")</f>
        <v/>
      </c>
      <c r="C53" s="10" t="str">
        <f ca="1">IFERROR(IF(OR(AK53=0,AK53="A"),"",RANK(BA53,BA40:BA55,1)),"")</f>
        <v/>
      </c>
      <c r="D53" s="55">
        <v>14</v>
      </c>
      <c r="E53" s="17">
        <f t="shared" si="16"/>
        <v>44</v>
      </c>
      <c r="F53" s="319" t="str">
        <f>IFERROR(VLOOKUP($A36&amp;E53,downloads!$A$1:$E$1000,2,FALSE),"")</f>
        <v/>
      </c>
      <c r="G53" s="18" t="str">
        <f t="shared" si="11"/>
        <v>Macc</v>
      </c>
      <c r="H53" s="497"/>
      <c r="I53" s="498"/>
      <c r="J53" s="497"/>
      <c r="K53" s="498"/>
      <c r="L53" s="497"/>
      <c r="M53" s="498"/>
      <c r="N53" s="497"/>
      <c r="O53" s="498"/>
      <c r="P53" s="497"/>
      <c r="Q53" s="498"/>
      <c r="R53" s="497"/>
      <c r="S53" s="498"/>
      <c r="T53" s="497"/>
      <c r="U53" s="498"/>
      <c r="V53" s="497"/>
      <c r="W53" s="498"/>
      <c r="X53" s="497"/>
      <c r="Y53" s="498"/>
      <c r="Z53" s="497"/>
      <c r="AA53" s="498"/>
      <c r="AB53" s="497"/>
      <c r="AC53" s="498"/>
      <c r="AD53" s="497"/>
      <c r="AE53" s="498"/>
      <c r="AF53" s="511">
        <f ca="1">IFERROR(INDIRECT(CONCATENATE("'Height Input'!"&amp;B38&amp;C38+13)),"")</f>
        <v>0</v>
      </c>
      <c r="AG53" s="512"/>
      <c r="AH53" s="48"/>
      <c r="AI53" s="48"/>
      <c r="AJ53" s="49">
        <f ca="1">IFERROR(IF(AF53="X",MatchDay!$U$2+MatchDay!$U$2+1-COUNTIF($AF40:AF53,"X"),IF(AF53&gt;=97,1,INT(INDIRECT(CONCATENATE("'Height Input'!"&amp;$B37&amp;$C38+13))))),"")</f>
        <v>0</v>
      </c>
      <c r="AK53" s="50">
        <f ca="1">IFERROR(IF(OR(AJ53=0,AJ53=""),0,IF(OR(AJ53&lt;VLOOKUP(BT53,$E40:$AJ47,32,FALSE),VLOOKUP(BT53,$E40:$AJ47,32,FALSE)=0),"A","B")),0)</f>
        <v>0</v>
      </c>
      <c r="AL53" s="123" t="str">
        <f ca="1">IFERROR(IF(OR(AK53=0,AK53="B"),"",RANK(AW53,AW40:AW55,1)),"")</f>
        <v/>
      </c>
      <c r="AM53" s="123" t="str">
        <f ca="1">IFERROR(IF(OR(AK53=0,AK53="A"),"",RANK(AX53,AX40:AX55,1)),"")</f>
        <v/>
      </c>
      <c r="AN53" s="51">
        <f ca="1">IFERROR(IF(AF53="X",0,(INDIRECT(CONCATENATE("'Height Input'!"&amp;$B37&amp;$C38+13))-AJ53)*10),"")</f>
        <v>0</v>
      </c>
      <c r="AO53" s="8"/>
      <c r="AP53" s="9" t="str">
        <f t="shared" ca="1" si="17"/>
        <v/>
      </c>
      <c r="AQ53" s="9" t="str">
        <f ca="1">IF(AR53="","",HLOOKUP(AL53,BC39:BJ56,18,FALSE))</f>
        <v/>
      </c>
      <c r="AR53" s="45" t="str">
        <f ca="1">IF(OR(AL53=0,AL53=""),"",IF(COUNTIFS(AL40:AL55,AL53)&gt;1,"=",""))</f>
        <v/>
      </c>
      <c r="AS53" s="45"/>
      <c r="AT53" s="9" t="str">
        <f t="shared" ca="1" si="18"/>
        <v/>
      </c>
      <c r="AU53" s="9" t="str">
        <f ca="1">IF(AV53="","",HLOOKUP(AM53,BK39:BR56,18,FALSE))</f>
        <v/>
      </c>
      <c r="AV53" s="45" t="str">
        <f ca="1">IF(OR(AM53=0,AM53=""),"",IF(COUNTIFS(AM40:AM55,AM53)&gt;1,"=",""))</f>
        <v/>
      </c>
      <c r="AW53" s="9" t="str">
        <f t="shared" ca="1" si="12"/>
        <v/>
      </c>
      <c r="AX53" s="9" t="str">
        <f t="shared" ca="1" si="13"/>
        <v/>
      </c>
      <c r="AY53" s="47"/>
      <c r="AZ53" s="135" t="str">
        <f t="shared" ca="1" si="14"/>
        <v/>
      </c>
      <c r="BA53" s="135" t="str">
        <f t="shared" ca="1" si="15"/>
        <v/>
      </c>
      <c r="BB53" s="9"/>
      <c r="BC53" s="52" t="str">
        <f ca="1">IF(AL53="","",IF(AL53=BC39,AL53,""))</f>
        <v/>
      </c>
      <c r="BD53" s="52" t="str">
        <f ca="1">IF(AL53="","",IF(AL53=BD39,AL53,""))</f>
        <v/>
      </c>
      <c r="BE53" s="52" t="str">
        <f ca="1">IF(AL53="","",IF(AL53=BE39,AL53,""))</f>
        <v/>
      </c>
      <c r="BF53" s="52" t="str">
        <f ca="1">IF(AL53="","",IF(AL53=BF39,AL53,""))</f>
        <v/>
      </c>
      <c r="BG53" s="52" t="str">
        <f ca="1">IF(AL53="","",IF(AL53=BG39,AL53,""))</f>
        <v/>
      </c>
      <c r="BH53" s="52" t="str">
        <f ca="1">IF(AL53="","",IF(AL53=BH39,AL53,""))</f>
        <v/>
      </c>
      <c r="BI53" s="52" t="str">
        <f ca="1">IF(AL53="","",IF(AL53=BI39,AL53,""))</f>
        <v/>
      </c>
      <c r="BJ53" s="52" t="str">
        <f ca="1">IF(AL53="","",IF(AL53=BJ39,AL53,""))</f>
        <v/>
      </c>
      <c r="BK53" s="52" t="str">
        <f ca="1">IF(AM53="","",IF(AM53=BK39,AM53,""))</f>
        <v/>
      </c>
      <c r="BL53" s="52" t="str">
        <f ca="1">IF(AM53="","",IF(AM53=BL39,AM53,""))</f>
        <v/>
      </c>
      <c r="BM53" s="52" t="str">
        <f ca="1">IF(AM53="","",IF(AM53=BM39,AM53,""))</f>
        <v/>
      </c>
      <c r="BN53" s="52" t="str">
        <f ca="1">IF(AM53="","",IF(AM53=BN39,AM53,""))</f>
        <v/>
      </c>
      <c r="BO53" s="52" t="str">
        <f ca="1">IF(AM53="","",IF(AM53=BO39,AM53,""))</f>
        <v/>
      </c>
      <c r="BP53" s="52" t="str">
        <f ca="1">IF(AM53="","",IF(AM53=BP39,AM53,""))</f>
        <v/>
      </c>
      <c r="BQ53" s="52" t="str">
        <f ca="1">IF(AM53="","",IF(AM53=BQ39,AM53,""))</f>
        <v/>
      </c>
      <c r="BR53" s="52" t="str">
        <f ca="1">IF(AM53="","",IF(AM53=BR39,AM53,""))</f>
        <v/>
      </c>
      <c r="BS53" s="46"/>
      <c r="BT53" s="4">
        <f>IFERROR(IF(A39=0,A53/11,LEFT(A53,1)),"")</f>
        <v>4</v>
      </c>
    </row>
    <row r="54" spans="1:72" s="4" customFormat="1" ht="16.149999999999999" customHeight="1" x14ac:dyDescent="0.35">
      <c r="A54" s="8">
        <f>IFERROR(IF(A39=0,A46*11,A46&amp;A46),"-")</f>
        <v>55</v>
      </c>
      <c r="B54" s="10" t="str">
        <f ca="1">IFERROR(IF(OR(AK54=0,AK54="B"),"",RANK(AZ54,AZ40:AZ55,1)),"")</f>
        <v/>
      </c>
      <c r="C54" s="10" t="str">
        <f ca="1">IFERROR(IF(OR(AK54=0,AK54="A"),"",RANK(BA54,BA40:BA55,1)),"")</f>
        <v/>
      </c>
      <c r="D54" s="55">
        <v>15</v>
      </c>
      <c r="E54" s="17">
        <f t="shared" si="16"/>
        <v>55</v>
      </c>
      <c r="F54" s="319" t="str">
        <f>IFERROR(VLOOKUP($A36&amp;E54,downloads!$A$1:$E$1000,2,FALSE),"")</f>
        <v/>
      </c>
      <c r="G54" s="18" t="str">
        <f t="shared" si="11"/>
        <v>Menai</v>
      </c>
      <c r="H54" s="497"/>
      <c r="I54" s="498"/>
      <c r="J54" s="497"/>
      <c r="K54" s="498"/>
      <c r="L54" s="497"/>
      <c r="M54" s="498"/>
      <c r="N54" s="497"/>
      <c r="O54" s="498"/>
      <c r="P54" s="497"/>
      <c r="Q54" s="498"/>
      <c r="R54" s="497"/>
      <c r="S54" s="498"/>
      <c r="T54" s="497"/>
      <c r="U54" s="498"/>
      <c r="V54" s="497"/>
      <c r="W54" s="498"/>
      <c r="X54" s="497"/>
      <c r="Y54" s="498"/>
      <c r="Z54" s="497"/>
      <c r="AA54" s="498"/>
      <c r="AB54" s="497"/>
      <c r="AC54" s="498"/>
      <c r="AD54" s="497"/>
      <c r="AE54" s="498"/>
      <c r="AF54" s="511">
        <f ca="1">IFERROR(INDIRECT(CONCATENATE("'Height Input'!"&amp;B38&amp;C38+14)),"")</f>
        <v>0</v>
      </c>
      <c r="AG54" s="512"/>
      <c r="AH54" s="48"/>
      <c r="AI54" s="48"/>
      <c r="AJ54" s="49">
        <f ca="1">IFERROR(IF(AF54="X",MatchDay!$U$2+MatchDay!$U$2+1-COUNTIF($AF40:AF54,"X"),IF(AF54&gt;=97,1,INT(INDIRECT(CONCATENATE("'Height Input'!"&amp;$B37&amp;$C38+14))))),"")</f>
        <v>0</v>
      </c>
      <c r="AK54" s="50">
        <f ca="1">IFERROR(IF(OR(AJ54=0,AJ54=""),0,IF(OR(AJ54&lt;VLOOKUP(BT54,$E40:$AJ47,32,FALSE),VLOOKUP(BT54,$E40:$AJ47,32,FALSE)=0),"A","B")),0)</f>
        <v>0</v>
      </c>
      <c r="AL54" s="123" t="str">
        <f ca="1">IFERROR(IF(OR(AK54=0,AK54="B"),"",RANK(AW54,AW40:AW55,1)),"")</f>
        <v/>
      </c>
      <c r="AM54" s="123" t="str">
        <f ca="1">IFERROR(IF(OR(AK54=0,AK54="A"),"",RANK(AX54,AX40:AX55,1)),"")</f>
        <v/>
      </c>
      <c r="AN54" s="51">
        <f ca="1">IFERROR(IF(AF54="X",0,(INDIRECT(CONCATENATE("'Height Input'!"&amp;$B37&amp;$C38+14))-AJ54)*10),"")</f>
        <v>0</v>
      </c>
      <c r="AO54" s="8"/>
      <c r="AP54" s="9" t="str">
        <f t="shared" ca="1" si="17"/>
        <v/>
      </c>
      <c r="AQ54" s="9" t="str">
        <f ca="1">IF(AR54="","",HLOOKUP(AL54,BC39:BJ56,18,FALSE))</f>
        <v/>
      </c>
      <c r="AR54" s="45" t="str">
        <f ca="1">IF(OR(AL54=0,AL54=""),"",IF(COUNTIFS(AL40:AL55,AL54)&gt;1,"=",""))</f>
        <v/>
      </c>
      <c r="AS54" s="45"/>
      <c r="AT54" s="9" t="str">
        <f t="shared" ca="1" si="18"/>
        <v/>
      </c>
      <c r="AU54" s="9" t="str">
        <f ca="1">IF(AV54="","",HLOOKUP(AM54,BK39:BR56,18,FALSE))</f>
        <v/>
      </c>
      <c r="AV54" s="45" t="str">
        <f ca="1">IF(OR(AM54=0,AM54=""),"",IF(COUNTIFS(AM40:AM55,AM54)&gt;1,"=",""))</f>
        <v/>
      </c>
      <c r="AW54" s="9" t="str">
        <f t="shared" ca="1" si="12"/>
        <v/>
      </c>
      <c r="AX54" s="9" t="str">
        <f t="shared" ca="1" si="13"/>
        <v/>
      </c>
      <c r="AY54" s="47"/>
      <c r="AZ54" s="135" t="str">
        <f t="shared" ca="1" si="14"/>
        <v/>
      </c>
      <c r="BA54" s="135" t="str">
        <f t="shared" ca="1" si="15"/>
        <v/>
      </c>
      <c r="BB54" s="9"/>
      <c r="BC54" s="52" t="str">
        <f ca="1">IF(AL54="","",IF(AL54=BC39,AL54,""))</f>
        <v/>
      </c>
      <c r="BD54" s="52" t="str">
        <f ca="1">IF(AL54="","",IF(AL54=BD39,AL54,""))</f>
        <v/>
      </c>
      <c r="BE54" s="52" t="str">
        <f ca="1">IF(AL54="","",IF(AL54=BE39,AL54,""))</f>
        <v/>
      </c>
      <c r="BF54" s="52" t="str">
        <f ca="1">IF(AL54="","",IF(AL54=BF39,AL54,""))</f>
        <v/>
      </c>
      <c r="BG54" s="52" t="str">
        <f ca="1">IF(AL54="","",IF(AL54=BG39,AL54,""))</f>
        <v/>
      </c>
      <c r="BH54" s="52" t="str">
        <f ca="1">IF(AL54="","",IF(AL54=BH39,AL54,""))</f>
        <v/>
      </c>
      <c r="BI54" s="52" t="str">
        <f ca="1">IF(AL54="","",IF(AL54=BI39,AL54,""))</f>
        <v/>
      </c>
      <c r="BJ54" s="52" t="str">
        <f ca="1">IF(AL54="","",IF(AL54=BJ39,AL54,""))</f>
        <v/>
      </c>
      <c r="BK54" s="52" t="str">
        <f ca="1">IF(AM54="","",IF(AM54=BK39,AM54,""))</f>
        <v/>
      </c>
      <c r="BL54" s="52" t="str">
        <f ca="1">IF(AM54="","",IF(AM54=BL39,AM54,""))</f>
        <v/>
      </c>
      <c r="BM54" s="52" t="str">
        <f ca="1">IF(AM54="","",IF(AM54=BM39,AM54,""))</f>
        <v/>
      </c>
      <c r="BN54" s="52" t="str">
        <f ca="1">IF(AM54="","",IF(AM54=BN39,AM54,""))</f>
        <v/>
      </c>
      <c r="BO54" s="52" t="str">
        <f ca="1">IF(AM54="","",IF(AM54=BO39,AM54,""))</f>
        <v/>
      </c>
      <c r="BP54" s="52" t="str">
        <f ca="1">IF(AM54="","",IF(AM54=BP39,AM54,""))</f>
        <v/>
      </c>
      <c r="BQ54" s="52" t="str">
        <f ca="1">IF(AM54="","",IF(AM54=BQ39,AM54,""))</f>
        <v/>
      </c>
      <c r="BR54" s="52" t="str">
        <f ca="1">IF(AM54="","",IF(AM54=BR39,AM54,""))</f>
        <v/>
      </c>
      <c r="BS54" s="46"/>
      <c r="BT54" s="4">
        <f>IFERROR(IF(A39=0,A54/11,LEFT(A54,1)),"")</f>
        <v>5</v>
      </c>
    </row>
    <row r="55" spans="1:72" s="4" customFormat="1" ht="16.149999999999999" customHeight="1" x14ac:dyDescent="0.35">
      <c r="A55" s="8" t="str">
        <f>IFERROR(IF(A39=0,A47*11,A47&amp;A47),"-")</f>
        <v>-</v>
      </c>
      <c r="B55" s="10" t="str">
        <f ca="1">IFERROR(IF(OR(AK55=0,AK55="B"),"",RANK(AZ55,AZ40:AZ55,1)),"")</f>
        <v/>
      </c>
      <c r="C55" s="10" t="str">
        <f ca="1">IFERROR(IF(OR(AK55=0,AK55="A"),"",RANK(BA55,BA40:BA55,1)),"")</f>
        <v/>
      </c>
      <c r="D55" s="55">
        <v>16</v>
      </c>
      <c r="E55" s="17" t="str">
        <f t="shared" si="16"/>
        <v>-</v>
      </c>
      <c r="F55" s="319" t="str">
        <f>IFERROR(VLOOKUP($A36&amp;E55,downloads!$A$1:$E$1000,2,FALSE),"")</f>
        <v/>
      </c>
      <c r="G55" s="18" t="str">
        <f t="shared" si="11"/>
        <v/>
      </c>
      <c r="H55" s="497"/>
      <c r="I55" s="498"/>
      <c r="J55" s="497"/>
      <c r="K55" s="498"/>
      <c r="L55" s="497"/>
      <c r="M55" s="498"/>
      <c r="N55" s="497"/>
      <c r="O55" s="498"/>
      <c r="P55" s="497"/>
      <c r="Q55" s="498"/>
      <c r="R55" s="497"/>
      <c r="S55" s="498"/>
      <c r="T55" s="497"/>
      <c r="U55" s="498"/>
      <c r="V55" s="497"/>
      <c r="W55" s="498"/>
      <c r="X55" s="497"/>
      <c r="Y55" s="498"/>
      <c r="Z55" s="497"/>
      <c r="AA55" s="498"/>
      <c r="AB55" s="497"/>
      <c r="AC55" s="498"/>
      <c r="AD55" s="497"/>
      <c r="AE55" s="498"/>
      <c r="AF55" s="511">
        <f ca="1">IFERROR(INDIRECT(CONCATENATE("'Height Input'!"&amp;B38&amp;C38+15)),"")</f>
        <v>0</v>
      </c>
      <c r="AG55" s="512"/>
      <c r="AH55" s="48"/>
      <c r="AI55" s="48"/>
      <c r="AJ55" s="49">
        <f ca="1">IFERROR(IF(AF55="X",MatchDay!$U$2+MatchDay!$U$2+1-COUNTIF($AF40:AF55,"X"),IF(AF55&gt;=97,1,INT(INDIRECT(CONCATENATE("'Height Input'!"&amp;$B37&amp;$C38+15))))),"")</f>
        <v>0</v>
      </c>
      <c r="AK55" s="50">
        <f ca="1">IFERROR(IF(OR(AJ55=0,AJ55=""),0,IF(OR(AJ55&lt;VLOOKUP(BT55,$E40:$AJ47,32,FALSE),VLOOKUP(BT55,$E40:$AJ47,32,FALSE)=0),"A","B")),0)</f>
        <v>0</v>
      </c>
      <c r="AL55" s="123" t="str">
        <f ca="1">IFERROR(IF(OR(AK55=0,AK55="B"),"",RANK(AW55,AW40:AW55,1)),"")</f>
        <v/>
      </c>
      <c r="AM55" s="123" t="str">
        <f ca="1">IFERROR(IF(OR(AK55=0,AK55="A"),"",RANK(AX55,AX40:AX55,1)),"")</f>
        <v/>
      </c>
      <c r="AN55" s="51">
        <f ca="1">IFERROR(IF(AF55="X",0,(INDIRECT(CONCATENATE("'Height Input'!"&amp;$B37&amp;$C38+15))-AJ55)*10),"")</f>
        <v>0</v>
      </c>
      <c r="AO55" s="8"/>
      <c r="AP55" s="9" t="str">
        <f t="shared" ca="1" si="17"/>
        <v/>
      </c>
      <c r="AQ55" s="9" t="str">
        <f ca="1">IF(AR55="","",HLOOKUP(AL55,BC39:BJ56,18,FALSE))</f>
        <v/>
      </c>
      <c r="AR55" s="45" t="str">
        <f ca="1">IF(OR(AL55=0,AL55=""),"",IF(COUNTIFS(AL40:AL55,AL55)&gt;1,"=",""))</f>
        <v/>
      </c>
      <c r="AS55" s="45"/>
      <c r="AT55" s="9" t="str">
        <f t="shared" ca="1" si="18"/>
        <v/>
      </c>
      <c r="AU55" s="9" t="str">
        <f ca="1">IF(AV55="","",HLOOKUP(AM55,BK39:BR56,18,FALSE))</f>
        <v/>
      </c>
      <c r="AV55" s="45" t="str">
        <f ca="1">IF(OR(AM55=0,AM55=""),"",IF(COUNTIFS(AM40:AM55,AM55)&gt;1,"=",""))</f>
        <v/>
      </c>
      <c r="AW55" s="9" t="str">
        <f t="shared" ca="1" si="12"/>
        <v/>
      </c>
      <c r="AX55" s="9" t="str">
        <f t="shared" ca="1" si="13"/>
        <v/>
      </c>
      <c r="AY55" s="47"/>
      <c r="AZ55" s="135" t="str">
        <f t="shared" ca="1" si="14"/>
        <v/>
      </c>
      <c r="BA55" s="135" t="str">
        <f t="shared" ca="1" si="15"/>
        <v/>
      </c>
      <c r="BB55" s="9"/>
      <c r="BC55" s="52" t="str">
        <f ca="1">IF(AL55="","",IF(AL55=BC39,AL55,""))</f>
        <v/>
      </c>
      <c r="BD55" s="52" t="str">
        <f ca="1">IF(AL55="","",IF(AL55=BD39,AL55,""))</f>
        <v/>
      </c>
      <c r="BE55" s="52" t="str">
        <f ca="1">IF(AL55="","",IF(AL55=BE39,AL55,""))</f>
        <v/>
      </c>
      <c r="BF55" s="52" t="str">
        <f ca="1">IF(AL55="","",IF(AL55=BF39,AL55,""))</f>
        <v/>
      </c>
      <c r="BG55" s="52" t="str">
        <f ca="1">IF(AL55="","",IF(AL55=BG39,AL55,""))</f>
        <v/>
      </c>
      <c r="BH55" s="52" t="str">
        <f ca="1">IF(AL55="","",IF(AL55=BH39,AL55,""))</f>
        <v/>
      </c>
      <c r="BI55" s="52" t="str">
        <f ca="1">IF(AL55="","",IF(AL55=BI39,AL55,""))</f>
        <v/>
      </c>
      <c r="BJ55" s="52" t="str">
        <f ca="1">IF(AL55="","",IF(AL55=BJ39,AL55,""))</f>
        <v/>
      </c>
      <c r="BK55" s="52" t="str">
        <f ca="1">IF(AM55="","",IF(AM55=BK39,AM55,""))</f>
        <v/>
      </c>
      <c r="BL55" s="52" t="str">
        <f ca="1">IF(AM55="","",IF(AM55=BL39,AM55,""))</f>
        <v/>
      </c>
      <c r="BM55" s="52" t="str">
        <f ca="1">IF(AM55="","",IF(AM55=BM39,AM55,""))</f>
        <v/>
      </c>
      <c r="BN55" s="52" t="str">
        <f ca="1">IF(AM55="","",IF(AM55=BN39,AM55,""))</f>
        <v/>
      </c>
      <c r="BO55" s="52" t="str">
        <f ca="1">IF(AM55="","",IF(AM55=BO39,AM55,""))</f>
        <v/>
      </c>
      <c r="BP55" s="52" t="str">
        <f ca="1">IF(AM55="","",IF(AM55=BP39,AM55,""))</f>
        <v/>
      </c>
      <c r="BQ55" s="52" t="str">
        <f ca="1">IF(AM55="","",IF(AM55=BQ39,AM55,""))</f>
        <v/>
      </c>
      <c r="BR55" s="52" t="str">
        <f ca="1">IF(AM55="","",IF(AM55=BR39,AM55,""))</f>
        <v/>
      </c>
      <c r="BS55" s="46"/>
      <c r="BT55" s="4" t="str">
        <f>IFERROR(IF(A39=0,A55/11,LEFT(A55,1)),"")</f>
        <v/>
      </c>
    </row>
    <row r="56" spans="1:72" s="4" customFormat="1" ht="13.5" x14ac:dyDescent="0.3">
      <c r="A56" s="8"/>
      <c r="B56" s="1"/>
      <c r="C56" s="1"/>
      <c r="AL56" s="124"/>
      <c r="AM56" s="124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137"/>
      <c r="BA56" s="137"/>
      <c r="BB56" s="47"/>
      <c r="BC56" s="9">
        <f ca="1">COUNTIF(BC40:BC55,BC39)</f>
        <v>1</v>
      </c>
      <c r="BD56" s="9">
        <f t="shared" ref="BD56:BR56" ca="1" si="19">COUNTIF(BD40:BD55,BD39)</f>
        <v>1</v>
      </c>
      <c r="BE56" s="9">
        <f t="shared" ca="1" si="19"/>
        <v>1</v>
      </c>
      <c r="BF56" s="9">
        <f t="shared" ca="1" si="19"/>
        <v>1</v>
      </c>
      <c r="BG56" s="9">
        <f t="shared" ca="1" si="19"/>
        <v>0</v>
      </c>
      <c r="BH56" s="9">
        <f t="shared" ca="1" si="19"/>
        <v>0</v>
      </c>
      <c r="BI56" s="9">
        <f t="shared" ca="1" si="19"/>
        <v>0</v>
      </c>
      <c r="BJ56" s="9">
        <f t="shared" ca="1" si="19"/>
        <v>0</v>
      </c>
      <c r="BK56" s="9">
        <f t="shared" ca="1" si="19"/>
        <v>1</v>
      </c>
      <c r="BL56" s="9">
        <f t="shared" ca="1" si="19"/>
        <v>0</v>
      </c>
      <c r="BM56" s="9">
        <f t="shared" ca="1" si="19"/>
        <v>0</v>
      </c>
      <c r="BN56" s="9">
        <f t="shared" ca="1" si="19"/>
        <v>0</v>
      </c>
      <c r="BO56" s="9">
        <f t="shared" ca="1" si="19"/>
        <v>0</v>
      </c>
      <c r="BP56" s="9">
        <f t="shared" ca="1" si="19"/>
        <v>0</v>
      </c>
      <c r="BQ56" s="9">
        <f t="shared" ca="1" si="19"/>
        <v>0</v>
      </c>
      <c r="BR56" s="9">
        <f t="shared" ca="1" si="19"/>
        <v>0</v>
      </c>
    </row>
    <row r="57" spans="1:72" s="4" customFormat="1" x14ac:dyDescent="0.25">
      <c r="A57" s="8"/>
      <c r="B57" s="1"/>
      <c r="C57" s="1"/>
      <c r="D57" s="466" t="s">
        <v>139</v>
      </c>
      <c r="E57" s="507"/>
      <c r="F57" s="507"/>
      <c r="G57" s="507"/>
      <c r="H57" s="507"/>
      <c r="I57" s="508"/>
      <c r="J57" s="466" t="s">
        <v>140</v>
      </c>
      <c r="K57" s="507"/>
      <c r="L57" s="507"/>
      <c r="M57" s="507"/>
      <c r="N57" s="507"/>
      <c r="O57" s="507"/>
      <c r="P57" s="507"/>
      <c r="Q57" s="507"/>
      <c r="R57" s="507"/>
      <c r="S57" s="507"/>
      <c r="T57" s="507"/>
      <c r="U57" s="507"/>
      <c r="V57" s="507"/>
      <c r="W57" s="507"/>
      <c r="X57" s="507"/>
      <c r="Y57" s="507"/>
      <c r="Z57" s="507"/>
      <c r="AA57" s="508"/>
      <c r="AB57" s="466" t="s">
        <v>1134</v>
      </c>
      <c r="AC57" s="507"/>
      <c r="AD57" s="507"/>
      <c r="AE57" s="507"/>
      <c r="AF57" s="507"/>
      <c r="AG57" s="507"/>
      <c r="AH57" s="507"/>
      <c r="AI57" s="507"/>
      <c r="AJ57" s="507"/>
      <c r="AK57" s="507"/>
      <c r="AL57" s="507"/>
      <c r="AM57" s="50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136"/>
      <c r="BA57" s="136"/>
      <c r="BB57" s="8"/>
      <c r="BC57" s="8"/>
      <c r="BD57" s="8"/>
      <c r="BE57" s="8"/>
    </row>
    <row r="58" spans="1:72" s="4" customFormat="1" x14ac:dyDescent="0.25">
      <c r="A58" s="8" t="s">
        <v>55</v>
      </c>
      <c r="B58" s="1"/>
      <c r="C58" s="1"/>
      <c r="D58" s="12" t="s">
        <v>177</v>
      </c>
      <c r="E58" s="55" t="s">
        <v>141</v>
      </c>
      <c r="F58" s="55" t="s">
        <v>124</v>
      </c>
      <c r="G58" s="119" t="s">
        <v>125</v>
      </c>
      <c r="H58" s="513" t="s">
        <v>270</v>
      </c>
      <c r="I58" s="514"/>
      <c r="J58" s="466" t="s">
        <v>177</v>
      </c>
      <c r="K58" s="468"/>
      <c r="L58" s="466" t="s">
        <v>141</v>
      </c>
      <c r="M58" s="508"/>
      <c r="N58" s="515" t="s">
        <v>124</v>
      </c>
      <c r="O58" s="515"/>
      <c r="P58" s="515"/>
      <c r="Q58" s="515"/>
      <c r="R58" s="515"/>
      <c r="S58" s="515"/>
      <c r="T58" s="515" t="s">
        <v>125</v>
      </c>
      <c r="U58" s="515"/>
      <c r="V58" s="515"/>
      <c r="W58" s="515"/>
      <c r="X58" s="515"/>
      <c r="Y58" s="515"/>
      <c r="Z58" s="513" t="s">
        <v>270</v>
      </c>
      <c r="AA58" s="514"/>
      <c r="AB58" s="116"/>
      <c r="AC58" s="117"/>
      <c r="AD58" s="117"/>
      <c r="AE58" s="117"/>
      <c r="AF58" s="117"/>
      <c r="AG58" s="117"/>
      <c r="AH58" s="25"/>
      <c r="AI58" s="25"/>
      <c r="AJ58" s="25"/>
      <c r="AK58" s="25"/>
      <c r="AL58" s="125"/>
      <c r="AM58" s="126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136"/>
      <c r="BA58" s="136"/>
      <c r="BB58" s="8"/>
      <c r="BC58" s="8"/>
      <c r="BD58" s="8"/>
      <c r="BE58" s="8"/>
    </row>
    <row r="59" spans="1:72" s="4" customFormat="1" ht="16.149999999999999" customHeight="1" x14ac:dyDescent="0.25">
      <c r="A59" s="11">
        <f>IFERROR(VLOOKUP(A36,standards,3,FALSE),"-")</f>
        <v>1.1000000000000001</v>
      </c>
      <c r="B59" s="1"/>
      <c r="C59" s="10">
        <v>1</v>
      </c>
      <c r="D59" s="19">
        <f ca="1">IFERROR(IF(VLOOKUP(C59,B40:AP55,41,FALSE)="",VLOOKUP(C59,B40:AP55,37,FALSE),VLOOKUP(C59,B40:AP55,37,FALSE)&amp;VLOOKUP(C59,B40:AP55,41,FALSE)),"")</f>
        <v>1</v>
      </c>
      <c r="E59" s="19">
        <f ca="1">IFERROR(IF(OR(AF40=98,AF40=99),AF40,IF(VLOOKUP(C59,B40:AG55,31,FALSE)=0,0,VLOOKUP(C59,B40:AG55,4,FALSE))),0)</f>
        <v>11</v>
      </c>
      <c r="F59" s="27" t="str">
        <f ca="1">IFERROR(VLOOKUP(E59,$E40:$F55,2,FALSE),"")</f>
        <v>Kaidan DOS REIS</v>
      </c>
      <c r="G59" s="27" t="str">
        <f t="shared" ref="G59:G66" ca="1" si="20">IFERROR(VLOOKUP(E59,teamlookup,5,FALSE),"")</f>
        <v>C&amp;N</v>
      </c>
      <c r="H59" s="459">
        <f ca="1">IFERROR(VLOOKUP(E59,E40:AG55,28,FALSE),0)</f>
        <v>1.36</v>
      </c>
      <c r="I59" s="460"/>
      <c r="J59" s="509">
        <f ca="1">IFERROR(IF(VLOOKUP(C59,C40:AT55,44,FALSE)="",VLOOKUP(C59,C40:AT55,37,FALSE),VLOOKUP(C59,C40:AT55,37,FALSE)&amp;VLOOKUP(C59,C40:AT55,44,FALSE)),"")</f>
        <v>1</v>
      </c>
      <c r="K59" s="510"/>
      <c r="L59" s="509">
        <f ca="1">IFERROR(IF(VLOOKUP(C59,C40:AG55,30,FALSE)=0,"",VLOOKUP(C59,C40:AG55,3,FALSE)),"")</f>
        <v>1</v>
      </c>
      <c r="M59" s="510"/>
      <c r="N59" s="461" t="str">
        <f ca="1">IFERROR(VLOOKUP(L59,E40:F55,2,FALSE),"")</f>
        <v>Ewan DAVIES</v>
      </c>
      <c r="O59" s="462"/>
      <c r="P59" s="462"/>
      <c r="Q59" s="462"/>
      <c r="R59" s="462"/>
      <c r="S59" s="463"/>
      <c r="T59" s="461" t="str">
        <f t="shared" ref="T59:T66" ca="1" si="21">IFERROR(VLOOKUP(L59,teamlookup,5,FALSE),"-")</f>
        <v>C&amp;N</v>
      </c>
      <c r="U59" s="462"/>
      <c r="V59" s="462"/>
      <c r="W59" s="462"/>
      <c r="X59" s="462"/>
      <c r="Y59" s="463"/>
      <c r="Z59" s="459">
        <f ca="1">IFERROR(VLOOKUP(L59,E40:AG55,28,FALSE),0)</f>
        <v>1.2</v>
      </c>
      <c r="AA59" s="460"/>
      <c r="AB59" s="28"/>
      <c r="AC59" s="29"/>
      <c r="AD59" s="29"/>
      <c r="AE59" s="29"/>
      <c r="AF59" s="29"/>
      <c r="AG59" s="29"/>
      <c r="AH59" s="29"/>
      <c r="AI59" s="29"/>
      <c r="AJ59" s="29"/>
      <c r="AK59" s="29"/>
      <c r="AL59" s="127"/>
      <c r="AM59" s="128"/>
      <c r="AP59" s="8"/>
      <c r="AQ59" s="8"/>
      <c r="AR59" s="53"/>
      <c r="AS59" s="8"/>
      <c r="AT59" s="8"/>
      <c r="AU59" s="8"/>
      <c r="AV59" s="8"/>
      <c r="AW59" s="8"/>
      <c r="AX59" s="8"/>
      <c r="AY59" s="8"/>
      <c r="AZ59" s="136"/>
      <c r="BA59" s="136"/>
      <c r="BB59" s="8"/>
      <c r="BC59" s="8"/>
      <c r="BD59" s="8"/>
      <c r="BE59" s="8"/>
    </row>
    <row r="60" spans="1:72" s="4" customFormat="1" ht="16.149999999999999" customHeight="1" x14ac:dyDescent="0.25">
      <c r="A60" s="11">
        <f>IFERROR(VLOOKUP(A36,standards,4,FALSE),"-")</f>
        <v>1.1499999999999999</v>
      </c>
      <c r="B60" s="1"/>
      <c r="C60" s="10">
        <v>2</v>
      </c>
      <c r="D60" s="19">
        <f ca="1">IFERROR(IF(VLOOKUP(C60,B40:AP55,41,FALSE)="",VLOOKUP(C60,B40:AP55,37,FALSE),VLOOKUP(C60,B40:AP55,37,FALSE)&amp;VLOOKUP(C60,B40:AP55,41,FALSE)),"")</f>
        <v>2</v>
      </c>
      <c r="E60" s="19">
        <f ca="1">IFERROR(IF(VLOOKUP(C60,B40:AG55,31,FALSE)=0,0,VLOOKUP(C60,B40:AG55,4,FALSE)),"")</f>
        <v>4</v>
      </c>
      <c r="F60" s="27" t="str">
        <f ca="1">IFERROR(VLOOKUP(E60,$E40:$F55,2,FALSE),"")</f>
        <v>Tomas BEDOYA</v>
      </c>
      <c r="G60" s="27" t="str">
        <f t="shared" ca="1" si="20"/>
        <v>Macc</v>
      </c>
      <c r="H60" s="459">
        <f ca="1">IFERROR(VLOOKUP(E60,E40:AG55,28,FALSE),0)</f>
        <v>1.33</v>
      </c>
      <c r="I60" s="460"/>
      <c r="J60" s="509" t="str">
        <f ca="1">IFERROR(IF(VLOOKUP(C60,C40:AT55,44,FALSE)="",VLOOKUP(C60,C40:AT55,37,FALSE),VLOOKUP(C60,C40:AT55,37,FALSE)&amp;VLOOKUP(C60,C40:AT55,44,FALSE)),"")</f>
        <v/>
      </c>
      <c r="K60" s="510"/>
      <c r="L60" s="509" t="str">
        <f ca="1">IFERROR(IF(VLOOKUP(C60,C40:AG55,30,FALSE)=0,"",VLOOKUP(C60,C40:AG55,3,FALSE)),"")</f>
        <v/>
      </c>
      <c r="M60" s="510"/>
      <c r="N60" s="461" t="str">
        <f ca="1">IFERROR(VLOOKUP(L60,E40:F55,2,FALSE),"")</f>
        <v/>
      </c>
      <c r="O60" s="462"/>
      <c r="P60" s="462"/>
      <c r="Q60" s="462"/>
      <c r="R60" s="462"/>
      <c r="S60" s="463"/>
      <c r="T60" s="461" t="str">
        <f t="shared" ca="1" si="21"/>
        <v>-</v>
      </c>
      <c r="U60" s="462"/>
      <c r="V60" s="462"/>
      <c r="W60" s="462"/>
      <c r="X60" s="462"/>
      <c r="Y60" s="463"/>
      <c r="Z60" s="459">
        <f ca="1">IFERROR(VLOOKUP(L60,E40:AG55,28,FALSE),0)</f>
        <v>0</v>
      </c>
      <c r="AA60" s="460"/>
      <c r="AB60" s="118"/>
      <c r="AC60" s="20"/>
      <c r="AD60" s="20"/>
      <c r="AE60" s="20"/>
      <c r="AF60" s="20"/>
      <c r="AG60" s="20"/>
      <c r="AH60" s="20"/>
      <c r="AI60" s="20"/>
      <c r="AJ60" s="20"/>
      <c r="AK60" s="20"/>
      <c r="AL60" s="129"/>
      <c r="AM60" s="130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136"/>
      <c r="BA60" s="136"/>
      <c r="BB60" s="8"/>
      <c r="BC60" s="8"/>
      <c r="BD60" s="8"/>
      <c r="BE60" s="8"/>
    </row>
    <row r="61" spans="1:72" s="4" customFormat="1" ht="16.149999999999999" customHeight="1" x14ac:dyDescent="0.25">
      <c r="A61" s="11">
        <f>IFERROR(VLOOKUP(A36,standards,5,FALSE),"-")</f>
        <v>1.2</v>
      </c>
      <c r="B61" s="1"/>
      <c r="C61" s="10">
        <v>3</v>
      </c>
      <c r="D61" s="19">
        <f ca="1">IFERROR(IF(VLOOKUP(C61,B40:AP55,41,FALSE)="",VLOOKUP(C61,B40:AP55,37,FALSE),VLOOKUP(C61,B40:AP55,37,FALSE)&amp;VLOOKUP(C61,B40:AP55,41,FALSE)),"")</f>
        <v>3</v>
      </c>
      <c r="E61" s="19">
        <f ca="1">IFERROR(IF(VLOOKUP(C61,B40:AG55,31,FALSE)=0,0,VLOOKUP(C61,B40:AG55,4,FALSE)),"")</f>
        <v>2</v>
      </c>
      <c r="F61" s="27" t="str">
        <f ca="1">IFERROR(VLOOKUP(E61,$E40:$F55,2,FALSE),"")</f>
        <v>Ryan MCCARTHY</v>
      </c>
      <c r="G61" s="27" t="str">
        <f t="shared" ca="1" si="20"/>
        <v>ECHT</v>
      </c>
      <c r="H61" s="459">
        <f ca="1">IFERROR(VLOOKUP(E61,E40:AG55,28,FALSE),0)</f>
        <v>1.25</v>
      </c>
      <c r="I61" s="460"/>
      <c r="J61" s="509" t="str">
        <f ca="1">IFERROR(IF(VLOOKUP(C61,C40:AT55,44,FALSE)="",VLOOKUP(C61,C40:AT55,37,FALSE),VLOOKUP(C61,C40:AT55,37,FALSE)&amp;VLOOKUP(C61,C40:AT55,44,FALSE)),"")</f>
        <v/>
      </c>
      <c r="K61" s="510"/>
      <c r="L61" s="509" t="str">
        <f ca="1">IFERROR(IF(VLOOKUP(C61,C40:AG55,30,FALSE)=0,"",VLOOKUP(C61,C40:AG55,3,FALSE)),"")</f>
        <v/>
      </c>
      <c r="M61" s="510"/>
      <c r="N61" s="461" t="str">
        <f ca="1">IFERROR(VLOOKUP(L61,E40:F55,2,FALSE),"")</f>
        <v/>
      </c>
      <c r="O61" s="462"/>
      <c r="P61" s="462"/>
      <c r="Q61" s="462"/>
      <c r="R61" s="462"/>
      <c r="S61" s="463"/>
      <c r="T61" s="461" t="str">
        <f t="shared" ca="1" si="21"/>
        <v>-</v>
      </c>
      <c r="U61" s="462"/>
      <c r="V61" s="462"/>
      <c r="W61" s="462"/>
      <c r="X61" s="462"/>
      <c r="Y61" s="463"/>
      <c r="Z61" s="459">
        <f ca="1">IFERROR(VLOOKUP(L61,E40:AG55,28,FALSE),0)</f>
        <v>0</v>
      </c>
      <c r="AA61" s="460"/>
      <c r="AB61" s="118"/>
      <c r="AC61" s="20"/>
      <c r="AD61" s="20"/>
      <c r="AE61" s="20"/>
      <c r="AF61" s="20"/>
      <c r="AG61" s="20"/>
      <c r="AH61" s="20"/>
      <c r="AI61" s="20"/>
      <c r="AJ61" s="20"/>
      <c r="AK61" s="20"/>
      <c r="AL61" s="129"/>
      <c r="AM61" s="130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136"/>
      <c r="BA61" s="136"/>
      <c r="BB61" s="8"/>
      <c r="BC61" s="8"/>
      <c r="BD61" s="8"/>
      <c r="BE61" s="8"/>
    </row>
    <row r="62" spans="1:72" s="4" customFormat="1" ht="16.149999999999999" customHeight="1" x14ac:dyDescent="0.25">
      <c r="A62" s="11">
        <f>IFERROR(VLOOKUP(A36,EA!A:K,6,FALSE),"-")</f>
        <v>1.25</v>
      </c>
      <c r="B62" s="1"/>
      <c r="C62" s="10">
        <v>4</v>
      </c>
      <c r="D62" s="19">
        <f ca="1">IFERROR(IF(VLOOKUP(C62,B40:AP55,41,FALSE)="",VLOOKUP(C62,B40:AP55,37,FALSE),VLOOKUP(C62,B40:AP55,37,FALSE)&amp;VLOOKUP(C62,B40:AP55,41,FALSE)),"")</f>
        <v>4</v>
      </c>
      <c r="E62" s="19">
        <f ca="1">IFERROR(IF(VLOOKUP(C62,B40:AG55,31,FALSE)=0,0,VLOOKUP(C62,B40:AG55,4,FALSE)),"")</f>
        <v>7</v>
      </c>
      <c r="F62" s="27" t="str">
        <f ca="1">IFERROR(VLOOKUP(E62,$E40:$F55,2,FALSE),"")</f>
        <v>Samuel HODGKINSON</v>
      </c>
      <c r="G62" s="27" t="str">
        <f t="shared" ca="1" si="20"/>
        <v>Wigan</v>
      </c>
      <c r="H62" s="459">
        <f ca="1">IFERROR(VLOOKUP(E62,E40:AG55,28,FALSE),0)</f>
        <v>1.25</v>
      </c>
      <c r="I62" s="460"/>
      <c r="J62" s="509" t="str">
        <f ca="1">IFERROR(IF(VLOOKUP(C62,C40:AT55,44,FALSE)="",VLOOKUP(C62,C40:AT55,37,FALSE),VLOOKUP(C62,C40:AT55,37,FALSE)&amp;VLOOKUP(C62,C40:AT55,44,FALSE)),"")</f>
        <v/>
      </c>
      <c r="K62" s="510"/>
      <c r="L62" s="509" t="str">
        <f ca="1">IFERROR(IF(VLOOKUP(C62,C40:AG55,30,FALSE)=0,"",VLOOKUP(C62,C40:AG55,3,FALSE)),"")</f>
        <v/>
      </c>
      <c r="M62" s="510"/>
      <c r="N62" s="461" t="str">
        <f ca="1">IFERROR(VLOOKUP(L62,E40:F55,2,FALSE),"")</f>
        <v/>
      </c>
      <c r="O62" s="462"/>
      <c r="P62" s="462"/>
      <c r="Q62" s="462"/>
      <c r="R62" s="462"/>
      <c r="S62" s="463"/>
      <c r="T62" s="461" t="str">
        <f t="shared" ca="1" si="21"/>
        <v>-</v>
      </c>
      <c r="U62" s="462"/>
      <c r="V62" s="462"/>
      <c r="W62" s="462"/>
      <c r="X62" s="462"/>
      <c r="Y62" s="463"/>
      <c r="Z62" s="459">
        <f ca="1">IFERROR(VLOOKUP(L62,E40:AG55,28,FALSE),0)</f>
        <v>0</v>
      </c>
      <c r="AA62" s="460"/>
      <c r="AB62" s="24"/>
      <c r="AC62" s="25"/>
      <c r="AD62" s="25"/>
      <c r="AE62" s="25"/>
      <c r="AF62" s="25"/>
      <c r="AG62" s="25"/>
      <c r="AH62" s="25"/>
      <c r="AI62" s="25"/>
      <c r="AJ62" s="25"/>
      <c r="AK62" s="25"/>
      <c r="AL62" s="125"/>
      <c r="AM62" s="126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136"/>
      <c r="BA62" s="136"/>
      <c r="BB62" s="8"/>
      <c r="BC62" s="8"/>
      <c r="BD62" s="8"/>
      <c r="BE62" s="8"/>
    </row>
    <row r="63" spans="1:72" s="4" customFormat="1" ht="16.149999999999999" customHeight="1" x14ac:dyDescent="0.25">
      <c r="A63" s="8"/>
      <c r="B63" s="1"/>
      <c r="C63" s="10">
        <v>5</v>
      </c>
      <c r="D63" s="19" t="str">
        <f ca="1">IFERROR(IF(VLOOKUP(C63,B40:AP55,41,FALSE)="",VLOOKUP(C63,B40:AP55,37,FALSE),VLOOKUP(C63,B40:AP55,37,FALSE)&amp;VLOOKUP(C63,B40:AP55,41,FALSE)),"")</f>
        <v/>
      </c>
      <c r="E63" s="19" t="str">
        <f ca="1">IFERROR(IF(VLOOKUP(C63,B40:AG55,31,FALSE)=0,0,VLOOKUP(C63,B40:AG55,4,FALSE)),"")</f>
        <v/>
      </c>
      <c r="F63" s="27" t="str">
        <f ca="1">IFERROR(VLOOKUP(E63,$E40:$F55,2,FALSE),"")</f>
        <v/>
      </c>
      <c r="G63" s="27" t="str">
        <f t="shared" ca="1" si="20"/>
        <v/>
      </c>
      <c r="H63" s="459">
        <f ca="1">IFERROR(VLOOKUP(E63,E40:AG55,28,FALSE),0)</f>
        <v>0</v>
      </c>
      <c r="I63" s="460"/>
      <c r="J63" s="509" t="str">
        <f ca="1">IFERROR(IF(VLOOKUP(C63,C40:AT55,44,FALSE)="",VLOOKUP(C63,C40:AT55,37,FALSE),VLOOKUP(C63,C40:AT55,37,FALSE)&amp;VLOOKUP(C63,C40:AT55,44,FALSE)),"")</f>
        <v/>
      </c>
      <c r="K63" s="510"/>
      <c r="L63" s="509" t="str">
        <f ca="1">IFERROR(IF(VLOOKUP(C63,C40:AG55,30,FALSE)=0,"",VLOOKUP(C63,C40:AG55,3,FALSE)),"")</f>
        <v/>
      </c>
      <c r="M63" s="510"/>
      <c r="N63" s="461" t="str">
        <f ca="1">IFERROR(VLOOKUP(L63,E40:F55,2,FALSE),"")</f>
        <v/>
      </c>
      <c r="O63" s="462"/>
      <c r="P63" s="462"/>
      <c r="Q63" s="462"/>
      <c r="R63" s="462"/>
      <c r="S63" s="463"/>
      <c r="T63" s="461" t="str">
        <f t="shared" ca="1" si="21"/>
        <v>-</v>
      </c>
      <c r="U63" s="462"/>
      <c r="V63" s="462"/>
      <c r="W63" s="462"/>
      <c r="X63" s="462"/>
      <c r="Y63" s="463"/>
      <c r="Z63" s="459">
        <f ca="1">IFERROR(VLOOKUP(L63,E40:AG55,28,FALSE),0)</f>
        <v>0</v>
      </c>
      <c r="AA63" s="460"/>
      <c r="AB63" s="28"/>
      <c r="AC63" s="29"/>
      <c r="AD63" s="29"/>
      <c r="AE63" s="29"/>
      <c r="AF63" s="29"/>
      <c r="AG63" s="29"/>
      <c r="AH63" s="29"/>
      <c r="AI63" s="29"/>
      <c r="AJ63" s="29"/>
      <c r="AK63" s="29"/>
      <c r="AL63" s="127"/>
      <c r="AM63" s="12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136"/>
      <c r="BA63" s="136"/>
      <c r="BB63" s="8"/>
      <c r="BC63" s="8"/>
      <c r="BD63" s="8"/>
      <c r="BE63" s="8"/>
    </row>
    <row r="64" spans="1:72" s="4" customFormat="1" ht="16.149999999999999" customHeight="1" x14ac:dyDescent="0.25">
      <c r="A64" s="8" t="s">
        <v>151</v>
      </c>
      <c r="B64" s="1"/>
      <c r="C64" s="10">
        <v>6</v>
      </c>
      <c r="D64" s="19" t="str">
        <f ca="1">IFERROR(IF(VLOOKUP(C64,B40:AP55,41,FALSE)="",VLOOKUP(C64,B40:AP55,37,FALSE),VLOOKUP(C64,B40:AP55,37,FALSE)&amp;VLOOKUP(C64,B40:AP55,41,FALSE)),"")</f>
        <v/>
      </c>
      <c r="E64" s="19" t="str">
        <f ca="1">IFERROR(IF(VLOOKUP(C64,B40:AG55,31,FALSE)=0,0,VLOOKUP(C64,B40:AG55,4,FALSE)),"")</f>
        <v/>
      </c>
      <c r="F64" s="27" t="str">
        <f ca="1">IFERROR(VLOOKUP(E64,$E40:$F55,2,FALSE),"")</f>
        <v/>
      </c>
      <c r="G64" s="27" t="str">
        <f t="shared" ca="1" si="20"/>
        <v/>
      </c>
      <c r="H64" s="459">
        <f ca="1">IFERROR(VLOOKUP(E64,E40:AG55,28,FALSE),0)</f>
        <v>0</v>
      </c>
      <c r="I64" s="460"/>
      <c r="J64" s="509" t="str">
        <f ca="1">IFERROR(IF(VLOOKUP(C64,C40:AT55,44,FALSE)="",VLOOKUP(C64,C40:AT55,37,FALSE),VLOOKUP(C64,C40:AT55,37,FALSE)&amp;VLOOKUP(C64,C40:AT55,44,FALSE)),"")</f>
        <v/>
      </c>
      <c r="K64" s="510"/>
      <c r="L64" s="509" t="str">
        <f ca="1">IFERROR(IF(VLOOKUP(C64,C40:AG55,30,FALSE)=0,"",VLOOKUP(C64,C40:AG55,3,FALSE)),"")</f>
        <v/>
      </c>
      <c r="M64" s="510"/>
      <c r="N64" s="461" t="str">
        <f ca="1">IFERROR(VLOOKUP(L64,E40:F55,2,FALSE),"")</f>
        <v/>
      </c>
      <c r="O64" s="462"/>
      <c r="P64" s="462"/>
      <c r="Q64" s="462"/>
      <c r="R64" s="462"/>
      <c r="S64" s="463"/>
      <c r="T64" s="461" t="str">
        <f t="shared" ca="1" si="21"/>
        <v>-</v>
      </c>
      <c r="U64" s="462"/>
      <c r="V64" s="462"/>
      <c r="W64" s="462"/>
      <c r="X64" s="462"/>
      <c r="Y64" s="463"/>
      <c r="Z64" s="459">
        <f ca="1">IFERROR(VLOOKUP(L64,E40:AG55,28,FALSE),0)</f>
        <v>0</v>
      </c>
      <c r="AA64" s="460"/>
      <c r="AB64" s="466" t="s">
        <v>1135</v>
      </c>
      <c r="AC64" s="507"/>
      <c r="AD64" s="507"/>
      <c r="AE64" s="507"/>
      <c r="AF64" s="507"/>
      <c r="AG64" s="507"/>
      <c r="AH64" s="507"/>
      <c r="AI64" s="507"/>
      <c r="AJ64" s="507"/>
      <c r="AK64" s="507"/>
      <c r="AL64" s="507"/>
      <c r="AM64" s="50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136"/>
      <c r="BA64" s="136"/>
      <c r="BB64" s="8"/>
      <c r="BC64" s="8"/>
      <c r="BD64" s="8"/>
      <c r="BE64" s="8"/>
    </row>
    <row r="65" spans="1:72" s="4" customFormat="1" ht="16.149999999999999" customHeight="1" x14ac:dyDescent="0.25">
      <c r="A65" s="8">
        <f>IFERROR(VLOOKUP(A36,records,5,FALSE),"")</f>
        <v>1.64</v>
      </c>
      <c r="B65" s="1"/>
      <c r="C65" s="10">
        <v>7</v>
      </c>
      <c r="D65" s="19" t="str">
        <f ca="1">IFERROR(IF(VLOOKUP(C65,B40:AP55,41,FALSE)="",VLOOKUP(C65,B40:AP55,37,FALSE),VLOOKUP(C65,B40:AP55,37,FALSE)&amp;VLOOKUP(C65,B40:AP55,41,FALSE)),"")</f>
        <v/>
      </c>
      <c r="E65" s="19" t="str">
        <f ca="1">IFERROR(IF(VLOOKUP(C65,B40:AG55,31,FALSE)=0,0,VLOOKUP(C65,B40:AG55,4,FALSE)),"")</f>
        <v/>
      </c>
      <c r="F65" s="27" t="str">
        <f ca="1">IFERROR(VLOOKUP(E65,$E40:$F55,2,FALSE),"")</f>
        <v/>
      </c>
      <c r="G65" s="27" t="str">
        <f t="shared" ca="1" si="20"/>
        <v/>
      </c>
      <c r="H65" s="459">
        <f ca="1">IFERROR(VLOOKUP(E65,E40:AG55,28,FALSE),0)</f>
        <v>0</v>
      </c>
      <c r="I65" s="460"/>
      <c r="J65" s="509" t="str">
        <f ca="1">IFERROR(IF(VLOOKUP(C65,C40:AT55,44,FALSE)="",VLOOKUP(C65,C40:AT55,37,FALSE),VLOOKUP(C65,C40:AT55,37,FALSE)&amp;VLOOKUP(C65,C40:AT55,44,FALSE)),"")</f>
        <v/>
      </c>
      <c r="K65" s="510"/>
      <c r="L65" s="509" t="str">
        <f ca="1">IFERROR(IF(VLOOKUP(C65,C40:AG55,30,FALSE)=0,"",VLOOKUP(C65,C40:AG55,3,FALSE)),"")</f>
        <v/>
      </c>
      <c r="M65" s="510"/>
      <c r="N65" s="461" t="str">
        <f ca="1">IFERROR(VLOOKUP(L65,E40:F55,2,FALSE),"")</f>
        <v/>
      </c>
      <c r="O65" s="462"/>
      <c r="P65" s="462"/>
      <c r="Q65" s="462"/>
      <c r="R65" s="462"/>
      <c r="S65" s="463"/>
      <c r="T65" s="461" t="str">
        <f t="shared" ca="1" si="21"/>
        <v>-</v>
      </c>
      <c r="U65" s="462"/>
      <c r="V65" s="462"/>
      <c r="W65" s="462"/>
      <c r="X65" s="462"/>
      <c r="Y65" s="463"/>
      <c r="Z65" s="459">
        <f ca="1">IFERROR(VLOOKUP(L65,E40:AG55,28,FALSE),0)</f>
        <v>0</v>
      </c>
      <c r="AA65" s="460"/>
      <c r="AB65" s="24"/>
      <c r="AC65" s="25"/>
      <c r="AD65" s="25"/>
      <c r="AE65" s="25"/>
      <c r="AF65" s="25"/>
      <c r="AG65" s="25"/>
      <c r="AH65" s="25"/>
      <c r="AI65" s="25"/>
      <c r="AJ65" s="25"/>
      <c r="AK65" s="25"/>
      <c r="AL65" s="125"/>
      <c r="AM65" s="126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136"/>
      <c r="BA65" s="136"/>
      <c r="BB65" s="8"/>
      <c r="BC65" s="8"/>
      <c r="BD65" s="8"/>
      <c r="BE65" s="8"/>
    </row>
    <row r="66" spans="1:72" s="4" customFormat="1" ht="21.75" customHeight="1" x14ac:dyDescent="0.25">
      <c r="A66" s="8"/>
      <c r="B66" s="1"/>
      <c r="C66" s="10">
        <v>8</v>
      </c>
      <c r="D66" s="19" t="str">
        <f ca="1">IFERROR(IF(VLOOKUP(C66,B40:AP55,41,FALSE)="",VLOOKUP(C66,B40:AP55,37,FALSE),VLOOKUP(C66,B40:AP55,37,FALSE)&amp;VLOOKUP(C66,B40:AP55,41,FALSE)),"")</f>
        <v/>
      </c>
      <c r="E66" s="19" t="str">
        <f ca="1">IFERROR(IF(VLOOKUP(C66,B40:AG55,31,FALSE)=0,0,VLOOKUP(C66,B40:AG55,4,FALSE)),"")</f>
        <v/>
      </c>
      <c r="F66" s="27" t="str">
        <f ca="1">IFERROR(VLOOKUP(E66,$E40:$F55,2,FALSE),"")</f>
        <v/>
      </c>
      <c r="G66" s="27" t="str">
        <f t="shared" ca="1" si="20"/>
        <v/>
      </c>
      <c r="H66" s="459">
        <f ca="1">IFERROR(VLOOKUP(E66,E40:AG55,28,FALSE),0)</f>
        <v>0</v>
      </c>
      <c r="I66" s="460"/>
      <c r="J66" s="509" t="str">
        <f ca="1">IFERROR(IF(VLOOKUP(C66,C40:AT55,44,FALSE)="",VLOOKUP(C66,C40:AT55,37,FALSE),VLOOKUP(C66,C40:AT55,37,FALSE)&amp;VLOOKUP(C66,C40:AT55,44,FALSE)),"")</f>
        <v/>
      </c>
      <c r="K66" s="510"/>
      <c r="L66" s="509" t="str">
        <f ca="1">IFERROR(IF(VLOOKUP(C66,C40:AG55,30,FALSE)=0,"",VLOOKUP(C66,C40:AG55,3,FALSE)),"")</f>
        <v/>
      </c>
      <c r="M66" s="510"/>
      <c r="N66" s="461" t="str">
        <f ca="1">IFERROR(VLOOKUP(L66,E40:F55,2,FALSE),"")</f>
        <v/>
      </c>
      <c r="O66" s="462"/>
      <c r="P66" s="462"/>
      <c r="Q66" s="462"/>
      <c r="R66" s="462"/>
      <c r="S66" s="463"/>
      <c r="T66" s="461" t="str">
        <f t="shared" ca="1" si="21"/>
        <v>-</v>
      </c>
      <c r="U66" s="462"/>
      <c r="V66" s="462"/>
      <c r="W66" s="462"/>
      <c r="X66" s="462"/>
      <c r="Y66" s="463"/>
      <c r="Z66" s="459">
        <f ca="1">IFERROR(VLOOKUP(L66,E40:AG55,28,FALSE),0)</f>
        <v>0</v>
      </c>
      <c r="AA66" s="460"/>
      <c r="AB66" s="28"/>
      <c r="AC66" s="29"/>
      <c r="AD66" s="29"/>
      <c r="AE66" s="29"/>
      <c r="AF66" s="29"/>
      <c r="AG66" s="29"/>
      <c r="AH66" s="29"/>
      <c r="AI66" s="29"/>
      <c r="AJ66" s="29"/>
      <c r="AK66" s="29"/>
      <c r="AL66" s="127"/>
      <c r="AM66" s="12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136"/>
      <c r="BA66" s="136"/>
      <c r="BB66" s="8"/>
      <c r="BC66" s="8"/>
      <c r="BD66" s="8"/>
      <c r="BE66" s="8"/>
    </row>
    <row r="67" spans="1:72" s="4" customFormat="1" ht="21" x14ac:dyDescent="0.25">
      <c r="A67" s="2" t="str">
        <f>MatchDay!$U$6</f>
        <v>X</v>
      </c>
      <c r="B67" s="10" t="str">
        <f>IFERROR(VLOOKUP($A68,fh,2,FALSE),"")</f>
        <v/>
      </c>
      <c r="C67" s="10" t="str">
        <f>IFERROR(VLOOKUP($A68,fdistance,3,FALSE),"")</f>
        <v/>
      </c>
      <c r="D67" s="499" t="s">
        <v>271</v>
      </c>
      <c r="E67" s="500"/>
      <c r="F67" s="500"/>
      <c r="G67" s="500"/>
      <c r="H67" s="501" t="s">
        <v>144</v>
      </c>
      <c r="I67" s="502"/>
      <c r="J67" s="502"/>
      <c r="K67" s="502"/>
      <c r="L67" s="502"/>
      <c r="M67" s="506"/>
      <c r="N67" s="503" t="str">
        <f>MatchDay!$C$2&amp;" "&amp;MatchDay!$C$3&amp;" "&amp;MatchDay!$C$4</f>
        <v>LOWER NORTH West 2</v>
      </c>
      <c r="O67" s="504"/>
      <c r="P67" s="504"/>
      <c r="Q67" s="504"/>
      <c r="R67" s="504"/>
      <c r="S67" s="504"/>
      <c r="T67" s="504"/>
      <c r="U67" s="504"/>
      <c r="V67" s="504"/>
      <c r="W67" s="504"/>
      <c r="X67" s="504"/>
      <c r="Y67" s="504"/>
      <c r="Z67" s="504"/>
      <c r="AA67" s="504"/>
      <c r="AB67" s="504"/>
      <c r="AC67" s="504"/>
      <c r="AD67" s="504"/>
      <c r="AE67" s="504"/>
      <c r="AF67" s="504"/>
      <c r="AG67" s="504"/>
      <c r="AH67" s="504"/>
      <c r="AI67" s="504"/>
      <c r="AJ67" s="504"/>
      <c r="AK67" s="504"/>
      <c r="AL67" s="504"/>
      <c r="AM67" s="505"/>
      <c r="AP67" s="8"/>
      <c r="AT67" s="8"/>
      <c r="AU67" s="8"/>
      <c r="AV67" s="8"/>
      <c r="AW67" s="8"/>
      <c r="AX67" s="8"/>
      <c r="AY67" s="8"/>
      <c r="AZ67" s="136"/>
      <c r="BA67" s="136"/>
      <c r="BB67" s="8"/>
      <c r="BC67" s="8"/>
      <c r="BD67" s="8"/>
      <c r="BE67" s="8"/>
    </row>
    <row r="68" spans="1:72" s="4" customFormat="1" ht="15.75" customHeight="1" x14ac:dyDescent="0.25">
      <c r="A68" s="1" t="str">
        <f>IFERROR(IF(LEFT(MatchDay!$C$2,1)="L","L"&amp;A70,"U"&amp;A70),"")</f>
        <v>LFH03</v>
      </c>
      <c r="B68" s="8">
        <v>91</v>
      </c>
      <c r="D68" s="476" t="s">
        <v>145</v>
      </c>
      <c r="E68" s="477"/>
      <c r="F68" s="467" t="str">
        <f>IFERROR(UPPER(VLOOKUP(A69,teamlookup,6,FALSE)),"")</f>
        <v/>
      </c>
      <c r="G68" s="468"/>
      <c r="H68" s="476" t="s">
        <v>149</v>
      </c>
      <c r="I68" s="480"/>
      <c r="J68" s="477"/>
      <c r="K68" s="466" t="str">
        <f>MatchDay!$C$8</f>
        <v>Macclesfield Leisure Centre</v>
      </c>
      <c r="L68" s="467"/>
      <c r="M68" s="467"/>
      <c r="N68" s="467"/>
      <c r="O68" s="467"/>
      <c r="P68" s="467"/>
      <c r="Q68" s="467"/>
      <c r="R68" s="467"/>
      <c r="S68" s="467"/>
      <c r="T68" s="467"/>
      <c r="U68" s="467"/>
      <c r="V68" s="467"/>
      <c r="W68" s="467"/>
      <c r="X68" s="467"/>
      <c r="Y68" s="468"/>
      <c r="Z68" s="476" t="s">
        <v>119</v>
      </c>
      <c r="AA68" s="480"/>
      <c r="AB68" s="477"/>
      <c r="AC68" s="494">
        <f>MatchDay!$C$7</f>
        <v>45053</v>
      </c>
      <c r="AD68" s="495"/>
      <c r="AE68" s="495"/>
      <c r="AF68" s="495"/>
      <c r="AG68" s="495"/>
      <c r="AH68" s="495"/>
      <c r="AI68" s="495"/>
      <c r="AJ68" s="495"/>
      <c r="AK68" s="495"/>
      <c r="AL68" s="495"/>
      <c r="AM68" s="496"/>
      <c r="AN68" s="37"/>
      <c r="AP68" s="8"/>
      <c r="AT68" s="8"/>
      <c r="AU68" s="8"/>
      <c r="AV68" s="8"/>
      <c r="AW68" s="8"/>
      <c r="AX68" s="8"/>
      <c r="AY68" s="8"/>
      <c r="AZ68" s="136"/>
      <c r="BA68" s="136"/>
      <c r="BB68" s="8"/>
      <c r="BC68" s="8"/>
      <c r="BD68" s="8"/>
      <c r="BE68" s="8"/>
    </row>
    <row r="69" spans="1:72" s="4" customFormat="1" ht="15.75" customHeight="1" x14ac:dyDescent="0.25">
      <c r="A69" s="5">
        <f>IFERROR(IF(A67=1,VLOOKUP(A68,judges,VLOOKUP(MatchDay!$U$2*10+MatchDay!$C$5,judgesp,5,FALSE),FALSE),VLOOKUP(A68,judges,VLOOKUP(MatchDay!$U$2*10+MatchDay!$C$5,judges2,5,FALSE),FALSE)),"")</f>
        <v>3</v>
      </c>
      <c r="B69" s="38" t="str">
        <f>IFERROR(VLOOKUP($A70,fheight,2,FALSE),"")</f>
        <v>S</v>
      </c>
      <c r="C69" s="138"/>
      <c r="D69" s="476" t="s">
        <v>120</v>
      </c>
      <c r="E69" s="477"/>
      <c r="F69" s="478" t="str">
        <f>IFERROR(VLOOKUP(A68,timetables,2,FALSE)&amp;" "&amp;VLOOKUP(A68,timetables,3,FALSE),"")</f>
        <v>High Jump U13 Girls</v>
      </c>
      <c r="G69" s="479"/>
      <c r="H69" s="476" t="s">
        <v>121</v>
      </c>
      <c r="I69" s="480"/>
      <c r="J69" s="477"/>
      <c r="K69" s="517">
        <f>IFERROR(IF(A67=1,VLOOKUP(A68,Timetables!$A:$G,6,FALSE),VLOOKUP(A68,Timetables!$A:$G,7,FALSE)),"")</f>
        <v>0.54166666666666663</v>
      </c>
      <c r="L69" s="518"/>
      <c r="M69" s="519"/>
      <c r="N69" s="520" t="s">
        <v>150</v>
      </c>
      <c r="O69" s="521"/>
      <c r="P69" s="521"/>
      <c r="Q69" s="522"/>
      <c r="R69" s="520" t="str">
        <f>IFERROR(VLOOKUP(A68,records,3,FALSE)&amp;", "&amp;VLOOKUP(A68,records,4,FALSE)&amp;", "&amp;VLOOKUP(A68,records,5,FALSE)&amp;", "&amp;VLOOKUP(A68,records,6,FALSE)&amp;", "&amp;VLOOKUP(A68,records,7,FALSE)&amp;" "&amp;VLOOKUP(A68,records,8,FALSE),"")</f>
        <v/>
      </c>
      <c r="S69" s="521"/>
      <c r="T69" s="521"/>
      <c r="U69" s="521"/>
      <c r="V69" s="521"/>
      <c r="W69" s="521"/>
      <c r="X69" s="521"/>
      <c r="Y69" s="521"/>
      <c r="Z69" s="521"/>
      <c r="AA69" s="521"/>
      <c r="AB69" s="521"/>
      <c r="AC69" s="521"/>
      <c r="AD69" s="521"/>
      <c r="AE69" s="521"/>
      <c r="AF69" s="521"/>
      <c r="AG69" s="521"/>
      <c r="AH69" s="521"/>
      <c r="AI69" s="521"/>
      <c r="AJ69" s="521"/>
      <c r="AK69" s="521"/>
      <c r="AL69" s="521"/>
      <c r="AM69" s="522"/>
      <c r="AN69" s="8"/>
      <c r="AP69" s="8"/>
      <c r="AT69" s="8"/>
      <c r="AU69" s="8"/>
      <c r="AV69" s="8"/>
      <c r="AW69" s="8"/>
      <c r="AX69" s="8"/>
      <c r="AY69" s="8"/>
      <c r="AZ69" s="136"/>
      <c r="BA69" s="136"/>
      <c r="BB69" s="8"/>
      <c r="BC69" s="8"/>
      <c r="BD69" s="8"/>
      <c r="BE69" s="8"/>
    </row>
    <row r="70" spans="1:72" s="4" customFormat="1" ht="38.25" customHeight="1" x14ac:dyDescent="0.25">
      <c r="A70" s="5" t="s">
        <v>274</v>
      </c>
      <c r="B70" s="10" t="str">
        <f>IFERROR(VLOOKUP($A70,fheight,3,FALSE),"")</f>
        <v>W</v>
      </c>
      <c r="C70" s="10">
        <f>IFERROR(VLOOKUP($A70,fheight,4,FALSE),"")</f>
        <v>4</v>
      </c>
      <c r="D70" s="39" t="s">
        <v>122</v>
      </c>
      <c r="E70" s="39" t="s">
        <v>123</v>
      </c>
      <c r="F70" s="39" t="s">
        <v>124</v>
      </c>
      <c r="G70" s="40" t="s">
        <v>125</v>
      </c>
      <c r="H70" s="523">
        <v>1.05</v>
      </c>
      <c r="I70" s="524"/>
      <c r="J70" s="523">
        <v>1.1000000000000001</v>
      </c>
      <c r="K70" s="524"/>
      <c r="L70" s="523">
        <v>1.1499999999999999</v>
      </c>
      <c r="M70" s="524"/>
      <c r="N70" s="523">
        <v>1.2</v>
      </c>
      <c r="O70" s="524"/>
      <c r="P70" s="523">
        <v>1.25</v>
      </c>
      <c r="Q70" s="524"/>
      <c r="R70" s="523">
        <v>1.3</v>
      </c>
      <c r="S70" s="524"/>
      <c r="T70" s="523"/>
      <c r="U70" s="524"/>
      <c r="V70" s="523"/>
      <c r="W70" s="524"/>
      <c r="X70" s="523"/>
      <c r="Y70" s="524"/>
      <c r="Z70" s="523"/>
      <c r="AA70" s="524"/>
      <c r="AB70" s="523"/>
      <c r="AC70" s="524"/>
      <c r="AD70" s="523"/>
      <c r="AE70" s="524"/>
      <c r="AF70" s="525" t="s">
        <v>266</v>
      </c>
      <c r="AG70" s="526"/>
      <c r="AH70" s="527" t="s">
        <v>267</v>
      </c>
      <c r="AI70" s="527" t="s">
        <v>268</v>
      </c>
      <c r="AJ70" s="529" t="s">
        <v>363</v>
      </c>
      <c r="AK70" s="41"/>
      <c r="AL70" s="531" t="s">
        <v>136</v>
      </c>
      <c r="AM70" s="532"/>
      <c r="AN70" s="42" t="s">
        <v>269</v>
      </c>
      <c r="AP70" s="8"/>
      <c r="AT70" s="8"/>
      <c r="AU70" s="8"/>
      <c r="AV70" s="8"/>
      <c r="AW70" s="8"/>
      <c r="AX70" s="8"/>
      <c r="AY70" s="8"/>
      <c r="AZ70" s="136"/>
      <c r="BA70" s="136"/>
      <c r="BB70" s="8"/>
      <c r="BC70" s="8"/>
      <c r="BD70" s="8"/>
      <c r="BE70" s="8"/>
    </row>
    <row r="71" spans="1:72" s="4" customFormat="1" ht="13.5" x14ac:dyDescent="0.3">
      <c r="A71" s="121">
        <f>IFERROR(SEARCH("U17",F69),0)</f>
        <v>0</v>
      </c>
      <c r="B71" s="1"/>
      <c r="C71" s="1"/>
      <c r="D71" s="43"/>
      <c r="E71" s="43"/>
      <c r="F71" s="58"/>
      <c r="G71" s="57"/>
      <c r="H71" s="513" t="s">
        <v>137</v>
      </c>
      <c r="I71" s="516"/>
      <c r="J71" s="513" t="s">
        <v>137</v>
      </c>
      <c r="K71" s="516"/>
      <c r="L71" s="513" t="s">
        <v>137</v>
      </c>
      <c r="M71" s="516"/>
      <c r="N71" s="513" t="s">
        <v>137</v>
      </c>
      <c r="O71" s="516"/>
      <c r="P71" s="513" t="s">
        <v>137</v>
      </c>
      <c r="Q71" s="516"/>
      <c r="R71" s="513" t="s">
        <v>137</v>
      </c>
      <c r="S71" s="516"/>
      <c r="T71" s="513" t="s">
        <v>137</v>
      </c>
      <c r="U71" s="516"/>
      <c r="V71" s="513" t="s">
        <v>137</v>
      </c>
      <c r="W71" s="516"/>
      <c r="X71" s="513" t="s">
        <v>137</v>
      </c>
      <c r="Y71" s="516"/>
      <c r="Z71" s="513" t="s">
        <v>137</v>
      </c>
      <c r="AA71" s="516"/>
      <c r="AB71" s="513" t="s">
        <v>137</v>
      </c>
      <c r="AC71" s="516"/>
      <c r="AD71" s="513" t="s">
        <v>137</v>
      </c>
      <c r="AE71" s="516"/>
      <c r="AF71" s="513" t="s">
        <v>137</v>
      </c>
      <c r="AG71" s="514"/>
      <c r="AH71" s="528"/>
      <c r="AI71" s="528"/>
      <c r="AJ71" s="530"/>
      <c r="AK71" s="44"/>
      <c r="AL71" s="533"/>
      <c r="AM71" s="534"/>
      <c r="AN71" s="42"/>
      <c r="AP71" s="9"/>
      <c r="AQ71" s="9"/>
      <c r="AR71" s="45"/>
      <c r="AS71" s="45"/>
      <c r="AT71" s="45"/>
      <c r="AU71" s="46"/>
      <c r="AV71" s="45"/>
      <c r="AW71" s="9"/>
      <c r="AX71" s="9"/>
      <c r="AY71" s="47"/>
      <c r="AZ71" s="135"/>
      <c r="BA71" s="135"/>
      <c r="BB71" s="9"/>
      <c r="BC71" s="9">
        <v>1</v>
      </c>
      <c r="BD71" s="9">
        <v>2</v>
      </c>
      <c r="BE71" s="9">
        <v>3</v>
      </c>
      <c r="BF71" s="9">
        <v>4</v>
      </c>
      <c r="BG71" s="9">
        <v>5</v>
      </c>
      <c r="BH71" s="9">
        <v>6</v>
      </c>
      <c r="BI71" s="9">
        <v>7</v>
      </c>
      <c r="BJ71" s="9">
        <v>8</v>
      </c>
      <c r="BK71" s="9">
        <v>1</v>
      </c>
      <c r="BL71" s="9">
        <v>2</v>
      </c>
      <c r="BM71" s="9">
        <v>3</v>
      </c>
      <c r="BN71" s="9">
        <v>4</v>
      </c>
      <c r="BO71" s="9">
        <v>5</v>
      </c>
      <c r="BP71" s="9">
        <v>6</v>
      </c>
      <c r="BQ71" s="9">
        <v>7</v>
      </c>
      <c r="BR71" s="9">
        <v>8</v>
      </c>
      <c r="BS71" s="46"/>
    </row>
    <row r="72" spans="1:72" s="4" customFormat="1" ht="16.149999999999999" customHeight="1" x14ac:dyDescent="0.35">
      <c r="A72" s="8">
        <f>IFERROR(IF(D72&gt;MatchDay!$U$2,"-",VLOOKUP(A68,timetables,MatchDay!$U$4,FALSE)),0)</f>
        <v>1</v>
      </c>
      <c r="B72" s="10" t="str">
        <f ca="1">IFERROR(IF(OR(AK72=0,AK72="B"),"",RANK(AZ72,AZ72:AZ87,1)),"")</f>
        <v/>
      </c>
      <c r="C72" s="10">
        <f ca="1">IFERROR(IF(OR(AK72=0,AK72="A"),"",RANK(BA72,BA72:BA87,1)),"")</f>
        <v>4</v>
      </c>
      <c r="D72" s="56">
        <v>1</v>
      </c>
      <c r="E72" s="17">
        <f>A72</f>
        <v>1</v>
      </c>
      <c r="F72" s="319" t="str">
        <f>IFERROR(VLOOKUP($A68&amp;E72,downloads!$A$1:$E$1000,2,FALSE),"")</f>
        <v>Jasmine COOPER</v>
      </c>
      <c r="G72" s="18" t="str">
        <f t="shared" ref="G72:G87" si="22">IFERROR(VLOOKUP(E72,teamlookup,5,FALSE),"-")</f>
        <v>C&amp;N</v>
      </c>
      <c r="H72" s="497"/>
      <c r="I72" s="498"/>
      <c r="J72" s="497"/>
      <c r="K72" s="498"/>
      <c r="L72" s="497"/>
      <c r="M72" s="498"/>
      <c r="N72" s="497"/>
      <c r="O72" s="498"/>
      <c r="P72" s="497"/>
      <c r="Q72" s="498"/>
      <c r="R72" s="497"/>
      <c r="S72" s="498"/>
      <c r="T72" s="497"/>
      <c r="U72" s="498"/>
      <c r="V72" s="497"/>
      <c r="W72" s="498"/>
      <c r="X72" s="497"/>
      <c r="Y72" s="498"/>
      <c r="Z72" s="497"/>
      <c r="AA72" s="498"/>
      <c r="AB72" s="497"/>
      <c r="AC72" s="498"/>
      <c r="AD72" s="497"/>
      <c r="AE72" s="498"/>
      <c r="AF72" s="511">
        <f ca="1">IFERROR(INDIRECT(CONCATENATE("'Height Input'!"&amp;B70&amp;C70)),"")</f>
        <v>1.1000000000000001</v>
      </c>
      <c r="AG72" s="512"/>
      <c r="AH72" s="48"/>
      <c r="AI72" s="48"/>
      <c r="AJ72" s="49">
        <f ca="1">IFERROR(IF(AF72="X",MatchDay!$U$2+MatchDay!$U$2+1-COUNTIF($AF72:AF72,"X"),IF(AF72&gt;=97,1,INT(INDIRECT(CONCATENATE("'Height Input'!"&amp;$B69&amp;$C70))))),"")</f>
        <v>6</v>
      </c>
      <c r="AK72" s="50" t="str">
        <f ca="1">IFERROR(IF(OR(AJ72=0,AJ72=""),0,IF(OR(AJ72&lt;=VLOOKUP(BT72,$E80:$AJ87,32,FALSE),VLOOKUP(BT72,$E80:$AJ87,32,FALSE)=0),"A","B")),0)</f>
        <v>B</v>
      </c>
      <c r="AL72" s="123" t="str">
        <f ca="1">IFERROR(IF(OR(AK72=0,AK72="B"),"",RANK(AW72,AW72:AW87,1)),"")</f>
        <v/>
      </c>
      <c r="AM72" s="123">
        <f ca="1">IFERROR(IF(OR(AK72=0,AK72="A"),"",RANK(AX72,AX72:AX87,1)),"")</f>
        <v>4</v>
      </c>
      <c r="AN72" s="51">
        <f ca="1">IFERROR(IF(AF72="X",0,(INDIRECT(CONCATENATE("'Height Input'!"&amp;$B69&amp;$C70))-AJ72)*10),"")</f>
        <v>0</v>
      </c>
      <c r="AO72" s="8"/>
      <c r="AP72" s="9" t="str">
        <f ca="1">IF(AQ72="","",IF(AQ72=1,AR72,REPT(AR72,AQ72-1)))</f>
        <v/>
      </c>
      <c r="AQ72" s="9" t="str">
        <f ca="1">IF(AR72="","",HLOOKUP(AL72,BC71:BJ88,18,FALSE))</f>
        <v/>
      </c>
      <c r="AR72" s="45" t="str">
        <f ca="1">IF(OR(AL72=0,AL72=""),"",IF(COUNTIFS(AL72:AL87,AL72)&gt;1,"=",""))</f>
        <v/>
      </c>
      <c r="AS72" s="45"/>
      <c r="AT72" s="9" t="str">
        <f ca="1">IF(AU72="","",IF(AU72=1,AV72,REPT(AV72,AU72-1)))</f>
        <v/>
      </c>
      <c r="AU72" s="9" t="str">
        <f ca="1">IF(AV72="","",HLOOKUP(AM72,BK71:BR88,18,FALSE))</f>
        <v/>
      </c>
      <c r="AV72" s="45" t="str">
        <f ca="1">IF(OR(AM72=0,AM72=""),"",IF(COUNTIFS(AM72:AM87,AM72)&gt;1,"=",""))</f>
        <v/>
      </c>
      <c r="AW72" s="9" t="str">
        <f t="shared" ref="AW72:AW87" ca="1" si="23">IF(OR(AJ72=0,AF72=0,AK72="B"),"",AJ72)</f>
        <v/>
      </c>
      <c r="AX72" s="9">
        <f t="shared" ref="AX72:AX87" ca="1" si="24">IF(OR(AJ72=0,AF72=0,AK72="A"),"",AJ72)</f>
        <v>6</v>
      </c>
      <c r="AY72" s="47"/>
      <c r="AZ72" s="135" t="str">
        <f t="shared" ref="AZ72:AZ87" ca="1" si="25">IF(AW72="","",AW72+(AN72/10))</f>
        <v/>
      </c>
      <c r="BA72" s="135">
        <f t="shared" ref="BA72:BA87" ca="1" si="26">IF(AX72="","",AX72+(AN72/10))</f>
        <v>6</v>
      </c>
      <c r="BB72" s="9"/>
      <c r="BC72" s="52" t="str">
        <f ca="1">IF(AL72="","",IF(AL72=BC71,AL72,""))</f>
        <v/>
      </c>
      <c r="BD72" s="52" t="str">
        <f ca="1">IF(AL72="","",IF(AL72=BD71,AL72,""))</f>
        <v/>
      </c>
      <c r="BE72" s="52" t="str">
        <f ca="1">IF(AL72="","",IF(AL72=BE71,AL72,""))</f>
        <v/>
      </c>
      <c r="BF72" s="52" t="str">
        <f ca="1">IF(AL72="","",IF(AL72=BF71,AL72,""))</f>
        <v/>
      </c>
      <c r="BG72" s="52" t="str">
        <f ca="1">IF(AL72="","",IF(AL72=BG71,AL72,""))</f>
        <v/>
      </c>
      <c r="BH72" s="52" t="str">
        <f ca="1">IF(AL72="","",IF(AL72=BH71,AL72,""))</f>
        <v/>
      </c>
      <c r="BI72" s="52" t="str">
        <f ca="1">IF(AL72="","",IF(AL72=BI71,AL72,""))</f>
        <v/>
      </c>
      <c r="BJ72" s="52" t="str">
        <f ca="1">IF(AL72="","",IF(AL72=BJ71,AL72,""))</f>
        <v/>
      </c>
      <c r="BK72" s="52" t="str">
        <f ca="1">IF(AM72="","",IF(AM72=BK71,AM72,""))</f>
        <v/>
      </c>
      <c r="BL72" s="52" t="str">
        <f ca="1">IF(AM72="","",IF(AM72=BL71,AM72,""))</f>
        <v/>
      </c>
      <c r="BM72" s="52" t="str">
        <f ca="1">IF(AM72="","",IF(AM72=BM71,AM72,""))</f>
        <v/>
      </c>
      <c r="BN72" s="52">
        <f ca="1">IF(AM72="","",IF(AM72=BN71,AM72,""))</f>
        <v>4</v>
      </c>
      <c r="BO72" s="52" t="str">
        <f ca="1">IF(AM72="","",IF(AM72=BO71,AM72,""))</f>
        <v/>
      </c>
      <c r="BP72" s="52" t="str">
        <f ca="1">IF(AM72="","",IF(AM72=BP71,AM72,""))</f>
        <v/>
      </c>
      <c r="BQ72" s="52" t="str">
        <f ca="1">IF(AM72="","",IF(AM72=BQ71,AM72,""))</f>
        <v/>
      </c>
      <c r="BR72" s="52" t="str">
        <f ca="1">IF(AM72="","",IF(AM72=BR71,AM72,""))</f>
        <v/>
      </c>
      <c r="BS72" s="46"/>
      <c r="BT72" s="4">
        <f>IFERROR(IF(A71=0,A72*11,A72&amp;A72),"")</f>
        <v>11</v>
      </c>
    </row>
    <row r="73" spans="1:72" s="4" customFormat="1" ht="16.149999999999999" customHeight="1" x14ac:dyDescent="0.35">
      <c r="A73" s="8">
        <f>IFERROR(IF(D73&gt;MatchDay!$U$2,"-",VLOOKUP(A68,timetables,MatchDay!$U$4+1,FALSE)),0)</f>
        <v>2</v>
      </c>
      <c r="B73" s="10" t="str">
        <f ca="1">IFERROR(IF(OR(AK73=0,AK73="B"),"",RANK(AZ73,AZ72:AZ87,1)),"")</f>
        <v/>
      </c>
      <c r="C73" s="10">
        <f ca="1">IFERROR(IF(OR(AK73=0,AK73="A"),"",RANK(BA73,BA72:BA87,1)),"")</f>
        <v>2</v>
      </c>
      <c r="D73" s="55">
        <v>2</v>
      </c>
      <c r="E73" s="17">
        <f t="shared" ref="E73:E87" si="27">A73</f>
        <v>2</v>
      </c>
      <c r="F73" s="319" t="str">
        <f>IFERROR(VLOOKUP($A68&amp;E73,downloads!$A$1:$E$1000,2,FALSE),"")</f>
        <v>Imogen MCBURNIE</v>
      </c>
      <c r="G73" s="18" t="str">
        <f t="shared" si="22"/>
        <v>ECHT</v>
      </c>
      <c r="H73" s="497"/>
      <c r="I73" s="498"/>
      <c r="J73" s="497"/>
      <c r="K73" s="498"/>
      <c r="L73" s="497"/>
      <c r="M73" s="498"/>
      <c r="N73" s="497"/>
      <c r="O73" s="498"/>
      <c r="P73" s="497"/>
      <c r="Q73" s="498"/>
      <c r="R73" s="497"/>
      <c r="S73" s="498"/>
      <c r="T73" s="497"/>
      <c r="U73" s="498"/>
      <c r="V73" s="497"/>
      <c r="W73" s="498"/>
      <c r="X73" s="497"/>
      <c r="Y73" s="498"/>
      <c r="Z73" s="497"/>
      <c r="AA73" s="498"/>
      <c r="AB73" s="497"/>
      <c r="AC73" s="498"/>
      <c r="AD73" s="497"/>
      <c r="AE73" s="498"/>
      <c r="AF73" s="511">
        <f ca="1">IFERROR(INDIRECT(CONCATENATE("'Height Input'!"&amp;B70&amp;C70+1)),"")</f>
        <v>1.1000000000000001</v>
      </c>
      <c r="AG73" s="512"/>
      <c r="AH73" s="48"/>
      <c r="AI73" s="48"/>
      <c r="AJ73" s="49">
        <f ca="1">IFERROR(IF(AF73="X",MatchDay!$U$2+MatchDay!$U$2+1-COUNTIF($AF72:AF73,"X"),IF(AF73&gt;=97,1,INT(INDIRECT(CONCATENATE("'Height Input'!"&amp;$B69&amp;$C70+1))))),"")</f>
        <v>5</v>
      </c>
      <c r="AK73" s="50" t="str">
        <f ca="1">IFERROR(IF(OR(AJ73=0,AJ73=""),0,IF(OR(AJ73&lt;=VLOOKUP(BT73,$E80:$AJ87,32,FALSE),VLOOKUP(BT73,$E80:$AJ87,32,FALSE)=0),"A","B")),0)</f>
        <v>B</v>
      </c>
      <c r="AL73" s="123" t="str">
        <f ca="1">IFERROR(IF(OR(AK73=0,AK73="B"),"",RANK(AW73,AW72:AW87,1)),"")</f>
        <v/>
      </c>
      <c r="AM73" s="123">
        <f ca="1">IFERROR(IF(OR(AK73=0,AK73="A"),"",RANK(AX73,AX72:AX87,1)),"")</f>
        <v>2</v>
      </c>
      <c r="AN73" s="51">
        <f ca="1">IFERROR(IF(AF73="X",0,(INDIRECT(CONCATENATE("'Height Input'!"&amp;$B69&amp;$C70+1))-AJ73)*10),"")</f>
        <v>0.99999999999999645</v>
      </c>
      <c r="AO73" s="8"/>
      <c r="AP73" s="9" t="str">
        <f t="shared" ref="AP73:AP87" ca="1" si="28">IF(AQ73="","",IF(AQ73=1,AR73,REPT(AR73,AQ73-1)))</f>
        <v/>
      </c>
      <c r="AQ73" s="9" t="str">
        <f ca="1">IF(AR73="","",HLOOKUP(AL73,BC71:BJ88,18,FALSE))</f>
        <v/>
      </c>
      <c r="AR73" s="45" t="str">
        <f ca="1">IF(OR(AL73=0,AL73=""),"",IF(COUNTIFS(AL72:AL87,AL73)&gt;1,"=",""))</f>
        <v/>
      </c>
      <c r="AS73" s="45"/>
      <c r="AT73" s="9" t="str">
        <f t="shared" ref="AT73:AT87" ca="1" si="29">IF(AU73="","",IF(AU73=1,AV73,REPT(AV73,AU73-1)))</f>
        <v>=</v>
      </c>
      <c r="AU73" s="9">
        <f ca="1">IF(AV73="","",HLOOKUP(AM73,BK71:BR88,18,FALSE))</f>
        <v>2</v>
      </c>
      <c r="AV73" s="45" t="str">
        <f ca="1">IF(OR(AM73=0,AM73=""),"",IF(COUNTIFS(AM72:AM87,AM73)&gt;1,"=",""))</f>
        <v>=</v>
      </c>
      <c r="AW73" s="9" t="str">
        <f t="shared" ca="1" si="23"/>
        <v/>
      </c>
      <c r="AX73" s="9">
        <f t="shared" ca="1" si="24"/>
        <v>5</v>
      </c>
      <c r="AY73" s="47"/>
      <c r="AZ73" s="135" t="str">
        <f t="shared" ca="1" si="25"/>
        <v/>
      </c>
      <c r="BA73" s="135">
        <f t="shared" ca="1" si="26"/>
        <v>5.0999999999999996</v>
      </c>
      <c r="BB73" s="9"/>
      <c r="BC73" s="52" t="str">
        <f ca="1">IF(AL73="","",IF(AL73=BC71,AL73,""))</f>
        <v/>
      </c>
      <c r="BD73" s="52" t="str">
        <f ca="1">IF(AL73="","",IF(AL73=BD71,AL73,""))</f>
        <v/>
      </c>
      <c r="BE73" s="52" t="str">
        <f ca="1">IF(AL73="","",IF(AL73=BE71,AL73,""))</f>
        <v/>
      </c>
      <c r="BF73" s="52" t="str">
        <f ca="1">IF(AL73="","",IF(AL73=BF71,AL73,""))</f>
        <v/>
      </c>
      <c r="BG73" s="52" t="str">
        <f ca="1">IF(AL73="","",IF(AL73=BG71,AL73,""))</f>
        <v/>
      </c>
      <c r="BH73" s="52" t="str">
        <f ca="1">IF(AL73="","",IF(AL73=BH71,AL73,""))</f>
        <v/>
      </c>
      <c r="BI73" s="52" t="str">
        <f ca="1">IF(AL73="","",IF(AL73=BI71,AL73,""))</f>
        <v/>
      </c>
      <c r="BJ73" s="52" t="str">
        <f ca="1">IF(AL73="","",IF(AL73=BJ71,AL73,""))</f>
        <v/>
      </c>
      <c r="BK73" s="52" t="str">
        <f ca="1">IF(AM73="","",IF(AM73=BK71,AM73,""))</f>
        <v/>
      </c>
      <c r="BL73" s="52">
        <f ca="1">IF(AM73="","",IF(AM73=BL71,AM73,""))</f>
        <v>2</v>
      </c>
      <c r="BM73" s="52" t="str">
        <f ca="1">IF(AM73="","",IF(AM73=BM71,AM73,""))</f>
        <v/>
      </c>
      <c r="BN73" s="52" t="str">
        <f ca="1">IF(AM73="","",IF(AM73=BN71,AM73,""))</f>
        <v/>
      </c>
      <c r="BO73" s="52" t="str">
        <f ca="1">IF(AM73="","",IF(AM73=BO71,AM73,""))</f>
        <v/>
      </c>
      <c r="BP73" s="52" t="str">
        <f ca="1">IF(AM73="","",IF(AM73=BP71,AM73,""))</f>
        <v/>
      </c>
      <c r="BQ73" s="52" t="str">
        <f ca="1">IF(AM73="","",IF(AM73=BQ71,AM73,""))</f>
        <v/>
      </c>
      <c r="BR73" s="52" t="str">
        <f ca="1">IF(AM73="","",IF(AM73=BR71,AM73,""))</f>
        <v/>
      </c>
      <c r="BS73" s="46"/>
      <c r="BT73" s="4">
        <f>IFERROR(IF(A71=0,A73*11,A73&amp;A73),"")</f>
        <v>22</v>
      </c>
    </row>
    <row r="74" spans="1:72" s="4" customFormat="1" ht="16.149999999999999" customHeight="1" x14ac:dyDescent="0.35">
      <c r="A74" s="8">
        <f>IFERROR(IF(D74&gt;MatchDay!$U$2,"-",VLOOKUP(A68,timetables,MatchDay!$U$4+2,FALSE)),0)</f>
        <v>6</v>
      </c>
      <c r="B74" s="10" t="str">
        <f ca="1">IFERROR(IF(OR(AK74=0,AK74="B"),"",RANK(AZ74,AZ72:AZ87,1)),"")</f>
        <v/>
      </c>
      <c r="C74" s="10" t="str">
        <f ca="1">IFERROR(IF(OR(AK74=0,AK74="A"),"",RANK(BA74,BA72:BA87,1)),"")</f>
        <v/>
      </c>
      <c r="D74" s="55">
        <v>3</v>
      </c>
      <c r="E74" s="17">
        <f t="shared" si="27"/>
        <v>6</v>
      </c>
      <c r="F74" s="319" t="str">
        <f>IFERROR(VLOOKUP($A68&amp;E74,downloads!$A$1:$E$1000,2,FALSE),"")</f>
        <v/>
      </c>
      <c r="G74" s="18" t="str">
        <f t="shared" si="22"/>
        <v>Stock</v>
      </c>
      <c r="H74" s="497"/>
      <c r="I74" s="498"/>
      <c r="J74" s="497"/>
      <c r="K74" s="498"/>
      <c r="L74" s="497"/>
      <c r="M74" s="498"/>
      <c r="N74" s="497"/>
      <c r="O74" s="498"/>
      <c r="P74" s="497"/>
      <c r="Q74" s="498"/>
      <c r="R74" s="497"/>
      <c r="S74" s="498"/>
      <c r="T74" s="497"/>
      <c r="U74" s="498"/>
      <c r="V74" s="497"/>
      <c r="W74" s="498"/>
      <c r="X74" s="497"/>
      <c r="Y74" s="498"/>
      <c r="Z74" s="497"/>
      <c r="AA74" s="498"/>
      <c r="AB74" s="497"/>
      <c r="AC74" s="498"/>
      <c r="AD74" s="497"/>
      <c r="AE74" s="498"/>
      <c r="AF74" s="511">
        <f ca="1">IFERROR(INDIRECT(CONCATENATE("'Height Input'!"&amp;B70&amp;C70+2)),"")</f>
        <v>0</v>
      </c>
      <c r="AG74" s="512"/>
      <c r="AH74" s="48"/>
      <c r="AI74" s="48"/>
      <c r="AJ74" s="49">
        <f ca="1">IFERROR(IF(AF74="X",MatchDay!$U$2+MatchDay!$U$2+1-COUNTIF($AF72:AF74,"X"),IF(AF74&gt;=97,1,INT(INDIRECT(CONCATENATE("'Height Input'!"&amp;$B69&amp;$C70+2))))),"")</f>
        <v>0</v>
      </c>
      <c r="AK74" s="50">
        <f ca="1">IFERROR(IF(OR(AJ74=0,AJ74=""),0,IF(OR(AJ74&lt;=VLOOKUP(BT74,$E80:$AJ87,32,FALSE),VLOOKUP(BT74,$E80:$AJ87,32,FALSE)=0),"A","B")),0)</f>
        <v>0</v>
      </c>
      <c r="AL74" s="123" t="str">
        <f ca="1">IFERROR(IF(OR(AK74=0,AK74="B"),"",RANK(AW74,AW72:AW87,1)),"")</f>
        <v/>
      </c>
      <c r="AM74" s="123" t="str">
        <f ca="1">IFERROR(IF(OR(AK74=0,AK74="A"),"",RANK(AX74,AX72:AX87,1)),"")</f>
        <v/>
      </c>
      <c r="AN74" s="51">
        <f ca="1">IFERROR(IF(AF74="X",0,(INDIRECT(CONCATENATE("'Height Input'!"&amp;$B69&amp;$C70+2))-AJ74)*10),"")</f>
        <v>0</v>
      </c>
      <c r="AO74" s="8"/>
      <c r="AP74" s="9" t="str">
        <f t="shared" ca="1" si="28"/>
        <v/>
      </c>
      <c r="AQ74" s="9" t="str">
        <f ca="1">IF(AR74="","",HLOOKUP(AL74,BC71:BJ88,18,FALSE))</f>
        <v/>
      </c>
      <c r="AR74" s="45" t="str">
        <f ca="1">IF(OR(AL74=0,AL74=""),"",IF(COUNTIFS(AL72:AL87,AL74)&gt;1,"=",""))</f>
        <v/>
      </c>
      <c r="AS74" s="45"/>
      <c r="AT74" s="9" t="str">
        <f t="shared" ca="1" si="29"/>
        <v/>
      </c>
      <c r="AU74" s="9" t="str">
        <f ca="1">IF(AV74="","",HLOOKUP(AM74,BK71:BR88,18,FALSE))</f>
        <v/>
      </c>
      <c r="AV74" s="45" t="str">
        <f ca="1">IF(OR(AM74=0,AM74=""),"",IF(COUNTIFS(AM72:AM87,AM74)&gt;1,"=",""))</f>
        <v/>
      </c>
      <c r="AW74" s="9" t="str">
        <f t="shared" ca="1" si="23"/>
        <v/>
      </c>
      <c r="AX74" s="9" t="str">
        <f t="shared" ca="1" si="24"/>
        <v/>
      </c>
      <c r="AY74" s="47"/>
      <c r="AZ74" s="135" t="str">
        <f t="shared" ca="1" si="25"/>
        <v/>
      </c>
      <c r="BA74" s="135" t="str">
        <f t="shared" ca="1" si="26"/>
        <v/>
      </c>
      <c r="BB74" s="9"/>
      <c r="BC74" s="52" t="str">
        <f ca="1">IF(AL74="","",IF(AL74=BC71,AL74,""))</f>
        <v/>
      </c>
      <c r="BD74" s="52" t="str">
        <f ca="1">IF(AL74="","",IF(AL74=BD71,AL74,""))</f>
        <v/>
      </c>
      <c r="BE74" s="52" t="str">
        <f ca="1">IF(AL74="","",IF(AL74=BE71,AL74,""))</f>
        <v/>
      </c>
      <c r="BF74" s="52" t="str">
        <f ca="1">IF(AL74="","",IF(AL74=BF71,AL74,""))</f>
        <v/>
      </c>
      <c r="BG74" s="52" t="str">
        <f ca="1">IF(AL74="","",IF(AL74=BG71,AL74,""))</f>
        <v/>
      </c>
      <c r="BH74" s="52" t="str">
        <f ca="1">IF(AL74="","",IF(AL74=BH71,AL74,""))</f>
        <v/>
      </c>
      <c r="BI74" s="52" t="str">
        <f ca="1">IF(AL74="","",IF(AL74=BI71,AL74,""))</f>
        <v/>
      </c>
      <c r="BJ74" s="52" t="str">
        <f ca="1">IF(AL74="","",IF(AL74=BJ71,AL74,""))</f>
        <v/>
      </c>
      <c r="BK74" s="52" t="str">
        <f ca="1">IF(AM74="","",IF(AM74=BK71,AM74,""))</f>
        <v/>
      </c>
      <c r="BL74" s="52" t="str">
        <f ca="1">IF(AM74="","",IF(AM74=BL71,AM74,""))</f>
        <v/>
      </c>
      <c r="BM74" s="52" t="str">
        <f ca="1">IF(AM74="","",IF(AM74=BM71,AM74,""))</f>
        <v/>
      </c>
      <c r="BN74" s="52" t="str">
        <f ca="1">IF(AM74="","",IF(AM74=BN71,AM74,""))</f>
        <v/>
      </c>
      <c r="BO74" s="52" t="str">
        <f ca="1">IF(AM74="","",IF(AM74=BO71,AM74,""))</f>
        <v/>
      </c>
      <c r="BP74" s="52" t="str">
        <f ca="1">IF(AM74="","",IF(AM74=BP71,AM74,""))</f>
        <v/>
      </c>
      <c r="BQ74" s="52" t="str">
        <f ca="1">IF(AM74="","",IF(AM74=BQ71,AM74,""))</f>
        <v/>
      </c>
      <c r="BR74" s="52" t="str">
        <f ca="1">IF(AM74="","",IF(AM74=BR71,AM74,""))</f>
        <v/>
      </c>
      <c r="BS74" s="46"/>
      <c r="BT74" s="4">
        <f>IFERROR(IF(A71=0,A74*11,A74&amp;A74),"")</f>
        <v>66</v>
      </c>
    </row>
    <row r="75" spans="1:72" s="4" customFormat="1" ht="16.149999999999999" customHeight="1" x14ac:dyDescent="0.35">
      <c r="A75" s="8">
        <f>IFERROR(IF(D75&gt;MatchDay!$U$2,"-",VLOOKUP(A68,timetables,MatchDay!$U$4+3,FALSE)),0)</f>
        <v>7</v>
      </c>
      <c r="B75" s="10">
        <f ca="1">IFERROR(IF(OR(AK75=0,AK75="B"),"",RANK(AZ75,AZ72:AZ87,1)),"")</f>
        <v>3</v>
      </c>
      <c r="C75" s="10" t="str">
        <f ca="1">IFERROR(IF(OR(AK75=0,AK75="A"),"",RANK(BA75,BA72:BA87,1)),"")</f>
        <v/>
      </c>
      <c r="D75" s="55">
        <v>4</v>
      </c>
      <c r="E75" s="17">
        <f t="shared" si="27"/>
        <v>7</v>
      </c>
      <c r="F75" s="319" t="str">
        <f>IFERROR(VLOOKUP($A68&amp;E75,downloads!$A$1:$E$1000,2,FALSE),"")</f>
        <v>Layla HALL</v>
      </c>
      <c r="G75" s="18" t="str">
        <f t="shared" si="22"/>
        <v>Wigan</v>
      </c>
      <c r="H75" s="497"/>
      <c r="I75" s="498"/>
      <c r="J75" s="497"/>
      <c r="K75" s="498"/>
      <c r="L75" s="497"/>
      <c r="M75" s="498"/>
      <c r="N75" s="497"/>
      <c r="O75" s="498"/>
      <c r="P75" s="497"/>
      <c r="Q75" s="498"/>
      <c r="R75" s="497"/>
      <c r="S75" s="498"/>
      <c r="T75" s="497"/>
      <c r="U75" s="498"/>
      <c r="V75" s="497"/>
      <c r="W75" s="498"/>
      <c r="X75" s="497"/>
      <c r="Y75" s="498"/>
      <c r="Z75" s="497"/>
      <c r="AA75" s="498"/>
      <c r="AB75" s="497"/>
      <c r="AC75" s="498"/>
      <c r="AD75" s="497"/>
      <c r="AE75" s="498"/>
      <c r="AF75" s="511">
        <f ca="1">IFERROR(INDIRECT(CONCATENATE("'Height Input'!"&amp;B70&amp;C70+3)),"")</f>
        <v>1.1499999999999999</v>
      </c>
      <c r="AG75" s="512"/>
      <c r="AH75" s="48"/>
      <c r="AI75" s="48"/>
      <c r="AJ75" s="49">
        <f ca="1">IFERROR(IF(AF75="X",MatchDay!$U$2+MatchDay!$U$2+1-COUNTIF($AF72:AF75,"X"),IF(AF75&gt;=97,1,INT(INDIRECT(CONCATENATE("'Height Input'!"&amp;$B69&amp;$C70+3))))),"")</f>
        <v>3</v>
      </c>
      <c r="AK75" s="50" t="str">
        <f ca="1">IFERROR(IF(OR(AJ75=0,AJ75=""),0,IF(OR(AJ75&lt;=VLOOKUP(BT75,$E80:$AJ87,32,FALSE),VLOOKUP(BT75,$E80:$AJ87,32,FALSE)=0),"A","B")),0)</f>
        <v>A</v>
      </c>
      <c r="AL75" s="123">
        <f ca="1">IFERROR(IF(OR(AK75=0,AK75="B"),"",RANK(AW75,AW72:AW87,1)),"")</f>
        <v>3</v>
      </c>
      <c r="AM75" s="123" t="str">
        <f ca="1">IFERROR(IF(OR(AK75=0,AK75="A"),"",RANK(AX75,AX72:AX87,1)),"")</f>
        <v/>
      </c>
      <c r="AN75" s="51">
        <f ca="1">IFERROR(IF(AF75="X",0,(INDIRECT(CONCATENATE("'Height Input'!"&amp;$B69&amp;$C70+3))-AJ75)*10),"")</f>
        <v>0</v>
      </c>
      <c r="AO75" s="8"/>
      <c r="AP75" s="9" t="str">
        <f t="shared" ca="1" si="28"/>
        <v/>
      </c>
      <c r="AQ75" s="9" t="str">
        <f ca="1">IF(AR75="","",HLOOKUP(AL75,BC71:BJ88,18,FALSE))</f>
        <v/>
      </c>
      <c r="AR75" s="45" t="str">
        <f ca="1">IF(OR(AL75=0,AL75=""),"",IF(COUNTIFS(AL72:AL87,AL75)&gt;1,"=",""))</f>
        <v/>
      </c>
      <c r="AS75" s="45"/>
      <c r="AT75" s="9" t="str">
        <f t="shared" ca="1" si="29"/>
        <v/>
      </c>
      <c r="AU75" s="9" t="str">
        <f ca="1">IF(AV75="","",HLOOKUP(AM75,BK71:BR88,18,FALSE))</f>
        <v/>
      </c>
      <c r="AV75" s="45" t="str">
        <f ca="1">IF(OR(AM75=0,AM75=""),"",IF(COUNTIFS(AM72:AM87,AM75)&gt;1,"=",""))</f>
        <v/>
      </c>
      <c r="AW75" s="9">
        <f t="shared" ca="1" si="23"/>
        <v>3</v>
      </c>
      <c r="AX75" s="9" t="str">
        <f t="shared" ca="1" si="24"/>
        <v/>
      </c>
      <c r="AY75" s="47"/>
      <c r="AZ75" s="135">
        <f t="shared" ca="1" si="25"/>
        <v>3</v>
      </c>
      <c r="BA75" s="135" t="str">
        <f t="shared" ca="1" si="26"/>
        <v/>
      </c>
      <c r="BB75" s="9"/>
      <c r="BC75" s="52" t="str">
        <f ca="1">IF(AL75="","",IF(AL75=BC71,AL75,""))</f>
        <v/>
      </c>
      <c r="BD75" s="52" t="str">
        <f ca="1">IF(AL75="","",IF(AL75=BD71,AL75,""))</f>
        <v/>
      </c>
      <c r="BE75" s="52">
        <f ca="1">IF(AL75="","",IF(AL75=BE71,AL75,""))</f>
        <v>3</v>
      </c>
      <c r="BF75" s="52" t="str">
        <f ca="1">IF(AL75="","",IF(AL75=BF71,AL75,""))</f>
        <v/>
      </c>
      <c r="BG75" s="52" t="str">
        <f ca="1">IF(AL75="","",IF(AL75=BG71,AL75,""))</f>
        <v/>
      </c>
      <c r="BH75" s="52" t="str">
        <f ca="1">IF(AL75="","",IF(AL75=BH71,AL75,""))</f>
        <v/>
      </c>
      <c r="BI75" s="52" t="str">
        <f ca="1">IF(AL75="","",IF(AL75=BI71,AL75,""))</f>
        <v/>
      </c>
      <c r="BJ75" s="52" t="str">
        <f ca="1">IF(AL75="","",IF(AL75=BJ71,AL75,""))</f>
        <v/>
      </c>
      <c r="BK75" s="52" t="str">
        <f ca="1">IF(AM75="","",IF(AM75=BK71,AM75,""))</f>
        <v/>
      </c>
      <c r="BL75" s="52" t="str">
        <f ca="1">IF(AM75="","",IF(AM75=BL71,AM75,""))</f>
        <v/>
      </c>
      <c r="BM75" s="52" t="str">
        <f ca="1">IF(AM75="","",IF(AM75=BM71,AM75,""))</f>
        <v/>
      </c>
      <c r="BN75" s="52" t="str">
        <f ca="1">IF(AM75="","",IF(AM75=BN71,AM75,""))</f>
        <v/>
      </c>
      <c r="BO75" s="52" t="str">
        <f ca="1">IF(AM75="","",IF(AM75=BO71,AM75,""))</f>
        <v/>
      </c>
      <c r="BP75" s="52" t="str">
        <f ca="1">IF(AM75="","",IF(AM75=BP71,AM75,""))</f>
        <v/>
      </c>
      <c r="BQ75" s="52" t="str">
        <f ca="1">IF(AM75="","",IF(AM75=BQ71,AM75,""))</f>
        <v/>
      </c>
      <c r="BR75" s="52" t="str">
        <f ca="1">IF(AM75="","",IF(AM75=BR71,AM75,""))</f>
        <v/>
      </c>
      <c r="BS75" s="46"/>
      <c r="BT75" s="4">
        <f>IFERROR(IF(A71=0,A75*11,A75&amp;A75),"")</f>
        <v>77</v>
      </c>
    </row>
    <row r="76" spans="1:72" s="4" customFormat="1" ht="16.149999999999999" customHeight="1" x14ac:dyDescent="0.35">
      <c r="A76" s="8">
        <f>IFERROR(IF(D76&gt;MatchDay!$U$2,"-",VLOOKUP(A68,timetables,MatchDay!$U$4+4,FALSE)),0)</f>
        <v>3</v>
      </c>
      <c r="B76" s="10">
        <f ca="1">IFERROR(IF(OR(AK76=0,AK76="B"),"",RANK(AZ76,AZ72:AZ87,1)),"")</f>
        <v>4</v>
      </c>
      <c r="C76" s="10" t="str">
        <f ca="1">IFERROR(IF(OR(AK76=0,AK76="A"),"",RANK(BA76,BA72:BA87,1)),"")</f>
        <v/>
      </c>
      <c r="D76" s="55">
        <v>5</v>
      </c>
      <c r="E76" s="17">
        <f t="shared" si="27"/>
        <v>3</v>
      </c>
      <c r="F76" s="319" t="str">
        <f>IFERROR(VLOOKUP($A68&amp;E76,downloads!$A$1:$E$1000,2,FALSE),"")</f>
        <v>Lois MELLING</v>
      </c>
      <c r="G76" s="18" t="str">
        <f t="shared" si="22"/>
        <v>Leigh</v>
      </c>
      <c r="H76" s="497"/>
      <c r="I76" s="498"/>
      <c r="J76" s="497"/>
      <c r="K76" s="498"/>
      <c r="L76" s="497"/>
      <c r="M76" s="498"/>
      <c r="N76" s="497"/>
      <c r="O76" s="498"/>
      <c r="P76" s="497"/>
      <c r="Q76" s="498"/>
      <c r="R76" s="497"/>
      <c r="S76" s="498"/>
      <c r="T76" s="497"/>
      <c r="U76" s="498"/>
      <c r="V76" s="497"/>
      <c r="W76" s="498"/>
      <c r="X76" s="497"/>
      <c r="Y76" s="498"/>
      <c r="Z76" s="497"/>
      <c r="AA76" s="498"/>
      <c r="AB76" s="497"/>
      <c r="AC76" s="498"/>
      <c r="AD76" s="497"/>
      <c r="AE76" s="498"/>
      <c r="AF76" s="511">
        <f ca="1">IFERROR(INDIRECT(CONCATENATE("'Height Input'!"&amp;B70&amp;C70+4)),"")</f>
        <v>1.1000000000000001</v>
      </c>
      <c r="AG76" s="512"/>
      <c r="AH76" s="48"/>
      <c r="AI76" s="48"/>
      <c r="AJ76" s="49">
        <f ca="1">IFERROR(IF(AF76="X",MatchDay!$U$2+MatchDay!$U$2+1-COUNTIF($AF72:AF76,"X"),IF(AF76&gt;=97,1,INT(INDIRECT(CONCATENATE("'Height Input'!"&amp;$B69&amp;$C70+4))))),"")</f>
        <v>5</v>
      </c>
      <c r="AK76" s="50" t="str">
        <f ca="1">IFERROR(IF(OR(AJ76=0,AJ76=""),0,IF(OR(AJ76&lt;=VLOOKUP(BT76,$E80:$AJ87,32,FALSE),VLOOKUP(BT76,$E80:$AJ87,32,FALSE)=0),"A","B")),0)</f>
        <v>A</v>
      </c>
      <c r="AL76" s="123">
        <f ca="1">IFERROR(IF(OR(AK76=0,AK76="B"),"",RANK(AW76,AW72:AW87,1)),"")</f>
        <v>4</v>
      </c>
      <c r="AM76" s="123" t="str">
        <f ca="1">IFERROR(IF(OR(AK76=0,AK76="A"),"",RANK(AX76,AX72:AX87,1)),"")</f>
        <v/>
      </c>
      <c r="AN76" s="51">
        <f ca="1">IFERROR(IF(AF76="X",0,(INDIRECT(CONCATENATE("'Height Input'!"&amp;$B69&amp;$C70+4))-AJ76)*10),"")</f>
        <v>2.0000000000000018</v>
      </c>
      <c r="AO76" s="8"/>
      <c r="AP76" s="9" t="str">
        <f t="shared" ca="1" si="28"/>
        <v>=</v>
      </c>
      <c r="AQ76" s="9">
        <f ca="1">IF(AR76="","",HLOOKUP(AL76,BC71:BJ88,18,FALSE))</f>
        <v>2</v>
      </c>
      <c r="AR76" s="45" t="str">
        <f ca="1">IF(OR(AL76=0,AL76=""),"",IF(COUNTIFS(AL72:AL87,AL76)&gt;1,"=",""))</f>
        <v>=</v>
      </c>
      <c r="AS76" s="45"/>
      <c r="AT76" s="9" t="str">
        <f t="shared" ca="1" si="29"/>
        <v/>
      </c>
      <c r="AU76" s="9" t="str">
        <f ca="1">IF(AV76="","",HLOOKUP(AM76,BK71:BR88,18,FALSE))</f>
        <v/>
      </c>
      <c r="AV76" s="45" t="str">
        <f ca="1">IF(OR(AM76=0,AM76=""),"",IF(COUNTIFS(AM72:AM87,AM76)&gt;1,"=",""))</f>
        <v/>
      </c>
      <c r="AW76" s="9">
        <f t="shared" ca="1" si="23"/>
        <v>5</v>
      </c>
      <c r="AX76" s="9" t="str">
        <f t="shared" ca="1" si="24"/>
        <v/>
      </c>
      <c r="AY76" s="47"/>
      <c r="AZ76" s="135">
        <f t="shared" ca="1" si="25"/>
        <v>5.2</v>
      </c>
      <c r="BA76" s="135" t="str">
        <f t="shared" ca="1" si="26"/>
        <v/>
      </c>
      <c r="BB76" s="9"/>
      <c r="BC76" s="52" t="str">
        <f ca="1">IF(AL76="","",IF(AL76=BC71,AL76,""))</f>
        <v/>
      </c>
      <c r="BD76" s="52" t="str">
        <f ca="1">IF(AL76="","",IF(AL76=BD71,AL76,""))</f>
        <v/>
      </c>
      <c r="BE76" s="52" t="str">
        <f ca="1">IF(AL76="","",IF(AL76=BE71,AL76,""))</f>
        <v/>
      </c>
      <c r="BF76" s="52">
        <f ca="1">IF(AL76="","",IF(AL76=BF71,AL76,""))</f>
        <v>4</v>
      </c>
      <c r="BG76" s="52" t="str">
        <f ca="1">IF(AL76="","",IF(AL76=BG71,AL76,""))</f>
        <v/>
      </c>
      <c r="BH76" s="52" t="str">
        <f ca="1">IF(AL76="","",IF(AL76=BH71,AL76,""))</f>
        <v/>
      </c>
      <c r="BI76" s="52" t="str">
        <f ca="1">IF(AL76="","",IF(AL76=BI71,AL76,""))</f>
        <v/>
      </c>
      <c r="BJ76" s="52" t="str">
        <f ca="1">IF(AL76="","",IF(AL76=BJ71,AL76,""))</f>
        <v/>
      </c>
      <c r="BK76" s="52" t="str">
        <f ca="1">IF(AM76="","",IF(AM76=BK71,AM76,""))</f>
        <v/>
      </c>
      <c r="BL76" s="52" t="str">
        <f ca="1">IF(AM76="","",IF(AM76=BL71,AM76,""))</f>
        <v/>
      </c>
      <c r="BM76" s="52" t="str">
        <f ca="1">IF(AM76="","",IF(AM76=BM71,AM76,""))</f>
        <v/>
      </c>
      <c r="BN76" s="52" t="str">
        <f ca="1">IF(AM76="","",IF(AM76=BN71,AM76,""))</f>
        <v/>
      </c>
      <c r="BO76" s="52" t="str">
        <f ca="1">IF(AM76="","",IF(AM76=BO71,AM76,""))</f>
        <v/>
      </c>
      <c r="BP76" s="52" t="str">
        <f ca="1">IF(AM76="","",IF(AM76=BP71,AM76,""))</f>
        <v/>
      </c>
      <c r="BQ76" s="52" t="str">
        <f ca="1">IF(AM76="","",IF(AM76=BQ71,AM76,""))</f>
        <v/>
      </c>
      <c r="BR76" s="52" t="str">
        <f ca="1">IF(AM76="","",IF(AM76=BR71,AM76,""))</f>
        <v/>
      </c>
      <c r="BS76" s="46"/>
      <c r="BT76" s="4">
        <f>IFERROR(IF(A71=0,A76*11,A76&amp;A76),"")</f>
        <v>33</v>
      </c>
    </row>
    <row r="77" spans="1:72" s="4" customFormat="1" ht="16.149999999999999" customHeight="1" x14ac:dyDescent="0.35">
      <c r="A77" s="8">
        <f>IFERROR(IF(D77&gt;MatchDay!$U$2,"-",VLOOKUP(A68,timetables,MatchDay!$U$4+5,FALSE)),0)</f>
        <v>4</v>
      </c>
      <c r="B77" s="10">
        <f ca="1">IFERROR(IF(OR(AK77=0,AK77="B"),"",RANK(AZ77,AZ72:AZ87,1)),"")</f>
        <v>6</v>
      </c>
      <c r="C77" s="10" t="str">
        <f ca="1">IFERROR(IF(OR(AK77=0,AK77="A"),"",RANK(BA77,BA72:BA87,1)),"")</f>
        <v/>
      </c>
      <c r="D77" s="55">
        <v>6</v>
      </c>
      <c r="E77" s="17">
        <f t="shared" si="27"/>
        <v>4</v>
      </c>
      <c r="F77" s="319" t="str">
        <f>IFERROR(VLOOKUP($A68&amp;E77,downloads!$A$1:$E$1000,2,FALSE),"")</f>
        <v>Eve O'DONNELL</v>
      </c>
      <c r="G77" s="18" t="str">
        <f t="shared" si="22"/>
        <v>Macc</v>
      </c>
      <c r="H77" s="497"/>
      <c r="I77" s="498"/>
      <c r="J77" s="497"/>
      <c r="K77" s="498"/>
      <c r="L77" s="497"/>
      <c r="M77" s="498"/>
      <c r="N77" s="497"/>
      <c r="O77" s="498"/>
      <c r="P77" s="497"/>
      <c r="Q77" s="498"/>
      <c r="R77" s="497"/>
      <c r="S77" s="498"/>
      <c r="T77" s="497"/>
      <c r="U77" s="498"/>
      <c r="V77" s="497"/>
      <c r="W77" s="498"/>
      <c r="X77" s="497"/>
      <c r="Y77" s="498"/>
      <c r="Z77" s="497"/>
      <c r="AA77" s="498"/>
      <c r="AB77" s="497"/>
      <c r="AC77" s="498"/>
      <c r="AD77" s="497"/>
      <c r="AE77" s="498"/>
      <c r="AF77" s="511">
        <f ca="1">IFERROR(INDIRECT(CONCATENATE("'Height Input'!"&amp;B70&amp;C70+5)),"")</f>
        <v>1.1000000000000001</v>
      </c>
      <c r="AG77" s="512"/>
      <c r="AH77" s="48"/>
      <c r="AI77" s="48"/>
      <c r="AJ77" s="49">
        <f ca="1">IFERROR(IF(AF77="X",MatchDay!$U$2+MatchDay!$U$2+1-COUNTIF($AF72:AF77,"X"),IF(AF77&gt;=97,1,INT(INDIRECT(CONCATENATE("'Height Input'!"&amp;$B69&amp;$C70+5))))),"")</f>
        <v>7</v>
      </c>
      <c r="AK77" s="50" t="str">
        <f ca="1">IFERROR(IF(OR(AJ77=0,AJ77=""),0,IF(OR(AJ77&lt;=VLOOKUP(BT77,$E80:$AJ87,32,FALSE),VLOOKUP(BT77,$E80:$AJ87,32,FALSE)=0),"A","B")),0)</f>
        <v>A</v>
      </c>
      <c r="AL77" s="123">
        <f ca="1">IFERROR(IF(OR(AK77=0,AK77="B"),"",RANK(AW77,AW72:AW87,1)),"")</f>
        <v>6</v>
      </c>
      <c r="AM77" s="123" t="str">
        <f ca="1">IFERROR(IF(OR(AK77=0,AK77="A"),"",RANK(AX77,AX72:AX87,1)),"")</f>
        <v/>
      </c>
      <c r="AN77" s="51">
        <f ca="1">IFERROR(IF(AF77="X",0,(INDIRECT(CONCATENATE("'Height Input'!"&amp;$B69&amp;$C70+5))-AJ77)*10),"")</f>
        <v>0</v>
      </c>
      <c r="AO77" s="8"/>
      <c r="AP77" s="9" t="str">
        <f t="shared" ca="1" si="28"/>
        <v/>
      </c>
      <c r="AQ77" s="9" t="str">
        <f ca="1">IF(AR77="","",HLOOKUP(AL77,BC71:BJ88,18,FALSE))</f>
        <v/>
      </c>
      <c r="AR77" s="45" t="str">
        <f ca="1">IF(OR(AL77=0,AL77=""),"",IF(COUNTIFS(AL72:AL87,AL77)&gt;1,"=",""))</f>
        <v/>
      </c>
      <c r="AS77" s="45"/>
      <c r="AT77" s="9" t="str">
        <f t="shared" ca="1" si="29"/>
        <v/>
      </c>
      <c r="AU77" s="9" t="str">
        <f ca="1">IF(AV77="","",HLOOKUP(AM77,BK71:BR88,18,FALSE))</f>
        <v/>
      </c>
      <c r="AV77" s="45" t="str">
        <f ca="1">IF(OR(AM77=0,AM77=""),"",IF(COUNTIFS(AM72:AM87,AM77)&gt;1,"=",""))</f>
        <v/>
      </c>
      <c r="AW77" s="9">
        <f t="shared" ca="1" si="23"/>
        <v>7</v>
      </c>
      <c r="AX77" s="9" t="str">
        <f t="shared" ca="1" si="24"/>
        <v/>
      </c>
      <c r="AY77" s="47"/>
      <c r="AZ77" s="135">
        <f t="shared" ca="1" si="25"/>
        <v>7</v>
      </c>
      <c r="BA77" s="135" t="str">
        <f t="shared" ca="1" si="26"/>
        <v/>
      </c>
      <c r="BB77" s="9"/>
      <c r="BC77" s="52" t="str">
        <f ca="1">IF(AL77="","",IF(AL77=BC71,AL77,""))</f>
        <v/>
      </c>
      <c r="BD77" s="52" t="str">
        <f ca="1">IF(AL77="","",IF(AL77=BD71,AL77,""))</f>
        <v/>
      </c>
      <c r="BE77" s="52" t="str">
        <f ca="1">IF(AL77="","",IF(AL77=BE71,AL77,""))</f>
        <v/>
      </c>
      <c r="BF77" s="52" t="str">
        <f ca="1">IF(AL77="","",IF(AL77=BF71,AL77,""))</f>
        <v/>
      </c>
      <c r="BG77" s="52" t="str">
        <f ca="1">IF(AL77="","",IF(AL77=BG71,AL77,""))</f>
        <v/>
      </c>
      <c r="BH77" s="52">
        <f ca="1">IF(AL77="","",IF(AL77=BH71,AL77,""))</f>
        <v>6</v>
      </c>
      <c r="BI77" s="52" t="str">
        <f ca="1">IF(AL77="","",IF(AL77=BI71,AL77,""))</f>
        <v/>
      </c>
      <c r="BJ77" s="52" t="str">
        <f ca="1">IF(AL77="","",IF(AL77=BJ71,AL77,""))</f>
        <v/>
      </c>
      <c r="BK77" s="52" t="str">
        <f ca="1">IF(AM77="","",IF(AM77=BK71,AM77,""))</f>
        <v/>
      </c>
      <c r="BL77" s="52" t="str">
        <f ca="1">IF(AM77="","",IF(AM77=BL71,AM77,""))</f>
        <v/>
      </c>
      <c r="BM77" s="52" t="str">
        <f ca="1">IF(AM77="","",IF(AM77=BM71,AM77,""))</f>
        <v/>
      </c>
      <c r="BN77" s="52" t="str">
        <f ca="1">IF(AM77="","",IF(AM77=BN71,AM77,""))</f>
        <v/>
      </c>
      <c r="BO77" s="52" t="str">
        <f ca="1">IF(AM77="","",IF(AM77=BO71,AM77,""))</f>
        <v/>
      </c>
      <c r="BP77" s="52" t="str">
        <f ca="1">IF(AM77="","",IF(AM77=BP71,AM77,""))</f>
        <v/>
      </c>
      <c r="BQ77" s="52" t="str">
        <f ca="1">IF(AM77="","",IF(AM77=BQ71,AM77,""))</f>
        <v/>
      </c>
      <c r="BR77" s="52" t="str">
        <f ca="1">IF(AM77="","",IF(AM77=BR71,AM77,""))</f>
        <v/>
      </c>
      <c r="BS77" s="46"/>
      <c r="BT77" s="4">
        <f>IFERROR(IF(A71=0,A77*11,A77&amp;A77),"")</f>
        <v>44</v>
      </c>
    </row>
    <row r="78" spans="1:72" s="4" customFormat="1" ht="16.149999999999999" customHeight="1" x14ac:dyDescent="0.35">
      <c r="A78" s="8">
        <f>IFERROR(IF(D78&gt;MatchDay!$U$2,"-",VLOOKUP(A68,timetables,MatchDay!$U$4+6,FALSE)),0)</f>
        <v>5</v>
      </c>
      <c r="B78" s="10">
        <f ca="1">IFERROR(IF(OR(AK78=0,AK78="B"),"",RANK(AZ78,AZ72:AZ87,1)),"")</f>
        <v>5</v>
      </c>
      <c r="C78" s="10" t="str">
        <f ca="1">IFERROR(IF(OR(AK78=0,AK78="A"),"",RANK(BA78,BA72:BA87,1)),"")</f>
        <v/>
      </c>
      <c r="D78" s="55">
        <v>7</v>
      </c>
      <c r="E78" s="17">
        <f t="shared" si="27"/>
        <v>5</v>
      </c>
      <c r="F78" s="319" t="str">
        <f>IFERROR(VLOOKUP($A68&amp;E78,downloads!$A$1:$E$1000,2,FALSE),"")</f>
        <v>Tamsin SEGUIN</v>
      </c>
      <c r="G78" s="18" t="str">
        <f t="shared" si="22"/>
        <v>Menai</v>
      </c>
      <c r="H78" s="497"/>
      <c r="I78" s="498"/>
      <c r="J78" s="497"/>
      <c r="K78" s="498"/>
      <c r="L78" s="497"/>
      <c r="M78" s="498"/>
      <c r="N78" s="497"/>
      <c r="O78" s="498"/>
      <c r="P78" s="497"/>
      <c r="Q78" s="498"/>
      <c r="R78" s="497"/>
      <c r="S78" s="498"/>
      <c r="T78" s="497"/>
      <c r="U78" s="498"/>
      <c r="V78" s="497"/>
      <c r="W78" s="498"/>
      <c r="X78" s="497"/>
      <c r="Y78" s="498"/>
      <c r="Z78" s="497"/>
      <c r="AA78" s="498"/>
      <c r="AB78" s="497"/>
      <c r="AC78" s="498"/>
      <c r="AD78" s="497"/>
      <c r="AE78" s="498"/>
      <c r="AF78" s="511">
        <f ca="1">IFERROR(INDIRECT(CONCATENATE("'Height Input'!"&amp;B70&amp;C70+6)),"")</f>
        <v>1.1000000000000001</v>
      </c>
      <c r="AG78" s="512"/>
      <c r="AH78" s="48"/>
      <c r="AI78" s="48"/>
      <c r="AJ78" s="49">
        <f ca="1">IFERROR(IF(AF78="X",MatchDay!$U$2+MatchDay!$U$2+1-COUNTIF($AF72:AF78,"X"),IF(AF78&gt;=97,1,INT(INDIRECT(CONCATENATE("'Height Input'!"&amp;$B69&amp;$C70+6))))),"")</f>
        <v>5</v>
      </c>
      <c r="AK78" s="50" t="str">
        <f ca="1">IFERROR(IF(OR(AJ78=0,AJ78=""),0,IF(OR(AJ78&lt;=VLOOKUP(BT78,$E80:$AJ87,32,FALSE),VLOOKUP(BT78,$E80:$AJ87,32,FALSE)=0),"A","B")),0)</f>
        <v>A</v>
      </c>
      <c r="AL78" s="123">
        <f ca="1">IFERROR(IF(OR(AK78=0,AK78="B"),"",RANK(AW78,AW72:AW87,1)),"")</f>
        <v>4</v>
      </c>
      <c r="AM78" s="123" t="str">
        <f ca="1">IFERROR(IF(OR(AK78=0,AK78="A"),"",RANK(AX78,AX72:AX87,1)),"")</f>
        <v/>
      </c>
      <c r="AN78" s="51">
        <f ca="1">IFERROR(IF(AF78="X",0,(INDIRECT(CONCATENATE("'Height Input'!"&amp;$B69&amp;$C70+6))-AJ78)*10),"")</f>
        <v>2.9999999999999982</v>
      </c>
      <c r="AO78" s="8"/>
      <c r="AP78" s="9" t="str">
        <f t="shared" ca="1" si="28"/>
        <v>=</v>
      </c>
      <c r="AQ78" s="9">
        <f ca="1">IF(AR78="","",HLOOKUP(AL78,BC71:BJ88,18,FALSE))</f>
        <v>2</v>
      </c>
      <c r="AR78" s="45" t="str">
        <f ca="1">IF(OR(AL78=0,AL78=""),"",IF(COUNTIFS(AL72:AL87,AL78)&gt;1,"=",""))</f>
        <v>=</v>
      </c>
      <c r="AS78" s="45"/>
      <c r="AT78" s="9" t="str">
        <f t="shared" ca="1" si="29"/>
        <v/>
      </c>
      <c r="AU78" s="9" t="str">
        <f ca="1">IF(AV78="","",HLOOKUP(AM78,BK71:BR88,18,FALSE))</f>
        <v/>
      </c>
      <c r="AV78" s="45" t="str">
        <f ca="1">IF(OR(AM78=0,AM78=""),"",IF(COUNTIFS(AM72:AM87,AM78)&gt;1,"=",""))</f>
        <v/>
      </c>
      <c r="AW78" s="9">
        <f t="shared" ca="1" si="23"/>
        <v>5</v>
      </c>
      <c r="AX78" s="9" t="str">
        <f t="shared" ca="1" si="24"/>
        <v/>
      </c>
      <c r="AY78" s="47"/>
      <c r="AZ78" s="135">
        <f t="shared" ca="1" si="25"/>
        <v>5.3</v>
      </c>
      <c r="BA78" s="135" t="str">
        <f t="shared" ca="1" si="26"/>
        <v/>
      </c>
      <c r="BB78" s="9"/>
      <c r="BC78" s="52" t="str">
        <f ca="1">IF(AL78="","",IF(AL78=BC71,AL78,""))</f>
        <v/>
      </c>
      <c r="BD78" s="52" t="str">
        <f ca="1">IF(AL78="","",IF(AL78=BD71,AL78,""))</f>
        <v/>
      </c>
      <c r="BE78" s="52" t="str">
        <f ca="1">IF(AL78="","",IF(AL78=BE71,AL78,""))</f>
        <v/>
      </c>
      <c r="BF78" s="52">
        <f ca="1">IF(AL78="","",IF(AL78=BF71,AL78,""))</f>
        <v>4</v>
      </c>
      <c r="BG78" s="52" t="str">
        <f ca="1">IF(AL78="","",IF(AL78=BG71,AL78,""))</f>
        <v/>
      </c>
      <c r="BH78" s="52" t="str">
        <f ca="1">IF(AL78="","",IF(AL78=BH71,AL78,""))</f>
        <v/>
      </c>
      <c r="BI78" s="52" t="str">
        <f ca="1">IF(AL78="","",IF(AL78=BI71,AL78,""))</f>
        <v/>
      </c>
      <c r="BJ78" s="52" t="str">
        <f ca="1">IF(AL78="","",IF(AL78=BJ71,AL78,""))</f>
        <v/>
      </c>
      <c r="BK78" s="52" t="str">
        <f ca="1">IF(AM78="","",IF(AM78=BK71,AM78,""))</f>
        <v/>
      </c>
      <c r="BL78" s="52" t="str">
        <f ca="1">IF(AM78="","",IF(AM78=BL71,AM78,""))</f>
        <v/>
      </c>
      <c r="BM78" s="52" t="str">
        <f ca="1">IF(AM78="","",IF(AM78=BM71,AM78,""))</f>
        <v/>
      </c>
      <c r="BN78" s="52" t="str">
        <f ca="1">IF(AM78="","",IF(AM78=BN71,AM78,""))</f>
        <v/>
      </c>
      <c r="BO78" s="52" t="str">
        <f ca="1">IF(AM78="","",IF(AM78=BO71,AM78,""))</f>
        <v/>
      </c>
      <c r="BP78" s="52" t="str">
        <f ca="1">IF(AM78="","",IF(AM78=BP71,AM78,""))</f>
        <v/>
      </c>
      <c r="BQ78" s="52" t="str">
        <f ca="1">IF(AM78="","",IF(AM78=BQ71,AM78,""))</f>
        <v/>
      </c>
      <c r="BR78" s="52" t="str">
        <f ca="1">IF(AM78="","",IF(AM78=BR71,AM78,""))</f>
        <v/>
      </c>
      <c r="BS78" s="46"/>
      <c r="BT78" s="4">
        <f>IFERROR(IF(A71=0,A78*11,A78&amp;A78),"")</f>
        <v>55</v>
      </c>
    </row>
    <row r="79" spans="1:72" s="4" customFormat="1" ht="16.149999999999999" customHeight="1" x14ac:dyDescent="0.35">
      <c r="A79" s="8" t="str">
        <f>IFERROR(IF(D79&gt;MatchDay!$U$2,"-",VLOOKUP(A68,timetables,MatchDay!$U$4+7,FALSE)),0)</f>
        <v>-</v>
      </c>
      <c r="B79" s="10" t="str">
        <f ca="1">IFERROR(IF(OR(AK79=0,AK79="B"),"",RANK(AZ79,AZ72:AZ87,1)),"")</f>
        <v/>
      </c>
      <c r="C79" s="10" t="str">
        <f ca="1">IFERROR(IF(OR(AK79=0,AK79="A"),"",RANK(BA79,BA72:BA87,1)),"")</f>
        <v/>
      </c>
      <c r="D79" s="55">
        <v>8</v>
      </c>
      <c r="E79" s="17" t="str">
        <f t="shared" si="27"/>
        <v>-</v>
      </c>
      <c r="F79" s="319" t="str">
        <f>IFERROR(VLOOKUP($A68&amp;E79,downloads!$A$1:$E$1000,2,FALSE),"")</f>
        <v/>
      </c>
      <c r="G79" s="18" t="str">
        <f t="shared" si="22"/>
        <v/>
      </c>
      <c r="H79" s="497"/>
      <c r="I79" s="498"/>
      <c r="J79" s="497"/>
      <c r="K79" s="498"/>
      <c r="L79" s="497"/>
      <c r="M79" s="498"/>
      <c r="N79" s="497"/>
      <c r="O79" s="498"/>
      <c r="P79" s="497"/>
      <c r="Q79" s="498"/>
      <c r="R79" s="497"/>
      <c r="S79" s="498"/>
      <c r="T79" s="497"/>
      <c r="U79" s="498"/>
      <c r="V79" s="497"/>
      <c r="W79" s="498"/>
      <c r="X79" s="497"/>
      <c r="Y79" s="498"/>
      <c r="Z79" s="497"/>
      <c r="AA79" s="498"/>
      <c r="AB79" s="497"/>
      <c r="AC79" s="498"/>
      <c r="AD79" s="497"/>
      <c r="AE79" s="498"/>
      <c r="AF79" s="511">
        <f ca="1">IFERROR(INDIRECT(CONCATENATE("'Height Input'!"&amp;B70&amp;C70+7)),"")</f>
        <v>0</v>
      </c>
      <c r="AG79" s="512"/>
      <c r="AH79" s="48"/>
      <c r="AI79" s="48"/>
      <c r="AJ79" s="49">
        <f ca="1">IFERROR(IF(AF79="X",MatchDay!$U$2+MatchDay!$U$2+1-COUNTIF($AF72:AF79,"X"),IF(AF79&gt;=97,1,INT(INDIRECT(CONCATENATE("'Height Input'!"&amp;$B69&amp;$C70+7))))),"")</f>
        <v>0</v>
      </c>
      <c r="AK79" s="50">
        <f ca="1">IFERROR(IF(OR(AJ79=0,AJ79=""),0,IF(OR(AJ79&lt;=VLOOKUP(BT79,$E80:$AJ87,32,FALSE),VLOOKUP(BT79,$E80:$AJ87,32,FALSE)=0),"A","B")),0)</f>
        <v>0</v>
      </c>
      <c r="AL79" s="123" t="str">
        <f ca="1">IFERROR(IF(OR(AK79=0,AK79="B"),"",RANK(AW79,AW72:AW87,1)),"")</f>
        <v/>
      </c>
      <c r="AM79" s="123" t="str">
        <f ca="1">IFERROR(IF(OR(AK79=0,AK79="A"),"",RANK(AX79,AX72:AX87,1)),"")</f>
        <v/>
      </c>
      <c r="AN79" s="51">
        <f ca="1">IFERROR(IF(AF79="X",0,(INDIRECT(CONCATENATE("'Height Input'!"&amp;$B69&amp;$C70+7))-AJ79)*10),"")</f>
        <v>0</v>
      </c>
      <c r="AO79" s="8"/>
      <c r="AP79" s="9" t="str">
        <f t="shared" ca="1" si="28"/>
        <v/>
      </c>
      <c r="AQ79" s="9" t="str">
        <f ca="1">IF(AR79="","",HLOOKUP(AL79,BC71:BJ88,18,FALSE))</f>
        <v/>
      </c>
      <c r="AR79" s="45" t="str">
        <f ca="1">IF(OR(AL79=0,AL79=""),"",IF(COUNTIFS(AL72:AL87,AL79)&gt;1,"=",""))</f>
        <v/>
      </c>
      <c r="AS79" s="45"/>
      <c r="AT79" s="9" t="str">
        <f t="shared" ca="1" si="29"/>
        <v/>
      </c>
      <c r="AU79" s="9" t="str">
        <f ca="1">IF(AV79="","",HLOOKUP(AM79,BK71:BR88,18,FALSE))</f>
        <v/>
      </c>
      <c r="AV79" s="45" t="str">
        <f ca="1">IF(OR(AM79=0,AM79=""),"",IF(COUNTIFS(AM72:AM87,AM79)&gt;1,"=",""))</f>
        <v/>
      </c>
      <c r="AW79" s="9" t="str">
        <f t="shared" ca="1" si="23"/>
        <v/>
      </c>
      <c r="AX79" s="9" t="str">
        <f t="shared" ca="1" si="24"/>
        <v/>
      </c>
      <c r="AY79" s="47"/>
      <c r="AZ79" s="135" t="str">
        <f t="shared" ca="1" si="25"/>
        <v/>
      </c>
      <c r="BA79" s="135" t="str">
        <f t="shared" ca="1" si="26"/>
        <v/>
      </c>
      <c r="BB79" s="9"/>
      <c r="BC79" s="52" t="str">
        <f ca="1">IF(AL79="","",IF(AL79=BC71,AL79,""))</f>
        <v/>
      </c>
      <c r="BD79" s="52" t="str">
        <f ca="1">IF(AL79="","",IF(AL79=BD71,AL79,""))</f>
        <v/>
      </c>
      <c r="BE79" s="52" t="str">
        <f ca="1">IF(AL79="","",IF(AL79=BE71,AL79,""))</f>
        <v/>
      </c>
      <c r="BF79" s="52" t="str">
        <f ca="1">IF(AL79="","",IF(AL79=BF71,AL79,""))</f>
        <v/>
      </c>
      <c r="BG79" s="52" t="str">
        <f ca="1">IF(AL79="","",IF(AL79=BG71,AL79,""))</f>
        <v/>
      </c>
      <c r="BH79" s="52" t="str">
        <f ca="1">IF(AL79="","",IF(AL79=BH71,AL79,""))</f>
        <v/>
      </c>
      <c r="BI79" s="52" t="str">
        <f ca="1">IF(AL79="","",IF(AL79=BI71,AL79,""))</f>
        <v/>
      </c>
      <c r="BJ79" s="52" t="str">
        <f ca="1">IF(AL79="","",IF(AL79=BJ71,AL79,""))</f>
        <v/>
      </c>
      <c r="BK79" s="52" t="str">
        <f ca="1">IF(AM79="","",IF(AM79=BK71,AM79,""))</f>
        <v/>
      </c>
      <c r="BL79" s="52" t="str">
        <f ca="1">IF(AM79="","",IF(AM79=BL71,AM79,""))</f>
        <v/>
      </c>
      <c r="BM79" s="52" t="str">
        <f ca="1">IF(AM79="","",IF(AM79=BM71,AM79,""))</f>
        <v/>
      </c>
      <c r="BN79" s="52" t="str">
        <f ca="1">IF(AM79="","",IF(AM79=BN71,AM79,""))</f>
        <v/>
      </c>
      <c r="BO79" s="52" t="str">
        <f ca="1">IF(AM79="","",IF(AM79=BO71,AM79,""))</f>
        <v/>
      </c>
      <c r="BP79" s="52" t="str">
        <f ca="1">IF(AM79="","",IF(AM79=BP71,AM79,""))</f>
        <v/>
      </c>
      <c r="BQ79" s="52" t="str">
        <f ca="1">IF(AM79="","",IF(AM79=BQ71,AM79,""))</f>
        <v/>
      </c>
      <c r="BR79" s="52" t="str">
        <f ca="1">IF(AM79="","",IF(AM79=BR71,AM79,""))</f>
        <v/>
      </c>
      <c r="BS79" s="46"/>
      <c r="BT79" s="4" t="str">
        <f>IFERROR(IF(A71=0,A79*11,A79&amp;A79),"")</f>
        <v/>
      </c>
    </row>
    <row r="80" spans="1:72" s="4" customFormat="1" ht="16.149999999999999" customHeight="1" x14ac:dyDescent="0.35">
      <c r="A80" s="8">
        <f>IFERROR(IF(A71=0,A72*11,A72&amp;A72),"-")</f>
        <v>11</v>
      </c>
      <c r="B80" s="10">
        <f ca="1">IFERROR(IF(OR(AK80=0,AK80="B"),"",RANK(AZ80,AZ72:AZ87,1)),"")</f>
        <v>1</v>
      </c>
      <c r="C80" s="10" t="str">
        <f ca="1">IFERROR(IF(OR(AK80=0,AK80="A"),"",RANK(BA80,BA72:BA87,1)),"")</f>
        <v/>
      </c>
      <c r="D80" s="55">
        <v>9</v>
      </c>
      <c r="E80" s="17">
        <f t="shared" si="27"/>
        <v>11</v>
      </c>
      <c r="F80" s="319" t="str">
        <f>IFERROR(VLOOKUP($A68&amp;E80,downloads!$A$1:$E$1000,2,FALSE),"")</f>
        <v>Ruby WILKINS</v>
      </c>
      <c r="G80" s="18" t="str">
        <f t="shared" si="22"/>
        <v>C&amp;N</v>
      </c>
      <c r="H80" s="497"/>
      <c r="I80" s="498"/>
      <c r="J80" s="497"/>
      <c r="K80" s="498"/>
      <c r="L80" s="497"/>
      <c r="M80" s="498"/>
      <c r="N80" s="497"/>
      <c r="O80" s="498"/>
      <c r="P80" s="497"/>
      <c r="Q80" s="498"/>
      <c r="R80" s="497"/>
      <c r="S80" s="498"/>
      <c r="T80" s="497"/>
      <c r="U80" s="498"/>
      <c r="V80" s="497"/>
      <c r="W80" s="498"/>
      <c r="X80" s="497"/>
      <c r="Y80" s="498"/>
      <c r="Z80" s="497"/>
      <c r="AA80" s="498"/>
      <c r="AB80" s="497"/>
      <c r="AC80" s="498"/>
      <c r="AD80" s="497"/>
      <c r="AE80" s="498"/>
      <c r="AF80" s="511">
        <f ca="1">IFERROR(INDIRECT(CONCATENATE("'Height Input'!"&amp;B70&amp;C70+8)),"")</f>
        <v>1.2</v>
      </c>
      <c r="AG80" s="512"/>
      <c r="AH80" s="48"/>
      <c r="AI80" s="48"/>
      <c r="AJ80" s="49">
        <f ca="1">IFERROR(IF(AF80="X",MatchDay!$U$2+MatchDay!$U$2+1-COUNTIF($AF72:AF80,"X"),IF(AF80&gt;=97,1,INT(INDIRECT(CONCATENATE("'Height Input'!"&amp;$B69&amp;$C70+8))))),"")</f>
        <v>1</v>
      </c>
      <c r="AK80" s="50" t="str">
        <f ca="1">IFERROR(IF(OR(AJ80=0,AJ80=""),0,IF(OR(AJ80&lt;VLOOKUP(BT80,$E72:$AJ79,32,FALSE),VLOOKUP(BT80,$E72:$AJ79,32,FALSE)=0),"A","B")),0)</f>
        <v>A</v>
      </c>
      <c r="AL80" s="123">
        <f ca="1">IFERROR(IF(OR(AK80=0,AK80="B"),"",RANK(AW80,AW72:AW87,1)),"")</f>
        <v>1</v>
      </c>
      <c r="AM80" s="123" t="str">
        <f ca="1">IFERROR(IF(OR(AK80=0,AK80="A"),"",RANK(AX80,AX72:AX87,1)),"")</f>
        <v/>
      </c>
      <c r="AN80" s="51">
        <f ca="1">IFERROR(IF(AF80="X",0,(INDIRECT(CONCATENATE("'Height Input'!"&amp;$B69&amp;$C70+8))-AJ80)*10),"")</f>
        <v>0</v>
      </c>
      <c r="AO80" s="8"/>
      <c r="AP80" s="9" t="str">
        <f t="shared" ca="1" si="28"/>
        <v/>
      </c>
      <c r="AQ80" s="9" t="str">
        <f ca="1">IF(AR80="","",HLOOKUP(AL80,BC71:BJ88,18,FALSE))</f>
        <v/>
      </c>
      <c r="AR80" s="45" t="str">
        <f ca="1">IF(OR(AL80=0,AL80=""),"",IF(COUNTIFS(AL72:AL87,AL80)&gt;1,"=",""))</f>
        <v/>
      </c>
      <c r="AS80" s="45"/>
      <c r="AT80" s="9" t="str">
        <f t="shared" ca="1" si="29"/>
        <v/>
      </c>
      <c r="AU80" s="9" t="str">
        <f ca="1">IF(AV80="","",HLOOKUP(AM80,BK71:BR88,18,FALSE))</f>
        <v/>
      </c>
      <c r="AV80" s="45" t="str">
        <f ca="1">IF(OR(AM80=0,AM80=""),"",IF(COUNTIFS(AM72:AM87,AM80)&gt;1,"=",""))</f>
        <v/>
      </c>
      <c r="AW80" s="9">
        <f t="shared" ca="1" si="23"/>
        <v>1</v>
      </c>
      <c r="AX80" s="9" t="str">
        <f t="shared" ca="1" si="24"/>
        <v/>
      </c>
      <c r="AY80" s="47"/>
      <c r="AZ80" s="135">
        <f t="shared" ca="1" si="25"/>
        <v>1</v>
      </c>
      <c r="BA80" s="135" t="str">
        <f t="shared" ca="1" si="26"/>
        <v/>
      </c>
      <c r="BB80" s="9"/>
      <c r="BC80" s="52">
        <f ca="1">IF(AL80="","",IF(AL80=BC71,AL80,""))</f>
        <v>1</v>
      </c>
      <c r="BD80" s="52" t="str">
        <f ca="1">IF(AL80="","",IF(AL80=BD71,AL80,""))</f>
        <v/>
      </c>
      <c r="BE80" s="52" t="str">
        <f ca="1">IF(AL80="","",IF(AL80=BE71,AL80,""))</f>
        <v/>
      </c>
      <c r="BF80" s="52" t="str">
        <f ca="1">IF(AL80="","",IF(AL80=BF71,AL80,""))</f>
        <v/>
      </c>
      <c r="BG80" s="52" t="str">
        <f ca="1">IF(AL80="","",IF(AL80=BG71,AL80,""))</f>
        <v/>
      </c>
      <c r="BH80" s="52" t="str">
        <f ca="1">IF(AL80="","",IF(AL80=BH71,AL80,""))</f>
        <v/>
      </c>
      <c r="BI80" s="52" t="str">
        <f ca="1">IF(AL80="","",IF(AL80=BI71,AL80,""))</f>
        <v/>
      </c>
      <c r="BJ80" s="52" t="str">
        <f ca="1">IF(AL80="","",IF(AL80=BJ71,AL80,""))</f>
        <v/>
      </c>
      <c r="BK80" s="52" t="str">
        <f ca="1">IF(AM80="","",IF(AM80=BK71,AM80,""))</f>
        <v/>
      </c>
      <c r="BL80" s="52" t="str">
        <f ca="1">IF(AM80="","",IF(AM80=BL71,AM80,""))</f>
        <v/>
      </c>
      <c r="BM80" s="52" t="str">
        <f ca="1">IF(AM80="","",IF(AM80=BM71,AM80,""))</f>
        <v/>
      </c>
      <c r="BN80" s="52" t="str">
        <f ca="1">IF(AM80="","",IF(AM80=BN71,AM80,""))</f>
        <v/>
      </c>
      <c r="BO80" s="52" t="str">
        <f ca="1">IF(AM80="","",IF(AM80=BO71,AM80,""))</f>
        <v/>
      </c>
      <c r="BP80" s="52" t="str">
        <f ca="1">IF(AM80="","",IF(AM80=BP71,AM80,""))</f>
        <v/>
      </c>
      <c r="BQ80" s="52" t="str">
        <f ca="1">IF(AM80="","",IF(AM80=BQ71,AM80,""))</f>
        <v/>
      </c>
      <c r="BR80" s="52" t="str">
        <f ca="1">IF(AM80="","",IF(AM80=BR71,AM80,""))</f>
        <v/>
      </c>
      <c r="BS80" s="46"/>
      <c r="BT80" s="4">
        <f>IFERROR(IF(A71=0,A80/11,LEFT(A80,1)),"")</f>
        <v>1</v>
      </c>
    </row>
    <row r="81" spans="1:72" s="4" customFormat="1" ht="16.149999999999999" customHeight="1" x14ac:dyDescent="0.35">
      <c r="A81" s="8">
        <f>IFERROR(IF(A71=0,A73*11,A73&amp;A73),"-")</f>
        <v>22</v>
      </c>
      <c r="B81" s="10">
        <f ca="1">IFERROR(IF(OR(AK81=0,AK81="B"),"",RANK(AZ81,AZ72:AZ87,1)),"")</f>
        <v>2</v>
      </c>
      <c r="C81" s="10" t="str">
        <f ca="1">IFERROR(IF(OR(AK81=0,AK81="A"),"",RANK(BA81,BA72:BA87,1)),"")</f>
        <v/>
      </c>
      <c r="D81" s="55">
        <v>10</v>
      </c>
      <c r="E81" s="17">
        <f t="shared" si="27"/>
        <v>22</v>
      </c>
      <c r="F81" s="319" t="str">
        <f>IFERROR(VLOOKUP($A68&amp;E81,downloads!$A$1:$E$1000,2,FALSE),"")</f>
        <v>Scarlett LYNE</v>
      </c>
      <c r="G81" s="18" t="str">
        <f t="shared" si="22"/>
        <v>ECHT</v>
      </c>
      <c r="H81" s="497"/>
      <c r="I81" s="498"/>
      <c r="J81" s="497"/>
      <c r="K81" s="498"/>
      <c r="L81" s="497"/>
      <c r="M81" s="498"/>
      <c r="N81" s="497"/>
      <c r="O81" s="498"/>
      <c r="P81" s="497"/>
      <c r="Q81" s="498"/>
      <c r="R81" s="497"/>
      <c r="S81" s="498"/>
      <c r="T81" s="497"/>
      <c r="U81" s="498"/>
      <c r="V81" s="497"/>
      <c r="W81" s="498"/>
      <c r="X81" s="497"/>
      <c r="Y81" s="498"/>
      <c r="Z81" s="497"/>
      <c r="AA81" s="498"/>
      <c r="AB81" s="497"/>
      <c r="AC81" s="498"/>
      <c r="AD81" s="497"/>
      <c r="AE81" s="498"/>
      <c r="AF81" s="511">
        <f ca="1">IFERROR(INDIRECT(CONCATENATE("'Height Input'!"&amp;B70&amp;C70+9)),"")</f>
        <v>1.2</v>
      </c>
      <c r="AG81" s="512"/>
      <c r="AH81" s="48"/>
      <c r="AI81" s="48"/>
      <c r="AJ81" s="49">
        <f ca="1">IFERROR(IF(AF81="X",MatchDay!$U$2+MatchDay!$U$2+1-COUNTIF($AF72:AF81,"X"),IF(AF81&gt;=97,1,INT(INDIRECT(CONCATENATE("'Height Input'!"&amp;$B69&amp;$C70+9))))),"")</f>
        <v>2</v>
      </c>
      <c r="AK81" s="50" t="str">
        <f ca="1">IFERROR(IF(OR(AJ81=0,AJ81=""),0,IF(OR(AJ81&lt;VLOOKUP(BT81,$E72:$AJ79,32,FALSE),VLOOKUP(BT81,$E72:$AJ79,32,FALSE)=0),"A","B")),0)</f>
        <v>A</v>
      </c>
      <c r="AL81" s="123">
        <f ca="1">IFERROR(IF(OR(AK81=0,AK81="B"),"",RANK(AW81,AW72:AW87,1)),"")</f>
        <v>2</v>
      </c>
      <c r="AM81" s="123" t="str">
        <f ca="1">IFERROR(IF(OR(AK81=0,AK81="A"),"",RANK(AX81,AX72:AX87,1)),"")</f>
        <v/>
      </c>
      <c r="AN81" s="51">
        <f ca="1">IFERROR(IF(AF81="X",0,(INDIRECT(CONCATENATE("'Height Input'!"&amp;$B69&amp;$C70+9))-AJ81)*10),"")</f>
        <v>0</v>
      </c>
      <c r="AO81" s="8"/>
      <c r="AP81" s="9" t="str">
        <f t="shared" ca="1" si="28"/>
        <v/>
      </c>
      <c r="AQ81" s="9" t="str">
        <f ca="1">IF(AR81="","",HLOOKUP(AL81,BC71:BJ88,18,FALSE))</f>
        <v/>
      </c>
      <c r="AR81" s="45" t="str">
        <f ca="1">IF(OR(AL81=0,AL81=""),"",IF(COUNTIFS(AL72:AL87,AL81)&gt;1,"=",""))</f>
        <v/>
      </c>
      <c r="AS81" s="45"/>
      <c r="AT81" s="9" t="str">
        <f t="shared" ca="1" si="29"/>
        <v/>
      </c>
      <c r="AU81" s="9" t="str">
        <f ca="1">IF(AV81="","",HLOOKUP(AM81,BK71:BR88,18,FALSE))</f>
        <v/>
      </c>
      <c r="AV81" s="45" t="str">
        <f ca="1">IF(OR(AM81=0,AM81=""),"",IF(COUNTIFS(AM72:AM87,AM81)&gt;1,"=",""))</f>
        <v/>
      </c>
      <c r="AW81" s="9">
        <f t="shared" ca="1" si="23"/>
        <v>2</v>
      </c>
      <c r="AX81" s="9" t="str">
        <f t="shared" ca="1" si="24"/>
        <v/>
      </c>
      <c r="AY81" s="47"/>
      <c r="AZ81" s="135">
        <f t="shared" ca="1" si="25"/>
        <v>2</v>
      </c>
      <c r="BA81" s="135" t="str">
        <f t="shared" ca="1" si="26"/>
        <v/>
      </c>
      <c r="BB81" s="9"/>
      <c r="BC81" s="52" t="str">
        <f ca="1">IF(AL81="","",IF(AL81=BC71,AL81,""))</f>
        <v/>
      </c>
      <c r="BD81" s="52">
        <f ca="1">IF(AL81="","",IF(AL81=BD71,AL81,""))</f>
        <v>2</v>
      </c>
      <c r="BE81" s="52" t="str">
        <f ca="1">IF(AL81="","",IF(AL81=BE71,AL81,""))</f>
        <v/>
      </c>
      <c r="BF81" s="52" t="str">
        <f ca="1">IF(AL81="","",IF(AL81=BF71,AL81,""))</f>
        <v/>
      </c>
      <c r="BG81" s="52" t="str">
        <f ca="1">IF(AL81="","",IF(AL81=BG71,AL81,""))</f>
        <v/>
      </c>
      <c r="BH81" s="52" t="str">
        <f ca="1">IF(AL81="","",IF(AL81=BH71,AL81,""))</f>
        <v/>
      </c>
      <c r="BI81" s="52" t="str">
        <f ca="1">IF(AL81="","",IF(AL81=BI71,AL81,""))</f>
        <v/>
      </c>
      <c r="BJ81" s="52" t="str">
        <f ca="1">IF(AL81="","",IF(AL81=BJ71,AL81,""))</f>
        <v/>
      </c>
      <c r="BK81" s="52" t="str">
        <f ca="1">IF(AM81="","",IF(AM81=BK71,AM81,""))</f>
        <v/>
      </c>
      <c r="BL81" s="52" t="str">
        <f ca="1">IF(AM81="","",IF(AM81=BL71,AM81,""))</f>
        <v/>
      </c>
      <c r="BM81" s="52" t="str">
        <f ca="1">IF(AM81="","",IF(AM81=BM71,AM81,""))</f>
        <v/>
      </c>
      <c r="BN81" s="52" t="str">
        <f ca="1">IF(AM81="","",IF(AM81=BN71,AM81,""))</f>
        <v/>
      </c>
      <c r="BO81" s="52" t="str">
        <f ca="1">IF(AM81="","",IF(AM81=BO71,AM81,""))</f>
        <v/>
      </c>
      <c r="BP81" s="52" t="str">
        <f ca="1">IF(AM81="","",IF(AM81=BP71,AM81,""))</f>
        <v/>
      </c>
      <c r="BQ81" s="52" t="str">
        <f ca="1">IF(AM81="","",IF(AM81=BQ71,AM81,""))</f>
        <v/>
      </c>
      <c r="BR81" s="52" t="str">
        <f ca="1">IF(AM81="","",IF(AM81=BR71,AM81,""))</f>
        <v/>
      </c>
      <c r="BS81" s="46"/>
      <c r="BT81" s="4">
        <f>IFERROR(IF(A71=0,A81/11,LEFT(A81,1)),"")</f>
        <v>2</v>
      </c>
    </row>
    <row r="82" spans="1:72" s="4" customFormat="1" ht="16.149999999999999" customHeight="1" x14ac:dyDescent="0.35">
      <c r="A82" s="8">
        <f>IFERROR(IF(A71=0,A74*11,A74&amp;A74),"-")</f>
        <v>66</v>
      </c>
      <c r="B82" s="10" t="str">
        <f ca="1">IFERROR(IF(OR(AK82=0,AK82="B"),"",RANK(AZ82,AZ72:AZ87,1)),"")</f>
        <v/>
      </c>
      <c r="C82" s="10" t="str">
        <f ca="1">IFERROR(IF(OR(AK82=0,AK82="A"),"",RANK(BA82,BA72:BA87,1)),"")</f>
        <v/>
      </c>
      <c r="D82" s="55">
        <v>11</v>
      </c>
      <c r="E82" s="17">
        <f t="shared" si="27"/>
        <v>66</v>
      </c>
      <c r="F82" s="319" t="str">
        <f>IFERROR(VLOOKUP($A68&amp;E82,downloads!$A$1:$E$1000,2,FALSE),"")</f>
        <v/>
      </c>
      <c r="G82" s="18" t="str">
        <f t="shared" si="22"/>
        <v>Stock</v>
      </c>
      <c r="H82" s="497"/>
      <c r="I82" s="498"/>
      <c r="J82" s="497"/>
      <c r="K82" s="498"/>
      <c r="L82" s="497"/>
      <c r="M82" s="498"/>
      <c r="N82" s="497"/>
      <c r="O82" s="498"/>
      <c r="P82" s="497"/>
      <c r="Q82" s="498"/>
      <c r="R82" s="497"/>
      <c r="S82" s="498"/>
      <c r="T82" s="497"/>
      <c r="U82" s="498"/>
      <c r="V82" s="497"/>
      <c r="W82" s="498"/>
      <c r="X82" s="497"/>
      <c r="Y82" s="498"/>
      <c r="Z82" s="497"/>
      <c r="AA82" s="498"/>
      <c r="AB82" s="497"/>
      <c r="AC82" s="498"/>
      <c r="AD82" s="497"/>
      <c r="AE82" s="498"/>
      <c r="AF82" s="511">
        <f ca="1">IFERROR(INDIRECT(CONCATENATE("'Height Input'!"&amp;B70&amp;C70+10)),"")</f>
        <v>0</v>
      </c>
      <c r="AG82" s="512"/>
      <c r="AH82" s="48"/>
      <c r="AI82" s="48"/>
      <c r="AJ82" s="49">
        <f ca="1">IFERROR(IF(AF82="X",MatchDay!$U$2+MatchDay!$U$2+1-COUNTIF($AF72:AF82,"X"),IF(AF82&gt;=97,1,INT(INDIRECT(CONCATENATE("'Height Input'!"&amp;$B69&amp;$C70+10))))),"")</f>
        <v>0</v>
      </c>
      <c r="AK82" s="50">
        <f ca="1">IFERROR(IF(OR(AJ82=0,AJ82=""),0,IF(OR(AJ82&lt;VLOOKUP(BT82,$E72:$AJ79,32,FALSE),VLOOKUP(BT82,$E72:$AJ79,32,FALSE)=0),"A","B")),0)</f>
        <v>0</v>
      </c>
      <c r="AL82" s="123" t="str">
        <f ca="1">IFERROR(IF(OR(AK82=0,AK82="B"),"",RANK(AW82,AW72:AW87,1)),"")</f>
        <v/>
      </c>
      <c r="AM82" s="123" t="str">
        <f ca="1">IFERROR(IF(OR(AK82=0,AK82="A"),"",RANK(AX82,AX72:AX87,1)),"")</f>
        <v/>
      </c>
      <c r="AN82" s="51">
        <f ca="1">IFERROR(IF(AF82="X",0,(INDIRECT(CONCATENATE("'Height Input'!"&amp;$B69&amp;$C70+10))-AJ82)*10),"")</f>
        <v>0</v>
      </c>
      <c r="AO82" s="8"/>
      <c r="AP82" s="9" t="str">
        <f t="shared" ca="1" si="28"/>
        <v/>
      </c>
      <c r="AQ82" s="9" t="str">
        <f ca="1">IF(AR82="","",HLOOKUP(AL82,BC71:BJ88,18,FALSE))</f>
        <v/>
      </c>
      <c r="AR82" s="45" t="str">
        <f ca="1">IF(OR(AL82=0,AL82=""),"",IF(COUNTIFS(AL72:AL87,AL82)&gt;1,"=",""))</f>
        <v/>
      </c>
      <c r="AS82" s="45"/>
      <c r="AT82" s="9" t="str">
        <f t="shared" ca="1" si="29"/>
        <v/>
      </c>
      <c r="AU82" s="9" t="str">
        <f ca="1">IF(AV82="","",HLOOKUP(AM82,BK71:BR88,18,FALSE))</f>
        <v/>
      </c>
      <c r="AV82" s="45" t="str">
        <f ca="1">IF(OR(AM82=0,AM82=""),"",IF(COUNTIFS(AM72:AM87,AM82)&gt;1,"=",""))</f>
        <v/>
      </c>
      <c r="AW82" s="9" t="str">
        <f t="shared" ca="1" si="23"/>
        <v/>
      </c>
      <c r="AX82" s="9" t="str">
        <f t="shared" ca="1" si="24"/>
        <v/>
      </c>
      <c r="AY82" s="47"/>
      <c r="AZ82" s="135" t="str">
        <f t="shared" ca="1" si="25"/>
        <v/>
      </c>
      <c r="BA82" s="135" t="str">
        <f t="shared" ca="1" si="26"/>
        <v/>
      </c>
      <c r="BB82" s="9"/>
      <c r="BC82" s="52" t="str">
        <f ca="1">IF(AL82="","",IF(AL82=BC71,AL82,""))</f>
        <v/>
      </c>
      <c r="BD82" s="52" t="str">
        <f ca="1">IF(AL82="","",IF(AL82=BD71,AL82,""))</f>
        <v/>
      </c>
      <c r="BE82" s="52" t="str">
        <f ca="1">IF(AL82="","",IF(AL82=BE71,AL82,""))</f>
        <v/>
      </c>
      <c r="BF82" s="52" t="str">
        <f ca="1">IF(AL82="","",IF(AL82=BF71,AL82,""))</f>
        <v/>
      </c>
      <c r="BG82" s="52" t="str">
        <f ca="1">IF(AL82="","",IF(AL82=BG71,AL82,""))</f>
        <v/>
      </c>
      <c r="BH82" s="52" t="str">
        <f ca="1">IF(AL82="","",IF(AL82=BH71,AL82,""))</f>
        <v/>
      </c>
      <c r="BI82" s="52" t="str">
        <f ca="1">IF(AL82="","",IF(AL82=BI71,AL82,""))</f>
        <v/>
      </c>
      <c r="BJ82" s="52" t="str">
        <f ca="1">IF(AL82="","",IF(AL82=BJ71,AL82,""))</f>
        <v/>
      </c>
      <c r="BK82" s="52" t="str">
        <f ca="1">IF(AM82="","",IF(AM82=BK71,AM82,""))</f>
        <v/>
      </c>
      <c r="BL82" s="52" t="str">
        <f ca="1">IF(AM82="","",IF(AM82=BL71,AM82,""))</f>
        <v/>
      </c>
      <c r="BM82" s="52" t="str">
        <f ca="1">IF(AM82="","",IF(AM82=BM71,AM82,""))</f>
        <v/>
      </c>
      <c r="BN82" s="52" t="str">
        <f ca="1">IF(AM82="","",IF(AM82=BN71,AM82,""))</f>
        <v/>
      </c>
      <c r="BO82" s="52" t="str">
        <f ca="1">IF(AM82="","",IF(AM82=BO71,AM82,""))</f>
        <v/>
      </c>
      <c r="BP82" s="52" t="str">
        <f ca="1">IF(AM82="","",IF(AM82=BP71,AM82,""))</f>
        <v/>
      </c>
      <c r="BQ82" s="52" t="str">
        <f ca="1">IF(AM82="","",IF(AM82=BQ71,AM82,""))</f>
        <v/>
      </c>
      <c r="BR82" s="52" t="str">
        <f ca="1">IF(AM82="","",IF(AM82=BR71,AM82,""))</f>
        <v/>
      </c>
      <c r="BS82" s="46"/>
      <c r="BT82" s="4">
        <f>IFERROR(IF(A71=0,A82/11,LEFT(A82,1)),"")</f>
        <v>6</v>
      </c>
    </row>
    <row r="83" spans="1:72" s="4" customFormat="1" ht="16.149999999999999" customHeight="1" x14ac:dyDescent="0.35">
      <c r="A83" s="8">
        <f>IFERROR(IF(A71=0,A75*11,A75&amp;A75),"-")</f>
        <v>77</v>
      </c>
      <c r="B83" s="10" t="str">
        <f ca="1">IFERROR(IF(OR(AK83=0,AK83="B"),"",RANK(AZ83,AZ72:AZ87,1)),"")</f>
        <v/>
      </c>
      <c r="C83" s="10">
        <f ca="1">IFERROR(IF(OR(AK83=0,AK83="A"),"",RANK(BA83,BA72:BA87,1)),"")</f>
        <v>1</v>
      </c>
      <c r="D83" s="55">
        <v>12</v>
      </c>
      <c r="E83" s="17">
        <f t="shared" si="27"/>
        <v>77</v>
      </c>
      <c r="F83" s="319" t="str">
        <f>IFERROR(VLOOKUP($A68&amp;E83,downloads!$A$1:$E$1000,2,FALSE),"")</f>
        <v>Mia LACEY</v>
      </c>
      <c r="G83" s="18" t="str">
        <f t="shared" si="22"/>
        <v>Wigan</v>
      </c>
      <c r="H83" s="497"/>
      <c r="I83" s="498"/>
      <c r="J83" s="497"/>
      <c r="K83" s="498"/>
      <c r="L83" s="497"/>
      <c r="M83" s="498"/>
      <c r="N83" s="497"/>
      <c r="O83" s="498"/>
      <c r="P83" s="497"/>
      <c r="Q83" s="498"/>
      <c r="R83" s="497"/>
      <c r="S83" s="498"/>
      <c r="T83" s="497"/>
      <c r="U83" s="498"/>
      <c r="V83" s="497"/>
      <c r="W83" s="498"/>
      <c r="X83" s="497"/>
      <c r="Y83" s="498"/>
      <c r="Z83" s="497"/>
      <c r="AA83" s="498"/>
      <c r="AB83" s="497"/>
      <c r="AC83" s="498"/>
      <c r="AD83" s="497"/>
      <c r="AE83" s="498"/>
      <c r="AF83" s="511">
        <f ca="1">IFERROR(INDIRECT(CONCATENATE("'Height Input'!"&amp;B70&amp;C70+11)),"")</f>
        <v>1.1499999999999999</v>
      </c>
      <c r="AG83" s="512"/>
      <c r="AH83" s="48"/>
      <c r="AI83" s="48"/>
      <c r="AJ83" s="49">
        <f ca="1">IFERROR(IF(AF83="X",MatchDay!$U$2+MatchDay!$U$2+1-COUNTIF($AF72:AF83,"X"),IF(AF83&gt;=97,1,INT(INDIRECT(CONCATENATE("'Height Input'!"&amp;$B69&amp;$C70+11))))),"")</f>
        <v>4</v>
      </c>
      <c r="AK83" s="50" t="str">
        <f ca="1">IFERROR(IF(OR(AJ83=0,AJ83=""),0,IF(OR(AJ83&lt;VLOOKUP(BT83,$E72:$AJ79,32,FALSE),VLOOKUP(BT83,$E72:$AJ79,32,FALSE)=0),"A","B")),0)</f>
        <v>B</v>
      </c>
      <c r="AL83" s="123" t="str">
        <f ca="1">IFERROR(IF(OR(AK83=0,AK83="B"),"",RANK(AW83,AW72:AW87,1)),"")</f>
        <v/>
      </c>
      <c r="AM83" s="123">
        <f ca="1">IFERROR(IF(OR(AK83=0,AK83="A"),"",RANK(AX83,AX72:AX87,1)),"")</f>
        <v>1</v>
      </c>
      <c r="AN83" s="51">
        <f ca="1">IFERROR(IF(AF83="X",0,(INDIRECT(CONCATENATE("'Height Input'!"&amp;$B69&amp;$C70+11))-AJ83)*10),"")</f>
        <v>0</v>
      </c>
      <c r="AO83" s="8"/>
      <c r="AP83" s="9" t="str">
        <f t="shared" ca="1" si="28"/>
        <v/>
      </c>
      <c r="AQ83" s="9" t="str">
        <f ca="1">IF(AR83="","",HLOOKUP(AL83,BC71:BJ88,18,FALSE))</f>
        <v/>
      </c>
      <c r="AR83" s="45" t="str">
        <f ca="1">IF(OR(AL83=0,AL83=""),"",IF(COUNTIFS(AL72:AL87,AL83)&gt;1,"=",""))</f>
        <v/>
      </c>
      <c r="AS83" s="45"/>
      <c r="AT83" s="9" t="str">
        <f t="shared" ca="1" si="29"/>
        <v/>
      </c>
      <c r="AU83" s="9" t="str">
        <f ca="1">IF(AV83="","",HLOOKUP(AM83,BK71:BR88,18,FALSE))</f>
        <v/>
      </c>
      <c r="AV83" s="45" t="str">
        <f ca="1">IF(OR(AM83=0,AM83=""),"",IF(COUNTIFS(AM72:AM87,AM83)&gt;1,"=",""))</f>
        <v/>
      </c>
      <c r="AW83" s="9" t="str">
        <f t="shared" ca="1" si="23"/>
        <v/>
      </c>
      <c r="AX83" s="9">
        <f t="shared" ca="1" si="24"/>
        <v>4</v>
      </c>
      <c r="AY83" s="47"/>
      <c r="AZ83" s="135" t="str">
        <f t="shared" ca="1" si="25"/>
        <v/>
      </c>
      <c r="BA83" s="135">
        <f t="shared" ca="1" si="26"/>
        <v>4</v>
      </c>
      <c r="BB83" s="9"/>
      <c r="BC83" s="52" t="str">
        <f ca="1">IF(AL83="","",IF(AL83=BC71,AL83,""))</f>
        <v/>
      </c>
      <c r="BD83" s="52" t="str">
        <f ca="1">IF(AL83="","",IF(AL83=BD71,AL83,""))</f>
        <v/>
      </c>
      <c r="BE83" s="52" t="str">
        <f ca="1">IF(AL83="","",IF(AL83=BE71,AL83,""))</f>
        <v/>
      </c>
      <c r="BF83" s="52" t="str">
        <f ca="1">IF(AL83="","",IF(AL83=BF71,AL83,""))</f>
        <v/>
      </c>
      <c r="BG83" s="52" t="str">
        <f ca="1">IF(AL83="","",IF(AL83=BG71,AL83,""))</f>
        <v/>
      </c>
      <c r="BH83" s="52" t="str">
        <f ca="1">IF(AL83="","",IF(AL83=BH71,AL83,""))</f>
        <v/>
      </c>
      <c r="BI83" s="52" t="str">
        <f ca="1">IF(AL83="","",IF(AL83=BI71,AL83,""))</f>
        <v/>
      </c>
      <c r="BJ83" s="52" t="str">
        <f ca="1">IF(AL83="","",IF(AL83=BJ71,AL83,""))</f>
        <v/>
      </c>
      <c r="BK83" s="52">
        <f ca="1">IF(AM83="","",IF(AM83=BK71,AM83,""))</f>
        <v>1</v>
      </c>
      <c r="BL83" s="52" t="str">
        <f ca="1">IF(AM83="","",IF(AM83=BL71,AM83,""))</f>
        <v/>
      </c>
      <c r="BM83" s="52" t="str">
        <f ca="1">IF(AM83="","",IF(AM83=BM71,AM83,""))</f>
        <v/>
      </c>
      <c r="BN83" s="52" t="str">
        <f ca="1">IF(AM83="","",IF(AM83=BN71,AM83,""))</f>
        <v/>
      </c>
      <c r="BO83" s="52" t="str">
        <f ca="1">IF(AM83="","",IF(AM83=BO71,AM83,""))</f>
        <v/>
      </c>
      <c r="BP83" s="52" t="str">
        <f ca="1">IF(AM83="","",IF(AM83=BP71,AM83,""))</f>
        <v/>
      </c>
      <c r="BQ83" s="52" t="str">
        <f ca="1">IF(AM83="","",IF(AM83=BQ71,AM83,""))</f>
        <v/>
      </c>
      <c r="BR83" s="52" t="str">
        <f ca="1">IF(AM83="","",IF(AM83=BR71,AM83,""))</f>
        <v/>
      </c>
      <c r="BS83" s="46"/>
      <c r="BT83" s="4">
        <f>IFERROR(IF(A71=0,A83/11,LEFT(A83,1)),"")</f>
        <v>7</v>
      </c>
    </row>
    <row r="84" spans="1:72" s="4" customFormat="1" ht="16.149999999999999" customHeight="1" x14ac:dyDescent="0.35">
      <c r="A84" s="8">
        <f>IFERROR(IF(A71=0,A76*11,A76&amp;A76),"-")</f>
        <v>33</v>
      </c>
      <c r="B84" s="10" t="str">
        <f ca="1">IFERROR(IF(OR(AK84=0,AK84="B"),"",RANK(AZ84,AZ72:AZ87,1)),"")</f>
        <v/>
      </c>
      <c r="C84" s="10">
        <f ca="1">IFERROR(IF(OR(AK84=0,AK84="A"),"",RANK(BA84,BA72:BA87,1)),"")</f>
        <v>3</v>
      </c>
      <c r="D84" s="55">
        <v>13</v>
      </c>
      <c r="E84" s="17">
        <f t="shared" si="27"/>
        <v>33</v>
      </c>
      <c r="F84" s="319" t="str">
        <f>IFERROR(VLOOKUP($A68&amp;E84,downloads!$A$1:$E$1000,2,FALSE),"")</f>
        <v>Maddison PENDLEBURY</v>
      </c>
      <c r="G84" s="18" t="str">
        <f t="shared" si="22"/>
        <v>Leigh</v>
      </c>
      <c r="H84" s="497"/>
      <c r="I84" s="498"/>
      <c r="J84" s="497"/>
      <c r="K84" s="498"/>
      <c r="L84" s="497"/>
      <c r="M84" s="498"/>
      <c r="N84" s="497"/>
      <c r="O84" s="498"/>
      <c r="P84" s="497"/>
      <c r="Q84" s="498"/>
      <c r="R84" s="497"/>
      <c r="S84" s="498"/>
      <c r="T84" s="497"/>
      <c r="U84" s="498"/>
      <c r="V84" s="497"/>
      <c r="W84" s="498"/>
      <c r="X84" s="497"/>
      <c r="Y84" s="498"/>
      <c r="Z84" s="497"/>
      <c r="AA84" s="498"/>
      <c r="AB84" s="497"/>
      <c r="AC84" s="498"/>
      <c r="AD84" s="497"/>
      <c r="AE84" s="498"/>
      <c r="AF84" s="511">
        <f ca="1">IFERROR(INDIRECT(CONCATENATE("'Height Input'!"&amp;B70&amp;C70+12)),"")</f>
        <v>1.1000000000000001</v>
      </c>
      <c r="AG84" s="512"/>
      <c r="AH84" s="48"/>
      <c r="AI84" s="48"/>
      <c r="AJ84" s="49">
        <f ca="1">IFERROR(IF(AF84="X",MatchDay!$U$2+MatchDay!$U$2+1-COUNTIF($AF72:AF84,"X"),IF(AF84&gt;=97,1,INT(INDIRECT(CONCATENATE("'Height Input'!"&amp;$B69&amp;$C70+12))))),"")</f>
        <v>5</v>
      </c>
      <c r="AK84" s="50" t="str">
        <f ca="1">IFERROR(IF(OR(AJ84=0,AJ84=""),0,IF(OR(AJ84&lt;VLOOKUP(BT84,$E72:$AJ79,32,FALSE),VLOOKUP(BT84,$E72:$AJ79,32,FALSE)=0),"A","B")),0)</f>
        <v>B</v>
      </c>
      <c r="AL84" s="123" t="str">
        <f ca="1">IFERROR(IF(OR(AK84=0,AK84="B"),"",RANK(AW84,AW72:AW87,1)),"")</f>
        <v/>
      </c>
      <c r="AM84" s="123">
        <f ca="1">IFERROR(IF(OR(AK84=0,AK84="A"),"",RANK(AX84,AX72:AX87,1)),"")</f>
        <v>2</v>
      </c>
      <c r="AN84" s="51">
        <f ca="1">IFERROR(IF(AF84="X",0,(INDIRECT(CONCATENATE("'Height Input'!"&amp;$B69&amp;$C70+12))-AJ84)*10),"")</f>
        <v>4.0000000000000036</v>
      </c>
      <c r="AO84" s="8"/>
      <c r="AP84" s="9" t="str">
        <f t="shared" ca="1" si="28"/>
        <v/>
      </c>
      <c r="AQ84" s="9" t="str">
        <f ca="1">IF(AR84="","",HLOOKUP(AL84,BC71:BJ88,18,FALSE))</f>
        <v/>
      </c>
      <c r="AR84" s="45" t="str">
        <f ca="1">IF(OR(AL84=0,AL84=""),"",IF(COUNTIFS(AL72:AL87,AL84)&gt;1,"=",""))</f>
        <v/>
      </c>
      <c r="AS84" s="45"/>
      <c r="AT84" s="9" t="str">
        <f t="shared" ca="1" si="29"/>
        <v>=</v>
      </c>
      <c r="AU84" s="9">
        <f ca="1">IF(AV84="","",HLOOKUP(AM84,BK71:BR88,18,FALSE))</f>
        <v>2</v>
      </c>
      <c r="AV84" s="45" t="str">
        <f ca="1">IF(OR(AM84=0,AM84=""),"",IF(COUNTIFS(AM72:AM87,AM84)&gt;1,"=",""))</f>
        <v>=</v>
      </c>
      <c r="AW84" s="9" t="str">
        <f t="shared" ca="1" si="23"/>
        <v/>
      </c>
      <c r="AX84" s="9">
        <f t="shared" ca="1" si="24"/>
        <v>5</v>
      </c>
      <c r="AY84" s="47"/>
      <c r="AZ84" s="135" t="str">
        <f t="shared" ca="1" si="25"/>
        <v/>
      </c>
      <c r="BA84" s="135">
        <f t="shared" ca="1" si="26"/>
        <v>5.4</v>
      </c>
      <c r="BB84" s="9"/>
      <c r="BC84" s="52" t="str">
        <f ca="1">IF(AL84="","",IF(AL84=BC71,AL84,""))</f>
        <v/>
      </c>
      <c r="BD84" s="52" t="str">
        <f ca="1">IF(AL84="","",IF(AL84=BD71,AL84,""))</f>
        <v/>
      </c>
      <c r="BE84" s="52" t="str">
        <f ca="1">IF(AL84="","",IF(AL84=BE71,AL84,""))</f>
        <v/>
      </c>
      <c r="BF84" s="52" t="str">
        <f ca="1">IF(AL84="","",IF(AL84=BF71,AL84,""))</f>
        <v/>
      </c>
      <c r="BG84" s="52" t="str">
        <f ca="1">IF(AL84="","",IF(AL84=BG71,AL84,""))</f>
        <v/>
      </c>
      <c r="BH84" s="52" t="str">
        <f ca="1">IF(AL84="","",IF(AL84=BH71,AL84,""))</f>
        <v/>
      </c>
      <c r="BI84" s="52" t="str">
        <f ca="1">IF(AL84="","",IF(AL84=BI71,AL84,""))</f>
        <v/>
      </c>
      <c r="BJ84" s="52" t="str">
        <f ca="1">IF(AL84="","",IF(AL84=BJ71,AL84,""))</f>
        <v/>
      </c>
      <c r="BK84" s="52" t="str">
        <f ca="1">IF(AM84="","",IF(AM84=BK71,AM84,""))</f>
        <v/>
      </c>
      <c r="BL84" s="52">
        <f ca="1">IF(AM84="","",IF(AM84=BL71,AM84,""))</f>
        <v>2</v>
      </c>
      <c r="BM84" s="52" t="str">
        <f ca="1">IF(AM84="","",IF(AM84=BM71,AM84,""))</f>
        <v/>
      </c>
      <c r="BN84" s="52" t="str">
        <f ca="1">IF(AM84="","",IF(AM84=BN71,AM84,""))</f>
        <v/>
      </c>
      <c r="BO84" s="52" t="str">
        <f ca="1">IF(AM84="","",IF(AM84=BO71,AM84,""))</f>
        <v/>
      </c>
      <c r="BP84" s="52" t="str">
        <f ca="1">IF(AM84="","",IF(AM84=BP71,AM84,""))</f>
        <v/>
      </c>
      <c r="BQ84" s="52" t="str">
        <f ca="1">IF(AM84="","",IF(AM84=BQ71,AM84,""))</f>
        <v/>
      </c>
      <c r="BR84" s="52" t="str">
        <f ca="1">IF(AM84="","",IF(AM84=BR71,AM84,""))</f>
        <v/>
      </c>
      <c r="BS84" s="46"/>
      <c r="BT84" s="4">
        <f>IFERROR(IF(A71=0,A84/11,LEFT(A84,1)),"")</f>
        <v>3</v>
      </c>
    </row>
    <row r="85" spans="1:72" s="4" customFormat="1" ht="16.149999999999999" customHeight="1" x14ac:dyDescent="0.35">
      <c r="A85" s="8">
        <f>IFERROR(IF(A71=0,A77*11,A77&amp;A77),"-")</f>
        <v>44</v>
      </c>
      <c r="B85" s="10" t="str">
        <f ca="1">IFERROR(IF(OR(AK85=0,AK85="B"),"",RANK(AZ85,AZ72:AZ87,1)),"")</f>
        <v/>
      </c>
      <c r="C85" s="10">
        <f ca="1">IFERROR(IF(OR(AK85=0,AK85="A"),"",RANK(BA85,BA72:BA87,1)),"")</f>
        <v>5</v>
      </c>
      <c r="D85" s="55">
        <v>14</v>
      </c>
      <c r="E85" s="17">
        <f t="shared" si="27"/>
        <v>44</v>
      </c>
      <c r="F85" s="319" t="str">
        <f>IFERROR(VLOOKUP($A68&amp;E85,downloads!$A$1:$E$1000,2,FALSE),"")</f>
        <v>Lauren HARPER</v>
      </c>
      <c r="G85" s="18" t="str">
        <f t="shared" si="22"/>
        <v>Macc</v>
      </c>
      <c r="H85" s="497"/>
      <c r="I85" s="498"/>
      <c r="J85" s="497"/>
      <c r="K85" s="498"/>
      <c r="L85" s="497"/>
      <c r="M85" s="498"/>
      <c r="N85" s="497"/>
      <c r="O85" s="498"/>
      <c r="P85" s="497"/>
      <c r="Q85" s="498"/>
      <c r="R85" s="497"/>
      <c r="S85" s="498"/>
      <c r="T85" s="497"/>
      <c r="U85" s="498"/>
      <c r="V85" s="497"/>
      <c r="W85" s="498"/>
      <c r="X85" s="497"/>
      <c r="Y85" s="498"/>
      <c r="Z85" s="497"/>
      <c r="AA85" s="498"/>
      <c r="AB85" s="497"/>
      <c r="AC85" s="498"/>
      <c r="AD85" s="497"/>
      <c r="AE85" s="498"/>
      <c r="AF85" s="511" t="str">
        <f ca="1">IFERROR(INDIRECT(CONCATENATE("'Height Input'!"&amp;B70&amp;C70+13)),"")</f>
        <v>x</v>
      </c>
      <c r="AG85" s="512"/>
      <c r="AH85" s="48"/>
      <c r="AI85" s="48"/>
      <c r="AJ85" s="49">
        <f ca="1">IFERROR(IF(AF85="X",MatchDay!$U$2+MatchDay!$U$2+1-COUNTIF($AF72:AF85,"X"),IF(AF85&gt;=97,1,INT(INDIRECT(CONCATENATE("'Height Input'!"&amp;$B69&amp;$C70+13))))),"")</f>
        <v>14</v>
      </c>
      <c r="AK85" s="50" t="str">
        <f ca="1">IFERROR(IF(OR(AJ85=0,AJ85=""),0,IF(OR(AJ85&lt;VLOOKUP(BT85,$E72:$AJ79,32,FALSE),VLOOKUP(BT85,$E72:$AJ79,32,FALSE)=0),"A","B")),0)</f>
        <v>B</v>
      </c>
      <c r="AL85" s="123" t="str">
        <f ca="1">IFERROR(IF(OR(AK85=0,AK85="B"),"",RANK(AW85,AW72:AW87,1)),"")</f>
        <v/>
      </c>
      <c r="AM85" s="123">
        <f ca="1">IFERROR(IF(OR(AK85=0,AK85="A"),"",RANK(AX85,AX72:AX87,1)),"")</f>
        <v>5</v>
      </c>
      <c r="AN85" s="51">
        <f ca="1">IFERROR(IF(AF85="X",0,(INDIRECT(CONCATENATE("'Height Input'!"&amp;$B69&amp;$C70+13))-AJ85)*10),"")</f>
        <v>0</v>
      </c>
      <c r="AO85" s="8"/>
      <c r="AP85" s="9" t="str">
        <f t="shared" ca="1" si="28"/>
        <v/>
      </c>
      <c r="AQ85" s="9" t="str">
        <f ca="1">IF(AR85="","",HLOOKUP(AL85,BC71:BJ88,18,FALSE))</f>
        <v/>
      </c>
      <c r="AR85" s="45" t="str">
        <f ca="1">IF(OR(AL85=0,AL85=""),"",IF(COUNTIFS(AL72:AL87,AL85)&gt;1,"=",""))</f>
        <v/>
      </c>
      <c r="AS85" s="45"/>
      <c r="AT85" s="9" t="str">
        <f t="shared" ca="1" si="29"/>
        <v/>
      </c>
      <c r="AU85" s="9" t="str">
        <f ca="1">IF(AV85="","",HLOOKUP(AM85,BK71:BR88,18,FALSE))</f>
        <v/>
      </c>
      <c r="AV85" s="45" t="str">
        <f ca="1">IF(OR(AM85=0,AM85=""),"",IF(COUNTIFS(AM72:AM87,AM85)&gt;1,"=",""))</f>
        <v/>
      </c>
      <c r="AW85" s="9" t="str">
        <f t="shared" ca="1" si="23"/>
        <v/>
      </c>
      <c r="AX85" s="9">
        <f t="shared" ca="1" si="24"/>
        <v>14</v>
      </c>
      <c r="AY85" s="47"/>
      <c r="AZ85" s="135" t="str">
        <f t="shared" ca="1" si="25"/>
        <v/>
      </c>
      <c r="BA85" s="135">
        <f t="shared" ca="1" si="26"/>
        <v>14</v>
      </c>
      <c r="BB85" s="9"/>
      <c r="BC85" s="52" t="str">
        <f ca="1">IF(AL85="","",IF(AL85=BC71,AL85,""))</f>
        <v/>
      </c>
      <c r="BD85" s="52" t="str">
        <f ca="1">IF(AL85="","",IF(AL85=BD71,AL85,""))</f>
        <v/>
      </c>
      <c r="BE85" s="52" t="str">
        <f ca="1">IF(AL85="","",IF(AL85=BE71,AL85,""))</f>
        <v/>
      </c>
      <c r="BF85" s="52" t="str">
        <f ca="1">IF(AL85="","",IF(AL85=BF71,AL85,""))</f>
        <v/>
      </c>
      <c r="BG85" s="52" t="str">
        <f ca="1">IF(AL85="","",IF(AL85=BG71,AL85,""))</f>
        <v/>
      </c>
      <c r="BH85" s="52" t="str">
        <f ca="1">IF(AL85="","",IF(AL85=BH71,AL85,""))</f>
        <v/>
      </c>
      <c r="BI85" s="52" t="str">
        <f ca="1">IF(AL85="","",IF(AL85=BI71,AL85,""))</f>
        <v/>
      </c>
      <c r="BJ85" s="52" t="str">
        <f ca="1">IF(AL85="","",IF(AL85=BJ71,AL85,""))</f>
        <v/>
      </c>
      <c r="BK85" s="52" t="str">
        <f ca="1">IF(AM85="","",IF(AM85=BK71,AM85,""))</f>
        <v/>
      </c>
      <c r="BL85" s="52" t="str">
        <f ca="1">IF(AM85="","",IF(AM85=BL71,AM85,""))</f>
        <v/>
      </c>
      <c r="BM85" s="52" t="str">
        <f ca="1">IF(AM85="","",IF(AM85=BM71,AM85,""))</f>
        <v/>
      </c>
      <c r="BN85" s="52" t="str">
        <f ca="1">IF(AM85="","",IF(AM85=BN71,AM85,""))</f>
        <v/>
      </c>
      <c r="BO85" s="52">
        <f ca="1">IF(AM85="","",IF(AM85=BO71,AM85,""))</f>
        <v>5</v>
      </c>
      <c r="BP85" s="52" t="str">
        <f ca="1">IF(AM85="","",IF(AM85=BP71,AM85,""))</f>
        <v/>
      </c>
      <c r="BQ85" s="52" t="str">
        <f ca="1">IF(AM85="","",IF(AM85=BQ71,AM85,""))</f>
        <v/>
      </c>
      <c r="BR85" s="52" t="str">
        <f ca="1">IF(AM85="","",IF(AM85=BR71,AM85,""))</f>
        <v/>
      </c>
      <c r="BS85" s="46"/>
      <c r="BT85" s="4">
        <f>IFERROR(IF(A71=0,A85/11,LEFT(A85,1)),"")</f>
        <v>4</v>
      </c>
    </row>
    <row r="86" spans="1:72" s="4" customFormat="1" ht="16.149999999999999" customHeight="1" x14ac:dyDescent="0.35">
      <c r="A86" s="8">
        <f>IFERROR(IF(A71=0,A78*11,A78&amp;A78),"-")</f>
        <v>55</v>
      </c>
      <c r="B86" s="10" t="str">
        <f ca="1">IFERROR(IF(OR(AK86=0,AK86="B"),"",RANK(AZ86,AZ72:AZ87,1)),"")</f>
        <v/>
      </c>
      <c r="C86" s="10" t="str">
        <f ca="1">IFERROR(IF(OR(AK86=0,AK86="A"),"",RANK(BA86,BA72:BA87,1)),"")</f>
        <v/>
      </c>
      <c r="D86" s="55">
        <v>15</v>
      </c>
      <c r="E86" s="17">
        <f t="shared" si="27"/>
        <v>55</v>
      </c>
      <c r="F86" s="319" t="str">
        <f>IFERROR(VLOOKUP($A68&amp;E86,downloads!$A$1:$E$1000,2,FALSE),"")</f>
        <v/>
      </c>
      <c r="G86" s="18" t="str">
        <f t="shared" si="22"/>
        <v>Menai</v>
      </c>
      <c r="H86" s="497"/>
      <c r="I86" s="498"/>
      <c r="J86" s="497"/>
      <c r="K86" s="498"/>
      <c r="L86" s="497"/>
      <c r="M86" s="498"/>
      <c r="N86" s="497"/>
      <c r="O86" s="498"/>
      <c r="P86" s="497"/>
      <c r="Q86" s="498"/>
      <c r="R86" s="497"/>
      <c r="S86" s="498"/>
      <c r="T86" s="497"/>
      <c r="U86" s="498"/>
      <c r="V86" s="497"/>
      <c r="W86" s="498"/>
      <c r="X86" s="497"/>
      <c r="Y86" s="498"/>
      <c r="Z86" s="497"/>
      <c r="AA86" s="498"/>
      <c r="AB86" s="497"/>
      <c r="AC86" s="498"/>
      <c r="AD86" s="497"/>
      <c r="AE86" s="498"/>
      <c r="AF86" s="511">
        <f ca="1">IFERROR(INDIRECT(CONCATENATE("'Height Input'!"&amp;B70&amp;C70+14)),"")</f>
        <v>0</v>
      </c>
      <c r="AG86" s="512"/>
      <c r="AH86" s="48"/>
      <c r="AI86" s="48"/>
      <c r="AJ86" s="49">
        <f ca="1">IFERROR(IF(AF86="X",MatchDay!$U$2+MatchDay!$U$2+1-COUNTIF($AF72:AF86,"X"),IF(AF86&gt;=97,1,INT(INDIRECT(CONCATENATE("'Height Input'!"&amp;$B69&amp;$C70+14))))),"")</f>
        <v>0</v>
      </c>
      <c r="AK86" s="50">
        <f ca="1">IFERROR(IF(OR(AJ86=0,AJ86=""),0,IF(OR(AJ86&lt;VLOOKUP(BT86,$E72:$AJ79,32,FALSE),VLOOKUP(BT86,$E72:$AJ79,32,FALSE)=0),"A","B")),0)</f>
        <v>0</v>
      </c>
      <c r="AL86" s="123" t="str">
        <f ca="1">IFERROR(IF(OR(AK86=0,AK86="B"),"",RANK(AW86,AW72:AW87,1)),"")</f>
        <v/>
      </c>
      <c r="AM86" s="123" t="str">
        <f ca="1">IFERROR(IF(OR(AK86=0,AK86="A"),"",RANK(AX86,AX72:AX87,1)),"")</f>
        <v/>
      </c>
      <c r="AN86" s="51">
        <f ca="1">IFERROR(IF(AF86="X",0,(INDIRECT(CONCATENATE("'Height Input'!"&amp;$B69&amp;$C70+14))-AJ86)*10),"")</f>
        <v>0</v>
      </c>
      <c r="AO86" s="8"/>
      <c r="AP86" s="9" t="str">
        <f t="shared" ca="1" si="28"/>
        <v/>
      </c>
      <c r="AQ86" s="9" t="str">
        <f ca="1">IF(AR86="","",HLOOKUP(AL86,BC71:BJ88,18,FALSE))</f>
        <v/>
      </c>
      <c r="AR86" s="45" t="str">
        <f ca="1">IF(OR(AL86=0,AL86=""),"",IF(COUNTIFS(AL72:AL87,AL86)&gt;1,"=",""))</f>
        <v/>
      </c>
      <c r="AS86" s="45"/>
      <c r="AT86" s="9" t="str">
        <f t="shared" ca="1" si="29"/>
        <v/>
      </c>
      <c r="AU86" s="9" t="str">
        <f ca="1">IF(AV86="","",HLOOKUP(AM86,BK71:BR88,18,FALSE))</f>
        <v/>
      </c>
      <c r="AV86" s="45" t="str">
        <f ca="1">IF(OR(AM86=0,AM86=""),"",IF(COUNTIFS(AM72:AM87,AM86)&gt;1,"=",""))</f>
        <v/>
      </c>
      <c r="AW86" s="9" t="str">
        <f t="shared" ca="1" si="23"/>
        <v/>
      </c>
      <c r="AX86" s="9" t="str">
        <f t="shared" ca="1" si="24"/>
        <v/>
      </c>
      <c r="AY86" s="47"/>
      <c r="AZ86" s="135" t="str">
        <f t="shared" ca="1" si="25"/>
        <v/>
      </c>
      <c r="BA86" s="135" t="str">
        <f t="shared" ca="1" si="26"/>
        <v/>
      </c>
      <c r="BB86" s="9"/>
      <c r="BC86" s="52" t="str">
        <f ca="1">IF(AL86="","",IF(AL86=BC71,AL86,""))</f>
        <v/>
      </c>
      <c r="BD86" s="52" t="str">
        <f ca="1">IF(AL86="","",IF(AL86=BD71,AL86,""))</f>
        <v/>
      </c>
      <c r="BE86" s="52" t="str">
        <f ca="1">IF(AL86="","",IF(AL86=BE71,AL86,""))</f>
        <v/>
      </c>
      <c r="BF86" s="52" t="str">
        <f ca="1">IF(AL86="","",IF(AL86=BF71,AL86,""))</f>
        <v/>
      </c>
      <c r="BG86" s="52" t="str">
        <f ca="1">IF(AL86="","",IF(AL86=BG71,AL86,""))</f>
        <v/>
      </c>
      <c r="BH86" s="52" t="str">
        <f ca="1">IF(AL86="","",IF(AL86=BH71,AL86,""))</f>
        <v/>
      </c>
      <c r="BI86" s="52" t="str">
        <f ca="1">IF(AL86="","",IF(AL86=BI71,AL86,""))</f>
        <v/>
      </c>
      <c r="BJ86" s="52" t="str">
        <f ca="1">IF(AL86="","",IF(AL86=BJ71,AL86,""))</f>
        <v/>
      </c>
      <c r="BK86" s="52" t="str">
        <f ca="1">IF(AM86="","",IF(AM86=BK71,AM86,""))</f>
        <v/>
      </c>
      <c r="BL86" s="52" t="str">
        <f ca="1">IF(AM86="","",IF(AM86=BL71,AM86,""))</f>
        <v/>
      </c>
      <c r="BM86" s="52" t="str">
        <f ca="1">IF(AM86="","",IF(AM86=BM71,AM86,""))</f>
        <v/>
      </c>
      <c r="BN86" s="52" t="str">
        <f ca="1">IF(AM86="","",IF(AM86=BN71,AM86,""))</f>
        <v/>
      </c>
      <c r="BO86" s="52" t="str">
        <f ca="1">IF(AM86="","",IF(AM86=BO71,AM86,""))</f>
        <v/>
      </c>
      <c r="BP86" s="52" t="str">
        <f ca="1">IF(AM86="","",IF(AM86=BP71,AM86,""))</f>
        <v/>
      </c>
      <c r="BQ86" s="52" t="str">
        <f ca="1">IF(AM86="","",IF(AM86=BQ71,AM86,""))</f>
        <v/>
      </c>
      <c r="BR86" s="52" t="str">
        <f ca="1">IF(AM86="","",IF(AM86=BR71,AM86,""))</f>
        <v/>
      </c>
      <c r="BS86" s="46"/>
      <c r="BT86" s="4">
        <f>IFERROR(IF(A71=0,A86/11,LEFT(A86,1)),"")</f>
        <v>5</v>
      </c>
    </row>
    <row r="87" spans="1:72" s="4" customFormat="1" ht="16.149999999999999" customHeight="1" x14ac:dyDescent="0.35">
      <c r="A87" s="8" t="str">
        <f>IFERROR(IF(A71=0,A79*11,A79&amp;A79),"-")</f>
        <v>-</v>
      </c>
      <c r="B87" s="10" t="str">
        <f ca="1">IFERROR(IF(OR(AK87=0,AK87="B"),"",RANK(AZ87,AZ72:AZ87,1)),"")</f>
        <v/>
      </c>
      <c r="C87" s="10" t="str">
        <f ca="1">IFERROR(IF(OR(AK87=0,AK87="A"),"",RANK(BA87,BA72:BA87,1)),"")</f>
        <v/>
      </c>
      <c r="D87" s="55">
        <v>16</v>
      </c>
      <c r="E87" s="17" t="str">
        <f t="shared" si="27"/>
        <v>-</v>
      </c>
      <c r="F87" s="319" t="str">
        <f>IFERROR(VLOOKUP($A68&amp;E87,downloads!$A$1:$E$1000,2,FALSE),"")</f>
        <v/>
      </c>
      <c r="G87" s="18" t="str">
        <f t="shared" si="22"/>
        <v/>
      </c>
      <c r="H87" s="497"/>
      <c r="I87" s="498"/>
      <c r="J87" s="497"/>
      <c r="K87" s="498"/>
      <c r="L87" s="497"/>
      <c r="M87" s="498"/>
      <c r="N87" s="497"/>
      <c r="O87" s="498"/>
      <c r="P87" s="497"/>
      <c r="Q87" s="498"/>
      <c r="R87" s="497"/>
      <c r="S87" s="498"/>
      <c r="T87" s="497"/>
      <c r="U87" s="498"/>
      <c r="V87" s="497"/>
      <c r="W87" s="498"/>
      <c r="X87" s="497"/>
      <c r="Y87" s="498"/>
      <c r="Z87" s="497"/>
      <c r="AA87" s="498"/>
      <c r="AB87" s="497"/>
      <c r="AC87" s="498"/>
      <c r="AD87" s="497"/>
      <c r="AE87" s="498"/>
      <c r="AF87" s="511">
        <f ca="1">IFERROR(INDIRECT(CONCATENATE("'Height Input'!"&amp;B70&amp;C70+15)),"")</f>
        <v>0</v>
      </c>
      <c r="AG87" s="512"/>
      <c r="AH87" s="48"/>
      <c r="AI87" s="48"/>
      <c r="AJ87" s="49">
        <f ca="1">IFERROR(IF(AF87="X",MatchDay!$U$2+MatchDay!$U$2+1-COUNTIF($AF72:AF87,"X"),IF(AF87&gt;=97,1,INT(INDIRECT(CONCATENATE("'Height Input'!"&amp;$B69&amp;$C70+15))))),"")</f>
        <v>0</v>
      </c>
      <c r="AK87" s="50">
        <f ca="1">IFERROR(IF(OR(AJ87=0,AJ87=""),0,IF(OR(AJ87&lt;VLOOKUP(BT87,$E72:$AJ79,32,FALSE),VLOOKUP(BT87,$E72:$AJ79,32,FALSE)=0),"A","B")),0)</f>
        <v>0</v>
      </c>
      <c r="AL87" s="123" t="str">
        <f ca="1">IFERROR(IF(OR(AK87=0,AK87="B"),"",RANK(AW87,AW72:AW87,1)),"")</f>
        <v/>
      </c>
      <c r="AM87" s="123" t="str">
        <f ca="1">IFERROR(IF(OR(AK87=0,AK87="A"),"",RANK(AX87,AX72:AX87,1)),"")</f>
        <v/>
      </c>
      <c r="AN87" s="51">
        <f ca="1">IFERROR(IF(AF87="X",0,(INDIRECT(CONCATENATE("'Height Input'!"&amp;$B69&amp;$C70+15))-AJ87)*10),"")</f>
        <v>0</v>
      </c>
      <c r="AO87" s="8"/>
      <c r="AP87" s="9" t="str">
        <f t="shared" ca="1" si="28"/>
        <v/>
      </c>
      <c r="AQ87" s="9" t="str">
        <f ca="1">IF(AR87="","",HLOOKUP(AL87,BC71:BJ88,18,FALSE))</f>
        <v/>
      </c>
      <c r="AR87" s="45" t="str">
        <f ca="1">IF(OR(AL87=0,AL87=""),"",IF(COUNTIFS(AL72:AL87,AL87)&gt;1,"=",""))</f>
        <v/>
      </c>
      <c r="AS87" s="45"/>
      <c r="AT87" s="9" t="str">
        <f t="shared" ca="1" si="29"/>
        <v/>
      </c>
      <c r="AU87" s="9" t="str">
        <f ca="1">IF(AV87="","",HLOOKUP(AM87,BK71:BR88,18,FALSE))</f>
        <v/>
      </c>
      <c r="AV87" s="45" t="str">
        <f ca="1">IF(OR(AM87=0,AM87=""),"",IF(COUNTIFS(AM72:AM87,AM87)&gt;1,"=",""))</f>
        <v/>
      </c>
      <c r="AW87" s="9" t="str">
        <f t="shared" ca="1" si="23"/>
        <v/>
      </c>
      <c r="AX87" s="9" t="str">
        <f t="shared" ca="1" si="24"/>
        <v/>
      </c>
      <c r="AY87" s="47"/>
      <c r="AZ87" s="135" t="str">
        <f t="shared" ca="1" si="25"/>
        <v/>
      </c>
      <c r="BA87" s="135" t="str">
        <f t="shared" ca="1" si="26"/>
        <v/>
      </c>
      <c r="BB87" s="9"/>
      <c r="BC87" s="52" t="str">
        <f ca="1">IF(AL87="","",IF(AL87=BC71,AL87,""))</f>
        <v/>
      </c>
      <c r="BD87" s="52" t="str">
        <f ca="1">IF(AL87="","",IF(AL87=BD71,AL87,""))</f>
        <v/>
      </c>
      <c r="BE87" s="52" t="str">
        <f ca="1">IF(AL87="","",IF(AL87=BE71,AL87,""))</f>
        <v/>
      </c>
      <c r="BF87" s="52" t="str">
        <f ca="1">IF(AL87="","",IF(AL87=BF71,AL87,""))</f>
        <v/>
      </c>
      <c r="BG87" s="52" t="str">
        <f ca="1">IF(AL87="","",IF(AL87=BG71,AL87,""))</f>
        <v/>
      </c>
      <c r="BH87" s="52" t="str">
        <f ca="1">IF(AL87="","",IF(AL87=BH71,AL87,""))</f>
        <v/>
      </c>
      <c r="BI87" s="52" t="str">
        <f ca="1">IF(AL87="","",IF(AL87=BI71,AL87,""))</f>
        <v/>
      </c>
      <c r="BJ87" s="52" t="str">
        <f ca="1">IF(AL87="","",IF(AL87=BJ71,AL87,""))</f>
        <v/>
      </c>
      <c r="BK87" s="52" t="str">
        <f ca="1">IF(AM87="","",IF(AM87=BK71,AM87,""))</f>
        <v/>
      </c>
      <c r="BL87" s="52" t="str">
        <f ca="1">IF(AM87="","",IF(AM87=BL71,AM87,""))</f>
        <v/>
      </c>
      <c r="BM87" s="52" t="str">
        <f ca="1">IF(AM87="","",IF(AM87=BM71,AM87,""))</f>
        <v/>
      </c>
      <c r="BN87" s="52" t="str">
        <f ca="1">IF(AM87="","",IF(AM87=BN71,AM87,""))</f>
        <v/>
      </c>
      <c r="BO87" s="52" t="str">
        <f ca="1">IF(AM87="","",IF(AM87=BO71,AM87,""))</f>
        <v/>
      </c>
      <c r="BP87" s="52" t="str">
        <f ca="1">IF(AM87="","",IF(AM87=BP71,AM87,""))</f>
        <v/>
      </c>
      <c r="BQ87" s="52" t="str">
        <f ca="1">IF(AM87="","",IF(AM87=BQ71,AM87,""))</f>
        <v/>
      </c>
      <c r="BR87" s="52" t="str">
        <f ca="1">IF(AM87="","",IF(AM87=BR71,AM87,""))</f>
        <v/>
      </c>
      <c r="BS87" s="46"/>
      <c r="BT87" s="4" t="str">
        <f>IFERROR(IF(A71=0,A87/11,LEFT(A87,1)),"")</f>
        <v/>
      </c>
    </row>
    <row r="88" spans="1:72" s="4" customFormat="1" ht="13.5" x14ac:dyDescent="0.3">
      <c r="A88" s="8"/>
      <c r="B88" s="1"/>
      <c r="C88" s="1"/>
      <c r="AL88" s="124"/>
      <c r="AM88" s="124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137"/>
      <c r="BA88" s="137"/>
      <c r="BB88" s="47"/>
      <c r="BC88" s="9">
        <f ca="1">COUNTIF(BC72:BC87,BC71)</f>
        <v>1</v>
      </c>
      <c r="BD88" s="9">
        <f t="shared" ref="BD88:BR88" ca="1" si="30">COUNTIF(BD72:BD87,BD71)</f>
        <v>1</v>
      </c>
      <c r="BE88" s="9">
        <f t="shared" ca="1" si="30"/>
        <v>1</v>
      </c>
      <c r="BF88" s="9">
        <f t="shared" ca="1" si="30"/>
        <v>2</v>
      </c>
      <c r="BG88" s="9">
        <f t="shared" ca="1" si="30"/>
        <v>0</v>
      </c>
      <c r="BH88" s="9">
        <f t="shared" ca="1" si="30"/>
        <v>1</v>
      </c>
      <c r="BI88" s="9">
        <f t="shared" ca="1" si="30"/>
        <v>0</v>
      </c>
      <c r="BJ88" s="9">
        <f t="shared" ca="1" si="30"/>
        <v>0</v>
      </c>
      <c r="BK88" s="9">
        <f t="shared" ca="1" si="30"/>
        <v>1</v>
      </c>
      <c r="BL88" s="9">
        <f t="shared" ca="1" si="30"/>
        <v>2</v>
      </c>
      <c r="BM88" s="9">
        <f t="shared" ca="1" si="30"/>
        <v>0</v>
      </c>
      <c r="BN88" s="9">
        <f t="shared" ca="1" si="30"/>
        <v>1</v>
      </c>
      <c r="BO88" s="9">
        <f t="shared" ca="1" si="30"/>
        <v>1</v>
      </c>
      <c r="BP88" s="9">
        <f t="shared" ca="1" si="30"/>
        <v>0</v>
      </c>
      <c r="BQ88" s="9">
        <f t="shared" ca="1" si="30"/>
        <v>0</v>
      </c>
      <c r="BR88" s="9">
        <f t="shared" ca="1" si="30"/>
        <v>0</v>
      </c>
    </row>
    <row r="89" spans="1:72" s="4" customFormat="1" x14ac:dyDescent="0.25">
      <c r="A89" s="8"/>
      <c r="B89" s="1"/>
      <c r="C89" s="1"/>
      <c r="D89" s="466" t="s">
        <v>139</v>
      </c>
      <c r="E89" s="507"/>
      <c r="F89" s="507"/>
      <c r="G89" s="507"/>
      <c r="H89" s="507"/>
      <c r="I89" s="508"/>
      <c r="J89" s="466" t="s">
        <v>140</v>
      </c>
      <c r="K89" s="507"/>
      <c r="L89" s="507"/>
      <c r="M89" s="507"/>
      <c r="N89" s="507"/>
      <c r="O89" s="507"/>
      <c r="P89" s="507"/>
      <c r="Q89" s="507"/>
      <c r="R89" s="507"/>
      <c r="S89" s="507"/>
      <c r="T89" s="507"/>
      <c r="U89" s="507"/>
      <c r="V89" s="507"/>
      <c r="W89" s="507"/>
      <c r="X89" s="507"/>
      <c r="Y89" s="507"/>
      <c r="Z89" s="507"/>
      <c r="AA89" s="508"/>
      <c r="AB89" s="466" t="s">
        <v>1134</v>
      </c>
      <c r="AC89" s="507"/>
      <c r="AD89" s="507"/>
      <c r="AE89" s="507"/>
      <c r="AF89" s="507"/>
      <c r="AG89" s="507"/>
      <c r="AH89" s="507"/>
      <c r="AI89" s="507"/>
      <c r="AJ89" s="507"/>
      <c r="AK89" s="507"/>
      <c r="AL89" s="507"/>
      <c r="AM89" s="50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136"/>
      <c r="BA89" s="136"/>
      <c r="BB89" s="8"/>
      <c r="BC89" s="8"/>
      <c r="BD89" s="8"/>
      <c r="BE89" s="8"/>
    </row>
    <row r="90" spans="1:72" s="4" customFormat="1" x14ac:dyDescent="0.25">
      <c r="A90" s="8" t="s">
        <v>55</v>
      </c>
      <c r="B90" s="1"/>
      <c r="C90" s="1"/>
      <c r="D90" s="12" t="s">
        <v>177</v>
      </c>
      <c r="E90" s="55" t="s">
        <v>141</v>
      </c>
      <c r="F90" s="55" t="s">
        <v>124</v>
      </c>
      <c r="G90" s="119" t="s">
        <v>125</v>
      </c>
      <c r="H90" s="513" t="s">
        <v>270</v>
      </c>
      <c r="I90" s="514"/>
      <c r="J90" s="466" t="s">
        <v>177</v>
      </c>
      <c r="K90" s="468"/>
      <c r="L90" s="466" t="s">
        <v>141</v>
      </c>
      <c r="M90" s="508"/>
      <c r="N90" s="515" t="s">
        <v>124</v>
      </c>
      <c r="O90" s="515"/>
      <c r="P90" s="515"/>
      <c r="Q90" s="515"/>
      <c r="R90" s="515"/>
      <c r="S90" s="515"/>
      <c r="T90" s="515" t="s">
        <v>125</v>
      </c>
      <c r="U90" s="515"/>
      <c r="V90" s="515"/>
      <c r="W90" s="515"/>
      <c r="X90" s="515"/>
      <c r="Y90" s="515"/>
      <c r="Z90" s="513" t="s">
        <v>270</v>
      </c>
      <c r="AA90" s="514"/>
      <c r="AB90" s="116"/>
      <c r="AC90" s="117"/>
      <c r="AD90" s="117"/>
      <c r="AE90" s="117"/>
      <c r="AF90" s="117"/>
      <c r="AG90" s="117"/>
      <c r="AH90" s="25"/>
      <c r="AI90" s="25"/>
      <c r="AJ90" s="25"/>
      <c r="AK90" s="25"/>
      <c r="AL90" s="125"/>
      <c r="AM90" s="126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136"/>
      <c r="BA90" s="136"/>
      <c r="BB90" s="8"/>
      <c r="BC90" s="8"/>
      <c r="BD90" s="8"/>
      <c r="BE90" s="8"/>
    </row>
    <row r="91" spans="1:72" s="4" customFormat="1" ht="16.149999999999999" customHeight="1" x14ac:dyDescent="0.25">
      <c r="A91" s="11">
        <f>IFERROR(VLOOKUP(A68,standards,3,FALSE),"-")</f>
        <v>1</v>
      </c>
      <c r="B91" s="1"/>
      <c r="C91" s="10">
        <v>1</v>
      </c>
      <c r="D91" s="19">
        <f ca="1">IFERROR(IF(VLOOKUP(C91,B72:AP87,41,FALSE)="",VLOOKUP(C91,B72:AP87,37,FALSE),VLOOKUP(C91,B72:AP87,37,FALSE)&amp;VLOOKUP(C91,B72:AP87,41,FALSE)),"")</f>
        <v>1</v>
      </c>
      <c r="E91" s="19">
        <f ca="1">IFERROR(IF(OR(AF72=98,AF72=99),AF72,IF(VLOOKUP(C91,B72:AG87,31,FALSE)=0,0,VLOOKUP(C91,B72:AG87,4,FALSE))),0)</f>
        <v>11</v>
      </c>
      <c r="F91" s="27" t="str">
        <f ca="1">IFERROR(VLOOKUP(E91,$E72:$F87,2,FALSE),"")</f>
        <v>Ruby WILKINS</v>
      </c>
      <c r="G91" s="18" t="str">
        <f t="shared" ref="G91:G98" ca="1" si="31">IFERROR(VLOOKUP(E91,teamlookup,5,FALSE),"-")</f>
        <v>C&amp;N</v>
      </c>
      <c r="H91" s="459">
        <f ca="1">IFERROR(VLOOKUP(E91,E72:AG87,28,FALSE),0)</f>
        <v>1.2</v>
      </c>
      <c r="I91" s="460"/>
      <c r="J91" s="509">
        <f ca="1">IFERROR(IF(VLOOKUP(C91,C72:AT87,44,FALSE)="",VLOOKUP(C91,C72:AT87,37,FALSE),VLOOKUP(C91,C72:AT87,37,FALSE)&amp;VLOOKUP(C91,C72:AT87,44,FALSE)),"")</f>
        <v>1</v>
      </c>
      <c r="K91" s="510"/>
      <c r="L91" s="509">
        <f ca="1">IFERROR(IF(VLOOKUP(C91,C72:AG87,30,FALSE)=0,"",VLOOKUP(C91,C72:AG87,3,FALSE)),"")</f>
        <v>77</v>
      </c>
      <c r="M91" s="510"/>
      <c r="N91" s="461" t="str">
        <f ca="1">IFERROR(VLOOKUP(L91,E72:F87,2,FALSE),"")</f>
        <v>Mia LACEY</v>
      </c>
      <c r="O91" s="462"/>
      <c r="P91" s="462"/>
      <c r="Q91" s="462"/>
      <c r="R91" s="462"/>
      <c r="S91" s="463"/>
      <c r="T91" s="461" t="str">
        <f t="shared" ref="T91:T98" ca="1" si="32">IFERROR(VLOOKUP(L91,teamlookup,5,FALSE),"-")</f>
        <v>Wigan</v>
      </c>
      <c r="U91" s="462"/>
      <c r="V91" s="462"/>
      <c r="W91" s="462"/>
      <c r="X91" s="462"/>
      <c r="Y91" s="463"/>
      <c r="Z91" s="459">
        <f ca="1">IFERROR(VLOOKUP(L91,E72:AG87,28,FALSE),0)</f>
        <v>1.1499999999999999</v>
      </c>
      <c r="AA91" s="460"/>
      <c r="AB91" s="28"/>
      <c r="AC91" s="29"/>
      <c r="AD91" s="29"/>
      <c r="AE91" s="29"/>
      <c r="AF91" s="29"/>
      <c r="AG91" s="29"/>
      <c r="AH91" s="29"/>
      <c r="AI91" s="29"/>
      <c r="AJ91" s="29"/>
      <c r="AK91" s="29"/>
      <c r="AL91" s="127"/>
      <c r="AM91" s="128"/>
      <c r="AP91" s="8"/>
      <c r="AQ91" s="8"/>
      <c r="AR91" s="53"/>
      <c r="AS91" s="8"/>
      <c r="AT91" s="8"/>
      <c r="AU91" s="8"/>
      <c r="AV91" s="8"/>
      <c r="AW91" s="8"/>
      <c r="AX91" s="8"/>
      <c r="AY91" s="8"/>
      <c r="AZ91" s="136"/>
      <c r="BA91" s="136"/>
      <c r="BB91" s="8"/>
      <c r="BC91" s="8"/>
      <c r="BD91" s="8"/>
      <c r="BE91" s="8"/>
    </row>
    <row r="92" spans="1:72" s="4" customFormat="1" ht="16.149999999999999" customHeight="1" x14ac:dyDescent="0.25">
      <c r="A92" s="11">
        <f>IFERROR(VLOOKUP(A68,standards,4,FALSE),"-")</f>
        <v>1.05</v>
      </c>
      <c r="B92" s="1"/>
      <c r="C92" s="10">
        <v>2</v>
      </c>
      <c r="D92" s="19">
        <f ca="1">IFERROR(IF(VLOOKUP(C92,B72:AP87,41,FALSE)="",VLOOKUP(C92,B72:AP87,37,FALSE),VLOOKUP(C92,B72:AP87,37,FALSE)&amp;VLOOKUP(C92,B72:AP87,41,FALSE)),"")</f>
        <v>2</v>
      </c>
      <c r="E92" s="19">
        <f ca="1">IFERROR(IF(VLOOKUP(C92,B72:AG87,31,FALSE)=0,0,VLOOKUP(C92,B72:AG87,4,FALSE)),"")</f>
        <v>22</v>
      </c>
      <c r="F92" s="27" t="str">
        <f ca="1">IFERROR(VLOOKUP(E92,$E72:$F87,2,FALSE),"")</f>
        <v>Scarlett LYNE</v>
      </c>
      <c r="G92" s="18" t="str">
        <f t="shared" ca="1" si="31"/>
        <v>ECHT</v>
      </c>
      <c r="H92" s="459">
        <f ca="1">IFERROR(VLOOKUP(E92,E72:AG87,28,FALSE),0)</f>
        <v>1.2</v>
      </c>
      <c r="I92" s="460"/>
      <c r="J92" s="509" t="str">
        <f ca="1">IFERROR(IF(VLOOKUP(C92,C72:AT87,44,FALSE)="",VLOOKUP(C92,C72:AT87,37,FALSE),VLOOKUP(C92,C72:AT87,37,FALSE)&amp;VLOOKUP(C92,C72:AT87,44,FALSE)),"")</f>
        <v>2=</v>
      </c>
      <c r="K92" s="510"/>
      <c r="L92" s="509">
        <f ca="1">IFERROR(IF(VLOOKUP(C92,C72:AG87,30,FALSE)=0,"",VLOOKUP(C92,C72:AG87,3,FALSE)),"")</f>
        <v>2</v>
      </c>
      <c r="M92" s="510"/>
      <c r="N92" s="461" t="str">
        <f ca="1">IFERROR(VLOOKUP(L92,E72:F87,2,FALSE),"")</f>
        <v>Imogen MCBURNIE</v>
      </c>
      <c r="O92" s="462"/>
      <c r="P92" s="462"/>
      <c r="Q92" s="462"/>
      <c r="R92" s="462"/>
      <c r="S92" s="463"/>
      <c r="T92" s="461" t="str">
        <f t="shared" ca="1" si="32"/>
        <v>ECHT</v>
      </c>
      <c r="U92" s="462"/>
      <c r="V92" s="462"/>
      <c r="W92" s="462"/>
      <c r="X92" s="462"/>
      <c r="Y92" s="463"/>
      <c r="Z92" s="459">
        <f ca="1">IFERROR(VLOOKUP(L92,E72:AG87,28,FALSE),0)</f>
        <v>1.1000000000000001</v>
      </c>
      <c r="AA92" s="460"/>
      <c r="AB92" s="118"/>
      <c r="AC92" s="20"/>
      <c r="AD92" s="20"/>
      <c r="AE92" s="20"/>
      <c r="AF92" s="20"/>
      <c r="AG92" s="20"/>
      <c r="AH92" s="20"/>
      <c r="AI92" s="20"/>
      <c r="AJ92" s="20"/>
      <c r="AK92" s="20"/>
      <c r="AL92" s="129"/>
      <c r="AM92" s="130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136"/>
      <c r="BA92" s="136"/>
      <c r="BB92" s="8"/>
      <c r="BC92" s="8"/>
      <c r="BD92" s="8"/>
      <c r="BE92" s="8"/>
    </row>
    <row r="93" spans="1:72" s="4" customFormat="1" ht="16.149999999999999" customHeight="1" x14ac:dyDescent="0.25">
      <c r="A93" s="11">
        <f>IFERROR(VLOOKUP(A68,standards,5,FALSE),"-")</f>
        <v>1.1000000000000001</v>
      </c>
      <c r="B93" s="1"/>
      <c r="C93" s="10">
        <v>3</v>
      </c>
      <c r="D93" s="19">
        <f ca="1">IFERROR(IF(VLOOKUP(C93,B72:AP87,41,FALSE)="",VLOOKUP(C93,B72:AP87,37,FALSE),VLOOKUP(C93,B72:AP87,37,FALSE)&amp;VLOOKUP(C93,B72:AP87,41,FALSE)),"")</f>
        <v>3</v>
      </c>
      <c r="E93" s="19">
        <f ca="1">IFERROR(IF(VLOOKUP(C93,B72:AG87,31,FALSE)=0,0,VLOOKUP(C93,B72:AG87,4,FALSE)),"")</f>
        <v>7</v>
      </c>
      <c r="F93" s="27" t="str">
        <f ca="1">IFERROR(VLOOKUP(E93,$E72:$F87,2,FALSE),"")</f>
        <v>Layla HALL</v>
      </c>
      <c r="G93" s="18" t="str">
        <f t="shared" ca="1" si="31"/>
        <v>Wigan</v>
      </c>
      <c r="H93" s="459">
        <f ca="1">IFERROR(VLOOKUP(E93,E72:AG87,28,FALSE),0)</f>
        <v>1.1499999999999999</v>
      </c>
      <c r="I93" s="460"/>
      <c r="J93" s="509" t="str">
        <f ca="1">IFERROR(IF(VLOOKUP(C93,C72:AT87,44,FALSE)="",VLOOKUP(C93,C72:AT87,37,FALSE),VLOOKUP(C93,C72:AT87,37,FALSE)&amp;VLOOKUP(C93,C72:AT87,44,FALSE)),"")</f>
        <v>2=</v>
      </c>
      <c r="K93" s="510"/>
      <c r="L93" s="509">
        <f ca="1">IFERROR(IF(VLOOKUP(C93,C72:AG87,30,FALSE)=0,"",VLOOKUP(C93,C72:AG87,3,FALSE)),"")</f>
        <v>33</v>
      </c>
      <c r="M93" s="510"/>
      <c r="N93" s="461" t="str">
        <f ca="1">IFERROR(VLOOKUP(L93,E72:F87,2,FALSE),"")</f>
        <v>Maddison PENDLEBURY</v>
      </c>
      <c r="O93" s="462"/>
      <c r="P93" s="462"/>
      <c r="Q93" s="462"/>
      <c r="R93" s="462"/>
      <c r="S93" s="463"/>
      <c r="T93" s="461" t="str">
        <f t="shared" ca="1" si="32"/>
        <v>Leigh</v>
      </c>
      <c r="U93" s="462"/>
      <c r="V93" s="462"/>
      <c r="W93" s="462"/>
      <c r="X93" s="462"/>
      <c r="Y93" s="463"/>
      <c r="Z93" s="459">
        <f ca="1">IFERROR(VLOOKUP(L93,E72:AG87,28,FALSE),0)</f>
        <v>1.1000000000000001</v>
      </c>
      <c r="AA93" s="460"/>
      <c r="AB93" s="118"/>
      <c r="AC93" s="20"/>
      <c r="AD93" s="20"/>
      <c r="AE93" s="20"/>
      <c r="AF93" s="20"/>
      <c r="AG93" s="20"/>
      <c r="AH93" s="20"/>
      <c r="AI93" s="20"/>
      <c r="AJ93" s="20"/>
      <c r="AK93" s="20"/>
      <c r="AL93" s="129"/>
      <c r="AM93" s="130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136"/>
      <c r="BA93" s="136"/>
      <c r="BB93" s="8"/>
      <c r="BC93" s="8"/>
      <c r="BD93" s="8"/>
      <c r="BE93" s="8"/>
    </row>
    <row r="94" spans="1:72" s="4" customFormat="1" ht="16.149999999999999" customHeight="1" x14ac:dyDescent="0.25">
      <c r="A94" s="11">
        <f>IFERROR(VLOOKUP(A68,EA!A:K,6,FALSE),"-")</f>
        <v>1.1499999999999999</v>
      </c>
      <c r="B94" s="1"/>
      <c r="C94" s="10">
        <v>4</v>
      </c>
      <c r="D94" s="19" t="str">
        <f ca="1">IFERROR(IF(VLOOKUP(C94,B72:AP87,41,FALSE)="",VLOOKUP(C94,B72:AP87,37,FALSE),VLOOKUP(C94,B72:AP87,37,FALSE)&amp;VLOOKUP(C94,B72:AP87,41,FALSE)),"")</f>
        <v>4=</v>
      </c>
      <c r="E94" s="19">
        <f ca="1">IFERROR(IF(VLOOKUP(C94,B72:AG87,31,FALSE)=0,0,VLOOKUP(C94,B72:AG87,4,FALSE)),"")</f>
        <v>3</v>
      </c>
      <c r="F94" s="27" t="str">
        <f ca="1">IFERROR(VLOOKUP(E94,$E72:$F87,2,FALSE),"")</f>
        <v>Lois MELLING</v>
      </c>
      <c r="G94" s="18" t="str">
        <f t="shared" ca="1" si="31"/>
        <v>Leigh</v>
      </c>
      <c r="H94" s="459">
        <f ca="1">IFERROR(VLOOKUP(E94,E72:AG87,28,FALSE),0)</f>
        <v>1.1000000000000001</v>
      </c>
      <c r="I94" s="460"/>
      <c r="J94" s="509">
        <f ca="1">IFERROR(IF(VLOOKUP(C94,C72:AT87,44,FALSE)="",VLOOKUP(C94,C72:AT87,37,FALSE),VLOOKUP(C94,C72:AT87,37,FALSE)&amp;VLOOKUP(C94,C72:AT87,44,FALSE)),"")</f>
        <v>4</v>
      </c>
      <c r="K94" s="510"/>
      <c r="L94" s="509">
        <f ca="1">IFERROR(IF(VLOOKUP(C94,C72:AG87,30,FALSE)=0,"",VLOOKUP(C94,C72:AG87,3,FALSE)),"")</f>
        <v>1</v>
      </c>
      <c r="M94" s="510"/>
      <c r="N94" s="461" t="str">
        <f ca="1">IFERROR(VLOOKUP(L94,E72:F87,2,FALSE),"")</f>
        <v>Jasmine COOPER</v>
      </c>
      <c r="O94" s="462"/>
      <c r="P94" s="462"/>
      <c r="Q94" s="462"/>
      <c r="R94" s="462"/>
      <c r="S94" s="463"/>
      <c r="T94" s="461" t="str">
        <f t="shared" ca="1" si="32"/>
        <v>C&amp;N</v>
      </c>
      <c r="U94" s="462"/>
      <c r="V94" s="462"/>
      <c r="W94" s="462"/>
      <c r="X94" s="462"/>
      <c r="Y94" s="463"/>
      <c r="Z94" s="459">
        <f ca="1">IFERROR(VLOOKUP(L94,E72:AG87,28,FALSE),0)</f>
        <v>1.1000000000000001</v>
      </c>
      <c r="AA94" s="460"/>
      <c r="AB94" s="24"/>
      <c r="AC94" s="25"/>
      <c r="AD94" s="25"/>
      <c r="AE94" s="25"/>
      <c r="AF94" s="25"/>
      <c r="AG94" s="25"/>
      <c r="AH94" s="25"/>
      <c r="AI94" s="25"/>
      <c r="AJ94" s="25"/>
      <c r="AK94" s="25"/>
      <c r="AL94" s="125"/>
      <c r="AM94" s="126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136"/>
      <c r="BA94" s="136"/>
      <c r="BB94" s="8"/>
      <c r="BC94" s="8"/>
      <c r="BD94" s="8"/>
      <c r="BE94" s="8"/>
    </row>
    <row r="95" spans="1:72" s="4" customFormat="1" ht="16.149999999999999" customHeight="1" x14ac:dyDescent="0.25">
      <c r="A95" s="8"/>
      <c r="B95" s="1"/>
      <c r="C95" s="10">
        <v>5</v>
      </c>
      <c r="D95" s="19" t="str">
        <f ca="1">IFERROR(IF(VLOOKUP(C95,B72:AP87,41,FALSE)="",VLOOKUP(C95,B72:AP87,37,FALSE),VLOOKUP(C95,B72:AP87,37,FALSE)&amp;VLOOKUP(C95,B72:AP87,41,FALSE)),"")</f>
        <v>4=</v>
      </c>
      <c r="E95" s="19">
        <f ca="1">IFERROR(IF(VLOOKUP(C95,B72:AG87,31,FALSE)=0,0,VLOOKUP(C95,B72:AG87,4,FALSE)),"")</f>
        <v>5</v>
      </c>
      <c r="F95" s="27" t="str">
        <f ca="1">IFERROR(VLOOKUP(E95,$E72:$F87,2,FALSE),"")</f>
        <v>Tamsin SEGUIN</v>
      </c>
      <c r="G95" s="18" t="str">
        <f t="shared" ca="1" si="31"/>
        <v>Menai</v>
      </c>
      <c r="H95" s="459">
        <f ca="1">IFERROR(VLOOKUP(E95,E72:AG87,28,FALSE),0)</f>
        <v>1.1000000000000001</v>
      </c>
      <c r="I95" s="460"/>
      <c r="J95" s="509">
        <f ca="1">IFERROR(IF(VLOOKUP(C95,C72:AT87,44,FALSE)="",VLOOKUP(C95,C72:AT87,37,FALSE),VLOOKUP(C95,C72:AT87,37,FALSE)&amp;VLOOKUP(C95,C72:AT87,44,FALSE)),"")</f>
        <v>5</v>
      </c>
      <c r="K95" s="510"/>
      <c r="L95" s="509">
        <f ca="1">IFERROR(IF(VLOOKUP(C95,C72:AG87,30,FALSE)=0,"",VLOOKUP(C95,C72:AG87,3,FALSE)),"")</f>
        <v>44</v>
      </c>
      <c r="M95" s="510"/>
      <c r="N95" s="461" t="str">
        <f ca="1">IFERROR(VLOOKUP(L95,E72:F87,2,FALSE),"")</f>
        <v>Lauren HARPER</v>
      </c>
      <c r="O95" s="462"/>
      <c r="P95" s="462"/>
      <c r="Q95" s="462"/>
      <c r="R95" s="462"/>
      <c r="S95" s="463"/>
      <c r="T95" s="461" t="str">
        <f t="shared" ca="1" si="32"/>
        <v>Macc</v>
      </c>
      <c r="U95" s="462"/>
      <c r="V95" s="462"/>
      <c r="W95" s="462"/>
      <c r="X95" s="462"/>
      <c r="Y95" s="463"/>
      <c r="Z95" s="459" t="str">
        <f ca="1">IFERROR(VLOOKUP(L95,E72:AG87,28,FALSE),0)</f>
        <v>x</v>
      </c>
      <c r="AA95" s="460"/>
      <c r="AB95" s="28"/>
      <c r="AC95" s="29"/>
      <c r="AD95" s="29"/>
      <c r="AE95" s="29"/>
      <c r="AF95" s="29"/>
      <c r="AG95" s="29"/>
      <c r="AH95" s="29"/>
      <c r="AI95" s="29"/>
      <c r="AJ95" s="29"/>
      <c r="AK95" s="29"/>
      <c r="AL95" s="127"/>
      <c r="AM95" s="12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136"/>
      <c r="BA95" s="136"/>
      <c r="BB95" s="8"/>
      <c r="BC95" s="8"/>
      <c r="BD95" s="8"/>
      <c r="BE95" s="8"/>
    </row>
    <row r="96" spans="1:72" s="4" customFormat="1" ht="16.149999999999999" customHeight="1" x14ac:dyDescent="0.25">
      <c r="A96" s="8" t="s">
        <v>151</v>
      </c>
      <c r="B96" s="1"/>
      <c r="C96" s="10">
        <v>6</v>
      </c>
      <c r="D96" s="19">
        <f ca="1">IFERROR(IF(VLOOKUP(C96,B72:AP87,41,FALSE)="",VLOOKUP(C96,B72:AP87,37,FALSE),VLOOKUP(C96,B72:AP87,37,FALSE)&amp;VLOOKUP(C96,B72:AP87,41,FALSE)),"")</f>
        <v>6</v>
      </c>
      <c r="E96" s="19">
        <f ca="1">IFERROR(IF(VLOOKUP(C96,B72:AG87,31,FALSE)=0,0,VLOOKUP(C96,B72:AG87,4,FALSE)),"")</f>
        <v>4</v>
      </c>
      <c r="F96" s="27" t="str">
        <f ca="1">IFERROR(VLOOKUP(E96,$E72:$F87,2,FALSE),"")</f>
        <v>Eve O'DONNELL</v>
      </c>
      <c r="G96" s="18" t="str">
        <f t="shared" ca="1" si="31"/>
        <v>Macc</v>
      </c>
      <c r="H96" s="459">
        <f ca="1">IFERROR(VLOOKUP(E96,E72:AG87,28,FALSE),0)</f>
        <v>1.1000000000000001</v>
      </c>
      <c r="I96" s="460"/>
      <c r="J96" s="509" t="str">
        <f ca="1">IFERROR(IF(VLOOKUP(C96,C72:AT87,44,FALSE)="",VLOOKUP(C96,C72:AT87,37,FALSE),VLOOKUP(C96,C72:AT87,37,FALSE)&amp;VLOOKUP(C96,C72:AT87,44,FALSE)),"")</f>
        <v/>
      </c>
      <c r="K96" s="510"/>
      <c r="L96" s="509" t="str">
        <f ca="1">IFERROR(IF(VLOOKUP(C96,C72:AG87,30,FALSE)=0,"",VLOOKUP(C96,C72:AG87,3,FALSE)),"")</f>
        <v/>
      </c>
      <c r="M96" s="510"/>
      <c r="N96" s="461" t="str">
        <f ca="1">IFERROR(VLOOKUP(L96,E72:F87,2,FALSE),"")</f>
        <v/>
      </c>
      <c r="O96" s="462"/>
      <c r="P96" s="462"/>
      <c r="Q96" s="462"/>
      <c r="R96" s="462"/>
      <c r="S96" s="463"/>
      <c r="T96" s="461" t="str">
        <f t="shared" ca="1" si="32"/>
        <v>-</v>
      </c>
      <c r="U96" s="462"/>
      <c r="V96" s="462"/>
      <c r="W96" s="462"/>
      <c r="X96" s="462"/>
      <c r="Y96" s="463"/>
      <c r="Z96" s="459">
        <f ca="1">IFERROR(VLOOKUP(L96,E72:AG87,28,FALSE),0)</f>
        <v>0</v>
      </c>
      <c r="AA96" s="460"/>
      <c r="AB96" s="466" t="s">
        <v>1135</v>
      </c>
      <c r="AC96" s="507"/>
      <c r="AD96" s="507"/>
      <c r="AE96" s="507"/>
      <c r="AF96" s="507"/>
      <c r="AG96" s="507"/>
      <c r="AH96" s="507"/>
      <c r="AI96" s="507"/>
      <c r="AJ96" s="507"/>
      <c r="AK96" s="507"/>
      <c r="AL96" s="507"/>
      <c r="AM96" s="50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136"/>
      <c r="BA96" s="136"/>
      <c r="BB96" s="8"/>
      <c r="BC96" s="8"/>
      <c r="BD96" s="8"/>
      <c r="BE96" s="8"/>
    </row>
    <row r="97" spans="1:72" s="4" customFormat="1" ht="16.149999999999999" customHeight="1" x14ac:dyDescent="0.25">
      <c r="A97" s="8">
        <f>IFERROR(VLOOKUP(A68,records,5,FALSE),"")</f>
        <v>1.61</v>
      </c>
      <c r="B97" s="1"/>
      <c r="C97" s="10">
        <v>7</v>
      </c>
      <c r="D97" s="19" t="str">
        <f ca="1">IFERROR(IF(VLOOKUP(C97,B72:AP87,41,FALSE)="",VLOOKUP(C97,B72:AP87,37,FALSE),VLOOKUP(C97,B72:AP87,37,FALSE)&amp;VLOOKUP(C97,B72:AP87,41,FALSE)),"")</f>
        <v/>
      </c>
      <c r="E97" s="19" t="str">
        <f ca="1">IFERROR(IF(VLOOKUP(C97,B72:AG87,31,FALSE)=0,0,VLOOKUP(C97,B72:AG87,4,FALSE)),"")</f>
        <v/>
      </c>
      <c r="F97" s="27" t="str">
        <f ca="1">IFERROR(VLOOKUP(E97,$E72:$F87,2,FALSE),"")</f>
        <v/>
      </c>
      <c r="G97" s="18" t="str">
        <f t="shared" ca="1" si="31"/>
        <v>-</v>
      </c>
      <c r="H97" s="459">
        <f ca="1">IFERROR(VLOOKUP(E97,E72:AG87,28,FALSE),0)</f>
        <v>0</v>
      </c>
      <c r="I97" s="460"/>
      <c r="J97" s="509" t="str">
        <f ca="1">IFERROR(IF(VLOOKUP(C97,C72:AT87,44,FALSE)="",VLOOKUP(C97,C72:AT87,37,FALSE),VLOOKUP(C97,C72:AT87,37,FALSE)&amp;VLOOKUP(C97,C72:AT87,44,FALSE)),"")</f>
        <v/>
      </c>
      <c r="K97" s="510"/>
      <c r="L97" s="509" t="str">
        <f ca="1">IFERROR(IF(VLOOKUP(C97,C72:AG87,30,FALSE)=0,"",VLOOKUP(C97,C72:AG87,3,FALSE)),"")</f>
        <v/>
      </c>
      <c r="M97" s="510"/>
      <c r="N97" s="461" t="str">
        <f ca="1">IFERROR(VLOOKUP(L97,E72:F87,2,FALSE),"")</f>
        <v/>
      </c>
      <c r="O97" s="462"/>
      <c r="P97" s="462"/>
      <c r="Q97" s="462"/>
      <c r="R97" s="462"/>
      <c r="S97" s="463"/>
      <c r="T97" s="461" t="str">
        <f t="shared" ca="1" si="32"/>
        <v>-</v>
      </c>
      <c r="U97" s="462"/>
      <c r="V97" s="462"/>
      <c r="W97" s="462"/>
      <c r="X97" s="462"/>
      <c r="Y97" s="463"/>
      <c r="Z97" s="459">
        <f ca="1">IFERROR(VLOOKUP(L97,E72:AG87,28,FALSE),0)</f>
        <v>0</v>
      </c>
      <c r="AA97" s="460"/>
      <c r="AB97" s="24"/>
      <c r="AC97" s="25"/>
      <c r="AD97" s="25"/>
      <c r="AE97" s="25"/>
      <c r="AF97" s="25"/>
      <c r="AG97" s="25"/>
      <c r="AH97" s="25"/>
      <c r="AI97" s="25"/>
      <c r="AJ97" s="25"/>
      <c r="AK97" s="25"/>
      <c r="AL97" s="125"/>
      <c r="AM97" s="126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136"/>
      <c r="BA97" s="136"/>
      <c r="BB97" s="8"/>
      <c r="BC97" s="8"/>
      <c r="BD97" s="8"/>
      <c r="BE97" s="8"/>
    </row>
    <row r="98" spans="1:72" s="4" customFormat="1" ht="20.25" customHeight="1" x14ac:dyDescent="0.25">
      <c r="A98" s="8"/>
      <c r="B98" s="1"/>
      <c r="C98" s="10">
        <v>8</v>
      </c>
      <c r="D98" s="19" t="str">
        <f ca="1">IFERROR(IF(VLOOKUP(C98,B72:AP87,41,FALSE)="",VLOOKUP(C98,B72:AP87,37,FALSE),VLOOKUP(C98,B72:AP87,37,FALSE)&amp;VLOOKUP(C98,B72:AP87,41,FALSE)),"")</f>
        <v/>
      </c>
      <c r="E98" s="19" t="str">
        <f ca="1">IFERROR(IF(VLOOKUP(C98,B72:AG87,31,FALSE)=0,0,VLOOKUP(C98,B72:AG87,4,FALSE)),"")</f>
        <v/>
      </c>
      <c r="F98" s="27" t="str">
        <f ca="1">IFERROR(VLOOKUP(E98,$E72:$F87,2,FALSE),"")</f>
        <v/>
      </c>
      <c r="G98" s="18" t="str">
        <f t="shared" ca="1" si="31"/>
        <v>-</v>
      </c>
      <c r="H98" s="459">
        <f ca="1">IFERROR(VLOOKUP(E98,E72:AG87,28,FALSE),0)</f>
        <v>0</v>
      </c>
      <c r="I98" s="460"/>
      <c r="J98" s="509" t="str">
        <f ca="1">IFERROR(IF(VLOOKUP(C98,C72:AT87,44,FALSE)="",VLOOKUP(C98,C72:AT87,37,FALSE),VLOOKUP(C98,C72:AT87,37,FALSE)&amp;VLOOKUP(C98,C72:AT87,44,FALSE)),"")</f>
        <v/>
      </c>
      <c r="K98" s="510"/>
      <c r="L98" s="509" t="str">
        <f ca="1">IFERROR(IF(VLOOKUP(C98,C72:AG87,30,FALSE)=0,"",VLOOKUP(C98,C72:AG87,3,FALSE)),"")</f>
        <v/>
      </c>
      <c r="M98" s="510"/>
      <c r="N98" s="461" t="str">
        <f ca="1">IFERROR(VLOOKUP(L98,E72:F87,2,FALSE),"")</f>
        <v/>
      </c>
      <c r="O98" s="462"/>
      <c r="P98" s="462"/>
      <c r="Q98" s="462"/>
      <c r="R98" s="462"/>
      <c r="S98" s="463"/>
      <c r="T98" s="461" t="str">
        <f t="shared" ca="1" si="32"/>
        <v>-</v>
      </c>
      <c r="U98" s="462"/>
      <c r="V98" s="462"/>
      <c r="W98" s="462"/>
      <c r="X98" s="462"/>
      <c r="Y98" s="463"/>
      <c r="Z98" s="459">
        <f ca="1">IFERROR(VLOOKUP(L98,E72:AG87,28,FALSE),0)</f>
        <v>0</v>
      </c>
      <c r="AA98" s="460"/>
      <c r="AB98" s="28"/>
      <c r="AC98" s="29"/>
      <c r="AD98" s="29"/>
      <c r="AE98" s="29"/>
      <c r="AF98" s="29"/>
      <c r="AG98" s="29"/>
      <c r="AH98" s="29"/>
      <c r="AI98" s="29"/>
      <c r="AJ98" s="29"/>
      <c r="AK98" s="29"/>
      <c r="AL98" s="127"/>
      <c r="AM98" s="12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136"/>
      <c r="BA98" s="136"/>
      <c r="BB98" s="8"/>
      <c r="BC98" s="8"/>
      <c r="BD98" s="8"/>
      <c r="BE98" s="8"/>
    </row>
    <row r="99" spans="1:72" s="4" customFormat="1" ht="21" x14ac:dyDescent="0.25">
      <c r="A99" s="2" t="str">
        <f>MatchDay!$U$6</f>
        <v>X</v>
      </c>
      <c r="B99" s="10" t="str">
        <f>IFERROR(VLOOKUP($A100,fh,2,FALSE),"")</f>
        <v/>
      </c>
      <c r="C99" s="10" t="str">
        <f>IFERROR(VLOOKUP($A100,fdistance,3,FALSE),"")</f>
        <v/>
      </c>
      <c r="D99" s="499" t="s">
        <v>271</v>
      </c>
      <c r="E99" s="500"/>
      <c r="F99" s="500"/>
      <c r="G99" s="500"/>
      <c r="H99" s="501" t="s">
        <v>144</v>
      </c>
      <c r="I99" s="502"/>
      <c r="J99" s="502"/>
      <c r="K99" s="502"/>
      <c r="L99" s="502"/>
      <c r="M99" s="506"/>
      <c r="N99" s="503" t="str">
        <f>MatchDay!$C$2&amp;" "&amp;MatchDay!$C$3&amp;" "&amp;MatchDay!$C$4</f>
        <v>LOWER NORTH West 2</v>
      </c>
      <c r="O99" s="504"/>
      <c r="P99" s="504"/>
      <c r="Q99" s="504"/>
      <c r="R99" s="504"/>
      <c r="S99" s="504"/>
      <c r="T99" s="504"/>
      <c r="U99" s="504"/>
      <c r="V99" s="504"/>
      <c r="W99" s="504"/>
      <c r="X99" s="504"/>
      <c r="Y99" s="504"/>
      <c r="Z99" s="504"/>
      <c r="AA99" s="504"/>
      <c r="AB99" s="504"/>
      <c r="AC99" s="504"/>
      <c r="AD99" s="504"/>
      <c r="AE99" s="504"/>
      <c r="AF99" s="504"/>
      <c r="AG99" s="504"/>
      <c r="AH99" s="504"/>
      <c r="AI99" s="504"/>
      <c r="AJ99" s="504"/>
      <c r="AK99" s="504"/>
      <c r="AL99" s="504"/>
      <c r="AM99" s="505"/>
      <c r="AP99" s="8"/>
      <c r="AT99" s="8"/>
      <c r="AU99" s="8"/>
      <c r="AV99" s="8"/>
      <c r="AW99" s="8"/>
      <c r="AX99" s="8"/>
      <c r="AY99" s="8"/>
      <c r="AZ99" s="136"/>
      <c r="BA99" s="136"/>
      <c r="BB99" s="8"/>
      <c r="BC99" s="8"/>
      <c r="BD99" s="8"/>
      <c r="BE99" s="8"/>
    </row>
    <row r="100" spans="1:72" s="4" customFormat="1" ht="15.75" customHeight="1" x14ac:dyDescent="0.25">
      <c r="A100" s="1" t="str">
        <f>IFERROR(IF(LEFT(MatchDay!$C$2,1)="L","L"&amp;A102,"U"&amp;A102),"")</f>
        <v>LFH04</v>
      </c>
      <c r="B100" s="8">
        <v>123</v>
      </c>
      <c r="D100" s="476" t="s">
        <v>145</v>
      </c>
      <c r="E100" s="477"/>
      <c r="F100" s="467" t="str">
        <f>IFERROR(UPPER(VLOOKUP(A101,teamlookup,6,FALSE)),"")</f>
        <v/>
      </c>
      <c r="G100" s="468"/>
      <c r="H100" s="476" t="s">
        <v>149</v>
      </c>
      <c r="I100" s="480"/>
      <c r="J100" s="477"/>
      <c r="K100" s="466" t="str">
        <f>MatchDay!$C$8</f>
        <v>Macclesfield Leisure Centre</v>
      </c>
      <c r="L100" s="467"/>
      <c r="M100" s="467"/>
      <c r="N100" s="467"/>
      <c r="O100" s="467"/>
      <c r="P100" s="467"/>
      <c r="Q100" s="467"/>
      <c r="R100" s="467"/>
      <c r="S100" s="467"/>
      <c r="T100" s="467"/>
      <c r="U100" s="467"/>
      <c r="V100" s="467"/>
      <c r="W100" s="467"/>
      <c r="X100" s="467"/>
      <c r="Y100" s="468"/>
      <c r="Z100" s="476" t="s">
        <v>119</v>
      </c>
      <c r="AA100" s="480"/>
      <c r="AB100" s="477"/>
      <c r="AC100" s="494">
        <f>MatchDay!$C$7</f>
        <v>45053</v>
      </c>
      <c r="AD100" s="495"/>
      <c r="AE100" s="495"/>
      <c r="AF100" s="495"/>
      <c r="AG100" s="495"/>
      <c r="AH100" s="495"/>
      <c r="AI100" s="495"/>
      <c r="AJ100" s="495"/>
      <c r="AK100" s="495"/>
      <c r="AL100" s="495"/>
      <c r="AM100" s="496"/>
      <c r="AN100" s="37"/>
      <c r="AP100" s="8"/>
      <c r="AT100" s="8"/>
      <c r="AU100" s="8"/>
      <c r="AV100" s="8"/>
      <c r="AW100" s="8"/>
      <c r="AX100" s="8"/>
      <c r="AY100" s="8"/>
      <c r="AZ100" s="136"/>
      <c r="BA100" s="136"/>
      <c r="BB100" s="8"/>
      <c r="BC100" s="8"/>
      <c r="BD100" s="8"/>
      <c r="BE100" s="8"/>
    </row>
    <row r="101" spans="1:72" s="4" customFormat="1" ht="15.75" customHeight="1" x14ac:dyDescent="0.25">
      <c r="A101" s="5">
        <f>IFERROR(IF(A99=1,VLOOKUP(A100,judges,VLOOKUP(MatchDay!$U$2*10+MatchDay!$C$5,judgesp,5,FALSE),FALSE),VLOOKUP(A100,judges,VLOOKUP(MatchDay!$U$2*10+MatchDay!$C$5,judges2,5,FALSE),FALSE)),"")</f>
        <v>2</v>
      </c>
      <c r="B101" s="38" t="str">
        <f>IFERROR(VLOOKUP($A102,fheight,2,FALSE),"")</f>
        <v>C</v>
      </c>
      <c r="C101" s="138"/>
      <c r="D101" s="476" t="s">
        <v>120</v>
      </c>
      <c r="E101" s="477"/>
      <c r="F101" s="478" t="str">
        <f>IFERROR(VLOOKUP(A100,timetables,2,FALSE)&amp;" "&amp;VLOOKUP(A100,timetables,3,FALSE),"")</f>
        <v>Pole Vault U15 Boys</v>
      </c>
      <c r="G101" s="479"/>
      <c r="H101" s="476" t="s">
        <v>121</v>
      </c>
      <c r="I101" s="480"/>
      <c r="J101" s="477"/>
      <c r="K101" s="517">
        <f>IFERROR(IF(A99=1,VLOOKUP(A100,Timetables!$A:$G,6,FALSE),VLOOKUP(A100,Timetables!$A:$G,7,FALSE)),"")</f>
        <v>0.54166666666666663</v>
      </c>
      <c r="L101" s="518"/>
      <c r="M101" s="519"/>
      <c r="N101" s="520" t="s">
        <v>150</v>
      </c>
      <c r="O101" s="521"/>
      <c r="P101" s="521"/>
      <c r="Q101" s="522"/>
      <c r="R101" s="520" t="str">
        <f>IFERROR(VLOOKUP(A100,records,3,FALSE)&amp;", "&amp;VLOOKUP(A100,records,4,FALSE)&amp;", "&amp;VLOOKUP(A100,records,5,FALSE)&amp;", "&amp;VLOOKUP(A100,records,6,FALSE)&amp;", "&amp;VLOOKUP(A100,records,7,FALSE)&amp;" "&amp;VLOOKUP(A100,records,8,FALSE),"")</f>
        <v/>
      </c>
      <c r="S101" s="521"/>
      <c r="T101" s="521"/>
      <c r="U101" s="521"/>
      <c r="V101" s="521"/>
      <c r="W101" s="521"/>
      <c r="X101" s="521"/>
      <c r="Y101" s="521"/>
      <c r="Z101" s="521"/>
      <c r="AA101" s="521"/>
      <c r="AB101" s="521"/>
      <c r="AC101" s="521"/>
      <c r="AD101" s="521"/>
      <c r="AE101" s="521"/>
      <c r="AF101" s="521"/>
      <c r="AG101" s="521"/>
      <c r="AH101" s="521"/>
      <c r="AI101" s="521"/>
      <c r="AJ101" s="521"/>
      <c r="AK101" s="521"/>
      <c r="AL101" s="521"/>
      <c r="AM101" s="522"/>
      <c r="AN101" s="8"/>
      <c r="AP101" s="8"/>
      <c r="AT101" s="8"/>
      <c r="AU101" s="8"/>
      <c r="AV101" s="8"/>
      <c r="AW101" s="8"/>
      <c r="AX101" s="8"/>
      <c r="AY101" s="8"/>
      <c r="AZ101" s="136"/>
      <c r="BA101" s="136"/>
      <c r="BB101" s="8"/>
      <c r="BC101" s="8"/>
      <c r="BD101" s="8"/>
      <c r="BE101" s="8"/>
    </row>
    <row r="102" spans="1:72" s="4" customFormat="1" ht="38.25" customHeight="1" x14ac:dyDescent="0.25">
      <c r="A102" s="5" t="s">
        <v>275</v>
      </c>
      <c r="B102" s="10" t="str">
        <f>IFERROR(VLOOKUP($A102,fheight,3,FALSE),"")</f>
        <v>G</v>
      </c>
      <c r="C102" s="10">
        <f>IFERROR(VLOOKUP($A102,fheight,4,FALSE),"")</f>
        <v>23</v>
      </c>
      <c r="D102" s="39" t="s">
        <v>122</v>
      </c>
      <c r="E102" s="39" t="s">
        <v>123</v>
      </c>
      <c r="F102" s="39" t="s">
        <v>124</v>
      </c>
      <c r="G102" s="40" t="s">
        <v>125</v>
      </c>
      <c r="H102" s="523">
        <v>1.7</v>
      </c>
      <c r="I102" s="524"/>
      <c r="J102" s="523">
        <v>1.8</v>
      </c>
      <c r="K102" s="524"/>
      <c r="L102" s="523">
        <v>1.9</v>
      </c>
      <c r="M102" s="524"/>
      <c r="N102" s="523">
        <v>2</v>
      </c>
      <c r="O102" s="524"/>
      <c r="P102" s="523">
        <v>2.1</v>
      </c>
      <c r="Q102" s="524"/>
      <c r="R102" s="523">
        <v>2.2000000000000002</v>
      </c>
      <c r="S102" s="524"/>
      <c r="T102" s="523"/>
      <c r="U102" s="524"/>
      <c r="V102" s="523"/>
      <c r="W102" s="524"/>
      <c r="X102" s="523"/>
      <c r="Y102" s="524"/>
      <c r="Z102" s="523"/>
      <c r="AA102" s="524"/>
      <c r="AB102" s="523"/>
      <c r="AC102" s="524"/>
      <c r="AD102" s="523"/>
      <c r="AE102" s="524"/>
      <c r="AF102" s="525" t="s">
        <v>266</v>
      </c>
      <c r="AG102" s="526"/>
      <c r="AH102" s="527" t="s">
        <v>267</v>
      </c>
      <c r="AI102" s="527" t="s">
        <v>268</v>
      </c>
      <c r="AJ102" s="529" t="s">
        <v>363</v>
      </c>
      <c r="AK102" s="41"/>
      <c r="AL102" s="531" t="s">
        <v>136</v>
      </c>
      <c r="AM102" s="532"/>
      <c r="AN102" s="42" t="s">
        <v>269</v>
      </c>
      <c r="AP102" s="8"/>
      <c r="AT102" s="8"/>
      <c r="AU102" s="8"/>
      <c r="AV102" s="8"/>
      <c r="AW102" s="8"/>
      <c r="AX102" s="8"/>
      <c r="AY102" s="8"/>
      <c r="AZ102" s="136"/>
      <c r="BA102" s="136"/>
      <c r="BB102" s="8"/>
      <c r="BC102" s="8"/>
      <c r="BD102" s="8"/>
      <c r="BE102" s="8"/>
    </row>
    <row r="103" spans="1:72" s="4" customFormat="1" ht="13.5" x14ac:dyDescent="0.3">
      <c r="A103" s="121">
        <f>IFERROR(SEARCH("U17",F101),0)</f>
        <v>0</v>
      </c>
      <c r="B103" s="1"/>
      <c r="C103" s="1"/>
      <c r="D103" s="43"/>
      <c r="E103" s="43"/>
      <c r="F103" s="58"/>
      <c r="G103" s="57"/>
      <c r="H103" s="513" t="s">
        <v>137</v>
      </c>
      <c r="I103" s="516"/>
      <c r="J103" s="513" t="s">
        <v>137</v>
      </c>
      <c r="K103" s="516"/>
      <c r="L103" s="513" t="s">
        <v>137</v>
      </c>
      <c r="M103" s="516"/>
      <c r="N103" s="513" t="s">
        <v>137</v>
      </c>
      <c r="O103" s="516"/>
      <c r="P103" s="513" t="s">
        <v>137</v>
      </c>
      <c r="Q103" s="516"/>
      <c r="R103" s="513" t="s">
        <v>137</v>
      </c>
      <c r="S103" s="516"/>
      <c r="T103" s="513" t="s">
        <v>137</v>
      </c>
      <c r="U103" s="516"/>
      <c r="V103" s="513" t="s">
        <v>137</v>
      </c>
      <c r="W103" s="516"/>
      <c r="X103" s="513" t="s">
        <v>137</v>
      </c>
      <c r="Y103" s="516"/>
      <c r="Z103" s="513" t="s">
        <v>137</v>
      </c>
      <c r="AA103" s="516"/>
      <c r="AB103" s="513" t="s">
        <v>137</v>
      </c>
      <c r="AC103" s="516"/>
      <c r="AD103" s="513" t="s">
        <v>137</v>
      </c>
      <c r="AE103" s="516"/>
      <c r="AF103" s="513" t="s">
        <v>137</v>
      </c>
      <c r="AG103" s="514"/>
      <c r="AH103" s="528"/>
      <c r="AI103" s="528"/>
      <c r="AJ103" s="530"/>
      <c r="AK103" s="44"/>
      <c r="AL103" s="533"/>
      <c r="AM103" s="534"/>
      <c r="AN103" s="42"/>
      <c r="AP103" s="9"/>
      <c r="AQ103" s="9"/>
      <c r="AR103" s="45"/>
      <c r="AS103" s="45"/>
      <c r="AT103" s="45"/>
      <c r="AU103" s="46"/>
      <c r="AV103" s="45"/>
      <c r="AW103" s="9"/>
      <c r="AX103" s="9"/>
      <c r="AY103" s="47"/>
      <c r="AZ103" s="135"/>
      <c r="BA103" s="135"/>
      <c r="BB103" s="9"/>
      <c r="BC103" s="9">
        <v>1</v>
      </c>
      <c r="BD103" s="9">
        <v>2</v>
      </c>
      <c r="BE103" s="9">
        <v>3</v>
      </c>
      <c r="BF103" s="9">
        <v>4</v>
      </c>
      <c r="BG103" s="9">
        <v>5</v>
      </c>
      <c r="BH103" s="9">
        <v>6</v>
      </c>
      <c r="BI103" s="9">
        <v>7</v>
      </c>
      <c r="BJ103" s="9">
        <v>8</v>
      </c>
      <c r="BK103" s="9">
        <v>1</v>
      </c>
      <c r="BL103" s="9">
        <v>2</v>
      </c>
      <c r="BM103" s="9">
        <v>3</v>
      </c>
      <c r="BN103" s="9">
        <v>4</v>
      </c>
      <c r="BO103" s="9">
        <v>5</v>
      </c>
      <c r="BP103" s="9">
        <v>6</v>
      </c>
      <c r="BQ103" s="9">
        <v>7</v>
      </c>
      <c r="BR103" s="9">
        <v>8</v>
      </c>
      <c r="BS103" s="46"/>
    </row>
    <row r="104" spans="1:72" s="4" customFormat="1" ht="16.149999999999999" customHeight="1" x14ac:dyDescent="0.35">
      <c r="A104" s="8">
        <f>IFERROR(IF(D104&gt;MatchDay!$U$2,"-",VLOOKUP(A100,timetables,MatchDay!$U$4,FALSE)),0)</f>
        <v>3</v>
      </c>
      <c r="B104" s="10" t="str">
        <f ca="1">IFERROR(IF(OR(AK104=0,AK104="B"),"",RANK(AZ104,AZ104:AZ119,1)),"")</f>
        <v/>
      </c>
      <c r="C104" s="10" t="str">
        <f ca="1">IFERROR(IF(OR(AK104=0,AK104="A"),"",RANK(BA104,BA104:BA119,1)),"")</f>
        <v/>
      </c>
      <c r="D104" s="56">
        <v>1</v>
      </c>
      <c r="E104" s="17">
        <f>A104</f>
        <v>3</v>
      </c>
      <c r="F104" s="319" t="str">
        <f>IFERROR(VLOOKUP($A100&amp;E104,downloads!$A$1:$E$1000,2,FALSE),"")</f>
        <v/>
      </c>
      <c r="G104" s="18" t="str">
        <f t="shared" ref="G104:G119" si="33">IFERROR(VLOOKUP(E104,teamlookup,5,FALSE),"-")</f>
        <v>Leigh</v>
      </c>
      <c r="H104" s="497"/>
      <c r="I104" s="498"/>
      <c r="J104" s="497"/>
      <c r="K104" s="498"/>
      <c r="L104" s="497"/>
      <c r="M104" s="498"/>
      <c r="N104" s="497"/>
      <c r="O104" s="498"/>
      <c r="P104" s="497"/>
      <c r="Q104" s="498"/>
      <c r="R104" s="497"/>
      <c r="S104" s="498"/>
      <c r="T104" s="497"/>
      <c r="U104" s="498"/>
      <c r="V104" s="497"/>
      <c r="W104" s="498"/>
      <c r="X104" s="497"/>
      <c r="Y104" s="498"/>
      <c r="Z104" s="497"/>
      <c r="AA104" s="498"/>
      <c r="AB104" s="497"/>
      <c r="AC104" s="498"/>
      <c r="AD104" s="497"/>
      <c r="AE104" s="498"/>
      <c r="AF104" s="511">
        <f ca="1">IFERROR(INDIRECT(CONCATENATE("'Height Input'!"&amp;B102&amp;C102)),"")</f>
        <v>0</v>
      </c>
      <c r="AG104" s="512"/>
      <c r="AH104" s="48"/>
      <c r="AI104" s="48"/>
      <c r="AJ104" s="49">
        <f ca="1">IFERROR(IF(AF104="X",MatchDay!$U$2+MatchDay!$U$2+1-COUNTIF($AF104:AF104,"X"),IF(AF104&gt;=97,1,INT(INDIRECT(CONCATENATE("'Height Input'!"&amp;$B101&amp;$C102))))),"")</f>
        <v>0</v>
      </c>
      <c r="AK104" s="50">
        <f ca="1">IFERROR(IF(OR(AJ104=0,AJ104=""),0,IF(OR(AJ104&lt;=VLOOKUP(BT104,$E112:$AJ119,32,FALSE),VLOOKUP(BT104,$E112:$AJ119,32,FALSE)=0),"A","B")),0)</f>
        <v>0</v>
      </c>
      <c r="AL104" s="123" t="str">
        <f ca="1">IFERROR(IF(OR(AK104=0,AK104="B"),"",RANK(AW104,AW104:AW119,1)),"")</f>
        <v/>
      </c>
      <c r="AM104" s="123" t="str">
        <f ca="1">IFERROR(IF(OR(AK104=0,AK104="A"),"",RANK(AX104,AX104:AX119,1)),"")</f>
        <v/>
      </c>
      <c r="AN104" s="51">
        <f ca="1">IFERROR(IF(AF104="X",0,(INDIRECT(CONCATENATE("'Height Input'!"&amp;$B101&amp;$C102))-AJ104)*10),"")</f>
        <v>0</v>
      </c>
      <c r="AO104" s="8"/>
      <c r="AP104" s="9" t="str">
        <f ca="1">IF(AQ104="","",IF(AQ104=1,AR104,REPT(AR104,AQ104-1)))</f>
        <v/>
      </c>
      <c r="AQ104" s="9" t="str">
        <f ca="1">IF(AR104="","",HLOOKUP(AL104,BC103:BJ120,18,FALSE))</f>
        <v/>
      </c>
      <c r="AR104" s="45" t="str">
        <f ca="1">IF(OR(AL104=0,AL104=""),"",IF(COUNTIFS(AL104:AL119,AL104)&gt;1,"=",""))</f>
        <v/>
      </c>
      <c r="AS104" s="45"/>
      <c r="AT104" s="9" t="str">
        <f ca="1">IF(AU104="","",IF(AU104=1,AV104,REPT(AV104,AU104-1)))</f>
        <v/>
      </c>
      <c r="AU104" s="9" t="str">
        <f ca="1">IF(AV104="","",HLOOKUP(AM104,BK103:BR120,18,FALSE))</f>
        <v/>
      </c>
      <c r="AV104" s="45" t="str">
        <f ca="1">IF(OR(AM104=0,AM104=""),"",IF(COUNTIFS(AM104:AM119,AM104)&gt;1,"=",""))</f>
        <v/>
      </c>
      <c r="AW104" s="9" t="str">
        <f t="shared" ref="AW104:AW119" ca="1" si="34">IF(OR(AJ104=0,AF104=0,AK104="B"),"",AJ104)</f>
        <v/>
      </c>
      <c r="AX104" s="9" t="str">
        <f t="shared" ref="AX104:AX119" ca="1" si="35">IF(OR(AJ104=0,AF104=0,AK104="A"),"",AJ104)</f>
        <v/>
      </c>
      <c r="AY104" s="47"/>
      <c r="AZ104" s="135" t="str">
        <f t="shared" ref="AZ104:AZ119" ca="1" si="36">IF(AW104="","",AW104+(AN104/10))</f>
        <v/>
      </c>
      <c r="BA104" s="135" t="str">
        <f t="shared" ref="BA104:BA119" ca="1" si="37">IF(AX104="","",AX104+(AN104/10))</f>
        <v/>
      </c>
      <c r="BB104" s="9"/>
      <c r="BC104" s="52" t="str">
        <f ca="1">IF(AL104="","",IF(AL104=BC103,AL104,""))</f>
        <v/>
      </c>
      <c r="BD104" s="52" t="str">
        <f ca="1">IF(AL104="","",IF(AL104=BD103,AL104,""))</f>
        <v/>
      </c>
      <c r="BE104" s="52" t="str">
        <f ca="1">IF(AL104="","",IF(AL104=BE103,AL104,""))</f>
        <v/>
      </c>
      <c r="BF104" s="52" t="str">
        <f ca="1">IF(AL104="","",IF(AL104=BF103,AL104,""))</f>
        <v/>
      </c>
      <c r="BG104" s="52" t="str">
        <f ca="1">IF(AL104="","",IF(AL104=BG103,AL104,""))</f>
        <v/>
      </c>
      <c r="BH104" s="52" t="str">
        <f ca="1">IF(AL104="","",IF(AL104=BH103,AL104,""))</f>
        <v/>
      </c>
      <c r="BI104" s="52" t="str">
        <f ca="1">IF(AL104="","",IF(AL104=BI103,AL104,""))</f>
        <v/>
      </c>
      <c r="BJ104" s="52" t="str">
        <f ca="1">IF(AL104="","",IF(AL104=BJ103,AL104,""))</f>
        <v/>
      </c>
      <c r="BK104" s="52" t="str">
        <f ca="1">IF(AM104="","",IF(AM104=BK103,AM104,""))</f>
        <v/>
      </c>
      <c r="BL104" s="52" t="str">
        <f ca="1">IF(AM104="","",IF(AM104=BL103,AM104,""))</f>
        <v/>
      </c>
      <c r="BM104" s="52" t="str">
        <f ca="1">IF(AM104="","",IF(AM104=BM103,AM104,""))</f>
        <v/>
      </c>
      <c r="BN104" s="52" t="str">
        <f ca="1">IF(AM104="","",IF(AM104=BN103,AM104,""))</f>
        <v/>
      </c>
      <c r="BO104" s="52" t="str">
        <f ca="1">IF(AM104="","",IF(AM104=BO103,AM104,""))</f>
        <v/>
      </c>
      <c r="BP104" s="52" t="str">
        <f ca="1">IF(AM104="","",IF(AM104=BP103,AM104,""))</f>
        <v/>
      </c>
      <c r="BQ104" s="52" t="str">
        <f ca="1">IF(AM104="","",IF(AM104=BQ103,AM104,""))</f>
        <v/>
      </c>
      <c r="BR104" s="52" t="str">
        <f ca="1">IF(AM104="","",IF(AM104=BR103,AM104,""))</f>
        <v/>
      </c>
      <c r="BS104" s="46"/>
      <c r="BT104" s="4">
        <f>IFERROR(IF(A103=0,A104*11,A104&amp;A104),"")</f>
        <v>33</v>
      </c>
    </row>
    <row r="105" spans="1:72" s="4" customFormat="1" ht="16.149999999999999" customHeight="1" x14ac:dyDescent="0.35">
      <c r="A105" s="8">
        <f>IFERROR(IF(D105&gt;MatchDay!$U$2,"-",VLOOKUP(A100,timetables,MatchDay!$U$4+1,FALSE)),0)</f>
        <v>2</v>
      </c>
      <c r="B105" s="10" t="str">
        <f ca="1">IFERROR(IF(OR(AK105=0,AK105="B"),"",RANK(AZ105,AZ104:AZ119,1)),"")</f>
        <v/>
      </c>
      <c r="C105" s="10" t="str">
        <f ca="1">IFERROR(IF(OR(AK105=0,AK105="A"),"",RANK(BA105,BA104:BA119,1)),"")</f>
        <v/>
      </c>
      <c r="D105" s="55">
        <v>2</v>
      </c>
      <c r="E105" s="17">
        <f t="shared" ref="E105:E119" si="38">A105</f>
        <v>2</v>
      </c>
      <c r="F105" s="319" t="str">
        <f>IFERROR(VLOOKUP($A100&amp;E105,downloads!$A$1:$E$1000,2,FALSE),"")</f>
        <v/>
      </c>
      <c r="G105" s="18" t="str">
        <f t="shared" si="33"/>
        <v>ECHT</v>
      </c>
      <c r="H105" s="497"/>
      <c r="I105" s="498"/>
      <c r="J105" s="497"/>
      <c r="K105" s="498"/>
      <c r="L105" s="497"/>
      <c r="M105" s="498"/>
      <c r="N105" s="497"/>
      <c r="O105" s="498"/>
      <c r="P105" s="497"/>
      <c r="Q105" s="498"/>
      <c r="R105" s="497"/>
      <c r="S105" s="498"/>
      <c r="T105" s="497"/>
      <c r="U105" s="498"/>
      <c r="V105" s="497"/>
      <c r="W105" s="498"/>
      <c r="X105" s="497"/>
      <c r="Y105" s="498"/>
      <c r="Z105" s="497"/>
      <c r="AA105" s="498"/>
      <c r="AB105" s="497"/>
      <c r="AC105" s="498"/>
      <c r="AD105" s="497"/>
      <c r="AE105" s="498"/>
      <c r="AF105" s="511">
        <f ca="1">IFERROR(INDIRECT(CONCATENATE("'Height Input'!"&amp;B102&amp;C102+1)),"")</f>
        <v>0</v>
      </c>
      <c r="AG105" s="512"/>
      <c r="AH105" s="48"/>
      <c r="AI105" s="48"/>
      <c r="AJ105" s="49">
        <f ca="1">IFERROR(IF(AF105="X",MatchDay!$U$2+MatchDay!$U$2+1-COUNTIF($AF104:AF105,"X"),IF(AF105&gt;=97,1,INT(INDIRECT(CONCATENATE("'Height Input'!"&amp;$B101&amp;$C102+1))))),"")</f>
        <v>0</v>
      </c>
      <c r="AK105" s="50">
        <f ca="1">IFERROR(IF(OR(AJ105=0,AJ105=""),0,IF(OR(AJ105&lt;=VLOOKUP(BT105,$E112:$AJ119,32,FALSE),VLOOKUP(BT105,$E112:$AJ119,32,FALSE)=0),"A","B")),0)</f>
        <v>0</v>
      </c>
      <c r="AL105" s="123" t="str">
        <f ca="1">IFERROR(IF(OR(AK105=0,AK105="B"),"",RANK(AW105,AW104:AW119,1)),"")</f>
        <v/>
      </c>
      <c r="AM105" s="123" t="str">
        <f ca="1">IFERROR(IF(OR(AK105=0,AK105="A"),"",RANK(AX105,AX104:AX119,1)),"")</f>
        <v/>
      </c>
      <c r="AN105" s="51">
        <f ca="1">IFERROR(IF(AF105="X",0,(INDIRECT(CONCATENATE("'Height Input'!"&amp;$B101&amp;$C102+1))-AJ105)*10),"")</f>
        <v>0</v>
      </c>
      <c r="AO105" s="8"/>
      <c r="AP105" s="9" t="str">
        <f t="shared" ref="AP105:AP119" ca="1" si="39">IF(AQ105="","",IF(AQ105=1,AR105,REPT(AR105,AQ105-1)))</f>
        <v/>
      </c>
      <c r="AQ105" s="9" t="str">
        <f ca="1">IF(AR105="","",HLOOKUP(AL105,BC103:BJ120,18,FALSE))</f>
        <v/>
      </c>
      <c r="AR105" s="45" t="str">
        <f ca="1">IF(OR(AL105=0,AL105=""),"",IF(COUNTIFS(AL104:AL119,AL105)&gt;1,"=",""))</f>
        <v/>
      </c>
      <c r="AS105" s="45"/>
      <c r="AT105" s="9" t="str">
        <f t="shared" ref="AT105:AT119" ca="1" si="40">IF(AU105="","",IF(AU105=1,AV105,REPT(AV105,AU105-1)))</f>
        <v/>
      </c>
      <c r="AU105" s="9" t="str">
        <f ca="1">IF(AV105="","",HLOOKUP(AM105,BK103:BR120,18,FALSE))</f>
        <v/>
      </c>
      <c r="AV105" s="45" t="str">
        <f ca="1">IF(OR(AM105=0,AM105=""),"",IF(COUNTIFS(AM104:AM119,AM105)&gt;1,"=",""))</f>
        <v/>
      </c>
      <c r="AW105" s="9" t="str">
        <f t="shared" ca="1" si="34"/>
        <v/>
      </c>
      <c r="AX105" s="9" t="str">
        <f t="shared" ca="1" si="35"/>
        <v/>
      </c>
      <c r="AY105" s="47"/>
      <c r="AZ105" s="135" t="str">
        <f t="shared" ca="1" si="36"/>
        <v/>
      </c>
      <c r="BA105" s="135" t="str">
        <f t="shared" ca="1" si="37"/>
        <v/>
      </c>
      <c r="BB105" s="9"/>
      <c r="BC105" s="52" t="str">
        <f ca="1">IF(AL105="","",IF(AL105=BC103,AL105,""))</f>
        <v/>
      </c>
      <c r="BD105" s="52" t="str">
        <f ca="1">IF(AL105="","",IF(AL105=BD103,AL105,""))</f>
        <v/>
      </c>
      <c r="BE105" s="52" t="str">
        <f ca="1">IF(AL105="","",IF(AL105=BE103,AL105,""))</f>
        <v/>
      </c>
      <c r="BF105" s="52" t="str">
        <f ca="1">IF(AL105="","",IF(AL105=BF103,AL105,""))</f>
        <v/>
      </c>
      <c r="BG105" s="52" t="str">
        <f ca="1">IF(AL105="","",IF(AL105=BG103,AL105,""))</f>
        <v/>
      </c>
      <c r="BH105" s="52" t="str">
        <f ca="1">IF(AL105="","",IF(AL105=BH103,AL105,""))</f>
        <v/>
      </c>
      <c r="BI105" s="52" t="str">
        <f ca="1">IF(AL105="","",IF(AL105=BI103,AL105,""))</f>
        <v/>
      </c>
      <c r="BJ105" s="52" t="str">
        <f ca="1">IF(AL105="","",IF(AL105=BJ103,AL105,""))</f>
        <v/>
      </c>
      <c r="BK105" s="52" t="str">
        <f ca="1">IF(AM105="","",IF(AM105=BK103,AM105,""))</f>
        <v/>
      </c>
      <c r="BL105" s="52" t="str">
        <f ca="1">IF(AM105="","",IF(AM105=BL103,AM105,""))</f>
        <v/>
      </c>
      <c r="BM105" s="52" t="str">
        <f ca="1">IF(AM105="","",IF(AM105=BM103,AM105,""))</f>
        <v/>
      </c>
      <c r="BN105" s="52" t="str">
        <f ca="1">IF(AM105="","",IF(AM105=BN103,AM105,""))</f>
        <v/>
      </c>
      <c r="BO105" s="52" t="str">
        <f ca="1">IF(AM105="","",IF(AM105=BO103,AM105,""))</f>
        <v/>
      </c>
      <c r="BP105" s="52" t="str">
        <f ca="1">IF(AM105="","",IF(AM105=BP103,AM105,""))</f>
        <v/>
      </c>
      <c r="BQ105" s="52" t="str">
        <f ca="1">IF(AM105="","",IF(AM105=BQ103,AM105,""))</f>
        <v/>
      </c>
      <c r="BR105" s="52" t="str">
        <f ca="1">IF(AM105="","",IF(AM105=BR103,AM105,""))</f>
        <v/>
      </c>
      <c r="BS105" s="46"/>
      <c r="BT105" s="4">
        <f>IFERROR(IF(A103=0,A105*11,A105&amp;A105),"")</f>
        <v>22</v>
      </c>
    </row>
    <row r="106" spans="1:72" s="4" customFormat="1" ht="16.149999999999999" customHeight="1" x14ac:dyDescent="0.35">
      <c r="A106" s="8">
        <f>IFERROR(IF(D106&gt;MatchDay!$U$2,"-",VLOOKUP(A100,timetables,MatchDay!$U$4+2,FALSE)),0)</f>
        <v>6</v>
      </c>
      <c r="B106" s="10" t="str">
        <f ca="1">IFERROR(IF(OR(AK106=0,AK106="B"),"",RANK(AZ106,AZ104:AZ119,1)),"")</f>
        <v/>
      </c>
      <c r="C106" s="10" t="str">
        <f ca="1">IFERROR(IF(OR(AK106=0,AK106="A"),"",RANK(BA106,BA104:BA119,1)),"")</f>
        <v/>
      </c>
      <c r="D106" s="55">
        <v>3</v>
      </c>
      <c r="E106" s="17">
        <f t="shared" si="38"/>
        <v>6</v>
      </c>
      <c r="F106" s="319" t="str">
        <f>IFERROR(VLOOKUP($A100&amp;E106,downloads!$A$1:$E$1000,2,FALSE),"")</f>
        <v/>
      </c>
      <c r="G106" s="18" t="str">
        <f t="shared" si="33"/>
        <v>Stock</v>
      </c>
      <c r="H106" s="497"/>
      <c r="I106" s="498"/>
      <c r="J106" s="497"/>
      <c r="K106" s="498"/>
      <c r="L106" s="497"/>
      <c r="M106" s="498"/>
      <c r="N106" s="497"/>
      <c r="O106" s="498"/>
      <c r="P106" s="497"/>
      <c r="Q106" s="498"/>
      <c r="R106" s="497"/>
      <c r="S106" s="498"/>
      <c r="T106" s="497"/>
      <c r="U106" s="498"/>
      <c r="V106" s="497"/>
      <c r="W106" s="498"/>
      <c r="X106" s="497"/>
      <c r="Y106" s="498"/>
      <c r="Z106" s="497"/>
      <c r="AA106" s="498"/>
      <c r="AB106" s="497"/>
      <c r="AC106" s="498"/>
      <c r="AD106" s="497"/>
      <c r="AE106" s="498"/>
      <c r="AF106" s="511">
        <f ca="1">IFERROR(INDIRECT(CONCATENATE("'Height Input'!"&amp;B102&amp;C102+2)),"")</f>
        <v>0</v>
      </c>
      <c r="AG106" s="512"/>
      <c r="AH106" s="48"/>
      <c r="AI106" s="48"/>
      <c r="AJ106" s="49">
        <f ca="1">IFERROR(IF(AF106="X",MatchDay!$U$2+MatchDay!$U$2+1-COUNTIF($AF104:AF106,"X"),IF(AF106&gt;=97,1,INT(INDIRECT(CONCATENATE("'Height Input'!"&amp;$B101&amp;$C102+2))))),"")</f>
        <v>0</v>
      </c>
      <c r="AK106" s="50">
        <f ca="1">IFERROR(IF(OR(AJ106=0,AJ106=""),0,IF(OR(AJ106&lt;=VLOOKUP(BT106,$E112:$AJ119,32,FALSE),VLOOKUP(BT106,$E112:$AJ119,32,FALSE)=0),"A","B")),0)</f>
        <v>0</v>
      </c>
      <c r="AL106" s="123" t="str">
        <f ca="1">IFERROR(IF(OR(AK106=0,AK106="B"),"",RANK(AW106,AW104:AW119,1)),"")</f>
        <v/>
      </c>
      <c r="AM106" s="123" t="str">
        <f ca="1">IFERROR(IF(OR(AK106=0,AK106="A"),"",RANK(AX106,AX104:AX119,1)),"")</f>
        <v/>
      </c>
      <c r="AN106" s="51">
        <f ca="1">IFERROR(IF(AF106="X",0,(INDIRECT(CONCATENATE("'Height Input'!"&amp;$B101&amp;$C102+2))-AJ106)*10),"")</f>
        <v>0</v>
      </c>
      <c r="AO106" s="8"/>
      <c r="AP106" s="9" t="str">
        <f t="shared" ca="1" si="39"/>
        <v/>
      </c>
      <c r="AQ106" s="9" t="str">
        <f ca="1">IF(AR106="","",HLOOKUP(AL106,BC103:BJ120,18,FALSE))</f>
        <v/>
      </c>
      <c r="AR106" s="45" t="str">
        <f ca="1">IF(OR(AL106=0,AL106=""),"",IF(COUNTIFS(AL104:AL119,AL106)&gt;1,"=",""))</f>
        <v/>
      </c>
      <c r="AS106" s="45"/>
      <c r="AT106" s="9" t="str">
        <f t="shared" ca="1" si="40"/>
        <v/>
      </c>
      <c r="AU106" s="9" t="str">
        <f ca="1">IF(AV106="","",HLOOKUP(AM106,BK103:BR120,18,FALSE))</f>
        <v/>
      </c>
      <c r="AV106" s="45" t="str">
        <f ca="1">IF(OR(AM106=0,AM106=""),"",IF(COUNTIFS(AM104:AM119,AM106)&gt;1,"=",""))</f>
        <v/>
      </c>
      <c r="AW106" s="9" t="str">
        <f t="shared" ca="1" si="34"/>
        <v/>
      </c>
      <c r="AX106" s="9" t="str">
        <f t="shared" ca="1" si="35"/>
        <v/>
      </c>
      <c r="AY106" s="47"/>
      <c r="AZ106" s="135" t="str">
        <f t="shared" ca="1" si="36"/>
        <v/>
      </c>
      <c r="BA106" s="135" t="str">
        <f t="shared" ca="1" si="37"/>
        <v/>
      </c>
      <c r="BB106" s="9"/>
      <c r="BC106" s="52" t="str">
        <f ca="1">IF(AL106="","",IF(AL106=BC103,AL106,""))</f>
        <v/>
      </c>
      <c r="BD106" s="52" t="str">
        <f ca="1">IF(AL106="","",IF(AL106=BD103,AL106,""))</f>
        <v/>
      </c>
      <c r="BE106" s="52" t="str">
        <f ca="1">IF(AL106="","",IF(AL106=BE103,AL106,""))</f>
        <v/>
      </c>
      <c r="BF106" s="52" t="str">
        <f ca="1">IF(AL106="","",IF(AL106=BF103,AL106,""))</f>
        <v/>
      </c>
      <c r="BG106" s="52" t="str">
        <f ca="1">IF(AL106="","",IF(AL106=BG103,AL106,""))</f>
        <v/>
      </c>
      <c r="BH106" s="52" t="str">
        <f ca="1">IF(AL106="","",IF(AL106=BH103,AL106,""))</f>
        <v/>
      </c>
      <c r="BI106" s="52" t="str">
        <f ca="1">IF(AL106="","",IF(AL106=BI103,AL106,""))</f>
        <v/>
      </c>
      <c r="BJ106" s="52" t="str">
        <f ca="1">IF(AL106="","",IF(AL106=BJ103,AL106,""))</f>
        <v/>
      </c>
      <c r="BK106" s="52" t="str">
        <f ca="1">IF(AM106="","",IF(AM106=BK103,AM106,""))</f>
        <v/>
      </c>
      <c r="BL106" s="52" t="str">
        <f ca="1">IF(AM106="","",IF(AM106=BL103,AM106,""))</f>
        <v/>
      </c>
      <c r="BM106" s="52" t="str">
        <f ca="1">IF(AM106="","",IF(AM106=BM103,AM106,""))</f>
        <v/>
      </c>
      <c r="BN106" s="52" t="str">
        <f ca="1">IF(AM106="","",IF(AM106=BN103,AM106,""))</f>
        <v/>
      </c>
      <c r="BO106" s="52" t="str">
        <f ca="1">IF(AM106="","",IF(AM106=BO103,AM106,""))</f>
        <v/>
      </c>
      <c r="BP106" s="52" t="str">
        <f ca="1">IF(AM106="","",IF(AM106=BP103,AM106,""))</f>
        <v/>
      </c>
      <c r="BQ106" s="52" t="str">
        <f ca="1">IF(AM106="","",IF(AM106=BQ103,AM106,""))</f>
        <v/>
      </c>
      <c r="BR106" s="52" t="str">
        <f ca="1">IF(AM106="","",IF(AM106=BR103,AM106,""))</f>
        <v/>
      </c>
      <c r="BS106" s="46"/>
      <c r="BT106" s="4">
        <f>IFERROR(IF(A103=0,A106*11,A106&amp;A106),"")</f>
        <v>66</v>
      </c>
    </row>
    <row r="107" spans="1:72" s="4" customFormat="1" ht="16.149999999999999" customHeight="1" x14ac:dyDescent="0.35">
      <c r="A107" s="8">
        <f>IFERROR(IF(D107&gt;MatchDay!$U$2,"-",VLOOKUP(A100,timetables,MatchDay!$U$4+3,FALSE)),0)</f>
        <v>1</v>
      </c>
      <c r="B107" s="10">
        <f ca="1">IFERROR(IF(OR(AK107=0,AK107="B"),"",RANK(AZ107,AZ104:AZ119,1)),"")</f>
        <v>1</v>
      </c>
      <c r="C107" s="10" t="str">
        <f ca="1">IFERROR(IF(OR(AK107=0,AK107="A"),"",RANK(BA107,BA104:BA119,1)),"")</f>
        <v/>
      </c>
      <c r="D107" s="55">
        <v>4</v>
      </c>
      <c r="E107" s="17">
        <f t="shared" si="38"/>
        <v>1</v>
      </c>
      <c r="F107" s="319" t="str">
        <f>IFERROR(VLOOKUP($A100&amp;E107,downloads!$A$1:$E$1000,2,FALSE),"")</f>
        <v>Isaac PICKERING</v>
      </c>
      <c r="G107" s="18" t="str">
        <f t="shared" si="33"/>
        <v>C&amp;N</v>
      </c>
      <c r="H107" s="497"/>
      <c r="I107" s="498"/>
      <c r="J107" s="497"/>
      <c r="K107" s="498"/>
      <c r="L107" s="497"/>
      <c r="M107" s="498"/>
      <c r="N107" s="497"/>
      <c r="O107" s="498"/>
      <c r="P107" s="497"/>
      <c r="Q107" s="498"/>
      <c r="R107" s="497"/>
      <c r="S107" s="498"/>
      <c r="T107" s="497"/>
      <c r="U107" s="498"/>
      <c r="V107" s="497"/>
      <c r="W107" s="498"/>
      <c r="X107" s="497"/>
      <c r="Y107" s="498"/>
      <c r="Z107" s="497"/>
      <c r="AA107" s="498"/>
      <c r="AB107" s="497"/>
      <c r="AC107" s="498"/>
      <c r="AD107" s="497"/>
      <c r="AE107" s="498"/>
      <c r="AF107" s="511">
        <f ca="1">IFERROR(INDIRECT(CONCATENATE("'Height Input'!"&amp;B102&amp;C102+3)),"")</f>
        <v>2.2999999999999998</v>
      </c>
      <c r="AG107" s="512"/>
      <c r="AH107" s="48"/>
      <c r="AI107" s="48"/>
      <c r="AJ107" s="49">
        <f ca="1">IFERROR(IF(AF107="X",MatchDay!$U$2+MatchDay!$U$2+1-COUNTIF($AF104:AF107,"X"),IF(AF107&gt;=97,1,INT(INDIRECT(CONCATENATE("'Height Input'!"&amp;$B101&amp;$C102+3))))),"")</f>
        <v>1</v>
      </c>
      <c r="AK107" s="50" t="str">
        <f ca="1">IFERROR(IF(OR(AJ107=0,AJ107=""),0,IF(OR(AJ107&lt;=VLOOKUP(BT107,$E112:$AJ119,32,FALSE),VLOOKUP(BT107,$E112:$AJ119,32,FALSE)=0),"A","B")),0)</f>
        <v>A</v>
      </c>
      <c r="AL107" s="123">
        <f ca="1">IFERROR(IF(OR(AK107=0,AK107="B"),"",RANK(AW107,AW104:AW119,1)),"")</f>
        <v>1</v>
      </c>
      <c r="AM107" s="123" t="str">
        <f ca="1">IFERROR(IF(OR(AK107=0,AK107="A"),"",RANK(AX107,AX104:AX119,1)),"")</f>
        <v/>
      </c>
      <c r="AN107" s="51">
        <f ca="1">IFERROR(IF(AF107="X",0,(INDIRECT(CONCATENATE("'Height Input'!"&amp;$B101&amp;$C102+3))-AJ107)*10),"")</f>
        <v>0</v>
      </c>
      <c r="AO107" s="8"/>
      <c r="AP107" s="9" t="str">
        <f t="shared" ca="1" si="39"/>
        <v/>
      </c>
      <c r="AQ107" s="9" t="str">
        <f ca="1">IF(AR107="","",HLOOKUP(AL107,BC103:BJ120,18,FALSE))</f>
        <v/>
      </c>
      <c r="AR107" s="45" t="str">
        <f ca="1">IF(OR(AL107=0,AL107=""),"",IF(COUNTIFS(AL104:AL119,AL107)&gt;1,"=",""))</f>
        <v/>
      </c>
      <c r="AS107" s="45"/>
      <c r="AT107" s="9" t="str">
        <f t="shared" ca="1" si="40"/>
        <v/>
      </c>
      <c r="AU107" s="9" t="str">
        <f ca="1">IF(AV107="","",HLOOKUP(AM107,BK103:BR120,18,FALSE))</f>
        <v/>
      </c>
      <c r="AV107" s="45" t="str">
        <f ca="1">IF(OR(AM107=0,AM107=""),"",IF(COUNTIFS(AM104:AM119,AM107)&gt;1,"=",""))</f>
        <v/>
      </c>
      <c r="AW107" s="9">
        <f t="shared" ca="1" si="34"/>
        <v>1</v>
      </c>
      <c r="AX107" s="9" t="str">
        <f t="shared" ca="1" si="35"/>
        <v/>
      </c>
      <c r="AY107" s="47"/>
      <c r="AZ107" s="135">
        <f t="shared" ca="1" si="36"/>
        <v>1</v>
      </c>
      <c r="BA107" s="135" t="str">
        <f t="shared" ca="1" si="37"/>
        <v/>
      </c>
      <c r="BB107" s="9"/>
      <c r="BC107" s="52">
        <f ca="1">IF(AL107="","",IF(AL107=BC103,AL107,""))</f>
        <v>1</v>
      </c>
      <c r="BD107" s="52" t="str">
        <f ca="1">IF(AL107="","",IF(AL107=BD103,AL107,""))</f>
        <v/>
      </c>
      <c r="BE107" s="52" t="str">
        <f ca="1">IF(AL107="","",IF(AL107=BE103,AL107,""))</f>
        <v/>
      </c>
      <c r="BF107" s="52" t="str">
        <f ca="1">IF(AL107="","",IF(AL107=BF103,AL107,""))</f>
        <v/>
      </c>
      <c r="BG107" s="52" t="str">
        <f ca="1">IF(AL107="","",IF(AL107=BG103,AL107,""))</f>
        <v/>
      </c>
      <c r="BH107" s="52" t="str">
        <f ca="1">IF(AL107="","",IF(AL107=BH103,AL107,""))</f>
        <v/>
      </c>
      <c r="BI107" s="52" t="str">
        <f ca="1">IF(AL107="","",IF(AL107=BI103,AL107,""))</f>
        <v/>
      </c>
      <c r="BJ107" s="52" t="str">
        <f ca="1">IF(AL107="","",IF(AL107=BJ103,AL107,""))</f>
        <v/>
      </c>
      <c r="BK107" s="52" t="str">
        <f ca="1">IF(AM107="","",IF(AM107=BK103,AM107,""))</f>
        <v/>
      </c>
      <c r="BL107" s="52" t="str">
        <f ca="1">IF(AM107="","",IF(AM107=BL103,AM107,""))</f>
        <v/>
      </c>
      <c r="BM107" s="52" t="str">
        <f ca="1">IF(AM107="","",IF(AM107=BM103,AM107,""))</f>
        <v/>
      </c>
      <c r="BN107" s="52" t="str">
        <f ca="1">IF(AM107="","",IF(AM107=BN103,AM107,""))</f>
        <v/>
      </c>
      <c r="BO107" s="52" t="str">
        <f ca="1">IF(AM107="","",IF(AM107=BO103,AM107,""))</f>
        <v/>
      </c>
      <c r="BP107" s="52" t="str">
        <f ca="1">IF(AM107="","",IF(AM107=BP103,AM107,""))</f>
        <v/>
      </c>
      <c r="BQ107" s="52" t="str">
        <f ca="1">IF(AM107="","",IF(AM107=BQ103,AM107,""))</f>
        <v/>
      </c>
      <c r="BR107" s="52" t="str">
        <f ca="1">IF(AM107="","",IF(AM107=BR103,AM107,""))</f>
        <v/>
      </c>
      <c r="BS107" s="46"/>
      <c r="BT107" s="4">
        <f>IFERROR(IF(A103=0,A107*11,A107&amp;A107),"")</f>
        <v>11</v>
      </c>
    </row>
    <row r="108" spans="1:72" s="4" customFormat="1" ht="16.149999999999999" customHeight="1" x14ac:dyDescent="0.35">
      <c r="A108" s="8">
        <f>IFERROR(IF(D108&gt;MatchDay!$U$2,"-",VLOOKUP(A100,timetables,MatchDay!$U$4+4,FALSE)),0)</f>
        <v>5</v>
      </c>
      <c r="B108" s="10" t="str">
        <f ca="1">IFERROR(IF(OR(AK108=0,AK108="B"),"",RANK(AZ108,AZ104:AZ119,1)),"")</f>
        <v/>
      </c>
      <c r="C108" s="10" t="str">
        <f ca="1">IFERROR(IF(OR(AK108=0,AK108="A"),"",RANK(BA108,BA104:BA119,1)),"")</f>
        <v/>
      </c>
      <c r="D108" s="55">
        <v>5</v>
      </c>
      <c r="E108" s="17">
        <f t="shared" si="38"/>
        <v>5</v>
      </c>
      <c r="F108" s="319" t="str">
        <f>IFERROR(VLOOKUP($A100&amp;E108,downloads!$A$1:$E$1000,2,FALSE),"")</f>
        <v/>
      </c>
      <c r="G108" s="18" t="str">
        <f t="shared" si="33"/>
        <v>Menai</v>
      </c>
      <c r="H108" s="497"/>
      <c r="I108" s="498"/>
      <c r="J108" s="497"/>
      <c r="K108" s="498"/>
      <c r="L108" s="497"/>
      <c r="M108" s="498"/>
      <c r="N108" s="497"/>
      <c r="O108" s="498"/>
      <c r="P108" s="497"/>
      <c r="Q108" s="498"/>
      <c r="R108" s="497"/>
      <c r="S108" s="498"/>
      <c r="T108" s="497"/>
      <c r="U108" s="498"/>
      <c r="V108" s="497"/>
      <c r="W108" s="498"/>
      <c r="X108" s="497"/>
      <c r="Y108" s="498"/>
      <c r="Z108" s="497"/>
      <c r="AA108" s="498"/>
      <c r="AB108" s="497"/>
      <c r="AC108" s="498"/>
      <c r="AD108" s="497"/>
      <c r="AE108" s="498"/>
      <c r="AF108" s="511">
        <f ca="1">IFERROR(INDIRECT(CONCATENATE("'Height Input'!"&amp;B102&amp;C102+4)),"")</f>
        <v>0</v>
      </c>
      <c r="AG108" s="512"/>
      <c r="AH108" s="48"/>
      <c r="AI108" s="48"/>
      <c r="AJ108" s="49">
        <f ca="1">IFERROR(IF(AF108="X",MatchDay!$U$2+MatchDay!$U$2+1-COUNTIF($AF104:AF108,"X"),IF(AF108&gt;=97,1,INT(INDIRECT(CONCATENATE("'Height Input'!"&amp;$B101&amp;$C102+4))))),"")</f>
        <v>0</v>
      </c>
      <c r="AK108" s="50">
        <f ca="1">IFERROR(IF(OR(AJ108=0,AJ108=""),0,IF(OR(AJ108&lt;=VLOOKUP(BT108,$E112:$AJ119,32,FALSE),VLOOKUP(BT108,$E112:$AJ119,32,FALSE)=0),"A","B")),0)</f>
        <v>0</v>
      </c>
      <c r="AL108" s="123" t="str">
        <f ca="1">IFERROR(IF(OR(AK108=0,AK108="B"),"",RANK(AW108,AW104:AW119,1)),"")</f>
        <v/>
      </c>
      <c r="AM108" s="123" t="str">
        <f ca="1">IFERROR(IF(OR(AK108=0,AK108="A"),"",RANK(AX108,AX104:AX119,1)),"")</f>
        <v/>
      </c>
      <c r="AN108" s="51">
        <f ca="1">IFERROR(IF(AF108="X",0,(INDIRECT(CONCATENATE("'Height Input'!"&amp;$B101&amp;$C102+4))-AJ108)*10),"")</f>
        <v>0</v>
      </c>
      <c r="AO108" s="8"/>
      <c r="AP108" s="9" t="str">
        <f t="shared" ca="1" si="39"/>
        <v/>
      </c>
      <c r="AQ108" s="9" t="str">
        <f ca="1">IF(AR108="","",HLOOKUP(AL108,BC103:BJ120,18,FALSE))</f>
        <v/>
      </c>
      <c r="AR108" s="45" t="str">
        <f ca="1">IF(OR(AL108=0,AL108=""),"",IF(COUNTIFS(AL104:AL119,AL108)&gt;1,"=",""))</f>
        <v/>
      </c>
      <c r="AS108" s="45"/>
      <c r="AT108" s="9" t="str">
        <f t="shared" ca="1" si="40"/>
        <v/>
      </c>
      <c r="AU108" s="9" t="str">
        <f ca="1">IF(AV108="","",HLOOKUP(AM108,BK103:BR120,18,FALSE))</f>
        <v/>
      </c>
      <c r="AV108" s="45" t="str">
        <f ca="1">IF(OR(AM108=0,AM108=""),"",IF(COUNTIFS(AM104:AM119,AM108)&gt;1,"=",""))</f>
        <v/>
      </c>
      <c r="AW108" s="9" t="str">
        <f t="shared" ca="1" si="34"/>
        <v/>
      </c>
      <c r="AX108" s="9" t="str">
        <f t="shared" ca="1" si="35"/>
        <v/>
      </c>
      <c r="AY108" s="47"/>
      <c r="AZ108" s="135" t="str">
        <f t="shared" ca="1" si="36"/>
        <v/>
      </c>
      <c r="BA108" s="135" t="str">
        <f t="shared" ca="1" si="37"/>
        <v/>
      </c>
      <c r="BB108" s="9"/>
      <c r="BC108" s="52" t="str">
        <f ca="1">IF(AL108="","",IF(AL108=BC103,AL108,""))</f>
        <v/>
      </c>
      <c r="BD108" s="52" t="str">
        <f ca="1">IF(AL108="","",IF(AL108=BD103,AL108,""))</f>
        <v/>
      </c>
      <c r="BE108" s="52" t="str">
        <f ca="1">IF(AL108="","",IF(AL108=BE103,AL108,""))</f>
        <v/>
      </c>
      <c r="BF108" s="52" t="str">
        <f ca="1">IF(AL108="","",IF(AL108=BF103,AL108,""))</f>
        <v/>
      </c>
      <c r="BG108" s="52" t="str">
        <f ca="1">IF(AL108="","",IF(AL108=BG103,AL108,""))</f>
        <v/>
      </c>
      <c r="BH108" s="52" t="str">
        <f ca="1">IF(AL108="","",IF(AL108=BH103,AL108,""))</f>
        <v/>
      </c>
      <c r="BI108" s="52" t="str">
        <f ca="1">IF(AL108="","",IF(AL108=BI103,AL108,""))</f>
        <v/>
      </c>
      <c r="BJ108" s="52" t="str">
        <f ca="1">IF(AL108="","",IF(AL108=BJ103,AL108,""))</f>
        <v/>
      </c>
      <c r="BK108" s="52" t="str">
        <f ca="1">IF(AM108="","",IF(AM108=BK103,AM108,""))</f>
        <v/>
      </c>
      <c r="BL108" s="52" t="str">
        <f ca="1">IF(AM108="","",IF(AM108=BL103,AM108,""))</f>
        <v/>
      </c>
      <c r="BM108" s="52" t="str">
        <f ca="1">IF(AM108="","",IF(AM108=BM103,AM108,""))</f>
        <v/>
      </c>
      <c r="BN108" s="52" t="str">
        <f ca="1">IF(AM108="","",IF(AM108=BN103,AM108,""))</f>
        <v/>
      </c>
      <c r="BO108" s="52" t="str">
        <f ca="1">IF(AM108="","",IF(AM108=BO103,AM108,""))</f>
        <v/>
      </c>
      <c r="BP108" s="52" t="str">
        <f ca="1">IF(AM108="","",IF(AM108=BP103,AM108,""))</f>
        <v/>
      </c>
      <c r="BQ108" s="52" t="str">
        <f ca="1">IF(AM108="","",IF(AM108=BQ103,AM108,""))</f>
        <v/>
      </c>
      <c r="BR108" s="52" t="str">
        <f ca="1">IF(AM108="","",IF(AM108=BR103,AM108,""))</f>
        <v/>
      </c>
      <c r="BS108" s="46"/>
      <c r="BT108" s="4">
        <f>IFERROR(IF(A103=0,A108*11,A108&amp;A108),"")</f>
        <v>55</v>
      </c>
    </row>
    <row r="109" spans="1:72" s="4" customFormat="1" ht="16.149999999999999" customHeight="1" x14ac:dyDescent="0.35">
      <c r="A109" s="8">
        <f>IFERROR(IF(D109&gt;MatchDay!$U$2,"-",VLOOKUP(A100,timetables,MatchDay!$U$4+5,FALSE)),0)</f>
        <v>4</v>
      </c>
      <c r="B109" s="10" t="str">
        <f ca="1">IFERROR(IF(OR(AK109=0,AK109="B"),"",RANK(AZ109,AZ104:AZ119,1)),"")</f>
        <v/>
      </c>
      <c r="C109" s="10" t="str">
        <f ca="1">IFERROR(IF(OR(AK109=0,AK109="A"),"",RANK(BA109,BA104:BA119,1)),"")</f>
        <v/>
      </c>
      <c r="D109" s="55">
        <v>6</v>
      </c>
      <c r="E109" s="17">
        <f t="shared" si="38"/>
        <v>4</v>
      </c>
      <c r="F109" s="319" t="str">
        <f>IFERROR(VLOOKUP($A100&amp;E109,downloads!$A$1:$E$1000,2,FALSE),"")</f>
        <v/>
      </c>
      <c r="G109" s="18" t="str">
        <f t="shared" si="33"/>
        <v>Macc</v>
      </c>
      <c r="H109" s="497"/>
      <c r="I109" s="498"/>
      <c r="J109" s="497"/>
      <c r="K109" s="498"/>
      <c r="L109" s="497"/>
      <c r="M109" s="498"/>
      <c r="N109" s="497"/>
      <c r="O109" s="498"/>
      <c r="P109" s="497"/>
      <c r="Q109" s="498"/>
      <c r="R109" s="497"/>
      <c r="S109" s="498"/>
      <c r="T109" s="497"/>
      <c r="U109" s="498"/>
      <c r="V109" s="497"/>
      <c r="W109" s="498"/>
      <c r="X109" s="497"/>
      <c r="Y109" s="498"/>
      <c r="Z109" s="497"/>
      <c r="AA109" s="498"/>
      <c r="AB109" s="497"/>
      <c r="AC109" s="498"/>
      <c r="AD109" s="497"/>
      <c r="AE109" s="498"/>
      <c r="AF109" s="511">
        <f ca="1">IFERROR(INDIRECT(CONCATENATE("'Height Input'!"&amp;B102&amp;C102+5)),"")</f>
        <v>0</v>
      </c>
      <c r="AG109" s="512"/>
      <c r="AH109" s="48"/>
      <c r="AI109" s="48"/>
      <c r="AJ109" s="49">
        <f ca="1">IFERROR(IF(AF109="X",MatchDay!$U$2+MatchDay!$U$2+1-COUNTIF($AF104:AF109,"X"),IF(AF109&gt;=97,1,INT(INDIRECT(CONCATENATE("'Height Input'!"&amp;$B101&amp;$C102+5))))),"")</f>
        <v>0</v>
      </c>
      <c r="AK109" s="50">
        <f ca="1">IFERROR(IF(OR(AJ109=0,AJ109=""),0,IF(OR(AJ109&lt;=VLOOKUP(BT109,$E112:$AJ119,32,FALSE),VLOOKUP(BT109,$E112:$AJ119,32,FALSE)=0),"A","B")),0)</f>
        <v>0</v>
      </c>
      <c r="AL109" s="123" t="str">
        <f ca="1">IFERROR(IF(OR(AK109=0,AK109="B"),"",RANK(AW109,AW104:AW119,1)),"")</f>
        <v/>
      </c>
      <c r="AM109" s="123" t="str">
        <f ca="1">IFERROR(IF(OR(AK109=0,AK109="A"),"",RANK(AX109,AX104:AX119,1)),"")</f>
        <v/>
      </c>
      <c r="AN109" s="51">
        <f ca="1">IFERROR(IF(AF109="X",0,(INDIRECT(CONCATENATE("'Height Input'!"&amp;$B101&amp;$C102+5))-AJ109)*10),"")</f>
        <v>0</v>
      </c>
      <c r="AO109" s="8"/>
      <c r="AP109" s="9" t="str">
        <f t="shared" ca="1" si="39"/>
        <v/>
      </c>
      <c r="AQ109" s="9" t="str">
        <f ca="1">IF(AR109="","",HLOOKUP(AL109,BC103:BJ120,18,FALSE))</f>
        <v/>
      </c>
      <c r="AR109" s="45" t="str">
        <f ca="1">IF(OR(AL109=0,AL109=""),"",IF(COUNTIFS(AL104:AL119,AL109)&gt;1,"=",""))</f>
        <v/>
      </c>
      <c r="AS109" s="45"/>
      <c r="AT109" s="9" t="str">
        <f t="shared" ca="1" si="40"/>
        <v/>
      </c>
      <c r="AU109" s="9" t="str">
        <f ca="1">IF(AV109="","",HLOOKUP(AM109,BK103:BR120,18,FALSE))</f>
        <v/>
      </c>
      <c r="AV109" s="45" t="str">
        <f ca="1">IF(OR(AM109=0,AM109=""),"",IF(COUNTIFS(AM104:AM119,AM109)&gt;1,"=",""))</f>
        <v/>
      </c>
      <c r="AW109" s="9" t="str">
        <f t="shared" ca="1" si="34"/>
        <v/>
      </c>
      <c r="AX109" s="9" t="str">
        <f t="shared" ca="1" si="35"/>
        <v/>
      </c>
      <c r="AY109" s="47"/>
      <c r="AZ109" s="135" t="str">
        <f t="shared" ca="1" si="36"/>
        <v/>
      </c>
      <c r="BA109" s="135" t="str">
        <f t="shared" ca="1" si="37"/>
        <v/>
      </c>
      <c r="BB109" s="9"/>
      <c r="BC109" s="52" t="str">
        <f ca="1">IF(AL109="","",IF(AL109=BC103,AL109,""))</f>
        <v/>
      </c>
      <c r="BD109" s="52" t="str">
        <f ca="1">IF(AL109="","",IF(AL109=BD103,AL109,""))</f>
        <v/>
      </c>
      <c r="BE109" s="52" t="str">
        <f ca="1">IF(AL109="","",IF(AL109=BE103,AL109,""))</f>
        <v/>
      </c>
      <c r="BF109" s="52" t="str">
        <f ca="1">IF(AL109="","",IF(AL109=BF103,AL109,""))</f>
        <v/>
      </c>
      <c r="BG109" s="52" t="str">
        <f ca="1">IF(AL109="","",IF(AL109=BG103,AL109,""))</f>
        <v/>
      </c>
      <c r="BH109" s="52" t="str">
        <f ca="1">IF(AL109="","",IF(AL109=BH103,AL109,""))</f>
        <v/>
      </c>
      <c r="BI109" s="52" t="str">
        <f ca="1">IF(AL109="","",IF(AL109=BI103,AL109,""))</f>
        <v/>
      </c>
      <c r="BJ109" s="52" t="str">
        <f ca="1">IF(AL109="","",IF(AL109=BJ103,AL109,""))</f>
        <v/>
      </c>
      <c r="BK109" s="52" t="str">
        <f ca="1">IF(AM109="","",IF(AM109=BK103,AM109,""))</f>
        <v/>
      </c>
      <c r="BL109" s="52" t="str">
        <f ca="1">IF(AM109="","",IF(AM109=BL103,AM109,""))</f>
        <v/>
      </c>
      <c r="BM109" s="52" t="str">
        <f ca="1">IF(AM109="","",IF(AM109=BM103,AM109,""))</f>
        <v/>
      </c>
      <c r="BN109" s="52" t="str">
        <f ca="1">IF(AM109="","",IF(AM109=BN103,AM109,""))</f>
        <v/>
      </c>
      <c r="BO109" s="52" t="str">
        <f ca="1">IF(AM109="","",IF(AM109=BO103,AM109,""))</f>
        <v/>
      </c>
      <c r="BP109" s="52" t="str">
        <f ca="1">IF(AM109="","",IF(AM109=BP103,AM109,""))</f>
        <v/>
      </c>
      <c r="BQ109" s="52" t="str">
        <f ca="1">IF(AM109="","",IF(AM109=BQ103,AM109,""))</f>
        <v/>
      </c>
      <c r="BR109" s="52" t="str">
        <f ca="1">IF(AM109="","",IF(AM109=BR103,AM109,""))</f>
        <v/>
      </c>
      <c r="BS109" s="46"/>
      <c r="BT109" s="4">
        <f>IFERROR(IF(A103=0,A109*11,A109&amp;A109),"")</f>
        <v>44</v>
      </c>
    </row>
    <row r="110" spans="1:72" s="4" customFormat="1" ht="16.149999999999999" customHeight="1" x14ac:dyDescent="0.35">
      <c r="A110" s="8">
        <f>IFERROR(IF(D110&gt;MatchDay!$U$2,"-",VLOOKUP(A100,timetables,MatchDay!$U$4+6,FALSE)),0)</f>
        <v>7</v>
      </c>
      <c r="B110" s="10" t="str">
        <f ca="1">IFERROR(IF(OR(AK110=0,AK110="B"),"",RANK(AZ110,AZ104:AZ119,1)),"")</f>
        <v/>
      </c>
      <c r="C110" s="10" t="str">
        <f ca="1">IFERROR(IF(OR(AK110=0,AK110="A"),"",RANK(BA110,BA104:BA119,1)),"")</f>
        <v/>
      </c>
      <c r="D110" s="55">
        <v>7</v>
      </c>
      <c r="E110" s="17">
        <f t="shared" si="38"/>
        <v>7</v>
      </c>
      <c r="F110" s="319" t="str">
        <f>IFERROR(VLOOKUP($A100&amp;E110,downloads!$A$1:$E$1000,2,FALSE),"")</f>
        <v/>
      </c>
      <c r="G110" s="18" t="str">
        <f t="shared" si="33"/>
        <v>Wigan</v>
      </c>
      <c r="H110" s="497"/>
      <c r="I110" s="498"/>
      <c r="J110" s="497"/>
      <c r="K110" s="498"/>
      <c r="L110" s="497"/>
      <c r="M110" s="498"/>
      <c r="N110" s="497"/>
      <c r="O110" s="498"/>
      <c r="P110" s="497"/>
      <c r="Q110" s="498"/>
      <c r="R110" s="497"/>
      <c r="S110" s="498"/>
      <c r="T110" s="497"/>
      <c r="U110" s="498"/>
      <c r="V110" s="497"/>
      <c r="W110" s="498"/>
      <c r="X110" s="497"/>
      <c r="Y110" s="498"/>
      <c r="Z110" s="497"/>
      <c r="AA110" s="498"/>
      <c r="AB110" s="497"/>
      <c r="AC110" s="498"/>
      <c r="AD110" s="497"/>
      <c r="AE110" s="498"/>
      <c r="AF110" s="511">
        <f ca="1">IFERROR(INDIRECT(CONCATENATE("'Height Input'!"&amp;B102&amp;C102+6)),"")</f>
        <v>0</v>
      </c>
      <c r="AG110" s="512"/>
      <c r="AH110" s="48"/>
      <c r="AI110" s="48"/>
      <c r="AJ110" s="49">
        <f ca="1">IFERROR(IF(AF110="X",MatchDay!$U$2+MatchDay!$U$2+1-COUNTIF($AF104:AF110,"X"),IF(AF110&gt;=97,1,INT(INDIRECT(CONCATENATE("'Height Input'!"&amp;$B101&amp;$C102+6))))),"")</f>
        <v>0</v>
      </c>
      <c r="AK110" s="50">
        <f ca="1">IFERROR(IF(OR(AJ110=0,AJ110=""),0,IF(OR(AJ110&lt;=VLOOKUP(BT110,$E112:$AJ119,32,FALSE),VLOOKUP(BT110,$E112:$AJ119,32,FALSE)=0),"A","B")),0)</f>
        <v>0</v>
      </c>
      <c r="AL110" s="123" t="str">
        <f ca="1">IFERROR(IF(OR(AK110=0,AK110="B"),"",RANK(AW110,AW104:AW119,1)),"")</f>
        <v/>
      </c>
      <c r="AM110" s="123" t="str">
        <f ca="1">IFERROR(IF(OR(AK110=0,AK110="A"),"",RANK(AX110,AX104:AX119,1)),"")</f>
        <v/>
      </c>
      <c r="AN110" s="51">
        <f ca="1">IFERROR(IF(AF110="X",0,(INDIRECT(CONCATENATE("'Height Input'!"&amp;$B101&amp;$C102+6))-AJ110)*10),"")</f>
        <v>0</v>
      </c>
      <c r="AO110" s="8"/>
      <c r="AP110" s="9" t="str">
        <f t="shared" ca="1" si="39"/>
        <v/>
      </c>
      <c r="AQ110" s="9" t="str">
        <f ca="1">IF(AR110="","",HLOOKUP(AL110,BC103:BJ120,18,FALSE))</f>
        <v/>
      </c>
      <c r="AR110" s="45" t="str">
        <f ca="1">IF(OR(AL110=0,AL110=""),"",IF(COUNTIFS(AL104:AL119,AL110)&gt;1,"=",""))</f>
        <v/>
      </c>
      <c r="AS110" s="45"/>
      <c r="AT110" s="9" t="str">
        <f t="shared" ca="1" si="40"/>
        <v/>
      </c>
      <c r="AU110" s="9" t="str">
        <f ca="1">IF(AV110="","",HLOOKUP(AM110,BK103:BR120,18,FALSE))</f>
        <v/>
      </c>
      <c r="AV110" s="45" t="str">
        <f ca="1">IF(OR(AM110=0,AM110=""),"",IF(COUNTIFS(AM104:AM119,AM110)&gt;1,"=",""))</f>
        <v/>
      </c>
      <c r="AW110" s="9" t="str">
        <f t="shared" ca="1" si="34"/>
        <v/>
      </c>
      <c r="AX110" s="9" t="str">
        <f t="shared" ca="1" si="35"/>
        <v/>
      </c>
      <c r="AY110" s="47"/>
      <c r="AZ110" s="135" t="str">
        <f t="shared" ca="1" si="36"/>
        <v/>
      </c>
      <c r="BA110" s="135" t="str">
        <f t="shared" ca="1" si="37"/>
        <v/>
      </c>
      <c r="BB110" s="9"/>
      <c r="BC110" s="52" t="str">
        <f ca="1">IF(AL110="","",IF(AL110=BC103,AL110,""))</f>
        <v/>
      </c>
      <c r="BD110" s="52" t="str">
        <f ca="1">IF(AL110="","",IF(AL110=BD103,AL110,""))</f>
        <v/>
      </c>
      <c r="BE110" s="52" t="str">
        <f ca="1">IF(AL110="","",IF(AL110=BE103,AL110,""))</f>
        <v/>
      </c>
      <c r="BF110" s="52" t="str">
        <f ca="1">IF(AL110="","",IF(AL110=BF103,AL110,""))</f>
        <v/>
      </c>
      <c r="BG110" s="52" t="str">
        <f ca="1">IF(AL110="","",IF(AL110=BG103,AL110,""))</f>
        <v/>
      </c>
      <c r="BH110" s="52" t="str">
        <f ca="1">IF(AL110="","",IF(AL110=BH103,AL110,""))</f>
        <v/>
      </c>
      <c r="BI110" s="52" t="str">
        <f ca="1">IF(AL110="","",IF(AL110=BI103,AL110,""))</f>
        <v/>
      </c>
      <c r="BJ110" s="52" t="str">
        <f ca="1">IF(AL110="","",IF(AL110=BJ103,AL110,""))</f>
        <v/>
      </c>
      <c r="BK110" s="52" t="str">
        <f ca="1">IF(AM110="","",IF(AM110=BK103,AM110,""))</f>
        <v/>
      </c>
      <c r="BL110" s="52" t="str">
        <f ca="1">IF(AM110="","",IF(AM110=BL103,AM110,""))</f>
        <v/>
      </c>
      <c r="BM110" s="52" t="str">
        <f ca="1">IF(AM110="","",IF(AM110=BM103,AM110,""))</f>
        <v/>
      </c>
      <c r="BN110" s="52" t="str">
        <f ca="1">IF(AM110="","",IF(AM110=BN103,AM110,""))</f>
        <v/>
      </c>
      <c r="BO110" s="52" t="str">
        <f ca="1">IF(AM110="","",IF(AM110=BO103,AM110,""))</f>
        <v/>
      </c>
      <c r="BP110" s="52" t="str">
        <f ca="1">IF(AM110="","",IF(AM110=BP103,AM110,""))</f>
        <v/>
      </c>
      <c r="BQ110" s="52" t="str">
        <f ca="1">IF(AM110="","",IF(AM110=BQ103,AM110,""))</f>
        <v/>
      </c>
      <c r="BR110" s="52" t="str">
        <f ca="1">IF(AM110="","",IF(AM110=BR103,AM110,""))</f>
        <v/>
      </c>
      <c r="BS110" s="46"/>
      <c r="BT110" s="4">
        <f>IFERROR(IF(A103=0,A110*11,A110&amp;A110),"")</f>
        <v>77</v>
      </c>
    </row>
    <row r="111" spans="1:72" s="4" customFormat="1" ht="16.149999999999999" customHeight="1" x14ac:dyDescent="0.35">
      <c r="A111" s="8" t="str">
        <f>IFERROR(IF(D111&gt;MatchDay!$U$2,"-",VLOOKUP(A100,timetables,MatchDay!$U$4+7,FALSE)),0)</f>
        <v>-</v>
      </c>
      <c r="B111" s="10" t="str">
        <f ca="1">IFERROR(IF(OR(AK111=0,AK111="B"),"",RANK(AZ111,AZ104:AZ119,1)),"")</f>
        <v/>
      </c>
      <c r="C111" s="10" t="str">
        <f ca="1">IFERROR(IF(OR(AK111=0,AK111="A"),"",RANK(BA111,BA104:BA119,1)),"")</f>
        <v/>
      </c>
      <c r="D111" s="55">
        <v>8</v>
      </c>
      <c r="E111" s="17" t="str">
        <f t="shared" si="38"/>
        <v>-</v>
      </c>
      <c r="F111" s="319" t="str">
        <f>IFERROR(VLOOKUP($A100&amp;E111,downloads!$A$1:$E$1000,2,FALSE),"")</f>
        <v/>
      </c>
      <c r="G111" s="18" t="str">
        <f t="shared" si="33"/>
        <v/>
      </c>
      <c r="H111" s="497"/>
      <c r="I111" s="498"/>
      <c r="J111" s="497"/>
      <c r="K111" s="498"/>
      <c r="L111" s="497"/>
      <c r="M111" s="498"/>
      <c r="N111" s="497"/>
      <c r="O111" s="498"/>
      <c r="P111" s="497"/>
      <c r="Q111" s="498"/>
      <c r="R111" s="497"/>
      <c r="S111" s="498"/>
      <c r="T111" s="497"/>
      <c r="U111" s="498"/>
      <c r="V111" s="497"/>
      <c r="W111" s="498"/>
      <c r="X111" s="497"/>
      <c r="Y111" s="498"/>
      <c r="Z111" s="497"/>
      <c r="AA111" s="498"/>
      <c r="AB111" s="497"/>
      <c r="AC111" s="498"/>
      <c r="AD111" s="497"/>
      <c r="AE111" s="498"/>
      <c r="AF111" s="511">
        <f ca="1">IFERROR(INDIRECT(CONCATENATE("'Height Input'!"&amp;B102&amp;C102+7)),"")</f>
        <v>0</v>
      </c>
      <c r="AG111" s="512"/>
      <c r="AH111" s="48"/>
      <c r="AI111" s="48"/>
      <c r="AJ111" s="49">
        <f ca="1">IFERROR(IF(AF111="X",MatchDay!$U$2+MatchDay!$U$2+1-COUNTIF($AF104:AF111,"X"),IF(AF111&gt;=97,1,INT(INDIRECT(CONCATENATE("'Height Input'!"&amp;$B101&amp;$C102+7))))),"")</f>
        <v>0</v>
      </c>
      <c r="AK111" s="50">
        <f ca="1">IFERROR(IF(OR(AJ111=0,AJ111=""),0,IF(OR(AJ111&lt;=VLOOKUP(BT111,$E112:$AJ119,32,FALSE),VLOOKUP(BT111,$E112:$AJ119,32,FALSE)=0),"A","B")),0)</f>
        <v>0</v>
      </c>
      <c r="AL111" s="123" t="str">
        <f ca="1">IFERROR(IF(OR(AK111=0,AK111="B"),"",RANK(AW111,AW104:AW119,1)),"")</f>
        <v/>
      </c>
      <c r="AM111" s="123" t="str">
        <f ca="1">IFERROR(IF(OR(AK111=0,AK111="A"),"",RANK(AX111,AX104:AX119,1)),"")</f>
        <v/>
      </c>
      <c r="AN111" s="51">
        <f ca="1">IFERROR(IF(AF111="X",0,(INDIRECT(CONCATENATE("'Height Input'!"&amp;$B101&amp;$C102+7))-AJ111)*10),"")</f>
        <v>0</v>
      </c>
      <c r="AO111" s="8"/>
      <c r="AP111" s="9" t="str">
        <f t="shared" ca="1" si="39"/>
        <v/>
      </c>
      <c r="AQ111" s="9" t="str">
        <f ca="1">IF(AR111="","",HLOOKUP(AL111,BC103:BJ120,18,FALSE))</f>
        <v/>
      </c>
      <c r="AR111" s="45" t="str">
        <f ca="1">IF(OR(AL111=0,AL111=""),"",IF(COUNTIFS(AL104:AL119,AL111)&gt;1,"=",""))</f>
        <v/>
      </c>
      <c r="AS111" s="45"/>
      <c r="AT111" s="9" t="str">
        <f t="shared" ca="1" si="40"/>
        <v/>
      </c>
      <c r="AU111" s="9" t="str">
        <f ca="1">IF(AV111="","",HLOOKUP(AM111,BK103:BR120,18,FALSE))</f>
        <v/>
      </c>
      <c r="AV111" s="45" t="str">
        <f ca="1">IF(OR(AM111=0,AM111=""),"",IF(COUNTIFS(AM104:AM119,AM111)&gt;1,"=",""))</f>
        <v/>
      </c>
      <c r="AW111" s="9" t="str">
        <f t="shared" ca="1" si="34"/>
        <v/>
      </c>
      <c r="AX111" s="9" t="str">
        <f t="shared" ca="1" si="35"/>
        <v/>
      </c>
      <c r="AY111" s="47"/>
      <c r="AZ111" s="135" t="str">
        <f t="shared" ca="1" si="36"/>
        <v/>
      </c>
      <c r="BA111" s="135" t="str">
        <f t="shared" ca="1" si="37"/>
        <v/>
      </c>
      <c r="BB111" s="9"/>
      <c r="BC111" s="52" t="str">
        <f ca="1">IF(AL111="","",IF(AL111=BC103,AL111,""))</f>
        <v/>
      </c>
      <c r="BD111" s="52" t="str">
        <f ca="1">IF(AL111="","",IF(AL111=BD103,AL111,""))</f>
        <v/>
      </c>
      <c r="BE111" s="52" t="str">
        <f ca="1">IF(AL111="","",IF(AL111=BE103,AL111,""))</f>
        <v/>
      </c>
      <c r="BF111" s="52" t="str">
        <f ca="1">IF(AL111="","",IF(AL111=BF103,AL111,""))</f>
        <v/>
      </c>
      <c r="BG111" s="52" t="str">
        <f ca="1">IF(AL111="","",IF(AL111=BG103,AL111,""))</f>
        <v/>
      </c>
      <c r="BH111" s="52" t="str">
        <f ca="1">IF(AL111="","",IF(AL111=BH103,AL111,""))</f>
        <v/>
      </c>
      <c r="BI111" s="52" t="str">
        <f ca="1">IF(AL111="","",IF(AL111=BI103,AL111,""))</f>
        <v/>
      </c>
      <c r="BJ111" s="52" t="str">
        <f ca="1">IF(AL111="","",IF(AL111=BJ103,AL111,""))</f>
        <v/>
      </c>
      <c r="BK111" s="52" t="str">
        <f ca="1">IF(AM111="","",IF(AM111=BK103,AM111,""))</f>
        <v/>
      </c>
      <c r="BL111" s="52" t="str">
        <f ca="1">IF(AM111="","",IF(AM111=BL103,AM111,""))</f>
        <v/>
      </c>
      <c r="BM111" s="52" t="str">
        <f ca="1">IF(AM111="","",IF(AM111=BM103,AM111,""))</f>
        <v/>
      </c>
      <c r="BN111" s="52" t="str">
        <f ca="1">IF(AM111="","",IF(AM111=BN103,AM111,""))</f>
        <v/>
      </c>
      <c r="BO111" s="52" t="str">
        <f ca="1">IF(AM111="","",IF(AM111=BO103,AM111,""))</f>
        <v/>
      </c>
      <c r="BP111" s="52" t="str">
        <f ca="1">IF(AM111="","",IF(AM111=BP103,AM111,""))</f>
        <v/>
      </c>
      <c r="BQ111" s="52" t="str">
        <f ca="1">IF(AM111="","",IF(AM111=BQ103,AM111,""))</f>
        <v/>
      </c>
      <c r="BR111" s="52" t="str">
        <f ca="1">IF(AM111="","",IF(AM111=BR103,AM111,""))</f>
        <v/>
      </c>
      <c r="BS111" s="46"/>
      <c r="BT111" s="4" t="str">
        <f>IFERROR(IF(A103=0,A111*11,A111&amp;A111),"")</f>
        <v/>
      </c>
    </row>
    <row r="112" spans="1:72" s="4" customFormat="1" ht="16.149999999999999" customHeight="1" x14ac:dyDescent="0.35">
      <c r="A112" s="8">
        <f>IFERROR(IF(A103=0,A104*11,A104&amp;A104),"-")</f>
        <v>33</v>
      </c>
      <c r="B112" s="10" t="str">
        <f ca="1">IFERROR(IF(OR(AK112=0,AK112="B"),"",RANK(AZ112,AZ104:AZ119,1)),"")</f>
        <v/>
      </c>
      <c r="C112" s="10" t="str">
        <f ca="1">IFERROR(IF(OR(AK112=0,AK112="A"),"",RANK(BA112,BA104:BA119,1)),"")</f>
        <v/>
      </c>
      <c r="D112" s="55">
        <v>9</v>
      </c>
      <c r="E112" s="17">
        <f t="shared" si="38"/>
        <v>33</v>
      </c>
      <c r="F112" s="319" t="str">
        <f>IFERROR(VLOOKUP($A100&amp;E112,downloads!$A$1:$E$1000,2,FALSE),"")</f>
        <v/>
      </c>
      <c r="G112" s="18" t="str">
        <f t="shared" si="33"/>
        <v>Leigh</v>
      </c>
      <c r="H112" s="497"/>
      <c r="I112" s="498"/>
      <c r="J112" s="497"/>
      <c r="K112" s="498"/>
      <c r="L112" s="497"/>
      <c r="M112" s="498"/>
      <c r="N112" s="497"/>
      <c r="O112" s="498"/>
      <c r="P112" s="497"/>
      <c r="Q112" s="498"/>
      <c r="R112" s="497"/>
      <c r="S112" s="498"/>
      <c r="T112" s="497"/>
      <c r="U112" s="498"/>
      <c r="V112" s="497"/>
      <c r="W112" s="498"/>
      <c r="X112" s="497"/>
      <c r="Y112" s="498"/>
      <c r="Z112" s="497"/>
      <c r="AA112" s="498"/>
      <c r="AB112" s="497"/>
      <c r="AC112" s="498"/>
      <c r="AD112" s="497"/>
      <c r="AE112" s="498"/>
      <c r="AF112" s="511">
        <f ca="1">IFERROR(INDIRECT(CONCATENATE("'Height Input'!"&amp;B102&amp;C102+8)),"")</f>
        <v>0</v>
      </c>
      <c r="AG112" s="512"/>
      <c r="AH112" s="48"/>
      <c r="AI112" s="48"/>
      <c r="AJ112" s="49">
        <f ca="1">IFERROR(IF(AF112="X",MatchDay!$U$2+MatchDay!$U$2+1-COUNTIF($AF104:AF112,"X"),IF(AF112&gt;=97,1,INT(INDIRECT(CONCATENATE("'Height Input'!"&amp;$B101&amp;$C102+8))))),"")</f>
        <v>0</v>
      </c>
      <c r="AK112" s="50">
        <f ca="1">IFERROR(IF(OR(AJ112=0,AJ112=""),0,IF(OR(AJ112&lt;VLOOKUP(BT112,$E104:$AJ111,32,FALSE),VLOOKUP(BT112,$E104:$AJ111,32,FALSE)=0),"A","B")),0)</f>
        <v>0</v>
      </c>
      <c r="AL112" s="123" t="str">
        <f ca="1">IFERROR(IF(OR(AK112=0,AK112="B"),"",RANK(AW112,AW104:AW119,1)),"")</f>
        <v/>
      </c>
      <c r="AM112" s="123" t="str">
        <f ca="1">IFERROR(IF(OR(AK112=0,AK112="A"),"",RANK(AX112,AX104:AX119,1)),"")</f>
        <v/>
      </c>
      <c r="AN112" s="51">
        <f ca="1">IFERROR(IF(AF112="X",0,(INDIRECT(CONCATENATE("'Height Input'!"&amp;$B101&amp;$C102+8))-AJ112)*10),"")</f>
        <v>0</v>
      </c>
      <c r="AO112" s="8"/>
      <c r="AP112" s="9" t="str">
        <f t="shared" ca="1" si="39"/>
        <v/>
      </c>
      <c r="AQ112" s="9" t="str">
        <f ca="1">IF(AR112="","",HLOOKUP(AL112,BC103:BJ120,18,FALSE))</f>
        <v/>
      </c>
      <c r="AR112" s="45" t="str">
        <f ca="1">IF(OR(AL112=0,AL112=""),"",IF(COUNTIFS(AL104:AL119,AL112)&gt;1,"=",""))</f>
        <v/>
      </c>
      <c r="AS112" s="45"/>
      <c r="AT112" s="9" t="str">
        <f t="shared" ca="1" si="40"/>
        <v/>
      </c>
      <c r="AU112" s="9" t="str">
        <f ca="1">IF(AV112="","",HLOOKUP(AM112,BK103:BR120,18,FALSE))</f>
        <v/>
      </c>
      <c r="AV112" s="45" t="str">
        <f ca="1">IF(OR(AM112=0,AM112=""),"",IF(COUNTIFS(AM104:AM119,AM112)&gt;1,"=",""))</f>
        <v/>
      </c>
      <c r="AW112" s="9" t="str">
        <f t="shared" ca="1" si="34"/>
        <v/>
      </c>
      <c r="AX112" s="9" t="str">
        <f t="shared" ca="1" si="35"/>
        <v/>
      </c>
      <c r="AY112" s="47"/>
      <c r="AZ112" s="135" t="str">
        <f t="shared" ca="1" si="36"/>
        <v/>
      </c>
      <c r="BA112" s="135" t="str">
        <f t="shared" ca="1" si="37"/>
        <v/>
      </c>
      <c r="BB112" s="9"/>
      <c r="BC112" s="52" t="str">
        <f ca="1">IF(AL112="","",IF(AL112=BC103,AL112,""))</f>
        <v/>
      </c>
      <c r="BD112" s="52" t="str">
        <f ca="1">IF(AL112="","",IF(AL112=BD103,AL112,""))</f>
        <v/>
      </c>
      <c r="BE112" s="52" t="str">
        <f ca="1">IF(AL112="","",IF(AL112=BE103,AL112,""))</f>
        <v/>
      </c>
      <c r="BF112" s="52" t="str">
        <f ca="1">IF(AL112="","",IF(AL112=BF103,AL112,""))</f>
        <v/>
      </c>
      <c r="BG112" s="52" t="str">
        <f ca="1">IF(AL112="","",IF(AL112=BG103,AL112,""))</f>
        <v/>
      </c>
      <c r="BH112" s="52" t="str">
        <f ca="1">IF(AL112="","",IF(AL112=BH103,AL112,""))</f>
        <v/>
      </c>
      <c r="BI112" s="52" t="str">
        <f ca="1">IF(AL112="","",IF(AL112=BI103,AL112,""))</f>
        <v/>
      </c>
      <c r="BJ112" s="52" t="str">
        <f ca="1">IF(AL112="","",IF(AL112=BJ103,AL112,""))</f>
        <v/>
      </c>
      <c r="BK112" s="52" t="str">
        <f ca="1">IF(AM112="","",IF(AM112=BK103,AM112,""))</f>
        <v/>
      </c>
      <c r="BL112" s="52" t="str">
        <f ca="1">IF(AM112="","",IF(AM112=BL103,AM112,""))</f>
        <v/>
      </c>
      <c r="BM112" s="52" t="str">
        <f ca="1">IF(AM112="","",IF(AM112=BM103,AM112,""))</f>
        <v/>
      </c>
      <c r="BN112" s="52" t="str">
        <f ca="1">IF(AM112="","",IF(AM112=BN103,AM112,""))</f>
        <v/>
      </c>
      <c r="BO112" s="52" t="str">
        <f ca="1">IF(AM112="","",IF(AM112=BO103,AM112,""))</f>
        <v/>
      </c>
      <c r="BP112" s="52" t="str">
        <f ca="1">IF(AM112="","",IF(AM112=BP103,AM112,""))</f>
        <v/>
      </c>
      <c r="BQ112" s="52" t="str">
        <f ca="1">IF(AM112="","",IF(AM112=BQ103,AM112,""))</f>
        <v/>
      </c>
      <c r="BR112" s="52" t="str">
        <f ca="1">IF(AM112="","",IF(AM112=BR103,AM112,""))</f>
        <v/>
      </c>
      <c r="BS112" s="46"/>
      <c r="BT112" s="4">
        <f>IFERROR(IF(A103=0,A112/11,LEFT(A112,1)),"")</f>
        <v>3</v>
      </c>
    </row>
    <row r="113" spans="1:72" s="4" customFormat="1" ht="16.149999999999999" customHeight="1" x14ac:dyDescent="0.35">
      <c r="A113" s="8">
        <f>IFERROR(IF(A103=0,A105*11,A105&amp;A105),"-")</f>
        <v>22</v>
      </c>
      <c r="B113" s="10" t="str">
        <f ca="1">IFERROR(IF(OR(AK113=0,AK113="B"),"",RANK(AZ113,AZ104:AZ119,1)),"")</f>
        <v/>
      </c>
      <c r="C113" s="10" t="str">
        <f ca="1">IFERROR(IF(OR(AK113=0,AK113="A"),"",RANK(BA113,BA104:BA119,1)),"")</f>
        <v/>
      </c>
      <c r="D113" s="55">
        <v>10</v>
      </c>
      <c r="E113" s="17">
        <f t="shared" si="38"/>
        <v>22</v>
      </c>
      <c r="F113" s="319" t="str">
        <f>IFERROR(VLOOKUP($A100&amp;E113,downloads!$A$1:$E$1000,2,FALSE),"")</f>
        <v/>
      </c>
      <c r="G113" s="18" t="str">
        <f t="shared" si="33"/>
        <v>ECHT</v>
      </c>
      <c r="H113" s="497"/>
      <c r="I113" s="498"/>
      <c r="J113" s="497"/>
      <c r="K113" s="498"/>
      <c r="L113" s="497"/>
      <c r="M113" s="498"/>
      <c r="N113" s="497"/>
      <c r="O113" s="498"/>
      <c r="P113" s="497"/>
      <c r="Q113" s="498"/>
      <c r="R113" s="497"/>
      <c r="S113" s="498"/>
      <c r="T113" s="497"/>
      <c r="U113" s="498"/>
      <c r="V113" s="497"/>
      <c r="W113" s="498"/>
      <c r="X113" s="497"/>
      <c r="Y113" s="498"/>
      <c r="Z113" s="497"/>
      <c r="AA113" s="498"/>
      <c r="AB113" s="497"/>
      <c r="AC113" s="498"/>
      <c r="AD113" s="497"/>
      <c r="AE113" s="498"/>
      <c r="AF113" s="511">
        <f ca="1">IFERROR(INDIRECT(CONCATENATE("'Height Input'!"&amp;B102&amp;C102+9)),"")</f>
        <v>0</v>
      </c>
      <c r="AG113" s="512"/>
      <c r="AH113" s="48"/>
      <c r="AI113" s="48"/>
      <c r="AJ113" s="49">
        <f ca="1">IFERROR(IF(AF113="X",MatchDay!$U$2+MatchDay!$U$2+1-COUNTIF($AF104:AF113,"X"),IF(AF113&gt;=97,1,INT(INDIRECT(CONCATENATE("'Height Input'!"&amp;$B101&amp;$C102+9))))),"")</f>
        <v>0</v>
      </c>
      <c r="AK113" s="50">
        <f ca="1">IFERROR(IF(OR(AJ113=0,AJ113=""),0,IF(OR(AJ113&lt;VLOOKUP(BT113,$E104:$AJ111,32,FALSE),VLOOKUP(BT113,$E104:$AJ111,32,FALSE)=0),"A","B")),0)</f>
        <v>0</v>
      </c>
      <c r="AL113" s="123" t="str">
        <f ca="1">IFERROR(IF(OR(AK113=0,AK113="B"),"",RANK(AW113,AW104:AW119,1)),"")</f>
        <v/>
      </c>
      <c r="AM113" s="123" t="str">
        <f ca="1">IFERROR(IF(OR(AK113=0,AK113="A"),"",RANK(AX113,AX104:AX119,1)),"")</f>
        <v/>
      </c>
      <c r="AN113" s="51">
        <f ca="1">IFERROR(IF(AF113="X",0,(INDIRECT(CONCATENATE("'Height Input'!"&amp;$B101&amp;$C102+9))-AJ113)*10),"")</f>
        <v>0</v>
      </c>
      <c r="AO113" s="8"/>
      <c r="AP113" s="9" t="str">
        <f t="shared" ca="1" si="39"/>
        <v/>
      </c>
      <c r="AQ113" s="9" t="str">
        <f ca="1">IF(AR113="","",HLOOKUP(AL113,BC103:BJ120,18,FALSE))</f>
        <v/>
      </c>
      <c r="AR113" s="45" t="str">
        <f ca="1">IF(OR(AL113=0,AL113=""),"",IF(COUNTIFS(AL104:AL119,AL113)&gt;1,"=",""))</f>
        <v/>
      </c>
      <c r="AS113" s="45"/>
      <c r="AT113" s="9" t="str">
        <f t="shared" ca="1" si="40"/>
        <v/>
      </c>
      <c r="AU113" s="9" t="str">
        <f ca="1">IF(AV113="","",HLOOKUP(AM113,BK103:BR120,18,FALSE))</f>
        <v/>
      </c>
      <c r="AV113" s="45" t="str">
        <f ca="1">IF(OR(AM113=0,AM113=""),"",IF(COUNTIFS(AM104:AM119,AM113)&gt;1,"=",""))</f>
        <v/>
      </c>
      <c r="AW113" s="9" t="str">
        <f t="shared" ca="1" si="34"/>
        <v/>
      </c>
      <c r="AX113" s="9" t="str">
        <f t="shared" ca="1" si="35"/>
        <v/>
      </c>
      <c r="AY113" s="47"/>
      <c r="AZ113" s="135" t="str">
        <f t="shared" ca="1" si="36"/>
        <v/>
      </c>
      <c r="BA113" s="135" t="str">
        <f t="shared" ca="1" si="37"/>
        <v/>
      </c>
      <c r="BB113" s="9"/>
      <c r="BC113" s="52" t="str">
        <f ca="1">IF(AL113="","",IF(AL113=BC103,AL113,""))</f>
        <v/>
      </c>
      <c r="BD113" s="52" t="str">
        <f ca="1">IF(AL113="","",IF(AL113=BD103,AL113,""))</f>
        <v/>
      </c>
      <c r="BE113" s="52" t="str">
        <f ca="1">IF(AL113="","",IF(AL113=BE103,AL113,""))</f>
        <v/>
      </c>
      <c r="BF113" s="52" t="str">
        <f ca="1">IF(AL113="","",IF(AL113=BF103,AL113,""))</f>
        <v/>
      </c>
      <c r="BG113" s="52" t="str">
        <f ca="1">IF(AL113="","",IF(AL113=BG103,AL113,""))</f>
        <v/>
      </c>
      <c r="BH113" s="52" t="str">
        <f ca="1">IF(AL113="","",IF(AL113=BH103,AL113,""))</f>
        <v/>
      </c>
      <c r="BI113" s="52" t="str">
        <f ca="1">IF(AL113="","",IF(AL113=BI103,AL113,""))</f>
        <v/>
      </c>
      <c r="BJ113" s="52" t="str">
        <f ca="1">IF(AL113="","",IF(AL113=BJ103,AL113,""))</f>
        <v/>
      </c>
      <c r="BK113" s="52" t="str">
        <f ca="1">IF(AM113="","",IF(AM113=BK103,AM113,""))</f>
        <v/>
      </c>
      <c r="BL113" s="52" t="str">
        <f ca="1">IF(AM113="","",IF(AM113=BL103,AM113,""))</f>
        <v/>
      </c>
      <c r="BM113" s="52" t="str">
        <f ca="1">IF(AM113="","",IF(AM113=BM103,AM113,""))</f>
        <v/>
      </c>
      <c r="BN113" s="52" t="str">
        <f ca="1">IF(AM113="","",IF(AM113=BN103,AM113,""))</f>
        <v/>
      </c>
      <c r="BO113" s="52" t="str">
        <f ca="1">IF(AM113="","",IF(AM113=BO103,AM113,""))</f>
        <v/>
      </c>
      <c r="BP113" s="52" t="str">
        <f ca="1">IF(AM113="","",IF(AM113=BP103,AM113,""))</f>
        <v/>
      </c>
      <c r="BQ113" s="52" t="str">
        <f ca="1">IF(AM113="","",IF(AM113=BQ103,AM113,""))</f>
        <v/>
      </c>
      <c r="BR113" s="52" t="str">
        <f ca="1">IF(AM113="","",IF(AM113=BR103,AM113,""))</f>
        <v/>
      </c>
      <c r="BS113" s="46"/>
      <c r="BT113" s="4">
        <f>IFERROR(IF(A103=0,A113/11,LEFT(A113,1)),"")</f>
        <v>2</v>
      </c>
    </row>
    <row r="114" spans="1:72" s="4" customFormat="1" ht="16.149999999999999" customHeight="1" x14ac:dyDescent="0.35">
      <c r="A114" s="8">
        <f>IFERROR(IF(A103=0,A106*11,A106&amp;A106),"-")</f>
        <v>66</v>
      </c>
      <c r="B114" s="10" t="str">
        <f ca="1">IFERROR(IF(OR(AK114=0,AK114="B"),"",RANK(AZ114,AZ104:AZ119,1)),"")</f>
        <v/>
      </c>
      <c r="C114" s="10" t="str">
        <f ca="1">IFERROR(IF(OR(AK114=0,AK114="A"),"",RANK(BA114,BA104:BA119,1)),"")</f>
        <v/>
      </c>
      <c r="D114" s="55">
        <v>11</v>
      </c>
      <c r="E114" s="17">
        <f t="shared" si="38"/>
        <v>66</v>
      </c>
      <c r="F114" s="319" t="str">
        <f>IFERROR(VLOOKUP($A100&amp;E114,downloads!$A$1:$E$1000,2,FALSE),"")</f>
        <v/>
      </c>
      <c r="G114" s="18" t="str">
        <f t="shared" si="33"/>
        <v>Stock</v>
      </c>
      <c r="H114" s="497"/>
      <c r="I114" s="498"/>
      <c r="J114" s="497"/>
      <c r="K114" s="498"/>
      <c r="L114" s="497"/>
      <c r="M114" s="498"/>
      <c r="N114" s="497"/>
      <c r="O114" s="498"/>
      <c r="P114" s="497"/>
      <c r="Q114" s="498"/>
      <c r="R114" s="497"/>
      <c r="S114" s="498"/>
      <c r="T114" s="497"/>
      <c r="U114" s="498"/>
      <c r="V114" s="497"/>
      <c r="W114" s="498"/>
      <c r="X114" s="497"/>
      <c r="Y114" s="498"/>
      <c r="Z114" s="497"/>
      <c r="AA114" s="498"/>
      <c r="AB114" s="497"/>
      <c r="AC114" s="498"/>
      <c r="AD114" s="497"/>
      <c r="AE114" s="498"/>
      <c r="AF114" s="511">
        <f ca="1">IFERROR(INDIRECT(CONCATENATE("'Height Input'!"&amp;B102&amp;C102+10)),"")</f>
        <v>0</v>
      </c>
      <c r="AG114" s="512"/>
      <c r="AH114" s="48"/>
      <c r="AI114" s="48"/>
      <c r="AJ114" s="49">
        <f ca="1">IFERROR(IF(AF114="X",MatchDay!$U$2+MatchDay!$U$2+1-COUNTIF($AF104:AF114,"X"),IF(AF114&gt;=97,1,INT(INDIRECT(CONCATENATE("'Height Input'!"&amp;$B101&amp;$C102+10))))),"")</f>
        <v>0</v>
      </c>
      <c r="AK114" s="50">
        <f ca="1">IFERROR(IF(OR(AJ114=0,AJ114=""),0,IF(OR(AJ114&lt;VLOOKUP(BT114,$E104:$AJ111,32,FALSE),VLOOKUP(BT114,$E104:$AJ111,32,FALSE)=0),"A","B")),0)</f>
        <v>0</v>
      </c>
      <c r="AL114" s="123" t="str">
        <f ca="1">IFERROR(IF(OR(AK114=0,AK114="B"),"",RANK(AW114,AW104:AW119,1)),"")</f>
        <v/>
      </c>
      <c r="AM114" s="123" t="str">
        <f ca="1">IFERROR(IF(OR(AK114=0,AK114="A"),"",RANK(AX114,AX104:AX119,1)),"")</f>
        <v/>
      </c>
      <c r="AN114" s="51">
        <f ca="1">IFERROR(IF(AF114="X",0,(INDIRECT(CONCATENATE("'Height Input'!"&amp;$B101&amp;$C102+10))-AJ114)*10),"")</f>
        <v>0</v>
      </c>
      <c r="AO114" s="8"/>
      <c r="AP114" s="9" t="str">
        <f t="shared" ca="1" si="39"/>
        <v/>
      </c>
      <c r="AQ114" s="9" t="str">
        <f ca="1">IF(AR114="","",HLOOKUP(AL114,BC103:BJ120,18,FALSE))</f>
        <v/>
      </c>
      <c r="AR114" s="45" t="str">
        <f ca="1">IF(OR(AL114=0,AL114=""),"",IF(COUNTIFS(AL104:AL119,AL114)&gt;1,"=",""))</f>
        <v/>
      </c>
      <c r="AS114" s="45"/>
      <c r="AT114" s="9" t="str">
        <f t="shared" ca="1" si="40"/>
        <v/>
      </c>
      <c r="AU114" s="9" t="str">
        <f ca="1">IF(AV114="","",HLOOKUP(AM114,BK103:BR120,18,FALSE))</f>
        <v/>
      </c>
      <c r="AV114" s="45" t="str">
        <f ca="1">IF(OR(AM114=0,AM114=""),"",IF(COUNTIFS(AM104:AM119,AM114)&gt;1,"=",""))</f>
        <v/>
      </c>
      <c r="AW114" s="9" t="str">
        <f t="shared" ca="1" si="34"/>
        <v/>
      </c>
      <c r="AX114" s="9" t="str">
        <f t="shared" ca="1" si="35"/>
        <v/>
      </c>
      <c r="AY114" s="47"/>
      <c r="AZ114" s="135" t="str">
        <f t="shared" ca="1" si="36"/>
        <v/>
      </c>
      <c r="BA114" s="135" t="str">
        <f t="shared" ca="1" si="37"/>
        <v/>
      </c>
      <c r="BB114" s="9"/>
      <c r="BC114" s="52" t="str">
        <f ca="1">IF(AL114="","",IF(AL114=BC103,AL114,""))</f>
        <v/>
      </c>
      <c r="BD114" s="52" t="str">
        <f ca="1">IF(AL114="","",IF(AL114=BD103,AL114,""))</f>
        <v/>
      </c>
      <c r="BE114" s="52" t="str">
        <f ca="1">IF(AL114="","",IF(AL114=BE103,AL114,""))</f>
        <v/>
      </c>
      <c r="BF114" s="52" t="str">
        <f ca="1">IF(AL114="","",IF(AL114=BF103,AL114,""))</f>
        <v/>
      </c>
      <c r="BG114" s="52" t="str">
        <f ca="1">IF(AL114="","",IF(AL114=BG103,AL114,""))</f>
        <v/>
      </c>
      <c r="BH114" s="52" t="str">
        <f ca="1">IF(AL114="","",IF(AL114=BH103,AL114,""))</f>
        <v/>
      </c>
      <c r="BI114" s="52" t="str">
        <f ca="1">IF(AL114="","",IF(AL114=BI103,AL114,""))</f>
        <v/>
      </c>
      <c r="BJ114" s="52" t="str">
        <f ca="1">IF(AL114="","",IF(AL114=BJ103,AL114,""))</f>
        <v/>
      </c>
      <c r="BK114" s="52" t="str">
        <f ca="1">IF(AM114="","",IF(AM114=BK103,AM114,""))</f>
        <v/>
      </c>
      <c r="BL114" s="52" t="str">
        <f ca="1">IF(AM114="","",IF(AM114=BL103,AM114,""))</f>
        <v/>
      </c>
      <c r="BM114" s="52" t="str">
        <f ca="1">IF(AM114="","",IF(AM114=BM103,AM114,""))</f>
        <v/>
      </c>
      <c r="BN114" s="52" t="str">
        <f ca="1">IF(AM114="","",IF(AM114=BN103,AM114,""))</f>
        <v/>
      </c>
      <c r="BO114" s="52" t="str">
        <f ca="1">IF(AM114="","",IF(AM114=BO103,AM114,""))</f>
        <v/>
      </c>
      <c r="BP114" s="52" t="str">
        <f ca="1">IF(AM114="","",IF(AM114=BP103,AM114,""))</f>
        <v/>
      </c>
      <c r="BQ114" s="52" t="str">
        <f ca="1">IF(AM114="","",IF(AM114=BQ103,AM114,""))</f>
        <v/>
      </c>
      <c r="BR114" s="52" t="str">
        <f ca="1">IF(AM114="","",IF(AM114=BR103,AM114,""))</f>
        <v/>
      </c>
      <c r="BS114" s="46"/>
      <c r="BT114" s="4">
        <f>IFERROR(IF(A103=0,A114/11,LEFT(A114,1)),"")</f>
        <v>6</v>
      </c>
    </row>
    <row r="115" spans="1:72" s="4" customFormat="1" ht="16.149999999999999" customHeight="1" x14ac:dyDescent="0.35">
      <c r="A115" s="8">
        <f>IFERROR(IF(A103=0,A107*11,A107&amp;A107),"-")</f>
        <v>11</v>
      </c>
      <c r="B115" s="10" t="str">
        <f ca="1">IFERROR(IF(OR(AK115=0,AK115="B"),"",RANK(AZ115,AZ104:AZ119,1)),"")</f>
        <v/>
      </c>
      <c r="C115" s="10" t="str">
        <f ca="1">IFERROR(IF(OR(AK115=0,AK115="A"),"",RANK(BA115,BA104:BA119,1)),"")</f>
        <v/>
      </c>
      <c r="D115" s="55">
        <v>12</v>
      </c>
      <c r="E115" s="17">
        <f t="shared" si="38"/>
        <v>11</v>
      </c>
      <c r="F115" s="319" t="str">
        <f>IFERROR(VLOOKUP($A100&amp;E115,downloads!$A$1:$E$1000,2,FALSE),"")</f>
        <v/>
      </c>
      <c r="G115" s="18" t="str">
        <f t="shared" si="33"/>
        <v>C&amp;N</v>
      </c>
      <c r="H115" s="497"/>
      <c r="I115" s="498"/>
      <c r="J115" s="497"/>
      <c r="K115" s="498"/>
      <c r="L115" s="497"/>
      <c r="M115" s="498"/>
      <c r="N115" s="497"/>
      <c r="O115" s="498"/>
      <c r="P115" s="497"/>
      <c r="Q115" s="498"/>
      <c r="R115" s="497"/>
      <c r="S115" s="498"/>
      <c r="T115" s="497"/>
      <c r="U115" s="498"/>
      <c r="V115" s="497"/>
      <c r="W115" s="498"/>
      <c r="X115" s="497"/>
      <c r="Y115" s="498"/>
      <c r="Z115" s="497"/>
      <c r="AA115" s="498"/>
      <c r="AB115" s="497"/>
      <c r="AC115" s="498"/>
      <c r="AD115" s="497"/>
      <c r="AE115" s="498"/>
      <c r="AF115" s="511">
        <f ca="1">IFERROR(INDIRECT(CONCATENATE("'Height Input'!"&amp;B102&amp;C102+11)),"")</f>
        <v>0</v>
      </c>
      <c r="AG115" s="512"/>
      <c r="AH115" s="48"/>
      <c r="AI115" s="48"/>
      <c r="AJ115" s="49">
        <f ca="1">IFERROR(IF(AF115="X",MatchDay!$U$2+MatchDay!$U$2+1-COUNTIF($AF104:AF115,"X"),IF(AF115&gt;=97,1,INT(INDIRECT(CONCATENATE("'Height Input'!"&amp;$B101&amp;$C102+11))))),"")</f>
        <v>0</v>
      </c>
      <c r="AK115" s="50">
        <f ca="1">IFERROR(IF(OR(AJ115=0,AJ115=""),0,IF(OR(AJ115&lt;VLOOKUP(BT115,$E104:$AJ111,32,FALSE),VLOOKUP(BT115,$E104:$AJ111,32,FALSE)=0),"A","B")),0)</f>
        <v>0</v>
      </c>
      <c r="AL115" s="123" t="str">
        <f ca="1">IFERROR(IF(OR(AK115=0,AK115="B"),"",RANK(AW115,AW104:AW119,1)),"")</f>
        <v/>
      </c>
      <c r="AM115" s="123" t="str">
        <f ca="1">IFERROR(IF(OR(AK115=0,AK115="A"),"",RANK(AX115,AX104:AX119,1)),"")</f>
        <v/>
      </c>
      <c r="AN115" s="51">
        <f ca="1">IFERROR(IF(AF115="X",0,(INDIRECT(CONCATENATE("'Height Input'!"&amp;$B101&amp;$C102+11))-AJ115)*10),"")</f>
        <v>0</v>
      </c>
      <c r="AO115" s="8"/>
      <c r="AP115" s="9" t="str">
        <f t="shared" ca="1" si="39"/>
        <v/>
      </c>
      <c r="AQ115" s="9" t="str">
        <f ca="1">IF(AR115="","",HLOOKUP(AL115,BC103:BJ120,18,FALSE))</f>
        <v/>
      </c>
      <c r="AR115" s="45" t="str">
        <f ca="1">IF(OR(AL115=0,AL115=""),"",IF(COUNTIFS(AL104:AL119,AL115)&gt;1,"=",""))</f>
        <v/>
      </c>
      <c r="AS115" s="45"/>
      <c r="AT115" s="9" t="str">
        <f t="shared" ca="1" si="40"/>
        <v/>
      </c>
      <c r="AU115" s="9" t="str">
        <f ca="1">IF(AV115="","",HLOOKUP(AM115,BK103:BR120,18,FALSE))</f>
        <v/>
      </c>
      <c r="AV115" s="45" t="str">
        <f ca="1">IF(OR(AM115=0,AM115=""),"",IF(COUNTIFS(AM104:AM119,AM115)&gt;1,"=",""))</f>
        <v/>
      </c>
      <c r="AW115" s="9" t="str">
        <f t="shared" ca="1" si="34"/>
        <v/>
      </c>
      <c r="AX115" s="9" t="str">
        <f t="shared" ca="1" si="35"/>
        <v/>
      </c>
      <c r="AY115" s="47"/>
      <c r="AZ115" s="135" t="str">
        <f t="shared" ca="1" si="36"/>
        <v/>
      </c>
      <c r="BA115" s="135" t="str">
        <f t="shared" ca="1" si="37"/>
        <v/>
      </c>
      <c r="BB115" s="9"/>
      <c r="BC115" s="52" t="str">
        <f ca="1">IF(AL115="","",IF(AL115=BC103,AL115,""))</f>
        <v/>
      </c>
      <c r="BD115" s="52" t="str">
        <f ca="1">IF(AL115="","",IF(AL115=BD103,AL115,""))</f>
        <v/>
      </c>
      <c r="BE115" s="52" t="str">
        <f ca="1">IF(AL115="","",IF(AL115=BE103,AL115,""))</f>
        <v/>
      </c>
      <c r="BF115" s="52" t="str">
        <f ca="1">IF(AL115="","",IF(AL115=BF103,AL115,""))</f>
        <v/>
      </c>
      <c r="BG115" s="52" t="str">
        <f ca="1">IF(AL115="","",IF(AL115=BG103,AL115,""))</f>
        <v/>
      </c>
      <c r="BH115" s="52" t="str">
        <f ca="1">IF(AL115="","",IF(AL115=BH103,AL115,""))</f>
        <v/>
      </c>
      <c r="BI115" s="52" t="str">
        <f ca="1">IF(AL115="","",IF(AL115=BI103,AL115,""))</f>
        <v/>
      </c>
      <c r="BJ115" s="52" t="str">
        <f ca="1">IF(AL115="","",IF(AL115=BJ103,AL115,""))</f>
        <v/>
      </c>
      <c r="BK115" s="52" t="str">
        <f ca="1">IF(AM115="","",IF(AM115=BK103,AM115,""))</f>
        <v/>
      </c>
      <c r="BL115" s="52" t="str">
        <f ca="1">IF(AM115="","",IF(AM115=BL103,AM115,""))</f>
        <v/>
      </c>
      <c r="BM115" s="52" t="str">
        <f ca="1">IF(AM115="","",IF(AM115=BM103,AM115,""))</f>
        <v/>
      </c>
      <c r="BN115" s="52" t="str">
        <f ca="1">IF(AM115="","",IF(AM115=BN103,AM115,""))</f>
        <v/>
      </c>
      <c r="BO115" s="52" t="str">
        <f ca="1">IF(AM115="","",IF(AM115=BO103,AM115,""))</f>
        <v/>
      </c>
      <c r="BP115" s="52" t="str">
        <f ca="1">IF(AM115="","",IF(AM115=BP103,AM115,""))</f>
        <v/>
      </c>
      <c r="BQ115" s="52" t="str">
        <f ca="1">IF(AM115="","",IF(AM115=BQ103,AM115,""))</f>
        <v/>
      </c>
      <c r="BR115" s="52" t="str">
        <f ca="1">IF(AM115="","",IF(AM115=BR103,AM115,""))</f>
        <v/>
      </c>
      <c r="BS115" s="46"/>
      <c r="BT115" s="4">
        <f>IFERROR(IF(A103=0,A115/11,LEFT(A115,1)),"")</f>
        <v>1</v>
      </c>
    </row>
    <row r="116" spans="1:72" s="4" customFormat="1" ht="16.149999999999999" customHeight="1" x14ac:dyDescent="0.35">
      <c r="A116" s="8">
        <f>IFERROR(IF(A103=0,A108*11,A108&amp;A108),"-")</f>
        <v>55</v>
      </c>
      <c r="B116" s="10" t="str">
        <f ca="1">IFERROR(IF(OR(AK116=0,AK116="B"),"",RANK(AZ116,AZ104:AZ119,1)),"")</f>
        <v/>
      </c>
      <c r="C116" s="10" t="str">
        <f ca="1">IFERROR(IF(OR(AK116=0,AK116="A"),"",RANK(BA116,BA104:BA119,1)),"")</f>
        <v/>
      </c>
      <c r="D116" s="55">
        <v>13</v>
      </c>
      <c r="E116" s="17">
        <f t="shared" si="38"/>
        <v>55</v>
      </c>
      <c r="F116" s="319" t="str">
        <f>IFERROR(VLOOKUP($A100&amp;E116,downloads!$A$1:$E$1000,2,FALSE),"")</f>
        <v/>
      </c>
      <c r="G116" s="18" t="str">
        <f t="shared" si="33"/>
        <v>Menai</v>
      </c>
      <c r="H116" s="497"/>
      <c r="I116" s="498"/>
      <c r="J116" s="497"/>
      <c r="K116" s="498"/>
      <c r="L116" s="497"/>
      <c r="M116" s="498"/>
      <c r="N116" s="497"/>
      <c r="O116" s="498"/>
      <c r="P116" s="497"/>
      <c r="Q116" s="498"/>
      <c r="R116" s="497"/>
      <c r="S116" s="498"/>
      <c r="T116" s="497"/>
      <c r="U116" s="498"/>
      <c r="V116" s="497"/>
      <c r="W116" s="498"/>
      <c r="X116" s="497"/>
      <c r="Y116" s="498"/>
      <c r="Z116" s="497"/>
      <c r="AA116" s="498"/>
      <c r="AB116" s="497"/>
      <c r="AC116" s="498"/>
      <c r="AD116" s="497"/>
      <c r="AE116" s="498"/>
      <c r="AF116" s="511">
        <f ca="1">IFERROR(INDIRECT(CONCATENATE("'Height Input'!"&amp;B102&amp;C102+12)),"")</f>
        <v>0</v>
      </c>
      <c r="AG116" s="512"/>
      <c r="AH116" s="48"/>
      <c r="AI116" s="48"/>
      <c r="AJ116" s="49">
        <f ca="1">IFERROR(IF(AF116="X",MatchDay!$U$2+MatchDay!$U$2+1-COUNTIF($AF104:AF116,"X"),IF(AF116&gt;=97,1,INT(INDIRECT(CONCATENATE("'Height Input'!"&amp;$B101&amp;$C102+12))))),"")</f>
        <v>0</v>
      </c>
      <c r="AK116" s="50">
        <f ca="1">IFERROR(IF(OR(AJ116=0,AJ116=""),0,IF(OR(AJ116&lt;VLOOKUP(BT116,$E104:$AJ111,32,FALSE),VLOOKUP(BT116,$E104:$AJ111,32,FALSE)=0),"A","B")),0)</f>
        <v>0</v>
      </c>
      <c r="AL116" s="123" t="str">
        <f ca="1">IFERROR(IF(OR(AK116=0,AK116="B"),"",RANK(AW116,AW104:AW119,1)),"")</f>
        <v/>
      </c>
      <c r="AM116" s="123" t="str">
        <f ca="1">IFERROR(IF(OR(AK116=0,AK116="A"),"",RANK(AX116,AX104:AX119,1)),"")</f>
        <v/>
      </c>
      <c r="AN116" s="51">
        <f ca="1">IFERROR(IF(AF116="X",0,(INDIRECT(CONCATENATE("'Height Input'!"&amp;$B101&amp;$C102+12))-AJ116)*10),"")</f>
        <v>0</v>
      </c>
      <c r="AO116" s="8"/>
      <c r="AP116" s="9" t="str">
        <f t="shared" ca="1" si="39"/>
        <v/>
      </c>
      <c r="AQ116" s="9" t="str">
        <f ca="1">IF(AR116="","",HLOOKUP(AL116,BC103:BJ120,18,FALSE))</f>
        <v/>
      </c>
      <c r="AR116" s="45" t="str">
        <f ca="1">IF(OR(AL116=0,AL116=""),"",IF(COUNTIFS(AL104:AL119,AL116)&gt;1,"=",""))</f>
        <v/>
      </c>
      <c r="AS116" s="45"/>
      <c r="AT116" s="9" t="str">
        <f t="shared" ca="1" si="40"/>
        <v/>
      </c>
      <c r="AU116" s="9" t="str">
        <f ca="1">IF(AV116="","",HLOOKUP(AM116,BK103:BR120,18,FALSE))</f>
        <v/>
      </c>
      <c r="AV116" s="45" t="str">
        <f ca="1">IF(OR(AM116=0,AM116=""),"",IF(COUNTIFS(AM104:AM119,AM116)&gt;1,"=",""))</f>
        <v/>
      </c>
      <c r="AW116" s="9" t="str">
        <f t="shared" ca="1" si="34"/>
        <v/>
      </c>
      <c r="AX116" s="9" t="str">
        <f t="shared" ca="1" si="35"/>
        <v/>
      </c>
      <c r="AY116" s="47"/>
      <c r="AZ116" s="135" t="str">
        <f t="shared" ca="1" si="36"/>
        <v/>
      </c>
      <c r="BA116" s="135" t="str">
        <f t="shared" ca="1" si="37"/>
        <v/>
      </c>
      <c r="BB116" s="9"/>
      <c r="BC116" s="52" t="str">
        <f ca="1">IF(AL116="","",IF(AL116=BC103,AL116,""))</f>
        <v/>
      </c>
      <c r="BD116" s="52" t="str">
        <f ca="1">IF(AL116="","",IF(AL116=BD103,AL116,""))</f>
        <v/>
      </c>
      <c r="BE116" s="52" t="str">
        <f ca="1">IF(AL116="","",IF(AL116=BE103,AL116,""))</f>
        <v/>
      </c>
      <c r="BF116" s="52" t="str">
        <f ca="1">IF(AL116="","",IF(AL116=BF103,AL116,""))</f>
        <v/>
      </c>
      <c r="BG116" s="52" t="str">
        <f ca="1">IF(AL116="","",IF(AL116=BG103,AL116,""))</f>
        <v/>
      </c>
      <c r="BH116" s="52" t="str">
        <f ca="1">IF(AL116="","",IF(AL116=BH103,AL116,""))</f>
        <v/>
      </c>
      <c r="BI116" s="52" t="str">
        <f ca="1">IF(AL116="","",IF(AL116=BI103,AL116,""))</f>
        <v/>
      </c>
      <c r="BJ116" s="52" t="str">
        <f ca="1">IF(AL116="","",IF(AL116=BJ103,AL116,""))</f>
        <v/>
      </c>
      <c r="BK116" s="52" t="str">
        <f ca="1">IF(AM116="","",IF(AM116=BK103,AM116,""))</f>
        <v/>
      </c>
      <c r="BL116" s="52" t="str">
        <f ca="1">IF(AM116="","",IF(AM116=BL103,AM116,""))</f>
        <v/>
      </c>
      <c r="BM116" s="52" t="str">
        <f ca="1">IF(AM116="","",IF(AM116=BM103,AM116,""))</f>
        <v/>
      </c>
      <c r="BN116" s="52" t="str">
        <f ca="1">IF(AM116="","",IF(AM116=BN103,AM116,""))</f>
        <v/>
      </c>
      <c r="BO116" s="52" t="str">
        <f ca="1">IF(AM116="","",IF(AM116=BO103,AM116,""))</f>
        <v/>
      </c>
      <c r="BP116" s="52" t="str">
        <f ca="1">IF(AM116="","",IF(AM116=BP103,AM116,""))</f>
        <v/>
      </c>
      <c r="BQ116" s="52" t="str">
        <f ca="1">IF(AM116="","",IF(AM116=BQ103,AM116,""))</f>
        <v/>
      </c>
      <c r="BR116" s="52" t="str">
        <f ca="1">IF(AM116="","",IF(AM116=BR103,AM116,""))</f>
        <v/>
      </c>
      <c r="BS116" s="46"/>
      <c r="BT116" s="4">
        <f>IFERROR(IF(A103=0,A116/11,LEFT(A116,1)),"")</f>
        <v>5</v>
      </c>
    </row>
    <row r="117" spans="1:72" s="4" customFormat="1" ht="16.149999999999999" customHeight="1" x14ac:dyDescent="0.35">
      <c r="A117" s="8">
        <f>IFERROR(IF(A103=0,A109*11,A109&amp;A109),"-")</f>
        <v>44</v>
      </c>
      <c r="B117" s="10" t="str">
        <f ca="1">IFERROR(IF(OR(AK117=0,AK117="B"),"",RANK(AZ117,AZ104:AZ119,1)),"")</f>
        <v/>
      </c>
      <c r="C117" s="10" t="str">
        <f ca="1">IFERROR(IF(OR(AK117=0,AK117="A"),"",RANK(BA117,BA104:BA119,1)),"")</f>
        <v/>
      </c>
      <c r="D117" s="55">
        <v>14</v>
      </c>
      <c r="E117" s="17">
        <f t="shared" si="38"/>
        <v>44</v>
      </c>
      <c r="F117" s="319" t="str">
        <f>IFERROR(VLOOKUP($A100&amp;E117,downloads!$A$1:$E$1000,2,FALSE),"")</f>
        <v/>
      </c>
      <c r="G117" s="18" t="str">
        <f t="shared" si="33"/>
        <v>Macc</v>
      </c>
      <c r="H117" s="497"/>
      <c r="I117" s="498"/>
      <c r="J117" s="497"/>
      <c r="K117" s="498"/>
      <c r="L117" s="497"/>
      <c r="M117" s="498"/>
      <c r="N117" s="497"/>
      <c r="O117" s="498"/>
      <c r="P117" s="497"/>
      <c r="Q117" s="498"/>
      <c r="R117" s="497"/>
      <c r="S117" s="498"/>
      <c r="T117" s="497"/>
      <c r="U117" s="498"/>
      <c r="V117" s="497"/>
      <c r="W117" s="498"/>
      <c r="X117" s="497"/>
      <c r="Y117" s="498"/>
      <c r="Z117" s="497"/>
      <c r="AA117" s="498"/>
      <c r="AB117" s="497"/>
      <c r="AC117" s="498"/>
      <c r="AD117" s="497"/>
      <c r="AE117" s="498"/>
      <c r="AF117" s="511">
        <f ca="1">IFERROR(INDIRECT(CONCATENATE("'Height Input'!"&amp;B102&amp;C102+13)),"")</f>
        <v>0</v>
      </c>
      <c r="AG117" s="512"/>
      <c r="AH117" s="48"/>
      <c r="AI117" s="48"/>
      <c r="AJ117" s="49">
        <f ca="1">IFERROR(IF(AF117="X",MatchDay!$U$2+MatchDay!$U$2+1-COUNTIF($AF104:AF117,"X"),IF(AF117&gt;=97,1,INT(INDIRECT(CONCATENATE("'Height Input'!"&amp;$B101&amp;$C102+13))))),"")</f>
        <v>0</v>
      </c>
      <c r="AK117" s="50">
        <f ca="1">IFERROR(IF(OR(AJ117=0,AJ117=""),0,IF(OR(AJ117&lt;VLOOKUP(BT117,$E104:$AJ111,32,FALSE),VLOOKUP(BT117,$E104:$AJ111,32,FALSE)=0),"A","B")),0)</f>
        <v>0</v>
      </c>
      <c r="AL117" s="123" t="str">
        <f ca="1">IFERROR(IF(OR(AK117=0,AK117="B"),"",RANK(AW117,AW104:AW119,1)),"")</f>
        <v/>
      </c>
      <c r="AM117" s="123" t="str">
        <f ca="1">IFERROR(IF(OR(AK117=0,AK117="A"),"",RANK(AX117,AX104:AX119,1)),"")</f>
        <v/>
      </c>
      <c r="AN117" s="51">
        <f ca="1">IFERROR(IF(AF117="X",0,(INDIRECT(CONCATENATE("'Height Input'!"&amp;$B101&amp;$C102+13))-AJ117)*10),"")</f>
        <v>0</v>
      </c>
      <c r="AO117" s="8"/>
      <c r="AP117" s="9" t="str">
        <f t="shared" ca="1" si="39"/>
        <v/>
      </c>
      <c r="AQ117" s="9" t="str">
        <f ca="1">IF(AR117="","",HLOOKUP(AL117,BC103:BJ120,18,FALSE))</f>
        <v/>
      </c>
      <c r="AR117" s="45" t="str">
        <f ca="1">IF(OR(AL117=0,AL117=""),"",IF(COUNTIFS(AL104:AL119,AL117)&gt;1,"=",""))</f>
        <v/>
      </c>
      <c r="AS117" s="45"/>
      <c r="AT117" s="9" t="str">
        <f t="shared" ca="1" si="40"/>
        <v/>
      </c>
      <c r="AU117" s="9" t="str">
        <f ca="1">IF(AV117="","",HLOOKUP(AM117,BK103:BR120,18,FALSE))</f>
        <v/>
      </c>
      <c r="AV117" s="45" t="str">
        <f ca="1">IF(OR(AM117=0,AM117=""),"",IF(COUNTIFS(AM104:AM119,AM117)&gt;1,"=",""))</f>
        <v/>
      </c>
      <c r="AW117" s="9" t="str">
        <f t="shared" ca="1" si="34"/>
        <v/>
      </c>
      <c r="AX117" s="9" t="str">
        <f t="shared" ca="1" si="35"/>
        <v/>
      </c>
      <c r="AY117" s="47"/>
      <c r="AZ117" s="135" t="str">
        <f t="shared" ca="1" si="36"/>
        <v/>
      </c>
      <c r="BA117" s="135" t="str">
        <f t="shared" ca="1" si="37"/>
        <v/>
      </c>
      <c r="BB117" s="9"/>
      <c r="BC117" s="52" t="str">
        <f ca="1">IF(AL117="","",IF(AL117=BC103,AL117,""))</f>
        <v/>
      </c>
      <c r="BD117" s="52" t="str">
        <f ca="1">IF(AL117="","",IF(AL117=BD103,AL117,""))</f>
        <v/>
      </c>
      <c r="BE117" s="52" t="str">
        <f ca="1">IF(AL117="","",IF(AL117=BE103,AL117,""))</f>
        <v/>
      </c>
      <c r="BF117" s="52" t="str">
        <f ca="1">IF(AL117="","",IF(AL117=BF103,AL117,""))</f>
        <v/>
      </c>
      <c r="BG117" s="52" t="str">
        <f ca="1">IF(AL117="","",IF(AL117=BG103,AL117,""))</f>
        <v/>
      </c>
      <c r="BH117" s="52" t="str">
        <f ca="1">IF(AL117="","",IF(AL117=BH103,AL117,""))</f>
        <v/>
      </c>
      <c r="BI117" s="52" t="str">
        <f ca="1">IF(AL117="","",IF(AL117=BI103,AL117,""))</f>
        <v/>
      </c>
      <c r="BJ117" s="52" t="str">
        <f ca="1">IF(AL117="","",IF(AL117=BJ103,AL117,""))</f>
        <v/>
      </c>
      <c r="BK117" s="52" t="str">
        <f ca="1">IF(AM117="","",IF(AM117=BK103,AM117,""))</f>
        <v/>
      </c>
      <c r="BL117" s="52" t="str">
        <f ca="1">IF(AM117="","",IF(AM117=BL103,AM117,""))</f>
        <v/>
      </c>
      <c r="BM117" s="52" t="str">
        <f ca="1">IF(AM117="","",IF(AM117=BM103,AM117,""))</f>
        <v/>
      </c>
      <c r="BN117" s="52" t="str">
        <f ca="1">IF(AM117="","",IF(AM117=BN103,AM117,""))</f>
        <v/>
      </c>
      <c r="BO117" s="52" t="str">
        <f ca="1">IF(AM117="","",IF(AM117=BO103,AM117,""))</f>
        <v/>
      </c>
      <c r="BP117" s="52" t="str">
        <f ca="1">IF(AM117="","",IF(AM117=BP103,AM117,""))</f>
        <v/>
      </c>
      <c r="BQ117" s="52" t="str">
        <f ca="1">IF(AM117="","",IF(AM117=BQ103,AM117,""))</f>
        <v/>
      </c>
      <c r="BR117" s="52" t="str">
        <f ca="1">IF(AM117="","",IF(AM117=BR103,AM117,""))</f>
        <v/>
      </c>
      <c r="BS117" s="46"/>
      <c r="BT117" s="4">
        <f>IFERROR(IF(A103=0,A117/11,LEFT(A117,1)),"")</f>
        <v>4</v>
      </c>
    </row>
    <row r="118" spans="1:72" s="4" customFormat="1" ht="16.149999999999999" customHeight="1" x14ac:dyDescent="0.35">
      <c r="A118" s="8">
        <f>IFERROR(IF(A103=0,A110*11,A110&amp;A110),"-")</f>
        <v>77</v>
      </c>
      <c r="B118" s="10" t="str">
        <f ca="1">IFERROR(IF(OR(AK118=0,AK118="B"),"",RANK(AZ118,AZ104:AZ119,1)),"")</f>
        <v/>
      </c>
      <c r="C118" s="10" t="str">
        <f ca="1">IFERROR(IF(OR(AK118=0,AK118="A"),"",RANK(BA118,BA104:BA119,1)),"")</f>
        <v/>
      </c>
      <c r="D118" s="55">
        <v>15</v>
      </c>
      <c r="E118" s="17">
        <f t="shared" si="38"/>
        <v>77</v>
      </c>
      <c r="F118" s="319" t="str">
        <f>IFERROR(VLOOKUP($A100&amp;E118,downloads!$A$1:$E$1000,2,FALSE),"")</f>
        <v/>
      </c>
      <c r="G118" s="18" t="str">
        <f t="shared" si="33"/>
        <v>Wigan</v>
      </c>
      <c r="H118" s="497"/>
      <c r="I118" s="498"/>
      <c r="J118" s="497"/>
      <c r="K118" s="498"/>
      <c r="L118" s="497"/>
      <c r="M118" s="498"/>
      <c r="N118" s="497"/>
      <c r="O118" s="498"/>
      <c r="P118" s="497"/>
      <c r="Q118" s="498"/>
      <c r="R118" s="497"/>
      <c r="S118" s="498"/>
      <c r="T118" s="497"/>
      <c r="U118" s="498"/>
      <c r="V118" s="497"/>
      <c r="W118" s="498"/>
      <c r="X118" s="497"/>
      <c r="Y118" s="498"/>
      <c r="Z118" s="497"/>
      <c r="AA118" s="498"/>
      <c r="AB118" s="497"/>
      <c r="AC118" s="498"/>
      <c r="AD118" s="497"/>
      <c r="AE118" s="498"/>
      <c r="AF118" s="511">
        <f ca="1">IFERROR(INDIRECT(CONCATENATE("'Height Input'!"&amp;B102&amp;C102+14)),"")</f>
        <v>0</v>
      </c>
      <c r="AG118" s="512"/>
      <c r="AH118" s="48"/>
      <c r="AI118" s="48"/>
      <c r="AJ118" s="49">
        <f ca="1">IFERROR(IF(AF118="X",MatchDay!$U$2+MatchDay!$U$2+1-COUNTIF($AF104:AF118,"X"),IF(AF118&gt;=97,1,INT(INDIRECT(CONCATENATE("'Height Input'!"&amp;$B101&amp;$C102+14))))),"")</f>
        <v>0</v>
      </c>
      <c r="AK118" s="50">
        <f ca="1">IFERROR(IF(OR(AJ118=0,AJ118=""),0,IF(OR(AJ118&lt;VLOOKUP(BT118,$E104:$AJ111,32,FALSE),VLOOKUP(BT118,$E104:$AJ111,32,FALSE)=0),"A","B")),0)</f>
        <v>0</v>
      </c>
      <c r="AL118" s="123" t="str">
        <f ca="1">IFERROR(IF(OR(AK118=0,AK118="B"),"",RANK(AW118,AW104:AW119,1)),"")</f>
        <v/>
      </c>
      <c r="AM118" s="123" t="str">
        <f ca="1">IFERROR(IF(OR(AK118=0,AK118="A"),"",RANK(AX118,AX104:AX119,1)),"")</f>
        <v/>
      </c>
      <c r="AN118" s="51">
        <f ca="1">IFERROR(IF(AF118="X",0,(INDIRECT(CONCATENATE("'Height Input'!"&amp;$B101&amp;$C102+14))-AJ118)*10),"")</f>
        <v>0</v>
      </c>
      <c r="AO118" s="8"/>
      <c r="AP118" s="9" t="str">
        <f t="shared" ca="1" si="39"/>
        <v/>
      </c>
      <c r="AQ118" s="9" t="str">
        <f ca="1">IF(AR118="","",HLOOKUP(AL118,BC103:BJ120,18,FALSE))</f>
        <v/>
      </c>
      <c r="AR118" s="45" t="str">
        <f ca="1">IF(OR(AL118=0,AL118=""),"",IF(COUNTIFS(AL104:AL119,AL118)&gt;1,"=",""))</f>
        <v/>
      </c>
      <c r="AS118" s="45"/>
      <c r="AT118" s="9" t="str">
        <f t="shared" ca="1" si="40"/>
        <v/>
      </c>
      <c r="AU118" s="9" t="str">
        <f ca="1">IF(AV118="","",HLOOKUP(AM118,BK103:BR120,18,FALSE))</f>
        <v/>
      </c>
      <c r="AV118" s="45" t="str">
        <f ca="1">IF(OR(AM118=0,AM118=""),"",IF(COUNTIFS(AM104:AM119,AM118)&gt;1,"=",""))</f>
        <v/>
      </c>
      <c r="AW118" s="9" t="str">
        <f t="shared" ca="1" si="34"/>
        <v/>
      </c>
      <c r="AX118" s="9" t="str">
        <f t="shared" ca="1" si="35"/>
        <v/>
      </c>
      <c r="AY118" s="47"/>
      <c r="AZ118" s="135" t="str">
        <f t="shared" ca="1" si="36"/>
        <v/>
      </c>
      <c r="BA118" s="135" t="str">
        <f t="shared" ca="1" si="37"/>
        <v/>
      </c>
      <c r="BB118" s="9"/>
      <c r="BC118" s="52" t="str">
        <f ca="1">IF(AL118="","",IF(AL118=BC103,AL118,""))</f>
        <v/>
      </c>
      <c r="BD118" s="52" t="str">
        <f ca="1">IF(AL118="","",IF(AL118=BD103,AL118,""))</f>
        <v/>
      </c>
      <c r="BE118" s="52" t="str">
        <f ca="1">IF(AL118="","",IF(AL118=BE103,AL118,""))</f>
        <v/>
      </c>
      <c r="BF118" s="52" t="str">
        <f ca="1">IF(AL118="","",IF(AL118=BF103,AL118,""))</f>
        <v/>
      </c>
      <c r="BG118" s="52" t="str">
        <f ca="1">IF(AL118="","",IF(AL118=BG103,AL118,""))</f>
        <v/>
      </c>
      <c r="BH118" s="52" t="str">
        <f ca="1">IF(AL118="","",IF(AL118=BH103,AL118,""))</f>
        <v/>
      </c>
      <c r="BI118" s="52" t="str">
        <f ca="1">IF(AL118="","",IF(AL118=BI103,AL118,""))</f>
        <v/>
      </c>
      <c r="BJ118" s="52" t="str">
        <f ca="1">IF(AL118="","",IF(AL118=BJ103,AL118,""))</f>
        <v/>
      </c>
      <c r="BK118" s="52" t="str">
        <f ca="1">IF(AM118="","",IF(AM118=BK103,AM118,""))</f>
        <v/>
      </c>
      <c r="BL118" s="52" t="str">
        <f ca="1">IF(AM118="","",IF(AM118=BL103,AM118,""))</f>
        <v/>
      </c>
      <c r="BM118" s="52" t="str">
        <f ca="1">IF(AM118="","",IF(AM118=BM103,AM118,""))</f>
        <v/>
      </c>
      <c r="BN118" s="52" t="str">
        <f ca="1">IF(AM118="","",IF(AM118=BN103,AM118,""))</f>
        <v/>
      </c>
      <c r="BO118" s="52" t="str">
        <f ca="1">IF(AM118="","",IF(AM118=BO103,AM118,""))</f>
        <v/>
      </c>
      <c r="BP118" s="52" t="str">
        <f ca="1">IF(AM118="","",IF(AM118=BP103,AM118,""))</f>
        <v/>
      </c>
      <c r="BQ118" s="52" t="str">
        <f ca="1">IF(AM118="","",IF(AM118=BQ103,AM118,""))</f>
        <v/>
      </c>
      <c r="BR118" s="52" t="str">
        <f ca="1">IF(AM118="","",IF(AM118=BR103,AM118,""))</f>
        <v/>
      </c>
      <c r="BS118" s="46"/>
      <c r="BT118" s="4">
        <f>IFERROR(IF(A103=0,A118/11,LEFT(A118,1)),"")</f>
        <v>7</v>
      </c>
    </row>
    <row r="119" spans="1:72" s="4" customFormat="1" ht="16.149999999999999" customHeight="1" x14ac:dyDescent="0.35">
      <c r="A119" s="8" t="str">
        <f>IFERROR(IF(A103=0,A111*11,A111&amp;A111),"-")</f>
        <v>-</v>
      </c>
      <c r="B119" s="10" t="str">
        <f ca="1">IFERROR(IF(OR(AK119=0,AK119="B"),"",RANK(AZ119,AZ104:AZ119,1)),"")</f>
        <v/>
      </c>
      <c r="C119" s="10" t="str">
        <f ca="1">IFERROR(IF(OR(AK119=0,AK119="A"),"",RANK(BA119,BA104:BA119,1)),"")</f>
        <v/>
      </c>
      <c r="D119" s="55">
        <v>16</v>
      </c>
      <c r="E119" s="17" t="str">
        <f t="shared" si="38"/>
        <v>-</v>
      </c>
      <c r="F119" s="319" t="str">
        <f>IFERROR(VLOOKUP($A100&amp;E119,downloads!$A$1:$E$1000,2,FALSE),"")</f>
        <v/>
      </c>
      <c r="G119" s="18" t="str">
        <f t="shared" si="33"/>
        <v/>
      </c>
      <c r="H119" s="497"/>
      <c r="I119" s="498"/>
      <c r="J119" s="497"/>
      <c r="K119" s="498"/>
      <c r="L119" s="497"/>
      <c r="M119" s="498"/>
      <c r="N119" s="497"/>
      <c r="O119" s="498"/>
      <c r="P119" s="497"/>
      <c r="Q119" s="498"/>
      <c r="R119" s="497"/>
      <c r="S119" s="498"/>
      <c r="T119" s="497"/>
      <c r="U119" s="498"/>
      <c r="V119" s="497"/>
      <c r="W119" s="498"/>
      <c r="X119" s="497"/>
      <c r="Y119" s="498"/>
      <c r="Z119" s="497"/>
      <c r="AA119" s="498"/>
      <c r="AB119" s="497"/>
      <c r="AC119" s="498"/>
      <c r="AD119" s="497"/>
      <c r="AE119" s="498"/>
      <c r="AF119" s="511">
        <f ca="1">IFERROR(INDIRECT(CONCATENATE("'Height Input'!"&amp;B102&amp;C102+15)),"")</f>
        <v>0</v>
      </c>
      <c r="AG119" s="512"/>
      <c r="AH119" s="48"/>
      <c r="AI119" s="48"/>
      <c r="AJ119" s="49">
        <f ca="1">IFERROR(IF(AF119="X",MatchDay!$U$2+MatchDay!$U$2+1-COUNTIF($AF104:AF119,"X"),IF(AF119&gt;=97,1,INT(INDIRECT(CONCATENATE("'Height Input'!"&amp;$B101&amp;$C102+15))))),"")</f>
        <v>0</v>
      </c>
      <c r="AK119" s="50">
        <f ca="1">IFERROR(IF(OR(AJ119=0,AJ119=""),0,IF(OR(AJ119&lt;VLOOKUP(BT119,$E104:$AJ111,32,FALSE),VLOOKUP(BT119,$E104:$AJ111,32,FALSE)=0),"A","B")),0)</f>
        <v>0</v>
      </c>
      <c r="AL119" s="123" t="str">
        <f ca="1">IFERROR(IF(OR(AK119=0,AK119="B"),"",RANK(AW119,AW104:AW119,1)),"")</f>
        <v/>
      </c>
      <c r="AM119" s="123" t="str">
        <f ca="1">IFERROR(IF(OR(AK119=0,AK119="A"),"",RANK(AX119,AX104:AX119,1)),"")</f>
        <v/>
      </c>
      <c r="AN119" s="51">
        <f ca="1">IFERROR(IF(AF119="X",0,(INDIRECT(CONCATENATE("'Height Input'!"&amp;$B101&amp;$C102+15))-AJ119)*10),"")</f>
        <v>0</v>
      </c>
      <c r="AO119" s="8"/>
      <c r="AP119" s="9" t="str">
        <f t="shared" ca="1" si="39"/>
        <v/>
      </c>
      <c r="AQ119" s="9" t="str">
        <f ca="1">IF(AR119="","",HLOOKUP(AL119,BC103:BJ120,18,FALSE))</f>
        <v/>
      </c>
      <c r="AR119" s="45" t="str">
        <f ca="1">IF(OR(AL119=0,AL119=""),"",IF(COUNTIFS(AL104:AL119,AL119)&gt;1,"=",""))</f>
        <v/>
      </c>
      <c r="AS119" s="45"/>
      <c r="AT119" s="9" t="str">
        <f t="shared" ca="1" si="40"/>
        <v/>
      </c>
      <c r="AU119" s="9" t="str">
        <f ca="1">IF(AV119="","",HLOOKUP(AM119,BK103:BR120,18,FALSE))</f>
        <v/>
      </c>
      <c r="AV119" s="45" t="str">
        <f ca="1">IF(OR(AM119=0,AM119=""),"",IF(COUNTIFS(AM104:AM119,AM119)&gt;1,"=",""))</f>
        <v/>
      </c>
      <c r="AW119" s="9" t="str">
        <f t="shared" ca="1" si="34"/>
        <v/>
      </c>
      <c r="AX119" s="9" t="str">
        <f t="shared" ca="1" si="35"/>
        <v/>
      </c>
      <c r="AY119" s="47"/>
      <c r="AZ119" s="135" t="str">
        <f t="shared" ca="1" si="36"/>
        <v/>
      </c>
      <c r="BA119" s="135" t="str">
        <f t="shared" ca="1" si="37"/>
        <v/>
      </c>
      <c r="BB119" s="9"/>
      <c r="BC119" s="52" t="str">
        <f ca="1">IF(AL119="","",IF(AL119=BC103,AL119,""))</f>
        <v/>
      </c>
      <c r="BD119" s="52" t="str">
        <f ca="1">IF(AL119="","",IF(AL119=BD103,AL119,""))</f>
        <v/>
      </c>
      <c r="BE119" s="52" t="str">
        <f ca="1">IF(AL119="","",IF(AL119=BE103,AL119,""))</f>
        <v/>
      </c>
      <c r="BF119" s="52" t="str">
        <f ca="1">IF(AL119="","",IF(AL119=BF103,AL119,""))</f>
        <v/>
      </c>
      <c r="BG119" s="52" t="str">
        <f ca="1">IF(AL119="","",IF(AL119=BG103,AL119,""))</f>
        <v/>
      </c>
      <c r="BH119" s="52" t="str">
        <f ca="1">IF(AL119="","",IF(AL119=BH103,AL119,""))</f>
        <v/>
      </c>
      <c r="BI119" s="52" t="str">
        <f ca="1">IF(AL119="","",IF(AL119=BI103,AL119,""))</f>
        <v/>
      </c>
      <c r="BJ119" s="52" t="str">
        <f ca="1">IF(AL119="","",IF(AL119=BJ103,AL119,""))</f>
        <v/>
      </c>
      <c r="BK119" s="52" t="str">
        <f ca="1">IF(AM119="","",IF(AM119=BK103,AM119,""))</f>
        <v/>
      </c>
      <c r="BL119" s="52" t="str">
        <f ca="1">IF(AM119="","",IF(AM119=BL103,AM119,""))</f>
        <v/>
      </c>
      <c r="BM119" s="52" t="str">
        <f ca="1">IF(AM119="","",IF(AM119=BM103,AM119,""))</f>
        <v/>
      </c>
      <c r="BN119" s="52" t="str">
        <f ca="1">IF(AM119="","",IF(AM119=BN103,AM119,""))</f>
        <v/>
      </c>
      <c r="BO119" s="52" t="str">
        <f ca="1">IF(AM119="","",IF(AM119=BO103,AM119,""))</f>
        <v/>
      </c>
      <c r="BP119" s="52" t="str">
        <f ca="1">IF(AM119="","",IF(AM119=BP103,AM119,""))</f>
        <v/>
      </c>
      <c r="BQ119" s="52" t="str">
        <f ca="1">IF(AM119="","",IF(AM119=BQ103,AM119,""))</f>
        <v/>
      </c>
      <c r="BR119" s="52" t="str">
        <f ca="1">IF(AM119="","",IF(AM119=BR103,AM119,""))</f>
        <v/>
      </c>
      <c r="BS119" s="46"/>
      <c r="BT119" s="4" t="str">
        <f>IFERROR(IF(A103=0,A119/11,LEFT(A119,1)),"")</f>
        <v/>
      </c>
    </row>
    <row r="120" spans="1:72" s="4" customFormat="1" ht="13.5" x14ac:dyDescent="0.3">
      <c r="A120" s="8"/>
      <c r="B120" s="1"/>
      <c r="C120" s="1"/>
      <c r="AL120" s="124"/>
      <c r="AM120" s="124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137"/>
      <c r="BA120" s="137"/>
      <c r="BB120" s="47"/>
      <c r="BC120" s="9">
        <f ca="1">COUNTIF(BC104:BC119,BC103)</f>
        <v>1</v>
      </c>
      <c r="BD120" s="9">
        <f t="shared" ref="BD120:BR120" ca="1" si="41">COUNTIF(BD104:BD119,BD103)</f>
        <v>0</v>
      </c>
      <c r="BE120" s="9">
        <f t="shared" ca="1" si="41"/>
        <v>0</v>
      </c>
      <c r="BF120" s="9">
        <f t="shared" ca="1" si="41"/>
        <v>0</v>
      </c>
      <c r="BG120" s="9">
        <f t="shared" ca="1" si="41"/>
        <v>0</v>
      </c>
      <c r="BH120" s="9">
        <f t="shared" ca="1" si="41"/>
        <v>0</v>
      </c>
      <c r="BI120" s="9">
        <f t="shared" ca="1" si="41"/>
        <v>0</v>
      </c>
      <c r="BJ120" s="9">
        <f t="shared" ca="1" si="41"/>
        <v>0</v>
      </c>
      <c r="BK120" s="9">
        <f t="shared" ca="1" si="41"/>
        <v>0</v>
      </c>
      <c r="BL120" s="9">
        <f t="shared" ca="1" si="41"/>
        <v>0</v>
      </c>
      <c r="BM120" s="9">
        <f t="shared" ca="1" si="41"/>
        <v>0</v>
      </c>
      <c r="BN120" s="9">
        <f t="shared" ca="1" si="41"/>
        <v>0</v>
      </c>
      <c r="BO120" s="9">
        <f t="shared" ca="1" si="41"/>
        <v>0</v>
      </c>
      <c r="BP120" s="9">
        <f t="shared" ca="1" si="41"/>
        <v>0</v>
      </c>
      <c r="BQ120" s="9">
        <f t="shared" ca="1" si="41"/>
        <v>0</v>
      </c>
      <c r="BR120" s="9">
        <f t="shared" ca="1" si="41"/>
        <v>0</v>
      </c>
    </row>
    <row r="121" spans="1:72" s="4" customFormat="1" x14ac:dyDescent="0.25">
      <c r="A121" s="8"/>
      <c r="B121" s="1"/>
      <c r="C121" s="1"/>
      <c r="D121" s="466" t="s">
        <v>139</v>
      </c>
      <c r="E121" s="507"/>
      <c r="F121" s="507"/>
      <c r="G121" s="507"/>
      <c r="H121" s="507"/>
      <c r="I121" s="508"/>
      <c r="J121" s="466" t="s">
        <v>140</v>
      </c>
      <c r="K121" s="507"/>
      <c r="L121" s="507"/>
      <c r="M121" s="507"/>
      <c r="N121" s="507"/>
      <c r="O121" s="507"/>
      <c r="P121" s="507"/>
      <c r="Q121" s="507"/>
      <c r="R121" s="507"/>
      <c r="S121" s="507"/>
      <c r="T121" s="507"/>
      <c r="U121" s="507"/>
      <c r="V121" s="507"/>
      <c r="W121" s="507"/>
      <c r="X121" s="507"/>
      <c r="Y121" s="507"/>
      <c r="Z121" s="507"/>
      <c r="AA121" s="508"/>
      <c r="AB121" s="466" t="s">
        <v>1134</v>
      </c>
      <c r="AC121" s="507"/>
      <c r="AD121" s="507"/>
      <c r="AE121" s="507"/>
      <c r="AF121" s="507"/>
      <c r="AG121" s="507"/>
      <c r="AH121" s="507"/>
      <c r="AI121" s="507"/>
      <c r="AJ121" s="507"/>
      <c r="AK121" s="507"/>
      <c r="AL121" s="507"/>
      <c r="AM121" s="50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136"/>
      <c r="BA121" s="136"/>
      <c r="BB121" s="8"/>
      <c r="BC121" s="8"/>
      <c r="BD121" s="8"/>
      <c r="BE121" s="8"/>
    </row>
    <row r="122" spans="1:72" s="4" customFormat="1" x14ac:dyDescent="0.25">
      <c r="A122" s="8" t="s">
        <v>55</v>
      </c>
      <c r="B122" s="1"/>
      <c r="C122" s="1"/>
      <c r="D122" s="12" t="s">
        <v>177</v>
      </c>
      <c r="E122" s="55" t="s">
        <v>141</v>
      </c>
      <c r="F122" s="55" t="s">
        <v>124</v>
      </c>
      <c r="G122" s="119" t="s">
        <v>125</v>
      </c>
      <c r="H122" s="513" t="s">
        <v>270</v>
      </c>
      <c r="I122" s="514"/>
      <c r="J122" s="466" t="s">
        <v>177</v>
      </c>
      <c r="K122" s="468"/>
      <c r="L122" s="466" t="s">
        <v>141</v>
      </c>
      <c r="M122" s="508"/>
      <c r="N122" s="515" t="s">
        <v>124</v>
      </c>
      <c r="O122" s="515"/>
      <c r="P122" s="515"/>
      <c r="Q122" s="515"/>
      <c r="R122" s="515"/>
      <c r="S122" s="515"/>
      <c r="T122" s="515" t="s">
        <v>125</v>
      </c>
      <c r="U122" s="515"/>
      <c r="V122" s="515"/>
      <c r="W122" s="515"/>
      <c r="X122" s="515"/>
      <c r="Y122" s="515"/>
      <c r="Z122" s="513" t="s">
        <v>270</v>
      </c>
      <c r="AA122" s="514"/>
      <c r="AB122" s="116"/>
      <c r="AC122" s="117"/>
      <c r="AD122" s="117"/>
      <c r="AE122" s="117"/>
      <c r="AF122" s="117"/>
      <c r="AG122" s="117"/>
      <c r="AH122" s="25"/>
      <c r="AI122" s="25"/>
      <c r="AJ122" s="25"/>
      <c r="AK122" s="25"/>
      <c r="AL122" s="125"/>
      <c r="AM122" s="126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136"/>
      <c r="BA122" s="136"/>
      <c r="BB122" s="8"/>
      <c r="BC122" s="8"/>
      <c r="BD122" s="8"/>
      <c r="BE122" s="8"/>
    </row>
    <row r="123" spans="1:72" s="4" customFormat="1" ht="16.149999999999999" customHeight="1" x14ac:dyDescent="0.25">
      <c r="A123" s="11">
        <f>IFERROR(VLOOKUP(A100,standards,3,FALSE),"-")</f>
        <v>2</v>
      </c>
      <c r="B123" s="1"/>
      <c r="C123" s="10">
        <v>1</v>
      </c>
      <c r="D123" s="19">
        <f ca="1">IFERROR(IF(VLOOKUP(C123,B104:AP119,41,FALSE)="",VLOOKUP(C123,B104:AP119,37,FALSE),VLOOKUP(C123,B104:AP119,37,FALSE)&amp;VLOOKUP(C123,B104:AP119,41,FALSE)),"")</f>
        <v>1</v>
      </c>
      <c r="E123" s="19">
        <f ca="1">IFERROR(IF(OR(AF104=98,AF104=99),AF104,IF(VLOOKUP(C123,B104:AG119,31,FALSE)=0,0,VLOOKUP(C123,B104:AG119,4,FALSE))),0)</f>
        <v>1</v>
      </c>
      <c r="F123" s="27" t="str">
        <f ca="1">IFERROR(VLOOKUP(E123,$E104:$F119,2,FALSE),"")</f>
        <v>Isaac PICKERING</v>
      </c>
      <c r="G123" s="18" t="str">
        <f t="shared" ref="G123:G130" ca="1" si="42">IFERROR(VLOOKUP(E123,teamlookup,5,FALSE),"-")</f>
        <v>C&amp;N</v>
      </c>
      <c r="H123" s="459">
        <f ca="1">IFERROR(VLOOKUP(E123,E104:AG119,28,FALSE),0)</f>
        <v>2.2999999999999998</v>
      </c>
      <c r="I123" s="460"/>
      <c r="J123" s="509" t="str">
        <f ca="1">IFERROR(IF(VLOOKUP(C123,C104:AT119,44,FALSE)="",VLOOKUP(C123,C104:AT119,37,FALSE),VLOOKUP(C123,C104:AT119,37,FALSE)&amp;VLOOKUP(C123,C104:AT119,44,FALSE)),"")</f>
        <v/>
      </c>
      <c r="K123" s="510"/>
      <c r="L123" s="509" t="str">
        <f ca="1">IFERROR(IF(VLOOKUP(C123,C104:AG119,30,FALSE)=0,"",VLOOKUP(C123,C104:AG119,3,FALSE)),"")</f>
        <v/>
      </c>
      <c r="M123" s="510"/>
      <c r="N123" s="461" t="str">
        <f ca="1">IFERROR(VLOOKUP(L123,E104:F119,2,FALSE),"")</f>
        <v/>
      </c>
      <c r="O123" s="462"/>
      <c r="P123" s="462"/>
      <c r="Q123" s="462"/>
      <c r="R123" s="462"/>
      <c r="S123" s="463"/>
      <c r="T123" s="461" t="str">
        <f t="shared" ref="T123:T130" ca="1" si="43">IFERROR(VLOOKUP(L123,teamlookup,5,FALSE),"-")</f>
        <v>-</v>
      </c>
      <c r="U123" s="462"/>
      <c r="V123" s="462"/>
      <c r="W123" s="462"/>
      <c r="X123" s="462"/>
      <c r="Y123" s="463"/>
      <c r="Z123" s="459">
        <f ca="1">IFERROR(VLOOKUP(L123,E104:AG119,28,FALSE),0)</f>
        <v>0</v>
      </c>
      <c r="AA123" s="460"/>
      <c r="AB123" s="28"/>
      <c r="AC123" s="29"/>
      <c r="AD123" s="29"/>
      <c r="AE123" s="29"/>
      <c r="AF123" s="29"/>
      <c r="AG123" s="29"/>
      <c r="AH123" s="29"/>
      <c r="AI123" s="29"/>
      <c r="AJ123" s="29"/>
      <c r="AK123" s="29"/>
      <c r="AL123" s="127"/>
      <c r="AM123" s="128"/>
      <c r="AP123" s="8"/>
      <c r="AQ123" s="8"/>
      <c r="AR123" s="53"/>
      <c r="AS123" s="8"/>
      <c r="AT123" s="8"/>
      <c r="AU123" s="8"/>
      <c r="AV123" s="8"/>
      <c r="AW123" s="8"/>
      <c r="AX123" s="8"/>
      <c r="AY123" s="8"/>
      <c r="AZ123" s="136"/>
      <c r="BA123" s="136"/>
      <c r="BB123" s="8"/>
      <c r="BC123" s="8"/>
      <c r="BD123" s="8"/>
      <c r="BE123" s="8"/>
    </row>
    <row r="124" spans="1:72" s="4" customFormat="1" ht="16.149999999999999" customHeight="1" x14ac:dyDescent="0.25">
      <c r="A124" s="11">
        <f>IFERROR(VLOOKUP(A100,standards,4,FALSE),"-")</f>
        <v>2.2000000000000002</v>
      </c>
      <c r="B124" s="1"/>
      <c r="C124" s="10">
        <v>2</v>
      </c>
      <c r="D124" s="19" t="str">
        <f ca="1">IFERROR(IF(VLOOKUP(C124,B104:AP119,41,FALSE)="",VLOOKUP(C124,B104:AP119,37,FALSE),VLOOKUP(C124,B104:AP119,37,FALSE)&amp;VLOOKUP(C124,B104:AP119,41,FALSE)),"")</f>
        <v/>
      </c>
      <c r="E124" s="19" t="str">
        <f ca="1">IFERROR(IF(VLOOKUP(C124,B104:AG119,31,FALSE)=0,0,VLOOKUP(C124,B104:AG119,4,FALSE)),"")</f>
        <v/>
      </c>
      <c r="F124" s="27" t="str">
        <f ca="1">IFERROR(VLOOKUP(E124,$E104:$F119,2,FALSE),"")</f>
        <v/>
      </c>
      <c r="G124" s="18" t="str">
        <f t="shared" ca="1" si="42"/>
        <v>-</v>
      </c>
      <c r="H124" s="459">
        <f ca="1">IFERROR(VLOOKUP(E124,E104:AG119,28,FALSE),0)</f>
        <v>0</v>
      </c>
      <c r="I124" s="460"/>
      <c r="J124" s="509" t="str">
        <f ca="1">IFERROR(IF(VLOOKUP(C124,C104:AT119,44,FALSE)="",VLOOKUP(C124,C104:AT119,37,FALSE),VLOOKUP(C124,C104:AT119,37,FALSE)&amp;VLOOKUP(C124,C104:AT119,44,FALSE)),"")</f>
        <v/>
      </c>
      <c r="K124" s="510"/>
      <c r="L124" s="509" t="str">
        <f ca="1">IFERROR(IF(VLOOKUP(C124,C104:AG119,30,FALSE)=0,"",VLOOKUP(C124,C104:AG119,3,FALSE)),"")</f>
        <v/>
      </c>
      <c r="M124" s="510"/>
      <c r="N124" s="461" t="str">
        <f ca="1">IFERROR(VLOOKUP(L124,E104:F119,2,FALSE),"")</f>
        <v/>
      </c>
      <c r="O124" s="462"/>
      <c r="P124" s="462"/>
      <c r="Q124" s="462"/>
      <c r="R124" s="462"/>
      <c r="S124" s="463"/>
      <c r="T124" s="461" t="str">
        <f t="shared" ca="1" si="43"/>
        <v>-</v>
      </c>
      <c r="U124" s="462"/>
      <c r="V124" s="462"/>
      <c r="W124" s="462"/>
      <c r="X124" s="462"/>
      <c r="Y124" s="463"/>
      <c r="Z124" s="459">
        <f ca="1">IFERROR(VLOOKUP(L124,E104:AG119,28,FALSE),0)</f>
        <v>0</v>
      </c>
      <c r="AA124" s="460"/>
      <c r="AB124" s="118"/>
      <c r="AC124" s="20"/>
      <c r="AD124" s="20"/>
      <c r="AE124" s="20"/>
      <c r="AF124" s="20"/>
      <c r="AG124" s="20"/>
      <c r="AH124" s="20"/>
      <c r="AI124" s="20"/>
      <c r="AJ124" s="20"/>
      <c r="AK124" s="20"/>
      <c r="AL124" s="129"/>
      <c r="AM124" s="130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136"/>
      <c r="BA124" s="136"/>
      <c r="BB124" s="8"/>
      <c r="BC124" s="8"/>
      <c r="BD124" s="8"/>
      <c r="BE124" s="8"/>
    </row>
    <row r="125" spans="1:72" s="4" customFormat="1" ht="16.149999999999999" customHeight="1" x14ac:dyDescent="0.25">
      <c r="A125" s="11">
        <f>IFERROR(VLOOKUP(A100,standards,5,FALSE),"-")</f>
        <v>2.4</v>
      </c>
      <c r="B125" s="1"/>
      <c r="C125" s="10">
        <v>3</v>
      </c>
      <c r="D125" s="19" t="str">
        <f ca="1">IFERROR(IF(VLOOKUP(C125,B104:AP119,41,FALSE)="",VLOOKUP(C125,B104:AP119,37,FALSE),VLOOKUP(C125,B104:AP119,37,FALSE)&amp;VLOOKUP(C125,B104:AP119,41,FALSE)),"")</f>
        <v/>
      </c>
      <c r="E125" s="19" t="str">
        <f ca="1">IFERROR(IF(VLOOKUP(C125,B104:AG119,31,FALSE)=0,0,VLOOKUP(C125,B104:AG119,4,FALSE)),"")</f>
        <v/>
      </c>
      <c r="F125" s="27" t="str">
        <f ca="1">IFERROR(VLOOKUP(E125,$E104:$F119,2,FALSE),"")</f>
        <v/>
      </c>
      <c r="G125" s="18" t="str">
        <f t="shared" ca="1" si="42"/>
        <v>-</v>
      </c>
      <c r="H125" s="459">
        <f ca="1">IFERROR(VLOOKUP(E125,E104:AG119,28,FALSE),0)</f>
        <v>0</v>
      </c>
      <c r="I125" s="460"/>
      <c r="J125" s="509" t="str">
        <f ca="1">IFERROR(IF(VLOOKUP(C125,C104:AT119,44,FALSE)="",VLOOKUP(C125,C104:AT119,37,FALSE),VLOOKUP(C125,C104:AT119,37,FALSE)&amp;VLOOKUP(C125,C104:AT119,44,FALSE)),"")</f>
        <v/>
      </c>
      <c r="K125" s="510"/>
      <c r="L125" s="509" t="str">
        <f ca="1">IFERROR(IF(VLOOKUP(C125,C104:AG119,30,FALSE)=0,"",VLOOKUP(C125,C104:AG119,3,FALSE)),"")</f>
        <v/>
      </c>
      <c r="M125" s="510"/>
      <c r="N125" s="461" t="str">
        <f ca="1">IFERROR(VLOOKUP(L125,E104:F119,2,FALSE),"")</f>
        <v/>
      </c>
      <c r="O125" s="462"/>
      <c r="P125" s="462"/>
      <c r="Q125" s="462"/>
      <c r="R125" s="462"/>
      <c r="S125" s="463"/>
      <c r="T125" s="461" t="str">
        <f t="shared" ca="1" si="43"/>
        <v>-</v>
      </c>
      <c r="U125" s="462"/>
      <c r="V125" s="462"/>
      <c r="W125" s="462"/>
      <c r="X125" s="462"/>
      <c r="Y125" s="463"/>
      <c r="Z125" s="459">
        <f ca="1">IFERROR(VLOOKUP(L125,E104:AG119,28,FALSE),0)</f>
        <v>0</v>
      </c>
      <c r="AA125" s="460"/>
      <c r="AB125" s="118"/>
      <c r="AC125" s="20"/>
      <c r="AD125" s="20"/>
      <c r="AE125" s="20"/>
      <c r="AF125" s="20"/>
      <c r="AG125" s="20"/>
      <c r="AH125" s="20"/>
      <c r="AI125" s="20"/>
      <c r="AJ125" s="20"/>
      <c r="AK125" s="20"/>
      <c r="AL125" s="129"/>
      <c r="AM125" s="130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136"/>
      <c r="BA125" s="136"/>
      <c r="BB125" s="8"/>
      <c r="BC125" s="8"/>
      <c r="BD125" s="8"/>
      <c r="BE125" s="8"/>
    </row>
    <row r="126" spans="1:72" s="4" customFormat="1" ht="16.149999999999999" customHeight="1" x14ac:dyDescent="0.25">
      <c r="A126" s="11">
        <f>IFERROR(VLOOKUP(A100,EA!A:K,6,FALSE),"-")</f>
        <v>2.6</v>
      </c>
      <c r="B126" s="1"/>
      <c r="C126" s="10">
        <v>4</v>
      </c>
      <c r="D126" s="19" t="str">
        <f ca="1">IFERROR(IF(VLOOKUP(C126,B104:AP119,41,FALSE)="",VLOOKUP(C126,B104:AP119,37,FALSE),VLOOKUP(C126,B104:AP119,37,FALSE)&amp;VLOOKUP(C126,B104:AP119,41,FALSE)),"")</f>
        <v/>
      </c>
      <c r="E126" s="19" t="str">
        <f ca="1">IFERROR(IF(VLOOKUP(C126,B104:AG119,31,FALSE)=0,0,VLOOKUP(C126,B104:AG119,4,FALSE)),"")</f>
        <v/>
      </c>
      <c r="F126" s="27" t="str">
        <f ca="1">IFERROR(VLOOKUP(E126,$E104:$F119,2,FALSE),"")</f>
        <v/>
      </c>
      <c r="G126" s="18" t="str">
        <f t="shared" ca="1" si="42"/>
        <v>-</v>
      </c>
      <c r="H126" s="459">
        <f ca="1">IFERROR(VLOOKUP(E126,E104:AG119,28,FALSE),0)</f>
        <v>0</v>
      </c>
      <c r="I126" s="460"/>
      <c r="J126" s="509" t="str">
        <f ca="1">IFERROR(IF(VLOOKUP(C126,C104:AT119,44,FALSE)="",VLOOKUP(C126,C104:AT119,37,FALSE),VLOOKUP(C126,C104:AT119,37,FALSE)&amp;VLOOKUP(C126,C104:AT119,44,FALSE)),"")</f>
        <v/>
      </c>
      <c r="K126" s="510"/>
      <c r="L126" s="509" t="str">
        <f ca="1">IFERROR(IF(VLOOKUP(C126,C104:AG119,30,FALSE)=0,"",VLOOKUP(C126,C104:AG119,3,FALSE)),"")</f>
        <v/>
      </c>
      <c r="M126" s="510"/>
      <c r="N126" s="461" t="str">
        <f ca="1">IFERROR(VLOOKUP(L126,E104:F119,2,FALSE),"")</f>
        <v/>
      </c>
      <c r="O126" s="462"/>
      <c r="P126" s="462"/>
      <c r="Q126" s="462"/>
      <c r="R126" s="462"/>
      <c r="S126" s="463"/>
      <c r="T126" s="461" t="str">
        <f t="shared" ca="1" si="43"/>
        <v>-</v>
      </c>
      <c r="U126" s="462"/>
      <c r="V126" s="462"/>
      <c r="W126" s="462"/>
      <c r="X126" s="462"/>
      <c r="Y126" s="463"/>
      <c r="Z126" s="459">
        <f ca="1">IFERROR(VLOOKUP(L126,E104:AG119,28,FALSE),0)</f>
        <v>0</v>
      </c>
      <c r="AA126" s="460"/>
      <c r="AB126" s="24"/>
      <c r="AC126" s="25"/>
      <c r="AD126" s="25"/>
      <c r="AE126" s="25"/>
      <c r="AF126" s="25"/>
      <c r="AG126" s="25"/>
      <c r="AH126" s="25"/>
      <c r="AI126" s="25"/>
      <c r="AJ126" s="25"/>
      <c r="AK126" s="25"/>
      <c r="AL126" s="125"/>
      <c r="AM126" s="126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136"/>
      <c r="BA126" s="136"/>
      <c r="BB126" s="8"/>
      <c r="BC126" s="8"/>
      <c r="BD126" s="8"/>
      <c r="BE126" s="8"/>
    </row>
    <row r="127" spans="1:72" s="4" customFormat="1" ht="16.149999999999999" customHeight="1" x14ac:dyDescent="0.25">
      <c r="A127" s="8"/>
      <c r="B127" s="1"/>
      <c r="C127" s="10">
        <v>5</v>
      </c>
      <c r="D127" s="19" t="str">
        <f ca="1">IFERROR(IF(VLOOKUP(C127,B104:AP119,41,FALSE)="",VLOOKUP(C127,B104:AP119,37,FALSE),VLOOKUP(C127,B104:AP119,37,FALSE)&amp;VLOOKUP(C127,B104:AP119,41,FALSE)),"")</f>
        <v/>
      </c>
      <c r="E127" s="19" t="str">
        <f ca="1">IFERROR(IF(VLOOKUP(C127,B104:AG119,31,FALSE)=0,0,VLOOKUP(C127,B104:AG119,4,FALSE)),"")</f>
        <v/>
      </c>
      <c r="F127" s="27" t="str">
        <f ca="1">IFERROR(VLOOKUP(E127,$E104:$F119,2,FALSE),"")</f>
        <v/>
      </c>
      <c r="G127" s="18" t="str">
        <f t="shared" ca="1" si="42"/>
        <v>-</v>
      </c>
      <c r="H127" s="459">
        <f ca="1">IFERROR(VLOOKUP(E127,E104:AG119,28,FALSE),0)</f>
        <v>0</v>
      </c>
      <c r="I127" s="460"/>
      <c r="J127" s="509" t="str">
        <f ca="1">IFERROR(IF(VLOOKUP(C127,C104:AT119,44,FALSE)="",VLOOKUP(C127,C104:AT119,37,FALSE),VLOOKUP(C127,C104:AT119,37,FALSE)&amp;VLOOKUP(C127,C104:AT119,44,FALSE)),"")</f>
        <v/>
      </c>
      <c r="K127" s="510"/>
      <c r="L127" s="509" t="str">
        <f ca="1">IFERROR(IF(VLOOKUP(C127,C104:AG119,30,FALSE)=0,"",VLOOKUP(C127,C104:AG119,3,FALSE)),"")</f>
        <v/>
      </c>
      <c r="M127" s="510"/>
      <c r="N127" s="461" t="str">
        <f ca="1">IFERROR(VLOOKUP(L127,E104:F119,2,FALSE),"")</f>
        <v/>
      </c>
      <c r="O127" s="462"/>
      <c r="P127" s="462"/>
      <c r="Q127" s="462"/>
      <c r="R127" s="462"/>
      <c r="S127" s="463"/>
      <c r="T127" s="461" t="str">
        <f t="shared" ca="1" si="43"/>
        <v>-</v>
      </c>
      <c r="U127" s="462"/>
      <c r="V127" s="462"/>
      <c r="W127" s="462"/>
      <c r="X127" s="462"/>
      <c r="Y127" s="463"/>
      <c r="Z127" s="459">
        <f ca="1">IFERROR(VLOOKUP(L127,E104:AG119,28,FALSE),0)</f>
        <v>0</v>
      </c>
      <c r="AA127" s="460"/>
      <c r="AB127" s="28"/>
      <c r="AC127" s="29"/>
      <c r="AD127" s="29"/>
      <c r="AE127" s="29"/>
      <c r="AF127" s="29"/>
      <c r="AG127" s="29"/>
      <c r="AH127" s="29"/>
      <c r="AI127" s="29"/>
      <c r="AJ127" s="29"/>
      <c r="AK127" s="29"/>
      <c r="AL127" s="127"/>
      <c r="AM127" s="12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136"/>
      <c r="BA127" s="136"/>
      <c r="BB127" s="8"/>
      <c r="BC127" s="8"/>
      <c r="BD127" s="8"/>
      <c r="BE127" s="8"/>
    </row>
    <row r="128" spans="1:72" s="4" customFormat="1" ht="16.149999999999999" customHeight="1" x14ac:dyDescent="0.25">
      <c r="A128" s="8" t="s">
        <v>151</v>
      </c>
      <c r="B128" s="1"/>
      <c r="C128" s="10">
        <v>6</v>
      </c>
      <c r="D128" s="19" t="str">
        <f ca="1">IFERROR(IF(VLOOKUP(C128,B104:AP119,41,FALSE)="",VLOOKUP(C128,B104:AP119,37,FALSE),VLOOKUP(C128,B104:AP119,37,FALSE)&amp;VLOOKUP(C128,B104:AP119,41,FALSE)),"")</f>
        <v/>
      </c>
      <c r="E128" s="19" t="str">
        <f ca="1">IFERROR(IF(VLOOKUP(C128,B104:AG119,31,FALSE)=0,0,VLOOKUP(C128,B104:AG119,4,FALSE)),"")</f>
        <v/>
      </c>
      <c r="F128" s="27" t="str">
        <f ca="1">IFERROR(VLOOKUP(E128,$E104:$F119,2,FALSE),"")</f>
        <v/>
      </c>
      <c r="G128" s="18" t="str">
        <f t="shared" ca="1" si="42"/>
        <v>-</v>
      </c>
      <c r="H128" s="459">
        <f ca="1">IFERROR(VLOOKUP(E128,E104:AG119,28,FALSE),0)</f>
        <v>0</v>
      </c>
      <c r="I128" s="460"/>
      <c r="J128" s="509" t="str">
        <f ca="1">IFERROR(IF(VLOOKUP(C128,C104:AT119,44,FALSE)="",VLOOKUP(C128,C104:AT119,37,FALSE),VLOOKUP(C128,C104:AT119,37,FALSE)&amp;VLOOKUP(C128,C104:AT119,44,FALSE)),"")</f>
        <v/>
      </c>
      <c r="K128" s="510"/>
      <c r="L128" s="509" t="str">
        <f ca="1">IFERROR(IF(VLOOKUP(C128,C104:AG119,30,FALSE)=0,"",VLOOKUP(C128,C104:AG119,3,FALSE)),"")</f>
        <v/>
      </c>
      <c r="M128" s="510"/>
      <c r="N128" s="461" t="str">
        <f ca="1">IFERROR(VLOOKUP(L128,E104:F119,2,FALSE),"")</f>
        <v/>
      </c>
      <c r="O128" s="462"/>
      <c r="P128" s="462"/>
      <c r="Q128" s="462"/>
      <c r="R128" s="462"/>
      <c r="S128" s="463"/>
      <c r="T128" s="461" t="str">
        <f t="shared" ca="1" si="43"/>
        <v>-</v>
      </c>
      <c r="U128" s="462"/>
      <c r="V128" s="462"/>
      <c r="W128" s="462"/>
      <c r="X128" s="462"/>
      <c r="Y128" s="463"/>
      <c r="Z128" s="459">
        <f ca="1">IFERROR(VLOOKUP(L128,E104:AG119,28,FALSE),0)</f>
        <v>0</v>
      </c>
      <c r="AA128" s="460"/>
      <c r="AB128" s="466" t="s">
        <v>1135</v>
      </c>
      <c r="AC128" s="507"/>
      <c r="AD128" s="507"/>
      <c r="AE128" s="507"/>
      <c r="AF128" s="507"/>
      <c r="AG128" s="507"/>
      <c r="AH128" s="507"/>
      <c r="AI128" s="507"/>
      <c r="AJ128" s="507"/>
      <c r="AK128" s="507"/>
      <c r="AL128" s="507"/>
      <c r="AM128" s="50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136"/>
      <c r="BA128" s="136"/>
      <c r="BB128" s="8"/>
      <c r="BC128" s="8"/>
      <c r="BD128" s="8"/>
      <c r="BE128" s="8"/>
    </row>
    <row r="129" spans="1:72" s="4" customFormat="1" ht="16.149999999999999" customHeight="1" x14ac:dyDescent="0.25">
      <c r="A129" s="8">
        <f>IFERROR(VLOOKUP(A100,records,5,FALSE),"")</f>
        <v>4.32</v>
      </c>
      <c r="B129" s="1"/>
      <c r="C129" s="10">
        <v>7</v>
      </c>
      <c r="D129" s="19" t="str">
        <f ca="1">IFERROR(IF(VLOOKUP(C129,B104:AP119,41,FALSE)="",VLOOKUP(C129,B104:AP119,37,FALSE),VLOOKUP(C129,B104:AP119,37,FALSE)&amp;VLOOKUP(C129,B104:AP119,41,FALSE)),"")</f>
        <v/>
      </c>
      <c r="E129" s="19" t="str">
        <f ca="1">IFERROR(IF(VLOOKUP(C129,B104:AG119,31,FALSE)=0,0,VLOOKUP(C129,B104:AG119,4,FALSE)),"")</f>
        <v/>
      </c>
      <c r="F129" s="27" t="str">
        <f ca="1">IFERROR(VLOOKUP(E129,$E104:$F119,2,FALSE),"")</f>
        <v/>
      </c>
      <c r="G129" s="18" t="str">
        <f t="shared" ca="1" si="42"/>
        <v>-</v>
      </c>
      <c r="H129" s="459">
        <f ca="1">IFERROR(VLOOKUP(E129,E104:AG119,28,FALSE),0)</f>
        <v>0</v>
      </c>
      <c r="I129" s="460"/>
      <c r="J129" s="509" t="str">
        <f ca="1">IFERROR(IF(VLOOKUP(C129,C104:AT119,44,FALSE)="",VLOOKUP(C129,C104:AT119,37,FALSE),VLOOKUP(C129,C104:AT119,37,FALSE)&amp;VLOOKUP(C129,C104:AT119,44,FALSE)),"")</f>
        <v/>
      </c>
      <c r="K129" s="510"/>
      <c r="L129" s="509" t="str">
        <f ca="1">IFERROR(IF(VLOOKUP(C129,C104:AG119,30,FALSE)=0,"",VLOOKUP(C129,C104:AG119,3,FALSE)),"")</f>
        <v/>
      </c>
      <c r="M129" s="510"/>
      <c r="N129" s="461" t="str">
        <f ca="1">IFERROR(VLOOKUP(L129,E104:F119,2,FALSE),"")</f>
        <v/>
      </c>
      <c r="O129" s="462"/>
      <c r="P129" s="462"/>
      <c r="Q129" s="462"/>
      <c r="R129" s="462"/>
      <c r="S129" s="463"/>
      <c r="T129" s="461" t="str">
        <f t="shared" ca="1" si="43"/>
        <v>-</v>
      </c>
      <c r="U129" s="462"/>
      <c r="V129" s="462"/>
      <c r="W129" s="462"/>
      <c r="X129" s="462"/>
      <c r="Y129" s="463"/>
      <c r="Z129" s="459">
        <f ca="1">IFERROR(VLOOKUP(L129,E104:AG119,28,FALSE),0)</f>
        <v>0</v>
      </c>
      <c r="AA129" s="460"/>
      <c r="AB129" s="24"/>
      <c r="AC129" s="25"/>
      <c r="AD129" s="25"/>
      <c r="AE129" s="25"/>
      <c r="AF129" s="25"/>
      <c r="AG129" s="25"/>
      <c r="AH129" s="25"/>
      <c r="AI129" s="25"/>
      <c r="AJ129" s="25"/>
      <c r="AK129" s="25"/>
      <c r="AL129" s="125"/>
      <c r="AM129" s="126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136"/>
      <c r="BA129" s="136"/>
      <c r="BB129" s="8"/>
      <c r="BC129" s="8"/>
      <c r="BD129" s="8"/>
      <c r="BE129" s="8"/>
    </row>
    <row r="130" spans="1:72" s="4" customFormat="1" ht="21.75" customHeight="1" x14ac:dyDescent="0.25">
      <c r="A130" s="8"/>
      <c r="B130" s="1"/>
      <c r="C130" s="10">
        <v>8</v>
      </c>
      <c r="D130" s="19" t="str">
        <f ca="1">IFERROR(IF(VLOOKUP(C130,B104:AP119,41,FALSE)="",VLOOKUP(C130,B104:AP119,37,FALSE),VLOOKUP(C130,B104:AP119,37,FALSE)&amp;VLOOKUP(C130,B104:AP119,41,FALSE)),"")</f>
        <v/>
      </c>
      <c r="E130" s="19" t="str">
        <f ca="1">IFERROR(IF(VLOOKUP(C130,B104:AG119,31,FALSE)=0,0,VLOOKUP(C130,B104:AG119,4,FALSE)),"")</f>
        <v/>
      </c>
      <c r="F130" s="27" t="str">
        <f ca="1">IFERROR(VLOOKUP(E130,$E104:$F119,2,FALSE),"")</f>
        <v/>
      </c>
      <c r="G130" s="18" t="str">
        <f t="shared" ca="1" si="42"/>
        <v>-</v>
      </c>
      <c r="H130" s="459">
        <f ca="1">IFERROR(VLOOKUP(E130,E104:AG119,28,FALSE),0)</f>
        <v>0</v>
      </c>
      <c r="I130" s="460"/>
      <c r="J130" s="509" t="str">
        <f ca="1">IFERROR(IF(VLOOKUP(C130,C104:AT119,44,FALSE)="",VLOOKUP(C130,C104:AT119,37,FALSE),VLOOKUP(C130,C104:AT119,37,FALSE)&amp;VLOOKUP(C130,C104:AT119,44,FALSE)),"")</f>
        <v/>
      </c>
      <c r="K130" s="510"/>
      <c r="L130" s="509" t="str">
        <f ca="1">IFERROR(IF(VLOOKUP(C130,C104:AG119,30,FALSE)=0,"",VLOOKUP(C130,C104:AG119,3,FALSE)),"")</f>
        <v/>
      </c>
      <c r="M130" s="510"/>
      <c r="N130" s="461" t="str">
        <f ca="1">IFERROR(VLOOKUP(L130,E104:F119,2,FALSE),"")</f>
        <v/>
      </c>
      <c r="O130" s="462"/>
      <c r="P130" s="462"/>
      <c r="Q130" s="462"/>
      <c r="R130" s="462"/>
      <c r="S130" s="463"/>
      <c r="T130" s="461" t="str">
        <f t="shared" ca="1" si="43"/>
        <v>-</v>
      </c>
      <c r="U130" s="462"/>
      <c r="V130" s="462"/>
      <c r="W130" s="462"/>
      <c r="X130" s="462"/>
      <c r="Y130" s="463"/>
      <c r="Z130" s="459">
        <f ca="1">IFERROR(VLOOKUP(L130,E104:AG119,28,FALSE),0)</f>
        <v>0</v>
      </c>
      <c r="AA130" s="460"/>
      <c r="AB130" s="28"/>
      <c r="AC130" s="29"/>
      <c r="AD130" s="29"/>
      <c r="AE130" s="29"/>
      <c r="AF130" s="29"/>
      <c r="AG130" s="29"/>
      <c r="AH130" s="29"/>
      <c r="AI130" s="29"/>
      <c r="AJ130" s="29"/>
      <c r="AK130" s="29"/>
      <c r="AL130" s="127"/>
      <c r="AM130" s="12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136"/>
      <c r="BA130" s="136"/>
      <c r="BB130" s="8"/>
      <c r="BC130" s="8"/>
      <c r="BD130" s="8"/>
      <c r="BE130" s="8"/>
    </row>
    <row r="131" spans="1:72" s="4" customFormat="1" ht="21" x14ac:dyDescent="0.25">
      <c r="A131" s="2" t="str">
        <f>MatchDay!$U$6</f>
        <v>X</v>
      </c>
      <c r="B131" s="10" t="str">
        <f>IFERROR(VLOOKUP($A132,fh,2,FALSE),"")</f>
        <v/>
      </c>
      <c r="C131" s="10" t="str">
        <f>IFERROR(VLOOKUP($A132,fdistance,3,FALSE),"")</f>
        <v/>
      </c>
      <c r="D131" s="499" t="s">
        <v>271</v>
      </c>
      <c r="E131" s="500"/>
      <c r="F131" s="500"/>
      <c r="G131" s="500"/>
      <c r="H131" s="501" t="s">
        <v>144</v>
      </c>
      <c r="I131" s="502"/>
      <c r="J131" s="502"/>
      <c r="K131" s="502"/>
      <c r="L131" s="502"/>
      <c r="M131" s="506"/>
      <c r="N131" s="503" t="str">
        <f>MatchDay!$C$2&amp;" "&amp;MatchDay!$C$3&amp;" "&amp;MatchDay!$C$4</f>
        <v>LOWER NORTH West 2</v>
      </c>
      <c r="O131" s="504"/>
      <c r="P131" s="504"/>
      <c r="Q131" s="504"/>
      <c r="R131" s="504"/>
      <c r="S131" s="504"/>
      <c r="T131" s="504"/>
      <c r="U131" s="504"/>
      <c r="V131" s="504"/>
      <c r="W131" s="504"/>
      <c r="X131" s="504"/>
      <c r="Y131" s="504"/>
      <c r="Z131" s="504"/>
      <c r="AA131" s="504"/>
      <c r="AB131" s="504"/>
      <c r="AC131" s="504"/>
      <c r="AD131" s="504"/>
      <c r="AE131" s="504"/>
      <c r="AF131" s="504"/>
      <c r="AG131" s="504"/>
      <c r="AH131" s="504"/>
      <c r="AI131" s="504"/>
      <c r="AJ131" s="504"/>
      <c r="AK131" s="504"/>
      <c r="AL131" s="504"/>
      <c r="AM131" s="505"/>
      <c r="AP131" s="8"/>
      <c r="AT131" s="8"/>
      <c r="AU131" s="8"/>
      <c r="AV131" s="8"/>
      <c r="AW131" s="8"/>
      <c r="AX131" s="8"/>
      <c r="AY131" s="8"/>
      <c r="AZ131" s="136"/>
      <c r="BA131" s="136"/>
      <c r="BB131" s="8"/>
      <c r="BC131" s="8"/>
      <c r="BD131" s="8"/>
      <c r="BE131" s="8"/>
    </row>
    <row r="132" spans="1:72" s="4" customFormat="1" ht="15.75" customHeight="1" x14ac:dyDescent="0.25">
      <c r="A132" s="1" t="str">
        <f>IFERROR(IF(LEFT(MatchDay!$C$2,1)="L","L"&amp;A134,"U"&amp;A134),"")</f>
        <v>LFH05</v>
      </c>
      <c r="B132" s="8">
        <v>155</v>
      </c>
      <c r="D132" s="476" t="s">
        <v>145</v>
      </c>
      <c r="E132" s="477"/>
      <c r="F132" s="467" t="str">
        <f>IFERROR(UPPER(VLOOKUP(A133,teamlookup,6,FALSE)),"")</f>
        <v/>
      </c>
      <c r="G132" s="468"/>
      <c r="H132" s="476" t="s">
        <v>149</v>
      </c>
      <c r="I132" s="480"/>
      <c r="J132" s="477"/>
      <c r="K132" s="466" t="str">
        <f>MatchDay!$C$8</f>
        <v>Macclesfield Leisure Centre</v>
      </c>
      <c r="L132" s="467"/>
      <c r="M132" s="467"/>
      <c r="N132" s="467"/>
      <c r="O132" s="467"/>
      <c r="P132" s="467"/>
      <c r="Q132" s="467"/>
      <c r="R132" s="467"/>
      <c r="S132" s="467"/>
      <c r="T132" s="467"/>
      <c r="U132" s="467"/>
      <c r="V132" s="467"/>
      <c r="W132" s="467"/>
      <c r="X132" s="467"/>
      <c r="Y132" s="468"/>
      <c r="Z132" s="476" t="s">
        <v>119</v>
      </c>
      <c r="AA132" s="480"/>
      <c r="AB132" s="477"/>
      <c r="AC132" s="494">
        <f>MatchDay!$C$7</f>
        <v>45053</v>
      </c>
      <c r="AD132" s="495"/>
      <c r="AE132" s="495"/>
      <c r="AF132" s="495"/>
      <c r="AG132" s="495"/>
      <c r="AH132" s="495"/>
      <c r="AI132" s="495"/>
      <c r="AJ132" s="495"/>
      <c r="AK132" s="495"/>
      <c r="AL132" s="495"/>
      <c r="AM132" s="496"/>
      <c r="AN132" s="37"/>
      <c r="AP132" s="8"/>
      <c r="AT132" s="8"/>
      <c r="AU132" s="8"/>
      <c r="AV132" s="8"/>
      <c r="AW132" s="8"/>
      <c r="AX132" s="8"/>
      <c r="AY132" s="8"/>
      <c r="AZ132" s="136"/>
      <c r="BA132" s="136"/>
      <c r="BB132" s="8"/>
      <c r="BC132" s="8"/>
      <c r="BD132" s="8"/>
      <c r="BE132" s="8"/>
    </row>
    <row r="133" spans="1:72" s="4" customFormat="1" ht="15.75" customHeight="1" x14ac:dyDescent="0.25">
      <c r="A133" s="5">
        <f>IFERROR(IF(A131=1,VLOOKUP(A132,judges,VLOOKUP(MatchDay!$U$2*10+MatchDay!$C$5,judgesp,5,FALSE),FALSE),VLOOKUP(A132,judges,VLOOKUP(MatchDay!$U$2*10+MatchDay!$C$5,judges2,5,FALSE),FALSE)),"")</f>
        <v>2</v>
      </c>
      <c r="B133" s="38" t="str">
        <f>IFERROR(VLOOKUP($A134,fheight,2,FALSE),"")</f>
        <v>K</v>
      </c>
      <c r="C133" s="138"/>
      <c r="D133" s="476" t="s">
        <v>120</v>
      </c>
      <c r="E133" s="477"/>
      <c r="F133" s="478" t="str">
        <f>IFERROR(VLOOKUP(A132,timetables,2,FALSE)&amp;" "&amp;VLOOKUP(A132,timetables,3,FALSE),"")</f>
        <v>Pole Vault U15 Girls</v>
      </c>
      <c r="G133" s="479"/>
      <c r="H133" s="476" t="s">
        <v>121</v>
      </c>
      <c r="I133" s="480"/>
      <c r="J133" s="477"/>
      <c r="K133" s="517">
        <f>IFERROR(IF(A131=1,VLOOKUP(A132,Timetables!$A:$G,6,FALSE),VLOOKUP(A132,Timetables!$A:$G,7,FALSE)),"")</f>
        <v>0.54166666666666663</v>
      </c>
      <c r="L133" s="518"/>
      <c r="M133" s="519"/>
      <c r="N133" s="520" t="s">
        <v>150</v>
      </c>
      <c r="O133" s="521"/>
      <c r="P133" s="521"/>
      <c r="Q133" s="522"/>
      <c r="R133" s="520" t="str">
        <f>IFERROR(VLOOKUP(A132,records,3,FALSE)&amp;", "&amp;VLOOKUP(A132,records,4,FALSE)&amp;", "&amp;VLOOKUP(A132,records,5,FALSE)&amp;", "&amp;VLOOKUP(A132,records,6,FALSE)&amp;", "&amp;VLOOKUP(A132,records,7,FALSE)&amp;" "&amp;VLOOKUP(A132,records,8,FALSE),"")</f>
        <v/>
      </c>
      <c r="S133" s="521"/>
      <c r="T133" s="521"/>
      <c r="U133" s="521"/>
      <c r="V133" s="521"/>
      <c r="W133" s="521"/>
      <c r="X133" s="521"/>
      <c r="Y133" s="521"/>
      <c r="Z133" s="521"/>
      <c r="AA133" s="521"/>
      <c r="AB133" s="521"/>
      <c r="AC133" s="521"/>
      <c r="AD133" s="521"/>
      <c r="AE133" s="521"/>
      <c r="AF133" s="521"/>
      <c r="AG133" s="521"/>
      <c r="AH133" s="521"/>
      <c r="AI133" s="521"/>
      <c r="AJ133" s="521"/>
      <c r="AK133" s="521"/>
      <c r="AL133" s="521"/>
      <c r="AM133" s="522"/>
      <c r="AN133" s="8"/>
      <c r="AP133" s="8"/>
      <c r="AT133" s="8"/>
      <c r="AU133" s="8"/>
      <c r="AV133" s="8"/>
      <c r="AW133" s="8"/>
      <c r="AX133" s="8"/>
      <c r="AY133" s="8"/>
      <c r="AZ133" s="136"/>
      <c r="BA133" s="136"/>
      <c r="BB133" s="8"/>
      <c r="BC133" s="8"/>
      <c r="BD133" s="8"/>
      <c r="BE133" s="8"/>
    </row>
    <row r="134" spans="1:72" s="4" customFormat="1" ht="38.25" customHeight="1" x14ac:dyDescent="0.25">
      <c r="A134" s="5" t="s">
        <v>276</v>
      </c>
      <c r="B134" s="10" t="str">
        <f>IFERROR(VLOOKUP($A134,fheight,3,FALSE),"")</f>
        <v>O</v>
      </c>
      <c r="C134" s="10">
        <f>IFERROR(VLOOKUP($A134,fheight,4,FALSE),"")</f>
        <v>23</v>
      </c>
      <c r="D134" s="39" t="s">
        <v>122</v>
      </c>
      <c r="E134" s="39" t="s">
        <v>123</v>
      </c>
      <c r="F134" s="39" t="s">
        <v>124</v>
      </c>
      <c r="G134" s="40" t="s">
        <v>125</v>
      </c>
      <c r="H134" s="523">
        <v>1.7</v>
      </c>
      <c r="I134" s="524"/>
      <c r="J134" s="523">
        <v>1.8</v>
      </c>
      <c r="K134" s="524"/>
      <c r="L134" s="523">
        <v>1.9</v>
      </c>
      <c r="M134" s="524"/>
      <c r="N134" s="523">
        <v>2</v>
      </c>
      <c r="O134" s="524"/>
      <c r="P134" s="523">
        <v>2.1</v>
      </c>
      <c r="Q134" s="524"/>
      <c r="R134" s="523">
        <v>2.2000000000000002</v>
      </c>
      <c r="S134" s="524"/>
      <c r="T134" s="523"/>
      <c r="U134" s="524"/>
      <c r="V134" s="523"/>
      <c r="W134" s="524"/>
      <c r="X134" s="523"/>
      <c r="Y134" s="524"/>
      <c r="Z134" s="523"/>
      <c r="AA134" s="524"/>
      <c r="AB134" s="523"/>
      <c r="AC134" s="524"/>
      <c r="AD134" s="523"/>
      <c r="AE134" s="524"/>
      <c r="AF134" s="525" t="s">
        <v>266</v>
      </c>
      <c r="AG134" s="526"/>
      <c r="AH134" s="527" t="s">
        <v>267</v>
      </c>
      <c r="AI134" s="527" t="s">
        <v>268</v>
      </c>
      <c r="AJ134" s="529" t="s">
        <v>363</v>
      </c>
      <c r="AK134" s="41"/>
      <c r="AL134" s="531" t="s">
        <v>136</v>
      </c>
      <c r="AM134" s="532"/>
      <c r="AN134" s="42" t="s">
        <v>269</v>
      </c>
      <c r="AP134" s="8"/>
      <c r="AT134" s="8"/>
      <c r="AU134" s="8"/>
      <c r="AV134" s="8"/>
      <c r="AW134" s="8"/>
      <c r="AX134" s="8"/>
      <c r="AY134" s="8"/>
      <c r="AZ134" s="136"/>
      <c r="BA134" s="136"/>
      <c r="BB134" s="8"/>
      <c r="BC134" s="8"/>
      <c r="BD134" s="8"/>
      <c r="BE134" s="8"/>
    </row>
    <row r="135" spans="1:72" s="4" customFormat="1" ht="13.5" x14ac:dyDescent="0.3">
      <c r="A135" s="121">
        <f>IFERROR(SEARCH("U17",F133),0)</f>
        <v>0</v>
      </c>
      <c r="B135" s="1"/>
      <c r="C135" s="1"/>
      <c r="D135" s="43"/>
      <c r="E135" s="43"/>
      <c r="F135" s="58"/>
      <c r="G135" s="57"/>
      <c r="H135" s="513" t="s">
        <v>137</v>
      </c>
      <c r="I135" s="516"/>
      <c r="J135" s="513" t="s">
        <v>137</v>
      </c>
      <c r="K135" s="516"/>
      <c r="L135" s="513" t="s">
        <v>137</v>
      </c>
      <c r="M135" s="516"/>
      <c r="N135" s="513" t="s">
        <v>137</v>
      </c>
      <c r="O135" s="516"/>
      <c r="P135" s="513" t="s">
        <v>137</v>
      </c>
      <c r="Q135" s="516"/>
      <c r="R135" s="513" t="s">
        <v>137</v>
      </c>
      <c r="S135" s="516"/>
      <c r="T135" s="513" t="s">
        <v>137</v>
      </c>
      <c r="U135" s="516"/>
      <c r="V135" s="513" t="s">
        <v>137</v>
      </c>
      <c r="W135" s="516"/>
      <c r="X135" s="513" t="s">
        <v>137</v>
      </c>
      <c r="Y135" s="516"/>
      <c r="Z135" s="513" t="s">
        <v>137</v>
      </c>
      <c r="AA135" s="516"/>
      <c r="AB135" s="513" t="s">
        <v>137</v>
      </c>
      <c r="AC135" s="516"/>
      <c r="AD135" s="513" t="s">
        <v>137</v>
      </c>
      <c r="AE135" s="516"/>
      <c r="AF135" s="513" t="s">
        <v>137</v>
      </c>
      <c r="AG135" s="514"/>
      <c r="AH135" s="528"/>
      <c r="AI135" s="528"/>
      <c r="AJ135" s="530"/>
      <c r="AK135" s="44"/>
      <c r="AL135" s="533"/>
      <c r="AM135" s="534"/>
      <c r="AN135" s="42"/>
      <c r="AP135" s="9"/>
      <c r="AQ135" s="9"/>
      <c r="AR135" s="45"/>
      <c r="AS135" s="45"/>
      <c r="AT135" s="45"/>
      <c r="AU135" s="46"/>
      <c r="AV135" s="45"/>
      <c r="AW135" s="9"/>
      <c r="AX135" s="9"/>
      <c r="AY135" s="47"/>
      <c r="AZ135" s="135"/>
      <c r="BA135" s="135"/>
      <c r="BB135" s="9"/>
      <c r="BC135" s="9">
        <v>1</v>
      </c>
      <c r="BD135" s="9">
        <v>2</v>
      </c>
      <c r="BE135" s="9">
        <v>3</v>
      </c>
      <c r="BF135" s="9">
        <v>4</v>
      </c>
      <c r="BG135" s="9">
        <v>5</v>
      </c>
      <c r="BH135" s="9">
        <v>6</v>
      </c>
      <c r="BI135" s="9">
        <v>7</v>
      </c>
      <c r="BJ135" s="9">
        <v>8</v>
      </c>
      <c r="BK135" s="9">
        <v>1</v>
      </c>
      <c r="BL135" s="9">
        <v>2</v>
      </c>
      <c r="BM135" s="9">
        <v>3</v>
      </c>
      <c r="BN135" s="9">
        <v>4</v>
      </c>
      <c r="BO135" s="9">
        <v>5</v>
      </c>
      <c r="BP135" s="9">
        <v>6</v>
      </c>
      <c r="BQ135" s="9">
        <v>7</v>
      </c>
      <c r="BR135" s="9">
        <v>8</v>
      </c>
      <c r="BS135" s="46"/>
    </row>
    <row r="136" spans="1:72" s="4" customFormat="1" ht="16.149999999999999" customHeight="1" x14ac:dyDescent="0.35">
      <c r="A136" s="8">
        <f>IFERROR(IF(D136&gt;MatchDay!$U$2,"-",VLOOKUP(A132,timetables,MatchDay!$U$4,FALSE)),0)</f>
        <v>3</v>
      </c>
      <c r="B136" s="10" t="str">
        <f ca="1">IFERROR(IF(OR(AK136=0,AK136="B"),"",RANK(AZ136,AZ136:AZ151,1)),"")</f>
        <v/>
      </c>
      <c r="C136" s="10" t="str">
        <f ca="1">IFERROR(IF(OR(AK136=0,AK136="A"),"",RANK(BA136,BA136:BA151,1)),"")</f>
        <v/>
      </c>
      <c r="D136" s="56">
        <v>1</v>
      </c>
      <c r="E136" s="17">
        <f>A136</f>
        <v>3</v>
      </c>
      <c r="F136" s="319" t="str">
        <f>IFERROR(VLOOKUP($A132&amp;E136,downloads!$A$1:$E$1000,2,FALSE),"")</f>
        <v/>
      </c>
      <c r="G136" s="18" t="str">
        <f t="shared" ref="G136:G151" si="44">IFERROR(VLOOKUP(E136,teamlookup,5,FALSE),"-")</f>
        <v>Leigh</v>
      </c>
      <c r="H136" s="497"/>
      <c r="I136" s="498"/>
      <c r="J136" s="497"/>
      <c r="K136" s="498"/>
      <c r="L136" s="497"/>
      <c r="M136" s="498"/>
      <c r="N136" s="497"/>
      <c r="O136" s="498"/>
      <c r="P136" s="497"/>
      <c r="Q136" s="498"/>
      <c r="R136" s="497"/>
      <c r="S136" s="498"/>
      <c r="T136" s="497"/>
      <c r="U136" s="498"/>
      <c r="V136" s="497"/>
      <c r="W136" s="498"/>
      <c r="X136" s="497"/>
      <c r="Y136" s="498"/>
      <c r="Z136" s="497"/>
      <c r="AA136" s="498"/>
      <c r="AB136" s="497"/>
      <c r="AC136" s="498"/>
      <c r="AD136" s="497"/>
      <c r="AE136" s="498"/>
      <c r="AF136" s="511">
        <f ca="1">IFERROR(INDIRECT(CONCATENATE("'Height Input'!"&amp;B134&amp;C134)),"")</f>
        <v>0</v>
      </c>
      <c r="AG136" s="512"/>
      <c r="AH136" s="48"/>
      <c r="AI136" s="48"/>
      <c r="AJ136" s="49">
        <f ca="1">IFERROR(IF(AF136="X",MatchDay!$U$2+MatchDay!$U$2+1-COUNTIF($AF136:AF136,"X"),IF(AF136&gt;=97,1,INT(INDIRECT(CONCATENATE("'Height Input'!"&amp;$B133&amp;$C134))))),"")</f>
        <v>0</v>
      </c>
      <c r="AK136" s="50">
        <f ca="1">IFERROR(IF(OR(AJ136=0,AJ136=""),0,IF(OR(AJ136&lt;=VLOOKUP(BT136,$E144:$AJ151,32,FALSE),VLOOKUP(BT136,$E144:$AJ151,32,FALSE)=0),"A","B")),0)</f>
        <v>0</v>
      </c>
      <c r="AL136" s="123" t="str">
        <f ca="1">IFERROR(IF(OR(AK136=0,AK136="B"),"",RANK(AW136,AW136:AW151,1)),"")</f>
        <v/>
      </c>
      <c r="AM136" s="123" t="str">
        <f ca="1">IFERROR(IF(OR(AK136=0,AK136="A"),"",RANK(AX136,AX136:AX151,1)),"")</f>
        <v/>
      </c>
      <c r="AN136" s="51">
        <f ca="1">IFERROR(IF(AF136="X",0,(INDIRECT(CONCATENATE("'Height Input'!"&amp;$B133&amp;$C134))-AJ136)*10),"")</f>
        <v>0</v>
      </c>
      <c r="AO136" s="8"/>
      <c r="AP136" s="9" t="str">
        <f ca="1">IF(AQ136="","",IF(AQ136=1,AR136,REPT(AR136,AQ136-1)))</f>
        <v/>
      </c>
      <c r="AQ136" s="9" t="str">
        <f ca="1">IF(AR136="","",HLOOKUP(AL136,BC135:BJ152,18,FALSE))</f>
        <v/>
      </c>
      <c r="AR136" s="45" t="str">
        <f ca="1">IF(OR(AL136=0,AL136=""),"",IF(COUNTIFS(AL136:AL151,AL136)&gt;1,"=",""))</f>
        <v/>
      </c>
      <c r="AS136" s="45"/>
      <c r="AT136" s="9" t="str">
        <f ca="1">IF(AU136="","",IF(AU136=1,AV136,REPT(AV136,AU136-1)))</f>
        <v/>
      </c>
      <c r="AU136" s="9" t="str">
        <f ca="1">IF(AV136="","",HLOOKUP(AM136,BK135:BR152,18,FALSE))</f>
        <v/>
      </c>
      <c r="AV136" s="45" t="str">
        <f ca="1">IF(OR(AM136=0,AM136=""),"",IF(COUNTIFS(AM136:AM151,AM136)&gt;1,"=",""))</f>
        <v/>
      </c>
      <c r="AW136" s="9" t="str">
        <f t="shared" ref="AW136:AW151" ca="1" si="45">IF(OR(AJ136=0,AF136=0,AK136="B"),"",AJ136)</f>
        <v/>
      </c>
      <c r="AX136" s="9" t="str">
        <f t="shared" ref="AX136:AX151" ca="1" si="46">IF(OR(AJ136=0,AF136=0,AK136="A"),"",AJ136)</f>
        <v/>
      </c>
      <c r="AY136" s="47"/>
      <c r="AZ136" s="135" t="str">
        <f t="shared" ref="AZ136:AZ151" ca="1" si="47">IF(AW136="","",AW136+(AN136/10))</f>
        <v/>
      </c>
      <c r="BA136" s="135" t="str">
        <f t="shared" ref="BA136:BA151" ca="1" si="48">IF(AX136="","",AX136+(AN136/10))</f>
        <v/>
      </c>
      <c r="BB136" s="9"/>
      <c r="BC136" s="52" t="str">
        <f ca="1">IF(AL136="","",IF(AL136=BC135,AL136,""))</f>
        <v/>
      </c>
      <c r="BD136" s="52" t="str">
        <f ca="1">IF(AL136="","",IF(AL136=BD135,AL136,""))</f>
        <v/>
      </c>
      <c r="BE136" s="52" t="str">
        <f ca="1">IF(AL136="","",IF(AL136=BE135,AL136,""))</f>
        <v/>
      </c>
      <c r="BF136" s="52" t="str">
        <f ca="1">IF(AL136="","",IF(AL136=BF135,AL136,""))</f>
        <v/>
      </c>
      <c r="BG136" s="52" t="str">
        <f ca="1">IF(AL136="","",IF(AL136=BG135,AL136,""))</f>
        <v/>
      </c>
      <c r="BH136" s="52" t="str">
        <f ca="1">IF(AL136="","",IF(AL136=BH135,AL136,""))</f>
        <v/>
      </c>
      <c r="BI136" s="52" t="str">
        <f ca="1">IF(AL136="","",IF(AL136=BI135,AL136,""))</f>
        <v/>
      </c>
      <c r="BJ136" s="52" t="str">
        <f ca="1">IF(AL136="","",IF(AL136=BJ135,AL136,""))</f>
        <v/>
      </c>
      <c r="BK136" s="52" t="str">
        <f ca="1">IF(AM136="","",IF(AM136=BK135,AM136,""))</f>
        <v/>
      </c>
      <c r="BL136" s="52" t="str">
        <f ca="1">IF(AM136="","",IF(AM136=BL135,AM136,""))</f>
        <v/>
      </c>
      <c r="BM136" s="52" t="str">
        <f ca="1">IF(AM136="","",IF(AM136=BM135,AM136,""))</f>
        <v/>
      </c>
      <c r="BN136" s="52" t="str">
        <f ca="1">IF(AM136="","",IF(AM136=BN135,AM136,""))</f>
        <v/>
      </c>
      <c r="BO136" s="52" t="str">
        <f ca="1">IF(AM136="","",IF(AM136=BO135,AM136,""))</f>
        <v/>
      </c>
      <c r="BP136" s="52" t="str">
        <f ca="1">IF(AM136="","",IF(AM136=BP135,AM136,""))</f>
        <v/>
      </c>
      <c r="BQ136" s="52" t="str">
        <f ca="1">IF(AM136="","",IF(AM136=BQ135,AM136,""))</f>
        <v/>
      </c>
      <c r="BR136" s="52" t="str">
        <f ca="1">IF(AM136="","",IF(AM136=BR135,AM136,""))</f>
        <v/>
      </c>
      <c r="BS136" s="46"/>
      <c r="BT136" s="4">
        <f>IFERROR(IF(A135=0,A136*11,A136&amp;A136),"")</f>
        <v>33</v>
      </c>
    </row>
    <row r="137" spans="1:72" s="4" customFormat="1" ht="16.149999999999999" customHeight="1" x14ac:dyDescent="0.35">
      <c r="A137" s="8">
        <f>IFERROR(IF(D137&gt;MatchDay!$U$2,"-",VLOOKUP(A132,timetables,MatchDay!$U$4+1,FALSE)),0)</f>
        <v>2</v>
      </c>
      <c r="B137" s="10" t="str">
        <f ca="1">IFERROR(IF(OR(AK137=0,AK137="B"),"",RANK(AZ137,AZ136:AZ151,1)),"")</f>
        <v/>
      </c>
      <c r="C137" s="10" t="str">
        <f ca="1">IFERROR(IF(OR(AK137=0,AK137="A"),"",RANK(BA137,BA136:BA151,1)),"")</f>
        <v/>
      </c>
      <c r="D137" s="55">
        <v>2</v>
      </c>
      <c r="E137" s="17">
        <f t="shared" ref="E137:E151" si="49">A137</f>
        <v>2</v>
      </c>
      <c r="F137" s="319" t="str">
        <f>IFERROR(VLOOKUP($A132&amp;E137,downloads!$A$1:$E$1000,2,FALSE),"")</f>
        <v/>
      </c>
      <c r="G137" s="18" t="str">
        <f t="shared" si="44"/>
        <v>ECHT</v>
      </c>
      <c r="H137" s="497"/>
      <c r="I137" s="498"/>
      <c r="J137" s="497"/>
      <c r="K137" s="498"/>
      <c r="L137" s="497"/>
      <c r="M137" s="498"/>
      <c r="N137" s="497"/>
      <c r="O137" s="498"/>
      <c r="P137" s="497"/>
      <c r="Q137" s="498"/>
      <c r="R137" s="497"/>
      <c r="S137" s="498"/>
      <c r="T137" s="497"/>
      <c r="U137" s="498"/>
      <c r="V137" s="497"/>
      <c r="W137" s="498"/>
      <c r="X137" s="497"/>
      <c r="Y137" s="498"/>
      <c r="Z137" s="497"/>
      <c r="AA137" s="498"/>
      <c r="AB137" s="497"/>
      <c r="AC137" s="498"/>
      <c r="AD137" s="497"/>
      <c r="AE137" s="498"/>
      <c r="AF137" s="511">
        <f ca="1">IFERROR(INDIRECT(CONCATENATE("'Height Input'!"&amp;B134&amp;C134+1)),"")</f>
        <v>0</v>
      </c>
      <c r="AG137" s="512"/>
      <c r="AH137" s="48"/>
      <c r="AI137" s="48"/>
      <c r="AJ137" s="49">
        <f ca="1">IFERROR(IF(AF137="X",MatchDay!$U$2+MatchDay!$U$2+1-COUNTIF($AF136:AF137,"X"),IF(AF137&gt;=97,1,INT(INDIRECT(CONCATENATE("'Height Input'!"&amp;$B133&amp;$C134+1))))),"")</f>
        <v>0</v>
      </c>
      <c r="AK137" s="50">
        <f ca="1">IFERROR(IF(OR(AJ137=0,AJ137=""),0,IF(OR(AJ137&lt;=VLOOKUP(BT137,$E144:$AJ151,32,FALSE),VLOOKUP(BT137,$E144:$AJ151,32,FALSE)=0),"A","B")),0)</f>
        <v>0</v>
      </c>
      <c r="AL137" s="123" t="str">
        <f ca="1">IFERROR(IF(OR(AK137=0,AK137="B"),"",RANK(AW137,AW136:AW151,1)),"")</f>
        <v/>
      </c>
      <c r="AM137" s="123" t="str">
        <f ca="1">IFERROR(IF(OR(AK137=0,AK137="A"),"",RANK(AX137,AX136:AX151,1)),"")</f>
        <v/>
      </c>
      <c r="AN137" s="51">
        <f ca="1">IFERROR(IF(AF137="X",0,(INDIRECT(CONCATENATE("'Height Input'!"&amp;$B133&amp;$C134+1))-AJ137)*10),"")</f>
        <v>0</v>
      </c>
      <c r="AO137" s="8"/>
      <c r="AP137" s="9" t="str">
        <f t="shared" ref="AP137:AP151" ca="1" si="50">IF(AQ137="","",IF(AQ137=1,AR137,REPT(AR137,AQ137-1)))</f>
        <v/>
      </c>
      <c r="AQ137" s="9" t="str">
        <f ca="1">IF(AR137="","",HLOOKUP(AL137,BC135:BJ152,18,FALSE))</f>
        <v/>
      </c>
      <c r="AR137" s="45" t="str">
        <f ca="1">IF(OR(AL137=0,AL137=""),"",IF(COUNTIFS(AL136:AL151,AL137)&gt;1,"=",""))</f>
        <v/>
      </c>
      <c r="AS137" s="45"/>
      <c r="AT137" s="9" t="str">
        <f t="shared" ref="AT137:AT151" ca="1" si="51">IF(AU137="","",IF(AU137=1,AV137,REPT(AV137,AU137-1)))</f>
        <v/>
      </c>
      <c r="AU137" s="9" t="str">
        <f ca="1">IF(AV137="","",HLOOKUP(AM137,BK135:BR152,18,FALSE))</f>
        <v/>
      </c>
      <c r="AV137" s="45" t="str">
        <f ca="1">IF(OR(AM137=0,AM137=""),"",IF(COUNTIFS(AM136:AM151,AM137)&gt;1,"=",""))</f>
        <v/>
      </c>
      <c r="AW137" s="9" t="str">
        <f t="shared" ca="1" si="45"/>
        <v/>
      </c>
      <c r="AX137" s="9" t="str">
        <f t="shared" ca="1" si="46"/>
        <v/>
      </c>
      <c r="AY137" s="47"/>
      <c r="AZ137" s="135" t="str">
        <f t="shared" ca="1" si="47"/>
        <v/>
      </c>
      <c r="BA137" s="135" t="str">
        <f t="shared" ca="1" si="48"/>
        <v/>
      </c>
      <c r="BB137" s="9"/>
      <c r="BC137" s="52" t="str">
        <f ca="1">IF(AL137="","",IF(AL137=BC135,AL137,""))</f>
        <v/>
      </c>
      <c r="BD137" s="52" t="str">
        <f ca="1">IF(AL137="","",IF(AL137=BD135,AL137,""))</f>
        <v/>
      </c>
      <c r="BE137" s="52" t="str">
        <f ca="1">IF(AL137="","",IF(AL137=BE135,AL137,""))</f>
        <v/>
      </c>
      <c r="BF137" s="52" t="str">
        <f ca="1">IF(AL137="","",IF(AL137=BF135,AL137,""))</f>
        <v/>
      </c>
      <c r="BG137" s="52" t="str">
        <f ca="1">IF(AL137="","",IF(AL137=BG135,AL137,""))</f>
        <v/>
      </c>
      <c r="BH137" s="52" t="str">
        <f ca="1">IF(AL137="","",IF(AL137=BH135,AL137,""))</f>
        <v/>
      </c>
      <c r="BI137" s="52" t="str">
        <f ca="1">IF(AL137="","",IF(AL137=BI135,AL137,""))</f>
        <v/>
      </c>
      <c r="BJ137" s="52" t="str">
        <f ca="1">IF(AL137="","",IF(AL137=BJ135,AL137,""))</f>
        <v/>
      </c>
      <c r="BK137" s="52" t="str">
        <f ca="1">IF(AM137="","",IF(AM137=BK135,AM137,""))</f>
        <v/>
      </c>
      <c r="BL137" s="52" t="str">
        <f ca="1">IF(AM137="","",IF(AM137=BL135,AM137,""))</f>
        <v/>
      </c>
      <c r="BM137" s="52" t="str">
        <f ca="1">IF(AM137="","",IF(AM137=BM135,AM137,""))</f>
        <v/>
      </c>
      <c r="BN137" s="52" t="str">
        <f ca="1">IF(AM137="","",IF(AM137=BN135,AM137,""))</f>
        <v/>
      </c>
      <c r="BO137" s="52" t="str">
        <f ca="1">IF(AM137="","",IF(AM137=BO135,AM137,""))</f>
        <v/>
      </c>
      <c r="BP137" s="52" t="str">
        <f ca="1">IF(AM137="","",IF(AM137=BP135,AM137,""))</f>
        <v/>
      </c>
      <c r="BQ137" s="52" t="str">
        <f ca="1">IF(AM137="","",IF(AM137=BQ135,AM137,""))</f>
        <v/>
      </c>
      <c r="BR137" s="52" t="str">
        <f ca="1">IF(AM137="","",IF(AM137=BR135,AM137,""))</f>
        <v/>
      </c>
      <c r="BS137" s="46"/>
      <c r="BT137" s="4">
        <f>IFERROR(IF(A135=0,A137*11,A137&amp;A137),"")</f>
        <v>22</v>
      </c>
    </row>
    <row r="138" spans="1:72" s="4" customFormat="1" ht="16.149999999999999" customHeight="1" x14ac:dyDescent="0.35">
      <c r="A138" s="8">
        <f>IFERROR(IF(D138&gt;MatchDay!$U$2,"-",VLOOKUP(A132,timetables,MatchDay!$U$4+2,FALSE)),0)</f>
        <v>6</v>
      </c>
      <c r="B138" s="10" t="str">
        <f ca="1">IFERROR(IF(OR(AK138=0,AK138="B"),"",RANK(AZ138,AZ136:AZ151,1)),"")</f>
        <v/>
      </c>
      <c r="C138" s="10" t="str">
        <f ca="1">IFERROR(IF(OR(AK138=0,AK138="A"),"",RANK(BA138,BA136:BA151,1)),"")</f>
        <v/>
      </c>
      <c r="D138" s="55">
        <v>3</v>
      </c>
      <c r="E138" s="17">
        <f t="shared" si="49"/>
        <v>6</v>
      </c>
      <c r="F138" s="319" t="str">
        <f>IFERROR(VLOOKUP($A132&amp;E138,downloads!$A$1:$E$1000,2,FALSE),"")</f>
        <v/>
      </c>
      <c r="G138" s="18" t="str">
        <f t="shared" si="44"/>
        <v>Stock</v>
      </c>
      <c r="H138" s="497"/>
      <c r="I138" s="498"/>
      <c r="J138" s="497"/>
      <c r="K138" s="498"/>
      <c r="L138" s="497"/>
      <c r="M138" s="498"/>
      <c r="N138" s="497"/>
      <c r="O138" s="498"/>
      <c r="P138" s="497"/>
      <c r="Q138" s="498"/>
      <c r="R138" s="497"/>
      <c r="S138" s="498"/>
      <c r="T138" s="497"/>
      <c r="U138" s="498"/>
      <c r="V138" s="497"/>
      <c r="W138" s="498"/>
      <c r="X138" s="497"/>
      <c r="Y138" s="498"/>
      <c r="Z138" s="497"/>
      <c r="AA138" s="498"/>
      <c r="AB138" s="497"/>
      <c r="AC138" s="498"/>
      <c r="AD138" s="497"/>
      <c r="AE138" s="498"/>
      <c r="AF138" s="511">
        <f ca="1">IFERROR(INDIRECT(CONCATENATE("'Height Input'!"&amp;B134&amp;C134+2)),"")</f>
        <v>0</v>
      </c>
      <c r="AG138" s="512"/>
      <c r="AH138" s="48"/>
      <c r="AI138" s="48"/>
      <c r="AJ138" s="49">
        <f ca="1">IFERROR(IF(AF138="X",MatchDay!$U$2+MatchDay!$U$2+1-COUNTIF($AF136:AF138,"X"),IF(AF138&gt;=97,1,INT(INDIRECT(CONCATENATE("'Height Input'!"&amp;$B133&amp;$C134+2))))),"")</f>
        <v>0</v>
      </c>
      <c r="AK138" s="50">
        <f ca="1">IFERROR(IF(OR(AJ138=0,AJ138=""),0,IF(OR(AJ138&lt;=VLOOKUP(BT138,$E144:$AJ151,32,FALSE),VLOOKUP(BT138,$E144:$AJ151,32,FALSE)=0),"A","B")),0)</f>
        <v>0</v>
      </c>
      <c r="AL138" s="123" t="str">
        <f ca="1">IFERROR(IF(OR(AK138=0,AK138="B"),"",RANK(AW138,AW136:AW151,1)),"")</f>
        <v/>
      </c>
      <c r="AM138" s="123" t="str">
        <f ca="1">IFERROR(IF(OR(AK138=0,AK138="A"),"",RANK(AX138,AX136:AX151,1)),"")</f>
        <v/>
      </c>
      <c r="AN138" s="51">
        <f ca="1">IFERROR(IF(AF138="X",0,(INDIRECT(CONCATENATE("'Height Input'!"&amp;$B133&amp;$C134+2))-AJ138)*10),"")</f>
        <v>0</v>
      </c>
      <c r="AO138" s="8"/>
      <c r="AP138" s="9" t="str">
        <f t="shared" ca="1" si="50"/>
        <v/>
      </c>
      <c r="AQ138" s="9" t="str">
        <f ca="1">IF(AR138="","",HLOOKUP(AL138,BC135:BJ152,18,FALSE))</f>
        <v/>
      </c>
      <c r="AR138" s="45" t="str">
        <f ca="1">IF(OR(AL138=0,AL138=""),"",IF(COUNTIFS(AL136:AL151,AL138)&gt;1,"=",""))</f>
        <v/>
      </c>
      <c r="AS138" s="45"/>
      <c r="AT138" s="9" t="str">
        <f t="shared" ca="1" si="51"/>
        <v/>
      </c>
      <c r="AU138" s="9" t="str">
        <f ca="1">IF(AV138="","",HLOOKUP(AM138,BK135:BR152,18,FALSE))</f>
        <v/>
      </c>
      <c r="AV138" s="45" t="str">
        <f ca="1">IF(OR(AM138=0,AM138=""),"",IF(COUNTIFS(AM136:AM151,AM138)&gt;1,"=",""))</f>
        <v/>
      </c>
      <c r="AW138" s="9" t="str">
        <f t="shared" ca="1" si="45"/>
        <v/>
      </c>
      <c r="AX138" s="9" t="str">
        <f t="shared" ca="1" si="46"/>
        <v/>
      </c>
      <c r="AY138" s="47"/>
      <c r="AZ138" s="135" t="str">
        <f t="shared" ca="1" si="47"/>
        <v/>
      </c>
      <c r="BA138" s="135" t="str">
        <f t="shared" ca="1" si="48"/>
        <v/>
      </c>
      <c r="BB138" s="9"/>
      <c r="BC138" s="52" t="str">
        <f ca="1">IF(AL138="","",IF(AL138=BC135,AL138,""))</f>
        <v/>
      </c>
      <c r="BD138" s="52" t="str">
        <f ca="1">IF(AL138="","",IF(AL138=BD135,AL138,""))</f>
        <v/>
      </c>
      <c r="BE138" s="52" t="str">
        <f ca="1">IF(AL138="","",IF(AL138=BE135,AL138,""))</f>
        <v/>
      </c>
      <c r="BF138" s="52" t="str">
        <f ca="1">IF(AL138="","",IF(AL138=BF135,AL138,""))</f>
        <v/>
      </c>
      <c r="BG138" s="52" t="str">
        <f ca="1">IF(AL138="","",IF(AL138=BG135,AL138,""))</f>
        <v/>
      </c>
      <c r="BH138" s="52" t="str">
        <f ca="1">IF(AL138="","",IF(AL138=BH135,AL138,""))</f>
        <v/>
      </c>
      <c r="BI138" s="52" t="str">
        <f ca="1">IF(AL138="","",IF(AL138=BI135,AL138,""))</f>
        <v/>
      </c>
      <c r="BJ138" s="52" t="str">
        <f ca="1">IF(AL138="","",IF(AL138=BJ135,AL138,""))</f>
        <v/>
      </c>
      <c r="BK138" s="52" t="str">
        <f ca="1">IF(AM138="","",IF(AM138=BK135,AM138,""))</f>
        <v/>
      </c>
      <c r="BL138" s="52" t="str">
        <f ca="1">IF(AM138="","",IF(AM138=BL135,AM138,""))</f>
        <v/>
      </c>
      <c r="BM138" s="52" t="str">
        <f ca="1">IF(AM138="","",IF(AM138=BM135,AM138,""))</f>
        <v/>
      </c>
      <c r="BN138" s="52" t="str">
        <f ca="1">IF(AM138="","",IF(AM138=BN135,AM138,""))</f>
        <v/>
      </c>
      <c r="BO138" s="52" t="str">
        <f ca="1">IF(AM138="","",IF(AM138=BO135,AM138,""))</f>
        <v/>
      </c>
      <c r="BP138" s="52" t="str">
        <f ca="1">IF(AM138="","",IF(AM138=BP135,AM138,""))</f>
        <v/>
      </c>
      <c r="BQ138" s="52" t="str">
        <f ca="1">IF(AM138="","",IF(AM138=BQ135,AM138,""))</f>
        <v/>
      </c>
      <c r="BR138" s="52" t="str">
        <f ca="1">IF(AM138="","",IF(AM138=BR135,AM138,""))</f>
        <v/>
      </c>
      <c r="BS138" s="46"/>
      <c r="BT138" s="4">
        <f>IFERROR(IF(A135=0,A138*11,A138&amp;A138),"")</f>
        <v>66</v>
      </c>
    </row>
    <row r="139" spans="1:72" s="4" customFormat="1" ht="16.149999999999999" customHeight="1" x14ac:dyDescent="0.35">
      <c r="A139" s="8">
        <f>IFERROR(IF(D139&gt;MatchDay!$U$2,"-",VLOOKUP(A132,timetables,MatchDay!$U$4+3,FALSE)),0)</f>
        <v>1</v>
      </c>
      <c r="B139" s="10" t="str">
        <f ca="1">IFERROR(IF(OR(AK139=0,AK139="B"),"",RANK(AZ139,AZ136:AZ151,1)),"")</f>
        <v/>
      </c>
      <c r="C139" s="10" t="str">
        <f ca="1">IFERROR(IF(OR(AK139=0,AK139="A"),"",RANK(BA139,BA136:BA151,1)),"")</f>
        <v/>
      </c>
      <c r="D139" s="55">
        <v>4</v>
      </c>
      <c r="E139" s="17">
        <f t="shared" si="49"/>
        <v>1</v>
      </c>
      <c r="F139" s="319" t="str">
        <f>IFERROR(VLOOKUP($A132&amp;E139,downloads!$A$1:$E$1000,2,FALSE),"")</f>
        <v/>
      </c>
      <c r="G139" s="18" t="str">
        <f t="shared" si="44"/>
        <v>C&amp;N</v>
      </c>
      <c r="H139" s="497"/>
      <c r="I139" s="498"/>
      <c r="J139" s="497"/>
      <c r="K139" s="498"/>
      <c r="L139" s="497"/>
      <c r="M139" s="498"/>
      <c r="N139" s="497"/>
      <c r="O139" s="498"/>
      <c r="P139" s="497"/>
      <c r="Q139" s="498"/>
      <c r="R139" s="497"/>
      <c r="S139" s="498"/>
      <c r="T139" s="497"/>
      <c r="U139" s="498"/>
      <c r="V139" s="497"/>
      <c r="W139" s="498"/>
      <c r="X139" s="497"/>
      <c r="Y139" s="498"/>
      <c r="Z139" s="497"/>
      <c r="AA139" s="498"/>
      <c r="AB139" s="497"/>
      <c r="AC139" s="498"/>
      <c r="AD139" s="497"/>
      <c r="AE139" s="498"/>
      <c r="AF139" s="511">
        <f ca="1">IFERROR(INDIRECT(CONCATENATE("'Height Input'!"&amp;B134&amp;C134+3)),"")</f>
        <v>0</v>
      </c>
      <c r="AG139" s="512"/>
      <c r="AH139" s="48"/>
      <c r="AI139" s="48"/>
      <c r="AJ139" s="49">
        <f ca="1">IFERROR(IF(AF139="X",MatchDay!$U$2+MatchDay!$U$2+1-COUNTIF($AF136:AF139,"X"),IF(AF139&gt;=97,1,INT(INDIRECT(CONCATENATE("'Height Input'!"&amp;$B133&amp;$C134+3))))),"")</f>
        <v>0</v>
      </c>
      <c r="AK139" s="50">
        <f ca="1">IFERROR(IF(OR(AJ139=0,AJ139=""),0,IF(OR(AJ139&lt;=VLOOKUP(BT139,$E144:$AJ151,32,FALSE),VLOOKUP(BT139,$E144:$AJ151,32,FALSE)=0),"A","B")),0)</f>
        <v>0</v>
      </c>
      <c r="AL139" s="123" t="str">
        <f ca="1">IFERROR(IF(OR(AK139=0,AK139="B"),"",RANK(AW139,AW136:AW151,1)),"")</f>
        <v/>
      </c>
      <c r="AM139" s="123" t="str">
        <f ca="1">IFERROR(IF(OR(AK139=0,AK139="A"),"",RANK(AX139,AX136:AX151,1)),"")</f>
        <v/>
      </c>
      <c r="AN139" s="51">
        <f ca="1">IFERROR(IF(AF139="X",0,(INDIRECT(CONCATENATE("'Height Input'!"&amp;$B133&amp;$C134+3))-AJ139)*10),"")</f>
        <v>0</v>
      </c>
      <c r="AO139" s="8"/>
      <c r="AP139" s="9" t="str">
        <f t="shared" ca="1" si="50"/>
        <v/>
      </c>
      <c r="AQ139" s="9" t="str">
        <f ca="1">IF(AR139="","",HLOOKUP(AL139,BC135:BJ152,18,FALSE))</f>
        <v/>
      </c>
      <c r="AR139" s="45" t="str">
        <f ca="1">IF(OR(AL139=0,AL139=""),"",IF(COUNTIFS(AL136:AL151,AL139)&gt;1,"=",""))</f>
        <v/>
      </c>
      <c r="AS139" s="45"/>
      <c r="AT139" s="9" t="str">
        <f t="shared" ca="1" si="51"/>
        <v/>
      </c>
      <c r="AU139" s="9" t="str">
        <f ca="1">IF(AV139="","",HLOOKUP(AM139,BK135:BR152,18,FALSE))</f>
        <v/>
      </c>
      <c r="AV139" s="45" t="str">
        <f ca="1">IF(OR(AM139=0,AM139=""),"",IF(COUNTIFS(AM136:AM151,AM139)&gt;1,"=",""))</f>
        <v/>
      </c>
      <c r="AW139" s="9" t="str">
        <f t="shared" ca="1" si="45"/>
        <v/>
      </c>
      <c r="AX139" s="9" t="str">
        <f t="shared" ca="1" si="46"/>
        <v/>
      </c>
      <c r="AY139" s="47"/>
      <c r="AZ139" s="135" t="str">
        <f t="shared" ca="1" si="47"/>
        <v/>
      </c>
      <c r="BA139" s="135" t="str">
        <f t="shared" ca="1" si="48"/>
        <v/>
      </c>
      <c r="BB139" s="9"/>
      <c r="BC139" s="52" t="str">
        <f ca="1">IF(AL139="","",IF(AL139=BC135,AL139,""))</f>
        <v/>
      </c>
      <c r="BD139" s="52" t="str">
        <f ca="1">IF(AL139="","",IF(AL139=BD135,AL139,""))</f>
        <v/>
      </c>
      <c r="BE139" s="52" t="str">
        <f ca="1">IF(AL139="","",IF(AL139=BE135,AL139,""))</f>
        <v/>
      </c>
      <c r="BF139" s="52" t="str">
        <f ca="1">IF(AL139="","",IF(AL139=BF135,AL139,""))</f>
        <v/>
      </c>
      <c r="BG139" s="52" t="str">
        <f ca="1">IF(AL139="","",IF(AL139=BG135,AL139,""))</f>
        <v/>
      </c>
      <c r="BH139" s="52" t="str">
        <f ca="1">IF(AL139="","",IF(AL139=BH135,AL139,""))</f>
        <v/>
      </c>
      <c r="BI139" s="52" t="str">
        <f ca="1">IF(AL139="","",IF(AL139=BI135,AL139,""))</f>
        <v/>
      </c>
      <c r="BJ139" s="52" t="str">
        <f ca="1">IF(AL139="","",IF(AL139=BJ135,AL139,""))</f>
        <v/>
      </c>
      <c r="BK139" s="52" t="str">
        <f ca="1">IF(AM139="","",IF(AM139=BK135,AM139,""))</f>
        <v/>
      </c>
      <c r="BL139" s="52" t="str">
        <f ca="1">IF(AM139="","",IF(AM139=BL135,AM139,""))</f>
        <v/>
      </c>
      <c r="BM139" s="52" t="str">
        <f ca="1">IF(AM139="","",IF(AM139=BM135,AM139,""))</f>
        <v/>
      </c>
      <c r="BN139" s="52" t="str">
        <f ca="1">IF(AM139="","",IF(AM139=BN135,AM139,""))</f>
        <v/>
      </c>
      <c r="BO139" s="52" t="str">
        <f ca="1">IF(AM139="","",IF(AM139=BO135,AM139,""))</f>
        <v/>
      </c>
      <c r="BP139" s="52" t="str">
        <f ca="1">IF(AM139="","",IF(AM139=BP135,AM139,""))</f>
        <v/>
      </c>
      <c r="BQ139" s="52" t="str">
        <f ca="1">IF(AM139="","",IF(AM139=BQ135,AM139,""))</f>
        <v/>
      </c>
      <c r="BR139" s="52" t="str">
        <f ca="1">IF(AM139="","",IF(AM139=BR135,AM139,""))</f>
        <v/>
      </c>
      <c r="BS139" s="46"/>
      <c r="BT139" s="4">
        <f>IFERROR(IF(A135=0,A139*11,A139&amp;A139),"")</f>
        <v>11</v>
      </c>
    </row>
    <row r="140" spans="1:72" s="4" customFormat="1" ht="16.149999999999999" customHeight="1" x14ac:dyDescent="0.35">
      <c r="A140" s="8">
        <f>IFERROR(IF(D140&gt;MatchDay!$U$2,"-",VLOOKUP(A132,timetables,MatchDay!$U$4+4,FALSE)),0)</f>
        <v>5</v>
      </c>
      <c r="B140" s="10" t="str">
        <f ca="1">IFERROR(IF(OR(AK140=0,AK140="B"),"",RANK(AZ140,AZ136:AZ151,1)),"")</f>
        <v/>
      </c>
      <c r="C140" s="10" t="str">
        <f ca="1">IFERROR(IF(OR(AK140=0,AK140="A"),"",RANK(BA140,BA136:BA151,1)),"")</f>
        <v/>
      </c>
      <c r="D140" s="55">
        <v>5</v>
      </c>
      <c r="E140" s="17">
        <f t="shared" si="49"/>
        <v>5</v>
      </c>
      <c r="F140" s="319" t="str">
        <f>IFERROR(VLOOKUP($A132&amp;E140,downloads!$A$1:$E$1000,2,FALSE),"")</f>
        <v/>
      </c>
      <c r="G140" s="18" t="str">
        <f t="shared" si="44"/>
        <v>Menai</v>
      </c>
      <c r="H140" s="497"/>
      <c r="I140" s="498"/>
      <c r="J140" s="497"/>
      <c r="K140" s="498"/>
      <c r="L140" s="497"/>
      <c r="M140" s="498"/>
      <c r="N140" s="497"/>
      <c r="O140" s="498"/>
      <c r="P140" s="497"/>
      <c r="Q140" s="498"/>
      <c r="R140" s="497"/>
      <c r="S140" s="498"/>
      <c r="T140" s="497"/>
      <c r="U140" s="498"/>
      <c r="V140" s="497"/>
      <c r="W140" s="498"/>
      <c r="X140" s="497"/>
      <c r="Y140" s="498"/>
      <c r="Z140" s="497"/>
      <c r="AA140" s="498"/>
      <c r="AB140" s="497"/>
      <c r="AC140" s="498"/>
      <c r="AD140" s="497"/>
      <c r="AE140" s="498"/>
      <c r="AF140" s="511">
        <f ca="1">IFERROR(INDIRECT(CONCATENATE("'Height Input'!"&amp;B134&amp;C134+4)),"")</f>
        <v>0</v>
      </c>
      <c r="AG140" s="512"/>
      <c r="AH140" s="48"/>
      <c r="AI140" s="48"/>
      <c r="AJ140" s="49">
        <f ca="1">IFERROR(IF(AF140="X",MatchDay!$U$2+MatchDay!$U$2+1-COUNTIF($AF136:AF140,"X"),IF(AF140&gt;=97,1,INT(INDIRECT(CONCATENATE("'Height Input'!"&amp;$B133&amp;$C134+4))))),"")</f>
        <v>0</v>
      </c>
      <c r="AK140" s="50">
        <f ca="1">IFERROR(IF(OR(AJ140=0,AJ140=""),0,IF(OR(AJ140&lt;=VLOOKUP(BT140,$E144:$AJ151,32,FALSE),VLOOKUP(BT140,$E144:$AJ151,32,FALSE)=0),"A","B")),0)</f>
        <v>0</v>
      </c>
      <c r="AL140" s="123" t="str">
        <f ca="1">IFERROR(IF(OR(AK140=0,AK140="B"),"",RANK(AW140,AW136:AW151,1)),"")</f>
        <v/>
      </c>
      <c r="AM140" s="123" t="str">
        <f ca="1">IFERROR(IF(OR(AK140=0,AK140="A"),"",RANK(AX140,AX136:AX151,1)),"")</f>
        <v/>
      </c>
      <c r="AN140" s="51">
        <f ca="1">IFERROR(IF(AF140="X",0,(INDIRECT(CONCATENATE("'Height Input'!"&amp;$B133&amp;$C134+4))-AJ140)*10),"")</f>
        <v>0</v>
      </c>
      <c r="AO140" s="8"/>
      <c r="AP140" s="9" t="str">
        <f t="shared" ca="1" si="50"/>
        <v/>
      </c>
      <c r="AQ140" s="9" t="str">
        <f ca="1">IF(AR140="","",HLOOKUP(AL140,BC135:BJ152,18,FALSE))</f>
        <v/>
      </c>
      <c r="AR140" s="45" t="str">
        <f ca="1">IF(OR(AL140=0,AL140=""),"",IF(COUNTIFS(AL136:AL151,AL140)&gt;1,"=",""))</f>
        <v/>
      </c>
      <c r="AS140" s="45"/>
      <c r="AT140" s="9" t="str">
        <f t="shared" ca="1" si="51"/>
        <v/>
      </c>
      <c r="AU140" s="9" t="str">
        <f ca="1">IF(AV140="","",HLOOKUP(AM140,BK135:BR152,18,FALSE))</f>
        <v/>
      </c>
      <c r="AV140" s="45" t="str">
        <f ca="1">IF(OR(AM140=0,AM140=""),"",IF(COUNTIFS(AM136:AM151,AM140)&gt;1,"=",""))</f>
        <v/>
      </c>
      <c r="AW140" s="9" t="str">
        <f t="shared" ca="1" si="45"/>
        <v/>
      </c>
      <c r="AX140" s="9" t="str">
        <f t="shared" ca="1" si="46"/>
        <v/>
      </c>
      <c r="AY140" s="47"/>
      <c r="AZ140" s="135" t="str">
        <f t="shared" ca="1" si="47"/>
        <v/>
      </c>
      <c r="BA140" s="135" t="str">
        <f t="shared" ca="1" si="48"/>
        <v/>
      </c>
      <c r="BB140" s="9"/>
      <c r="BC140" s="52" t="str">
        <f ca="1">IF(AL140="","",IF(AL140=BC135,AL140,""))</f>
        <v/>
      </c>
      <c r="BD140" s="52" t="str">
        <f ca="1">IF(AL140="","",IF(AL140=BD135,AL140,""))</f>
        <v/>
      </c>
      <c r="BE140" s="52" t="str">
        <f ca="1">IF(AL140="","",IF(AL140=BE135,AL140,""))</f>
        <v/>
      </c>
      <c r="BF140" s="52" t="str">
        <f ca="1">IF(AL140="","",IF(AL140=BF135,AL140,""))</f>
        <v/>
      </c>
      <c r="BG140" s="52" t="str">
        <f ca="1">IF(AL140="","",IF(AL140=BG135,AL140,""))</f>
        <v/>
      </c>
      <c r="BH140" s="52" t="str">
        <f ca="1">IF(AL140="","",IF(AL140=BH135,AL140,""))</f>
        <v/>
      </c>
      <c r="BI140" s="52" t="str">
        <f ca="1">IF(AL140="","",IF(AL140=BI135,AL140,""))</f>
        <v/>
      </c>
      <c r="BJ140" s="52" t="str">
        <f ca="1">IF(AL140="","",IF(AL140=BJ135,AL140,""))</f>
        <v/>
      </c>
      <c r="BK140" s="52" t="str">
        <f ca="1">IF(AM140="","",IF(AM140=BK135,AM140,""))</f>
        <v/>
      </c>
      <c r="BL140" s="52" t="str">
        <f ca="1">IF(AM140="","",IF(AM140=BL135,AM140,""))</f>
        <v/>
      </c>
      <c r="BM140" s="52" t="str">
        <f ca="1">IF(AM140="","",IF(AM140=BM135,AM140,""))</f>
        <v/>
      </c>
      <c r="BN140" s="52" t="str">
        <f ca="1">IF(AM140="","",IF(AM140=BN135,AM140,""))</f>
        <v/>
      </c>
      <c r="BO140" s="52" t="str">
        <f ca="1">IF(AM140="","",IF(AM140=BO135,AM140,""))</f>
        <v/>
      </c>
      <c r="BP140" s="52" t="str">
        <f ca="1">IF(AM140="","",IF(AM140=BP135,AM140,""))</f>
        <v/>
      </c>
      <c r="BQ140" s="52" t="str">
        <f ca="1">IF(AM140="","",IF(AM140=BQ135,AM140,""))</f>
        <v/>
      </c>
      <c r="BR140" s="52" t="str">
        <f ca="1">IF(AM140="","",IF(AM140=BR135,AM140,""))</f>
        <v/>
      </c>
      <c r="BS140" s="46"/>
      <c r="BT140" s="4">
        <f>IFERROR(IF(A135=0,A140*11,A140&amp;A140),"")</f>
        <v>55</v>
      </c>
    </row>
    <row r="141" spans="1:72" s="4" customFormat="1" ht="16.149999999999999" customHeight="1" x14ac:dyDescent="0.35">
      <c r="A141" s="8">
        <f>IFERROR(IF(D141&gt;MatchDay!$U$2,"-",VLOOKUP(A132,timetables,MatchDay!$U$4+5,FALSE)),0)</f>
        <v>4</v>
      </c>
      <c r="B141" s="10" t="str">
        <f ca="1">IFERROR(IF(OR(AK141=0,AK141="B"),"",RANK(AZ141,AZ136:AZ151,1)),"")</f>
        <v/>
      </c>
      <c r="C141" s="10" t="str">
        <f ca="1">IFERROR(IF(OR(AK141=0,AK141="A"),"",RANK(BA141,BA136:BA151,1)),"")</f>
        <v/>
      </c>
      <c r="D141" s="55">
        <v>6</v>
      </c>
      <c r="E141" s="17">
        <f t="shared" si="49"/>
        <v>4</v>
      </c>
      <c r="F141" s="319" t="str">
        <f>IFERROR(VLOOKUP($A132&amp;E141,downloads!$A$1:$E$1000,2,FALSE),"")</f>
        <v/>
      </c>
      <c r="G141" s="18" t="str">
        <f t="shared" si="44"/>
        <v>Macc</v>
      </c>
      <c r="H141" s="497"/>
      <c r="I141" s="498"/>
      <c r="J141" s="497"/>
      <c r="K141" s="498"/>
      <c r="L141" s="497"/>
      <c r="M141" s="498"/>
      <c r="N141" s="497"/>
      <c r="O141" s="498"/>
      <c r="P141" s="497"/>
      <c r="Q141" s="498"/>
      <c r="R141" s="497"/>
      <c r="S141" s="498"/>
      <c r="T141" s="497"/>
      <c r="U141" s="498"/>
      <c r="V141" s="497"/>
      <c r="W141" s="498"/>
      <c r="X141" s="497"/>
      <c r="Y141" s="498"/>
      <c r="Z141" s="497"/>
      <c r="AA141" s="498"/>
      <c r="AB141" s="497"/>
      <c r="AC141" s="498"/>
      <c r="AD141" s="497"/>
      <c r="AE141" s="498"/>
      <c r="AF141" s="511">
        <f ca="1">IFERROR(INDIRECT(CONCATENATE("'Height Input'!"&amp;B134&amp;C134+5)),"")</f>
        <v>0</v>
      </c>
      <c r="AG141" s="512"/>
      <c r="AH141" s="48"/>
      <c r="AI141" s="48"/>
      <c r="AJ141" s="49">
        <f ca="1">IFERROR(IF(AF141="X",MatchDay!$U$2+MatchDay!$U$2+1-COUNTIF($AF136:AF141,"X"),IF(AF141&gt;=97,1,INT(INDIRECT(CONCATENATE("'Height Input'!"&amp;$B133&amp;$C134+5))))),"")</f>
        <v>0</v>
      </c>
      <c r="AK141" s="50">
        <f ca="1">IFERROR(IF(OR(AJ141=0,AJ141=""),0,IF(OR(AJ141&lt;=VLOOKUP(BT141,$E144:$AJ151,32,FALSE),VLOOKUP(BT141,$E144:$AJ151,32,FALSE)=0),"A","B")),0)</f>
        <v>0</v>
      </c>
      <c r="AL141" s="123" t="str">
        <f ca="1">IFERROR(IF(OR(AK141=0,AK141="B"),"",RANK(AW141,AW136:AW151,1)),"")</f>
        <v/>
      </c>
      <c r="AM141" s="123" t="str">
        <f ca="1">IFERROR(IF(OR(AK141=0,AK141="A"),"",RANK(AX141,AX136:AX151,1)),"")</f>
        <v/>
      </c>
      <c r="AN141" s="51">
        <f ca="1">IFERROR(IF(AF141="X",0,(INDIRECT(CONCATENATE("'Height Input'!"&amp;$B133&amp;$C134+5))-AJ141)*10),"")</f>
        <v>0</v>
      </c>
      <c r="AO141" s="8"/>
      <c r="AP141" s="9" t="str">
        <f t="shared" ca="1" si="50"/>
        <v/>
      </c>
      <c r="AQ141" s="9" t="str">
        <f ca="1">IF(AR141="","",HLOOKUP(AL141,BC135:BJ152,18,FALSE))</f>
        <v/>
      </c>
      <c r="AR141" s="45" t="str">
        <f ca="1">IF(OR(AL141=0,AL141=""),"",IF(COUNTIFS(AL136:AL151,AL141)&gt;1,"=",""))</f>
        <v/>
      </c>
      <c r="AS141" s="45"/>
      <c r="AT141" s="9" t="str">
        <f t="shared" ca="1" si="51"/>
        <v/>
      </c>
      <c r="AU141" s="9" t="str">
        <f ca="1">IF(AV141="","",HLOOKUP(AM141,BK135:BR152,18,FALSE))</f>
        <v/>
      </c>
      <c r="AV141" s="45" t="str">
        <f ca="1">IF(OR(AM141=0,AM141=""),"",IF(COUNTIFS(AM136:AM151,AM141)&gt;1,"=",""))</f>
        <v/>
      </c>
      <c r="AW141" s="9" t="str">
        <f t="shared" ca="1" si="45"/>
        <v/>
      </c>
      <c r="AX141" s="9" t="str">
        <f t="shared" ca="1" si="46"/>
        <v/>
      </c>
      <c r="AY141" s="47"/>
      <c r="AZ141" s="135" t="str">
        <f t="shared" ca="1" si="47"/>
        <v/>
      </c>
      <c r="BA141" s="135" t="str">
        <f t="shared" ca="1" si="48"/>
        <v/>
      </c>
      <c r="BB141" s="9"/>
      <c r="BC141" s="52" t="str">
        <f ca="1">IF(AL141="","",IF(AL141=BC135,AL141,""))</f>
        <v/>
      </c>
      <c r="BD141" s="52" t="str">
        <f ca="1">IF(AL141="","",IF(AL141=BD135,AL141,""))</f>
        <v/>
      </c>
      <c r="BE141" s="52" t="str">
        <f ca="1">IF(AL141="","",IF(AL141=BE135,AL141,""))</f>
        <v/>
      </c>
      <c r="BF141" s="52" t="str">
        <f ca="1">IF(AL141="","",IF(AL141=BF135,AL141,""))</f>
        <v/>
      </c>
      <c r="BG141" s="52" t="str">
        <f ca="1">IF(AL141="","",IF(AL141=BG135,AL141,""))</f>
        <v/>
      </c>
      <c r="BH141" s="52" t="str">
        <f ca="1">IF(AL141="","",IF(AL141=BH135,AL141,""))</f>
        <v/>
      </c>
      <c r="BI141" s="52" t="str">
        <f ca="1">IF(AL141="","",IF(AL141=BI135,AL141,""))</f>
        <v/>
      </c>
      <c r="BJ141" s="52" t="str">
        <f ca="1">IF(AL141="","",IF(AL141=BJ135,AL141,""))</f>
        <v/>
      </c>
      <c r="BK141" s="52" t="str">
        <f ca="1">IF(AM141="","",IF(AM141=BK135,AM141,""))</f>
        <v/>
      </c>
      <c r="BL141" s="52" t="str">
        <f ca="1">IF(AM141="","",IF(AM141=BL135,AM141,""))</f>
        <v/>
      </c>
      <c r="BM141" s="52" t="str">
        <f ca="1">IF(AM141="","",IF(AM141=BM135,AM141,""))</f>
        <v/>
      </c>
      <c r="BN141" s="52" t="str">
        <f ca="1">IF(AM141="","",IF(AM141=BN135,AM141,""))</f>
        <v/>
      </c>
      <c r="BO141" s="52" t="str">
        <f ca="1">IF(AM141="","",IF(AM141=BO135,AM141,""))</f>
        <v/>
      </c>
      <c r="BP141" s="52" t="str">
        <f ca="1">IF(AM141="","",IF(AM141=BP135,AM141,""))</f>
        <v/>
      </c>
      <c r="BQ141" s="52" t="str">
        <f ca="1">IF(AM141="","",IF(AM141=BQ135,AM141,""))</f>
        <v/>
      </c>
      <c r="BR141" s="52" t="str">
        <f ca="1">IF(AM141="","",IF(AM141=BR135,AM141,""))</f>
        <v/>
      </c>
      <c r="BS141" s="46"/>
      <c r="BT141" s="4">
        <f>IFERROR(IF(A135=0,A141*11,A141&amp;A141),"")</f>
        <v>44</v>
      </c>
    </row>
    <row r="142" spans="1:72" s="4" customFormat="1" ht="16.149999999999999" customHeight="1" x14ac:dyDescent="0.35">
      <c r="A142" s="8">
        <f>IFERROR(IF(D142&gt;MatchDay!$U$2,"-",VLOOKUP(A132,timetables,MatchDay!$U$4+6,FALSE)),0)</f>
        <v>7</v>
      </c>
      <c r="B142" s="10">
        <f ca="1">IFERROR(IF(OR(AK142=0,AK142="B"),"",RANK(AZ142,AZ136:AZ151,1)),"")</f>
        <v>1</v>
      </c>
      <c r="C142" s="10" t="str">
        <f ca="1">IFERROR(IF(OR(AK142=0,AK142="A"),"",RANK(BA142,BA136:BA151,1)),"")</f>
        <v/>
      </c>
      <c r="D142" s="55">
        <v>7</v>
      </c>
      <c r="E142" s="17">
        <f t="shared" si="49"/>
        <v>7</v>
      </c>
      <c r="F142" s="319" t="str">
        <f>IFERROR(VLOOKUP($A132&amp;E142,downloads!$A$1:$E$1000,2,FALSE),"")</f>
        <v>Claudia BERRY</v>
      </c>
      <c r="G142" s="18" t="str">
        <f t="shared" si="44"/>
        <v>Wigan</v>
      </c>
      <c r="H142" s="497"/>
      <c r="I142" s="498"/>
      <c r="J142" s="497"/>
      <c r="K142" s="498"/>
      <c r="L142" s="497"/>
      <c r="M142" s="498"/>
      <c r="N142" s="497"/>
      <c r="O142" s="498"/>
      <c r="P142" s="497"/>
      <c r="Q142" s="498"/>
      <c r="R142" s="497"/>
      <c r="S142" s="498"/>
      <c r="T142" s="497"/>
      <c r="U142" s="498"/>
      <c r="V142" s="497"/>
      <c r="W142" s="498"/>
      <c r="X142" s="497"/>
      <c r="Y142" s="498"/>
      <c r="Z142" s="497"/>
      <c r="AA142" s="498"/>
      <c r="AB142" s="497"/>
      <c r="AC142" s="498"/>
      <c r="AD142" s="497"/>
      <c r="AE142" s="498"/>
      <c r="AF142" s="511">
        <f ca="1">IFERROR(INDIRECT(CONCATENATE("'Height Input'!"&amp;B134&amp;C134+6)),"")</f>
        <v>2.6</v>
      </c>
      <c r="AG142" s="512"/>
      <c r="AH142" s="48"/>
      <c r="AI142" s="48"/>
      <c r="AJ142" s="49">
        <f ca="1">IFERROR(IF(AF142="X",MatchDay!$U$2+MatchDay!$U$2+1-COUNTIF($AF136:AF142,"X"),IF(AF142&gt;=97,1,INT(INDIRECT(CONCATENATE("'Height Input'!"&amp;$B133&amp;$C134+6))))),"")</f>
        <v>1</v>
      </c>
      <c r="AK142" s="50" t="str">
        <f ca="1">IFERROR(IF(OR(AJ142=0,AJ142=""),0,IF(OR(AJ142&lt;=VLOOKUP(BT142,$E144:$AJ151,32,FALSE),VLOOKUP(BT142,$E144:$AJ151,32,FALSE)=0),"A","B")),0)</f>
        <v>A</v>
      </c>
      <c r="AL142" s="123">
        <f ca="1">IFERROR(IF(OR(AK142=0,AK142="B"),"",RANK(AW142,AW136:AW151,1)),"")</f>
        <v>1</v>
      </c>
      <c r="AM142" s="123" t="str">
        <f ca="1">IFERROR(IF(OR(AK142=0,AK142="A"),"",RANK(AX142,AX136:AX151,1)),"")</f>
        <v/>
      </c>
      <c r="AN142" s="51">
        <f ca="1">IFERROR(IF(AF142="X",0,(INDIRECT(CONCATENATE("'Height Input'!"&amp;$B133&amp;$C134+6))-AJ142)*10),"")</f>
        <v>0</v>
      </c>
      <c r="AO142" s="8"/>
      <c r="AP142" s="9" t="str">
        <f t="shared" ca="1" si="50"/>
        <v/>
      </c>
      <c r="AQ142" s="9" t="str">
        <f ca="1">IF(AR142="","",HLOOKUP(AL142,BC135:BJ152,18,FALSE))</f>
        <v/>
      </c>
      <c r="AR142" s="45" t="str">
        <f ca="1">IF(OR(AL142=0,AL142=""),"",IF(COUNTIFS(AL136:AL151,AL142)&gt;1,"=",""))</f>
        <v/>
      </c>
      <c r="AS142" s="45"/>
      <c r="AT142" s="9" t="str">
        <f t="shared" ca="1" si="51"/>
        <v/>
      </c>
      <c r="AU142" s="9" t="str">
        <f ca="1">IF(AV142="","",HLOOKUP(AM142,BK135:BR152,18,FALSE))</f>
        <v/>
      </c>
      <c r="AV142" s="45" t="str">
        <f ca="1">IF(OR(AM142=0,AM142=""),"",IF(COUNTIFS(AM136:AM151,AM142)&gt;1,"=",""))</f>
        <v/>
      </c>
      <c r="AW142" s="9">
        <f t="shared" ca="1" si="45"/>
        <v>1</v>
      </c>
      <c r="AX142" s="9" t="str">
        <f t="shared" ca="1" si="46"/>
        <v/>
      </c>
      <c r="AY142" s="47"/>
      <c r="AZ142" s="135">
        <f t="shared" ca="1" si="47"/>
        <v>1</v>
      </c>
      <c r="BA142" s="135" t="str">
        <f t="shared" ca="1" si="48"/>
        <v/>
      </c>
      <c r="BB142" s="9"/>
      <c r="BC142" s="52">
        <f ca="1">IF(AL142="","",IF(AL142=BC135,AL142,""))</f>
        <v>1</v>
      </c>
      <c r="BD142" s="52" t="str">
        <f ca="1">IF(AL142="","",IF(AL142=BD135,AL142,""))</f>
        <v/>
      </c>
      <c r="BE142" s="52" t="str">
        <f ca="1">IF(AL142="","",IF(AL142=BE135,AL142,""))</f>
        <v/>
      </c>
      <c r="BF142" s="52" t="str">
        <f ca="1">IF(AL142="","",IF(AL142=BF135,AL142,""))</f>
        <v/>
      </c>
      <c r="BG142" s="52" t="str">
        <f ca="1">IF(AL142="","",IF(AL142=BG135,AL142,""))</f>
        <v/>
      </c>
      <c r="BH142" s="52" t="str">
        <f ca="1">IF(AL142="","",IF(AL142=BH135,AL142,""))</f>
        <v/>
      </c>
      <c r="BI142" s="52" t="str">
        <f ca="1">IF(AL142="","",IF(AL142=BI135,AL142,""))</f>
        <v/>
      </c>
      <c r="BJ142" s="52" t="str">
        <f ca="1">IF(AL142="","",IF(AL142=BJ135,AL142,""))</f>
        <v/>
      </c>
      <c r="BK142" s="52" t="str">
        <f ca="1">IF(AM142="","",IF(AM142=BK135,AM142,""))</f>
        <v/>
      </c>
      <c r="BL142" s="52" t="str">
        <f ca="1">IF(AM142="","",IF(AM142=BL135,AM142,""))</f>
        <v/>
      </c>
      <c r="BM142" s="52" t="str">
        <f ca="1">IF(AM142="","",IF(AM142=BM135,AM142,""))</f>
        <v/>
      </c>
      <c r="BN142" s="52" t="str">
        <f ca="1">IF(AM142="","",IF(AM142=BN135,AM142,""))</f>
        <v/>
      </c>
      <c r="BO142" s="52" t="str">
        <f ca="1">IF(AM142="","",IF(AM142=BO135,AM142,""))</f>
        <v/>
      </c>
      <c r="BP142" s="52" t="str">
        <f ca="1">IF(AM142="","",IF(AM142=BP135,AM142,""))</f>
        <v/>
      </c>
      <c r="BQ142" s="52" t="str">
        <f ca="1">IF(AM142="","",IF(AM142=BQ135,AM142,""))</f>
        <v/>
      </c>
      <c r="BR142" s="52" t="str">
        <f ca="1">IF(AM142="","",IF(AM142=BR135,AM142,""))</f>
        <v/>
      </c>
      <c r="BS142" s="46"/>
      <c r="BT142" s="4">
        <f>IFERROR(IF(A135=0,A142*11,A142&amp;A142),"")</f>
        <v>77</v>
      </c>
    </row>
    <row r="143" spans="1:72" s="4" customFormat="1" ht="16.149999999999999" customHeight="1" x14ac:dyDescent="0.35">
      <c r="A143" s="8" t="str">
        <f>IFERROR(IF(D143&gt;MatchDay!$U$2,"-",VLOOKUP(A132,timetables,MatchDay!$U$4+7,FALSE)),0)</f>
        <v>-</v>
      </c>
      <c r="B143" s="10" t="str">
        <f ca="1">IFERROR(IF(OR(AK143=0,AK143="B"),"",RANK(AZ143,AZ136:AZ151,1)),"")</f>
        <v/>
      </c>
      <c r="C143" s="10" t="str">
        <f ca="1">IFERROR(IF(OR(AK143=0,AK143="A"),"",RANK(BA143,BA136:BA151,1)),"")</f>
        <v/>
      </c>
      <c r="D143" s="55">
        <v>8</v>
      </c>
      <c r="E143" s="17" t="str">
        <f t="shared" si="49"/>
        <v>-</v>
      </c>
      <c r="F143" s="319" t="str">
        <f>IFERROR(VLOOKUP($A132&amp;E143,downloads!$A$1:$E$1000,2,FALSE),"")</f>
        <v/>
      </c>
      <c r="G143" s="18" t="str">
        <f t="shared" si="44"/>
        <v/>
      </c>
      <c r="H143" s="497"/>
      <c r="I143" s="498"/>
      <c r="J143" s="497"/>
      <c r="K143" s="498"/>
      <c r="L143" s="497"/>
      <c r="M143" s="498"/>
      <c r="N143" s="497"/>
      <c r="O143" s="498"/>
      <c r="P143" s="497"/>
      <c r="Q143" s="498"/>
      <c r="R143" s="497"/>
      <c r="S143" s="498"/>
      <c r="T143" s="497"/>
      <c r="U143" s="498"/>
      <c r="V143" s="497"/>
      <c r="W143" s="498"/>
      <c r="X143" s="497"/>
      <c r="Y143" s="498"/>
      <c r="Z143" s="497"/>
      <c r="AA143" s="498"/>
      <c r="AB143" s="497"/>
      <c r="AC143" s="498"/>
      <c r="AD143" s="497"/>
      <c r="AE143" s="498"/>
      <c r="AF143" s="511">
        <f ca="1">IFERROR(INDIRECT(CONCATENATE("'Height Input'!"&amp;B134&amp;C134+7)),"")</f>
        <v>0</v>
      </c>
      <c r="AG143" s="512"/>
      <c r="AH143" s="48"/>
      <c r="AI143" s="48"/>
      <c r="AJ143" s="49">
        <f ca="1">IFERROR(IF(AF143="X",MatchDay!$U$2+MatchDay!$U$2+1-COUNTIF($AF136:AF143,"X"),IF(AF143&gt;=97,1,INT(INDIRECT(CONCATENATE("'Height Input'!"&amp;$B133&amp;$C134+7))))),"")</f>
        <v>0</v>
      </c>
      <c r="AK143" s="50">
        <f ca="1">IFERROR(IF(OR(AJ143=0,AJ143=""),0,IF(OR(AJ143&lt;=VLOOKUP(BT143,$E144:$AJ151,32,FALSE),VLOOKUP(BT143,$E144:$AJ151,32,FALSE)=0),"A","B")),0)</f>
        <v>0</v>
      </c>
      <c r="AL143" s="123" t="str">
        <f ca="1">IFERROR(IF(OR(AK143=0,AK143="B"),"",RANK(AW143,AW136:AW151,1)),"")</f>
        <v/>
      </c>
      <c r="AM143" s="123" t="str">
        <f ca="1">IFERROR(IF(OR(AK143=0,AK143="A"),"",RANK(AX143,AX136:AX151,1)),"")</f>
        <v/>
      </c>
      <c r="AN143" s="51">
        <f ca="1">IFERROR(IF(AF143="X",0,(INDIRECT(CONCATENATE("'Height Input'!"&amp;$B133&amp;$C134+7))-AJ143)*10),"")</f>
        <v>0</v>
      </c>
      <c r="AO143" s="8"/>
      <c r="AP143" s="9" t="str">
        <f t="shared" ca="1" si="50"/>
        <v/>
      </c>
      <c r="AQ143" s="9" t="str">
        <f ca="1">IF(AR143="","",HLOOKUP(AL143,BC135:BJ152,18,FALSE))</f>
        <v/>
      </c>
      <c r="AR143" s="45" t="str">
        <f ca="1">IF(OR(AL143=0,AL143=""),"",IF(COUNTIFS(AL136:AL151,AL143)&gt;1,"=",""))</f>
        <v/>
      </c>
      <c r="AS143" s="45"/>
      <c r="AT143" s="9" t="str">
        <f t="shared" ca="1" si="51"/>
        <v/>
      </c>
      <c r="AU143" s="9" t="str">
        <f ca="1">IF(AV143="","",HLOOKUP(AM143,BK135:BR152,18,FALSE))</f>
        <v/>
      </c>
      <c r="AV143" s="45" t="str">
        <f ca="1">IF(OR(AM143=0,AM143=""),"",IF(COUNTIFS(AM136:AM151,AM143)&gt;1,"=",""))</f>
        <v/>
      </c>
      <c r="AW143" s="9" t="str">
        <f t="shared" ca="1" si="45"/>
        <v/>
      </c>
      <c r="AX143" s="9" t="str">
        <f t="shared" ca="1" si="46"/>
        <v/>
      </c>
      <c r="AY143" s="47"/>
      <c r="AZ143" s="135" t="str">
        <f t="shared" ca="1" si="47"/>
        <v/>
      </c>
      <c r="BA143" s="135" t="str">
        <f t="shared" ca="1" si="48"/>
        <v/>
      </c>
      <c r="BB143" s="9"/>
      <c r="BC143" s="52" t="str">
        <f ca="1">IF(AL143="","",IF(AL143=BC135,AL143,""))</f>
        <v/>
      </c>
      <c r="BD143" s="52" t="str">
        <f ca="1">IF(AL143="","",IF(AL143=BD135,AL143,""))</f>
        <v/>
      </c>
      <c r="BE143" s="52" t="str">
        <f ca="1">IF(AL143="","",IF(AL143=BE135,AL143,""))</f>
        <v/>
      </c>
      <c r="BF143" s="52" t="str">
        <f ca="1">IF(AL143="","",IF(AL143=BF135,AL143,""))</f>
        <v/>
      </c>
      <c r="BG143" s="52" t="str">
        <f ca="1">IF(AL143="","",IF(AL143=BG135,AL143,""))</f>
        <v/>
      </c>
      <c r="BH143" s="52" t="str">
        <f ca="1">IF(AL143="","",IF(AL143=BH135,AL143,""))</f>
        <v/>
      </c>
      <c r="BI143" s="52" t="str">
        <f ca="1">IF(AL143="","",IF(AL143=BI135,AL143,""))</f>
        <v/>
      </c>
      <c r="BJ143" s="52" t="str">
        <f ca="1">IF(AL143="","",IF(AL143=BJ135,AL143,""))</f>
        <v/>
      </c>
      <c r="BK143" s="52" t="str">
        <f ca="1">IF(AM143="","",IF(AM143=BK135,AM143,""))</f>
        <v/>
      </c>
      <c r="BL143" s="52" t="str">
        <f ca="1">IF(AM143="","",IF(AM143=BL135,AM143,""))</f>
        <v/>
      </c>
      <c r="BM143" s="52" t="str">
        <f ca="1">IF(AM143="","",IF(AM143=BM135,AM143,""))</f>
        <v/>
      </c>
      <c r="BN143" s="52" t="str">
        <f ca="1">IF(AM143="","",IF(AM143=BN135,AM143,""))</f>
        <v/>
      </c>
      <c r="BO143" s="52" t="str">
        <f ca="1">IF(AM143="","",IF(AM143=BO135,AM143,""))</f>
        <v/>
      </c>
      <c r="BP143" s="52" t="str">
        <f ca="1">IF(AM143="","",IF(AM143=BP135,AM143,""))</f>
        <v/>
      </c>
      <c r="BQ143" s="52" t="str">
        <f ca="1">IF(AM143="","",IF(AM143=BQ135,AM143,""))</f>
        <v/>
      </c>
      <c r="BR143" s="52" t="str">
        <f ca="1">IF(AM143="","",IF(AM143=BR135,AM143,""))</f>
        <v/>
      </c>
      <c r="BS143" s="46"/>
      <c r="BT143" s="4" t="str">
        <f>IFERROR(IF(A135=0,A143*11,A143&amp;A143),"")</f>
        <v/>
      </c>
    </row>
    <row r="144" spans="1:72" s="4" customFormat="1" ht="16.149999999999999" customHeight="1" x14ac:dyDescent="0.35">
      <c r="A144" s="8">
        <f>IFERROR(IF(A135=0,A136*11,A136&amp;A136),"-")</f>
        <v>33</v>
      </c>
      <c r="B144" s="10" t="str">
        <f ca="1">IFERROR(IF(OR(AK144=0,AK144="B"),"",RANK(AZ144,AZ136:AZ151,1)),"")</f>
        <v/>
      </c>
      <c r="C144" s="10" t="str">
        <f ca="1">IFERROR(IF(OR(AK144=0,AK144="A"),"",RANK(BA144,BA136:BA151,1)),"")</f>
        <v/>
      </c>
      <c r="D144" s="55">
        <v>9</v>
      </c>
      <c r="E144" s="17">
        <f t="shared" si="49"/>
        <v>33</v>
      </c>
      <c r="F144" s="319" t="str">
        <f>IFERROR(VLOOKUP($A132&amp;E144,downloads!$A$1:$E$1000,2,FALSE),"")</f>
        <v/>
      </c>
      <c r="G144" s="18" t="str">
        <f t="shared" si="44"/>
        <v>Leigh</v>
      </c>
      <c r="H144" s="497"/>
      <c r="I144" s="498"/>
      <c r="J144" s="497"/>
      <c r="K144" s="498"/>
      <c r="L144" s="497"/>
      <c r="M144" s="498"/>
      <c r="N144" s="497"/>
      <c r="O144" s="498"/>
      <c r="P144" s="497"/>
      <c r="Q144" s="498"/>
      <c r="R144" s="497"/>
      <c r="S144" s="498"/>
      <c r="T144" s="497"/>
      <c r="U144" s="498"/>
      <c r="V144" s="497"/>
      <c r="W144" s="498"/>
      <c r="X144" s="497"/>
      <c r="Y144" s="498"/>
      <c r="Z144" s="497"/>
      <c r="AA144" s="498"/>
      <c r="AB144" s="497"/>
      <c r="AC144" s="498"/>
      <c r="AD144" s="497"/>
      <c r="AE144" s="498"/>
      <c r="AF144" s="511">
        <f ca="1">IFERROR(INDIRECT(CONCATENATE("'Height Input'!"&amp;B134&amp;C134+8)),"")</f>
        <v>0</v>
      </c>
      <c r="AG144" s="512"/>
      <c r="AH144" s="48"/>
      <c r="AI144" s="48"/>
      <c r="AJ144" s="49">
        <f ca="1">IFERROR(IF(AF144="X",MatchDay!$U$2+MatchDay!$U$2+1-COUNTIF($AF136:AF144,"X"),IF(AF144&gt;=97,1,INT(INDIRECT(CONCATENATE("'Height Input'!"&amp;$B133&amp;$C134+8))))),"")</f>
        <v>0</v>
      </c>
      <c r="AK144" s="50">
        <f ca="1">IFERROR(IF(OR(AJ144=0,AJ144=""),0,IF(OR(AJ144&lt;VLOOKUP(BT144,$E136:$AJ143,32,FALSE),VLOOKUP(BT144,$E136:$AJ143,32,FALSE)=0),"A","B")),0)</f>
        <v>0</v>
      </c>
      <c r="AL144" s="123" t="str">
        <f ca="1">IFERROR(IF(OR(AK144=0,AK144="B"),"",RANK(AW144,AW136:AW151,1)),"")</f>
        <v/>
      </c>
      <c r="AM144" s="123" t="str">
        <f ca="1">IFERROR(IF(OR(AK144=0,AK144="A"),"",RANK(AX144,AX136:AX151,1)),"")</f>
        <v/>
      </c>
      <c r="AN144" s="51">
        <f ca="1">IFERROR(IF(AF144="X",0,(INDIRECT(CONCATENATE("'Height Input'!"&amp;$B133&amp;$C134+8))-AJ144)*10),"")</f>
        <v>0</v>
      </c>
      <c r="AO144" s="8"/>
      <c r="AP144" s="9" t="str">
        <f t="shared" ca="1" si="50"/>
        <v/>
      </c>
      <c r="AQ144" s="9" t="str">
        <f ca="1">IF(AR144="","",HLOOKUP(AL144,BC135:BJ152,18,FALSE))</f>
        <v/>
      </c>
      <c r="AR144" s="45" t="str">
        <f ca="1">IF(OR(AL144=0,AL144=""),"",IF(COUNTIFS(AL136:AL151,AL144)&gt;1,"=",""))</f>
        <v/>
      </c>
      <c r="AS144" s="45"/>
      <c r="AT144" s="9" t="str">
        <f t="shared" ca="1" si="51"/>
        <v/>
      </c>
      <c r="AU144" s="9" t="str">
        <f ca="1">IF(AV144="","",HLOOKUP(AM144,BK135:BR152,18,FALSE))</f>
        <v/>
      </c>
      <c r="AV144" s="45" t="str">
        <f ca="1">IF(OR(AM144=0,AM144=""),"",IF(COUNTIFS(AM136:AM151,AM144)&gt;1,"=",""))</f>
        <v/>
      </c>
      <c r="AW144" s="9" t="str">
        <f t="shared" ca="1" si="45"/>
        <v/>
      </c>
      <c r="AX144" s="9" t="str">
        <f t="shared" ca="1" si="46"/>
        <v/>
      </c>
      <c r="AY144" s="47"/>
      <c r="AZ144" s="135" t="str">
        <f t="shared" ca="1" si="47"/>
        <v/>
      </c>
      <c r="BA144" s="135" t="str">
        <f t="shared" ca="1" si="48"/>
        <v/>
      </c>
      <c r="BB144" s="9"/>
      <c r="BC144" s="52" t="str">
        <f ca="1">IF(AL144="","",IF(AL144=BC135,AL144,""))</f>
        <v/>
      </c>
      <c r="BD144" s="52" t="str">
        <f ca="1">IF(AL144="","",IF(AL144=BD135,AL144,""))</f>
        <v/>
      </c>
      <c r="BE144" s="52" t="str">
        <f ca="1">IF(AL144="","",IF(AL144=BE135,AL144,""))</f>
        <v/>
      </c>
      <c r="BF144" s="52" t="str">
        <f ca="1">IF(AL144="","",IF(AL144=BF135,AL144,""))</f>
        <v/>
      </c>
      <c r="BG144" s="52" t="str">
        <f ca="1">IF(AL144="","",IF(AL144=BG135,AL144,""))</f>
        <v/>
      </c>
      <c r="BH144" s="52" t="str">
        <f ca="1">IF(AL144="","",IF(AL144=BH135,AL144,""))</f>
        <v/>
      </c>
      <c r="BI144" s="52" t="str">
        <f ca="1">IF(AL144="","",IF(AL144=BI135,AL144,""))</f>
        <v/>
      </c>
      <c r="BJ144" s="52" t="str">
        <f ca="1">IF(AL144="","",IF(AL144=BJ135,AL144,""))</f>
        <v/>
      </c>
      <c r="BK144" s="52" t="str">
        <f ca="1">IF(AM144="","",IF(AM144=BK135,AM144,""))</f>
        <v/>
      </c>
      <c r="BL144" s="52" t="str">
        <f ca="1">IF(AM144="","",IF(AM144=BL135,AM144,""))</f>
        <v/>
      </c>
      <c r="BM144" s="52" t="str">
        <f ca="1">IF(AM144="","",IF(AM144=BM135,AM144,""))</f>
        <v/>
      </c>
      <c r="BN144" s="52" t="str">
        <f ca="1">IF(AM144="","",IF(AM144=BN135,AM144,""))</f>
        <v/>
      </c>
      <c r="BO144" s="52" t="str">
        <f ca="1">IF(AM144="","",IF(AM144=BO135,AM144,""))</f>
        <v/>
      </c>
      <c r="BP144" s="52" t="str">
        <f ca="1">IF(AM144="","",IF(AM144=BP135,AM144,""))</f>
        <v/>
      </c>
      <c r="BQ144" s="52" t="str">
        <f ca="1">IF(AM144="","",IF(AM144=BQ135,AM144,""))</f>
        <v/>
      </c>
      <c r="BR144" s="52" t="str">
        <f ca="1">IF(AM144="","",IF(AM144=BR135,AM144,""))</f>
        <v/>
      </c>
      <c r="BS144" s="46"/>
      <c r="BT144" s="4">
        <f>IFERROR(IF(A135=0,A144/11,LEFT(A144,1)),"")</f>
        <v>3</v>
      </c>
    </row>
    <row r="145" spans="1:72" s="4" customFormat="1" ht="16.149999999999999" customHeight="1" x14ac:dyDescent="0.35">
      <c r="A145" s="8">
        <f>IFERROR(IF(A135=0,A137*11,A137&amp;A137),"-")</f>
        <v>22</v>
      </c>
      <c r="B145" s="10" t="str">
        <f ca="1">IFERROR(IF(OR(AK145=0,AK145="B"),"",RANK(AZ145,AZ136:AZ151,1)),"")</f>
        <v/>
      </c>
      <c r="C145" s="10" t="str">
        <f ca="1">IFERROR(IF(OR(AK145=0,AK145="A"),"",RANK(BA145,BA136:BA151,1)),"")</f>
        <v/>
      </c>
      <c r="D145" s="55">
        <v>10</v>
      </c>
      <c r="E145" s="17">
        <f t="shared" si="49"/>
        <v>22</v>
      </c>
      <c r="F145" s="319" t="str">
        <f>IFERROR(VLOOKUP($A132&amp;E145,downloads!$A$1:$E$1000,2,FALSE),"")</f>
        <v/>
      </c>
      <c r="G145" s="18" t="str">
        <f t="shared" si="44"/>
        <v>ECHT</v>
      </c>
      <c r="H145" s="497"/>
      <c r="I145" s="498"/>
      <c r="J145" s="497"/>
      <c r="K145" s="498"/>
      <c r="L145" s="497"/>
      <c r="M145" s="498"/>
      <c r="N145" s="497"/>
      <c r="O145" s="498"/>
      <c r="P145" s="497"/>
      <c r="Q145" s="498"/>
      <c r="R145" s="497"/>
      <c r="S145" s="498"/>
      <c r="T145" s="497"/>
      <c r="U145" s="498"/>
      <c r="V145" s="497"/>
      <c r="W145" s="498"/>
      <c r="X145" s="497"/>
      <c r="Y145" s="498"/>
      <c r="Z145" s="497"/>
      <c r="AA145" s="498"/>
      <c r="AB145" s="497"/>
      <c r="AC145" s="498"/>
      <c r="AD145" s="497"/>
      <c r="AE145" s="498"/>
      <c r="AF145" s="511">
        <f ca="1">IFERROR(INDIRECT(CONCATENATE("'Height Input'!"&amp;B134&amp;C134+9)),"")</f>
        <v>0</v>
      </c>
      <c r="AG145" s="512"/>
      <c r="AH145" s="48"/>
      <c r="AI145" s="48"/>
      <c r="AJ145" s="49">
        <f ca="1">IFERROR(IF(AF145="X",MatchDay!$U$2+MatchDay!$U$2+1-COUNTIF($AF136:AF145,"X"),IF(AF145&gt;=97,1,INT(INDIRECT(CONCATENATE("'Height Input'!"&amp;$B133&amp;$C134+9))))),"")</f>
        <v>0</v>
      </c>
      <c r="AK145" s="50">
        <f ca="1">IFERROR(IF(OR(AJ145=0,AJ145=""),0,IF(OR(AJ145&lt;VLOOKUP(BT145,$E136:$AJ143,32,FALSE),VLOOKUP(BT145,$E136:$AJ143,32,FALSE)=0),"A","B")),0)</f>
        <v>0</v>
      </c>
      <c r="AL145" s="123" t="str">
        <f ca="1">IFERROR(IF(OR(AK145=0,AK145="B"),"",RANK(AW145,AW136:AW151,1)),"")</f>
        <v/>
      </c>
      <c r="AM145" s="123" t="str">
        <f ca="1">IFERROR(IF(OR(AK145=0,AK145="A"),"",RANK(AX145,AX136:AX151,1)),"")</f>
        <v/>
      </c>
      <c r="AN145" s="51">
        <f ca="1">IFERROR(IF(AF145="X",0,(INDIRECT(CONCATENATE("'Height Input'!"&amp;$B133&amp;$C134+9))-AJ145)*10),"")</f>
        <v>0</v>
      </c>
      <c r="AO145" s="8"/>
      <c r="AP145" s="9" t="str">
        <f t="shared" ca="1" si="50"/>
        <v/>
      </c>
      <c r="AQ145" s="9" t="str">
        <f ca="1">IF(AR145="","",HLOOKUP(AL145,BC135:BJ152,18,FALSE))</f>
        <v/>
      </c>
      <c r="AR145" s="45" t="str">
        <f ca="1">IF(OR(AL145=0,AL145=""),"",IF(COUNTIFS(AL136:AL151,AL145)&gt;1,"=",""))</f>
        <v/>
      </c>
      <c r="AS145" s="45"/>
      <c r="AT145" s="9" t="str">
        <f t="shared" ca="1" si="51"/>
        <v/>
      </c>
      <c r="AU145" s="9" t="str">
        <f ca="1">IF(AV145="","",HLOOKUP(AM145,BK135:BR152,18,FALSE))</f>
        <v/>
      </c>
      <c r="AV145" s="45" t="str">
        <f ca="1">IF(OR(AM145=0,AM145=""),"",IF(COUNTIFS(AM136:AM151,AM145)&gt;1,"=",""))</f>
        <v/>
      </c>
      <c r="AW145" s="9" t="str">
        <f t="shared" ca="1" si="45"/>
        <v/>
      </c>
      <c r="AX145" s="9" t="str">
        <f t="shared" ca="1" si="46"/>
        <v/>
      </c>
      <c r="AY145" s="47"/>
      <c r="AZ145" s="135" t="str">
        <f t="shared" ca="1" si="47"/>
        <v/>
      </c>
      <c r="BA145" s="135" t="str">
        <f t="shared" ca="1" si="48"/>
        <v/>
      </c>
      <c r="BB145" s="9"/>
      <c r="BC145" s="52" t="str">
        <f ca="1">IF(AL145="","",IF(AL145=BC135,AL145,""))</f>
        <v/>
      </c>
      <c r="BD145" s="52" t="str">
        <f ca="1">IF(AL145="","",IF(AL145=BD135,AL145,""))</f>
        <v/>
      </c>
      <c r="BE145" s="52" t="str">
        <f ca="1">IF(AL145="","",IF(AL145=BE135,AL145,""))</f>
        <v/>
      </c>
      <c r="BF145" s="52" t="str">
        <f ca="1">IF(AL145="","",IF(AL145=BF135,AL145,""))</f>
        <v/>
      </c>
      <c r="BG145" s="52" t="str">
        <f ca="1">IF(AL145="","",IF(AL145=BG135,AL145,""))</f>
        <v/>
      </c>
      <c r="BH145" s="52" t="str">
        <f ca="1">IF(AL145="","",IF(AL145=BH135,AL145,""))</f>
        <v/>
      </c>
      <c r="BI145" s="52" t="str">
        <f ca="1">IF(AL145="","",IF(AL145=BI135,AL145,""))</f>
        <v/>
      </c>
      <c r="BJ145" s="52" t="str">
        <f ca="1">IF(AL145="","",IF(AL145=BJ135,AL145,""))</f>
        <v/>
      </c>
      <c r="BK145" s="52" t="str">
        <f ca="1">IF(AM145="","",IF(AM145=BK135,AM145,""))</f>
        <v/>
      </c>
      <c r="BL145" s="52" t="str">
        <f ca="1">IF(AM145="","",IF(AM145=BL135,AM145,""))</f>
        <v/>
      </c>
      <c r="BM145" s="52" t="str">
        <f ca="1">IF(AM145="","",IF(AM145=BM135,AM145,""))</f>
        <v/>
      </c>
      <c r="BN145" s="52" t="str">
        <f ca="1">IF(AM145="","",IF(AM145=BN135,AM145,""))</f>
        <v/>
      </c>
      <c r="BO145" s="52" t="str">
        <f ca="1">IF(AM145="","",IF(AM145=BO135,AM145,""))</f>
        <v/>
      </c>
      <c r="BP145" s="52" t="str">
        <f ca="1">IF(AM145="","",IF(AM145=BP135,AM145,""))</f>
        <v/>
      </c>
      <c r="BQ145" s="52" t="str">
        <f ca="1">IF(AM145="","",IF(AM145=BQ135,AM145,""))</f>
        <v/>
      </c>
      <c r="BR145" s="52" t="str">
        <f ca="1">IF(AM145="","",IF(AM145=BR135,AM145,""))</f>
        <v/>
      </c>
      <c r="BS145" s="46"/>
      <c r="BT145" s="4">
        <f>IFERROR(IF(A135=0,A145/11,LEFT(A145,1)),"")</f>
        <v>2</v>
      </c>
    </row>
    <row r="146" spans="1:72" s="4" customFormat="1" ht="16.149999999999999" customHeight="1" x14ac:dyDescent="0.35">
      <c r="A146" s="8">
        <f>IFERROR(IF(A135=0,A138*11,A138&amp;A138),"-")</f>
        <v>66</v>
      </c>
      <c r="B146" s="10" t="str">
        <f ca="1">IFERROR(IF(OR(AK146=0,AK146="B"),"",RANK(AZ146,AZ136:AZ151,1)),"")</f>
        <v/>
      </c>
      <c r="C146" s="10" t="str">
        <f ca="1">IFERROR(IF(OR(AK146=0,AK146="A"),"",RANK(BA146,BA136:BA151,1)),"")</f>
        <v/>
      </c>
      <c r="D146" s="55">
        <v>11</v>
      </c>
      <c r="E146" s="17">
        <f t="shared" si="49"/>
        <v>66</v>
      </c>
      <c r="F146" s="319" t="str">
        <f>IFERROR(VLOOKUP($A132&amp;E146,downloads!$A$1:$E$1000,2,FALSE),"")</f>
        <v/>
      </c>
      <c r="G146" s="18" t="str">
        <f t="shared" si="44"/>
        <v>Stock</v>
      </c>
      <c r="H146" s="497"/>
      <c r="I146" s="498"/>
      <c r="J146" s="497"/>
      <c r="K146" s="498"/>
      <c r="L146" s="497"/>
      <c r="M146" s="498"/>
      <c r="N146" s="497"/>
      <c r="O146" s="498"/>
      <c r="P146" s="497"/>
      <c r="Q146" s="498"/>
      <c r="R146" s="497"/>
      <c r="S146" s="498"/>
      <c r="T146" s="497"/>
      <c r="U146" s="498"/>
      <c r="V146" s="497"/>
      <c r="W146" s="498"/>
      <c r="X146" s="497"/>
      <c r="Y146" s="498"/>
      <c r="Z146" s="497"/>
      <c r="AA146" s="498"/>
      <c r="AB146" s="497"/>
      <c r="AC146" s="498"/>
      <c r="AD146" s="497"/>
      <c r="AE146" s="498"/>
      <c r="AF146" s="511">
        <f ca="1">IFERROR(INDIRECT(CONCATENATE("'Height Input'!"&amp;B134&amp;C134+10)),"")</f>
        <v>0</v>
      </c>
      <c r="AG146" s="512"/>
      <c r="AH146" s="48"/>
      <c r="AI146" s="48"/>
      <c r="AJ146" s="49">
        <f ca="1">IFERROR(IF(AF146="X",MatchDay!$U$2+MatchDay!$U$2+1-COUNTIF($AF136:AF146,"X"),IF(AF146&gt;=97,1,INT(INDIRECT(CONCATENATE("'Height Input'!"&amp;$B133&amp;$C134+10))))),"")</f>
        <v>0</v>
      </c>
      <c r="AK146" s="50">
        <f ca="1">IFERROR(IF(OR(AJ146=0,AJ146=""),0,IF(OR(AJ146&lt;VLOOKUP(BT146,$E136:$AJ143,32,FALSE),VLOOKUP(BT146,$E136:$AJ143,32,FALSE)=0),"A","B")),0)</f>
        <v>0</v>
      </c>
      <c r="AL146" s="123" t="str">
        <f ca="1">IFERROR(IF(OR(AK146=0,AK146="B"),"",RANK(AW146,AW136:AW151,1)),"")</f>
        <v/>
      </c>
      <c r="AM146" s="123" t="str">
        <f ca="1">IFERROR(IF(OR(AK146=0,AK146="A"),"",RANK(AX146,AX136:AX151,1)),"")</f>
        <v/>
      </c>
      <c r="AN146" s="51">
        <f ca="1">IFERROR(IF(AF146="X",0,(INDIRECT(CONCATENATE("'Height Input'!"&amp;$B133&amp;$C134+10))-AJ146)*10),"")</f>
        <v>0</v>
      </c>
      <c r="AO146" s="8"/>
      <c r="AP146" s="9" t="str">
        <f t="shared" ca="1" si="50"/>
        <v/>
      </c>
      <c r="AQ146" s="9" t="str">
        <f ca="1">IF(AR146="","",HLOOKUP(AL146,BC135:BJ152,18,FALSE))</f>
        <v/>
      </c>
      <c r="AR146" s="45" t="str">
        <f ca="1">IF(OR(AL146=0,AL146=""),"",IF(COUNTIFS(AL136:AL151,AL146)&gt;1,"=",""))</f>
        <v/>
      </c>
      <c r="AS146" s="45"/>
      <c r="AT146" s="9" t="str">
        <f t="shared" ca="1" si="51"/>
        <v/>
      </c>
      <c r="AU146" s="9" t="str">
        <f ca="1">IF(AV146="","",HLOOKUP(AM146,BK135:BR152,18,FALSE))</f>
        <v/>
      </c>
      <c r="AV146" s="45" t="str">
        <f ca="1">IF(OR(AM146=0,AM146=""),"",IF(COUNTIFS(AM136:AM151,AM146)&gt;1,"=",""))</f>
        <v/>
      </c>
      <c r="AW146" s="9" t="str">
        <f t="shared" ca="1" si="45"/>
        <v/>
      </c>
      <c r="AX146" s="9" t="str">
        <f t="shared" ca="1" si="46"/>
        <v/>
      </c>
      <c r="AY146" s="47"/>
      <c r="AZ146" s="135" t="str">
        <f t="shared" ca="1" si="47"/>
        <v/>
      </c>
      <c r="BA146" s="135" t="str">
        <f t="shared" ca="1" si="48"/>
        <v/>
      </c>
      <c r="BB146" s="9"/>
      <c r="BC146" s="52" t="str">
        <f ca="1">IF(AL146="","",IF(AL146=BC135,AL146,""))</f>
        <v/>
      </c>
      <c r="BD146" s="52" t="str">
        <f ca="1">IF(AL146="","",IF(AL146=BD135,AL146,""))</f>
        <v/>
      </c>
      <c r="BE146" s="52" t="str">
        <f ca="1">IF(AL146="","",IF(AL146=BE135,AL146,""))</f>
        <v/>
      </c>
      <c r="BF146" s="52" t="str">
        <f ca="1">IF(AL146="","",IF(AL146=BF135,AL146,""))</f>
        <v/>
      </c>
      <c r="BG146" s="52" t="str">
        <f ca="1">IF(AL146="","",IF(AL146=BG135,AL146,""))</f>
        <v/>
      </c>
      <c r="BH146" s="52" t="str">
        <f ca="1">IF(AL146="","",IF(AL146=BH135,AL146,""))</f>
        <v/>
      </c>
      <c r="BI146" s="52" t="str">
        <f ca="1">IF(AL146="","",IF(AL146=BI135,AL146,""))</f>
        <v/>
      </c>
      <c r="BJ146" s="52" t="str">
        <f ca="1">IF(AL146="","",IF(AL146=BJ135,AL146,""))</f>
        <v/>
      </c>
      <c r="BK146" s="52" t="str">
        <f ca="1">IF(AM146="","",IF(AM146=BK135,AM146,""))</f>
        <v/>
      </c>
      <c r="BL146" s="52" t="str">
        <f ca="1">IF(AM146="","",IF(AM146=BL135,AM146,""))</f>
        <v/>
      </c>
      <c r="BM146" s="52" t="str">
        <f ca="1">IF(AM146="","",IF(AM146=BM135,AM146,""))</f>
        <v/>
      </c>
      <c r="BN146" s="52" t="str">
        <f ca="1">IF(AM146="","",IF(AM146=BN135,AM146,""))</f>
        <v/>
      </c>
      <c r="BO146" s="52" t="str">
        <f ca="1">IF(AM146="","",IF(AM146=BO135,AM146,""))</f>
        <v/>
      </c>
      <c r="BP146" s="52" t="str">
        <f ca="1">IF(AM146="","",IF(AM146=BP135,AM146,""))</f>
        <v/>
      </c>
      <c r="BQ146" s="52" t="str">
        <f ca="1">IF(AM146="","",IF(AM146=BQ135,AM146,""))</f>
        <v/>
      </c>
      <c r="BR146" s="52" t="str">
        <f ca="1">IF(AM146="","",IF(AM146=BR135,AM146,""))</f>
        <v/>
      </c>
      <c r="BS146" s="46"/>
      <c r="BT146" s="4">
        <f>IFERROR(IF(A135=0,A146/11,LEFT(A146,1)),"")</f>
        <v>6</v>
      </c>
    </row>
    <row r="147" spans="1:72" s="4" customFormat="1" ht="16.149999999999999" customHeight="1" x14ac:dyDescent="0.35">
      <c r="A147" s="8">
        <f>IFERROR(IF(A135=0,A139*11,A139&amp;A139),"-")</f>
        <v>11</v>
      </c>
      <c r="B147" s="10" t="str">
        <f ca="1">IFERROR(IF(OR(AK147=0,AK147="B"),"",RANK(AZ147,AZ136:AZ151,1)),"")</f>
        <v/>
      </c>
      <c r="C147" s="10" t="str">
        <f ca="1">IFERROR(IF(OR(AK147=0,AK147="A"),"",RANK(BA147,BA136:BA151,1)),"")</f>
        <v/>
      </c>
      <c r="D147" s="55">
        <v>12</v>
      </c>
      <c r="E147" s="17">
        <f t="shared" si="49"/>
        <v>11</v>
      </c>
      <c r="F147" s="319" t="str">
        <f>IFERROR(VLOOKUP($A132&amp;E147,downloads!$A$1:$E$1000,2,FALSE),"")</f>
        <v/>
      </c>
      <c r="G147" s="18" t="str">
        <f t="shared" si="44"/>
        <v>C&amp;N</v>
      </c>
      <c r="H147" s="497"/>
      <c r="I147" s="498"/>
      <c r="J147" s="497"/>
      <c r="K147" s="498"/>
      <c r="L147" s="497"/>
      <c r="M147" s="498"/>
      <c r="N147" s="497"/>
      <c r="O147" s="498"/>
      <c r="P147" s="497"/>
      <c r="Q147" s="498"/>
      <c r="R147" s="497"/>
      <c r="S147" s="498"/>
      <c r="T147" s="497"/>
      <c r="U147" s="498"/>
      <c r="V147" s="497"/>
      <c r="W147" s="498"/>
      <c r="X147" s="497"/>
      <c r="Y147" s="498"/>
      <c r="Z147" s="497"/>
      <c r="AA147" s="498"/>
      <c r="AB147" s="497"/>
      <c r="AC147" s="498"/>
      <c r="AD147" s="497"/>
      <c r="AE147" s="498"/>
      <c r="AF147" s="511">
        <f ca="1">IFERROR(INDIRECT(CONCATENATE("'Height Input'!"&amp;B134&amp;C134+11)),"")</f>
        <v>0</v>
      </c>
      <c r="AG147" s="512"/>
      <c r="AH147" s="48"/>
      <c r="AI147" s="48"/>
      <c r="AJ147" s="49">
        <f ca="1">IFERROR(IF(AF147="X",MatchDay!$U$2+MatchDay!$U$2+1-COUNTIF($AF136:AF147,"X"),IF(AF147&gt;=97,1,INT(INDIRECT(CONCATENATE("'Height Input'!"&amp;$B133&amp;$C134+11))))),"")</f>
        <v>0</v>
      </c>
      <c r="AK147" s="50">
        <f ca="1">IFERROR(IF(OR(AJ147=0,AJ147=""),0,IF(OR(AJ147&lt;VLOOKUP(BT147,$E136:$AJ143,32,FALSE),VLOOKUP(BT147,$E136:$AJ143,32,FALSE)=0),"A","B")),0)</f>
        <v>0</v>
      </c>
      <c r="AL147" s="123" t="str">
        <f ca="1">IFERROR(IF(OR(AK147=0,AK147="B"),"",RANK(AW147,AW136:AW151,1)),"")</f>
        <v/>
      </c>
      <c r="AM147" s="123" t="str">
        <f ca="1">IFERROR(IF(OR(AK147=0,AK147="A"),"",RANK(AX147,AX136:AX151,1)),"")</f>
        <v/>
      </c>
      <c r="AN147" s="51">
        <f ca="1">IFERROR(IF(AF147="X",0,(INDIRECT(CONCATENATE("'Height Input'!"&amp;$B133&amp;$C134+11))-AJ147)*10),"")</f>
        <v>0</v>
      </c>
      <c r="AO147" s="8"/>
      <c r="AP147" s="9" t="str">
        <f t="shared" ca="1" si="50"/>
        <v/>
      </c>
      <c r="AQ147" s="9" t="str">
        <f ca="1">IF(AR147="","",HLOOKUP(AL147,BC135:BJ152,18,FALSE))</f>
        <v/>
      </c>
      <c r="AR147" s="45" t="str">
        <f ca="1">IF(OR(AL147=0,AL147=""),"",IF(COUNTIFS(AL136:AL151,AL147)&gt;1,"=",""))</f>
        <v/>
      </c>
      <c r="AS147" s="45"/>
      <c r="AT147" s="9" t="str">
        <f t="shared" ca="1" si="51"/>
        <v/>
      </c>
      <c r="AU147" s="9" t="str">
        <f ca="1">IF(AV147="","",HLOOKUP(AM147,BK135:BR152,18,FALSE))</f>
        <v/>
      </c>
      <c r="AV147" s="45" t="str">
        <f ca="1">IF(OR(AM147=0,AM147=""),"",IF(COUNTIFS(AM136:AM151,AM147)&gt;1,"=",""))</f>
        <v/>
      </c>
      <c r="AW147" s="9" t="str">
        <f t="shared" ca="1" si="45"/>
        <v/>
      </c>
      <c r="AX147" s="9" t="str">
        <f t="shared" ca="1" si="46"/>
        <v/>
      </c>
      <c r="AY147" s="47"/>
      <c r="AZ147" s="135" t="str">
        <f t="shared" ca="1" si="47"/>
        <v/>
      </c>
      <c r="BA147" s="135" t="str">
        <f t="shared" ca="1" si="48"/>
        <v/>
      </c>
      <c r="BB147" s="9"/>
      <c r="BC147" s="52" t="str">
        <f ca="1">IF(AL147="","",IF(AL147=BC135,AL147,""))</f>
        <v/>
      </c>
      <c r="BD147" s="52" t="str">
        <f ca="1">IF(AL147="","",IF(AL147=BD135,AL147,""))</f>
        <v/>
      </c>
      <c r="BE147" s="52" t="str">
        <f ca="1">IF(AL147="","",IF(AL147=BE135,AL147,""))</f>
        <v/>
      </c>
      <c r="BF147" s="52" t="str">
        <f ca="1">IF(AL147="","",IF(AL147=BF135,AL147,""))</f>
        <v/>
      </c>
      <c r="BG147" s="52" t="str">
        <f ca="1">IF(AL147="","",IF(AL147=BG135,AL147,""))</f>
        <v/>
      </c>
      <c r="BH147" s="52" t="str">
        <f ca="1">IF(AL147="","",IF(AL147=BH135,AL147,""))</f>
        <v/>
      </c>
      <c r="BI147" s="52" t="str">
        <f ca="1">IF(AL147="","",IF(AL147=BI135,AL147,""))</f>
        <v/>
      </c>
      <c r="BJ147" s="52" t="str">
        <f ca="1">IF(AL147="","",IF(AL147=BJ135,AL147,""))</f>
        <v/>
      </c>
      <c r="BK147" s="52" t="str">
        <f ca="1">IF(AM147="","",IF(AM147=BK135,AM147,""))</f>
        <v/>
      </c>
      <c r="BL147" s="52" t="str">
        <f ca="1">IF(AM147="","",IF(AM147=BL135,AM147,""))</f>
        <v/>
      </c>
      <c r="BM147" s="52" t="str">
        <f ca="1">IF(AM147="","",IF(AM147=BM135,AM147,""))</f>
        <v/>
      </c>
      <c r="BN147" s="52" t="str">
        <f ca="1">IF(AM147="","",IF(AM147=BN135,AM147,""))</f>
        <v/>
      </c>
      <c r="BO147" s="52" t="str">
        <f ca="1">IF(AM147="","",IF(AM147=BO135,AM147,""))</f>
        <v/>
      </c>
      <c r="BP147" s="52" t="str">
        <f ca="1">IF(AM147="","",IF(AM147=BP135,AM147,""))</f>
        <v/>
      </c>
      <c r="BQ147" s="52" t="str">
        <f ca="1">IF(AM147="","",IF(AM147=BQ135,AM147,""))</f>
        <v/>
      </c>
      <c r="BR147" s="52" t="str">
        <f ca="1">IF(AM147="","",IF(AM147=BR135,AM147,""))</f>
        <v/>
      </c>
      <c r="BS147" s="46"/>
      <c r="BT147" s="4">
        <f>IFERROR(IF(A135=0,A147/11,LEFT(A147,1)),"")</f>
        <v>1</v>
      </c>
    </row>
    <row r="148" spans="1:72" s="4" customFormat="1" ht="16.149999999999999" customHeight="1" x14ac:dyDescent="0.35">
      <c r="A148" s="8">
        <f>IFERROR(IF(A135=0,A140*11,A140&amp;A140),"-")</f>
        <v>55</v>
      </c>
      <c r="B148" s="10" t="str">
        <f ca="1">IFERROR(IF(OR(AK148=0,AK148="B"),"",RANK(AZ148,AZ136:AZ151,1)),"")</f>
        <v/>
      </c>
      <c r="C148" s="10" t="str">
        <f ca="1">IFERROR(IF(OR(AK148=0,AK148="A"),"",RANK(BA148,BA136:BA151,1)),"")</f>
        <v/>
      </c>
      <c r="D148" s="55">
        <v>13</v>
      </c>
      <c r="E148" s="17">
        <f t="shared" si="49"/>
        <v>55</v>
      </c>
      <c r="F148" s="319" t="str">
        <f>IFERROR(VLOOKUP($A132&amp;E148,downloads!$A$1:$E$1000,2,FALSE),"")</f>
        <v/>
      </c>
      <c r="G148" s="18" t="str">
        <f t="shared" si="44"/>
        <v>Menai</v>
      </c>
      <c r="H148" s="497"/>
      <c r="I148" s="498"/>
      <c r="J148" s="497"/>
      <c r="K148" s="498"/>
      <c r="L148" s="497"/>
      <c r="M148" s="498"/>
      <c r="N148" s="497"/>
      <c r="O148" s="498"/>
      <c r="P148" s="497"/>
      <c r="Q148" s="498"/>
      <c r="R148" s="497"/>
      <c r="S148" s="498"/>
      <c r="T148" s="497"/>
      <c r="U148" s="498"/>
      <c r="V148" s="497"/>
      <c r="W148" s="498"/>
      <c r="X148" s="497"/>
      <c r="Y148" s="498"/>
      <c r="Z148" s="497"/>
      <c r="AA148" s="498"/>
      <c r="AB148" s="497"/>
      <c r="AC148" s="498"/>
      <c r="AD148" s="497"/>
      <c r="AE148" s="498"/>
      <c r="AF148" s="511">
        <f ca="1">IFERROR(INDIRECT(CONCATENATE("'Height Input'!"&amp;B134&amp;C134+12)),"")</f>
        <v>0</v>
      </c>
      <c r="AG148" s="512"/>
      <c r="AH148" s="48"/>
      <c r="AI148" s="48"/>
      <c r="AJ148" s="49">
        <f ca="1">IFERROR(IF(AF148="X",MatchDay!$U$2+MatchDay!$U$2+1-COUNTIF($AF136:AF148,"X"),IF(AF148&gt;=97,1,INT(INDIRECT(CONCATENATE("'Height Input'!"&amp;$B133&amp;$C134+12))))),"")</f>
        <v>0</v>
      </c>
      <c r="AK148" s="50">
        <f ca="1">IFERROR(IF(OR(AJ148=0,AJ148=""),0,IF(OR(AJ148&lt;VLOOKUP(BT148,$E136:$AJ143,32,FALSE),VLOOKUP(BT148,$E136:$AJ143,32,FALSE)=0),"A","B")),0)</f>
        <v>0</v>
      </c>
      <c r="AL148" s="123" t="str">
        <f ca="1">IFERROR(IF(OR(AK148=0,AK148="B"),"",RANK(AW148,AW136:AW151,1)),"")</f>
        <v/>
      </c>
      <c r="AM148" s="123" t="str">
        <f ca="1">IFERROR(IF(OR(AK148=0,AK148="A"),"",RANK(AX148,AX136:AX151,1)),"")</f>
        <v/>
      </c>
      <c r="AN148" s="51">
        <f ca="1">IFERROR(IF(AF148="X",0,(INDIRECT(CONCATENATE("'Height Input'!"&amp;$B133&amp;$C134+12))-AJ148)*10),"")</f>
        <v>0</v>
      </c>
      <c r="AO148" s="8"/>
      <c r="AP148" s="9" t="str">
        <f t="shared" ca="1" si="50"/>
        <v/>
      </c>
      <c r="AQ148" s="9" t="str">
        <f ca="1">IF(AR148="","",HLOOKUP(AL148,BC135:BJ152,18,FALSE))</f>
        <v/>
      </c>
      <c r="AR148" s="45" t="str">
        <f ca="1">IF(OR(AL148=0,AL148=""),"",IF(COUNTIFS(AL136:AL151,AL148)&gt;1,"=",""))</f>
        <v/>
      </c>
      <c r="AS148" s="45"/>
      <c r="AT148" s="9" t="str">
        <f t="shared" ca="1" si="51"/>
        <v/>
      </c>
      <c r="AU148" s="9" t="str">
        <f ca="1">IF(AV148="","",HLOOKUP(AM148,BK135:BR152,18,FALSE))</f>
        <v/>
      </c>
      <c r="AV148" s="45" t="str">
        <f ca="1">IF(OR(AM148=0,AM148=""),"",IF(COUNTIFS(AM136:AM151,AM148)&gt;1,"=",""))</f>
        <v/>
      </c>
      <c r="AW148" s="9" t="str">
        <f t="shared" ca="1" si="45"/>
        <v/>
      </c>
      <c r="AX148" s="9" t="str">
        <f t="shared" ca="1" si="46"/>
        <v/>
      </c>
      <c r="AY148" s="47"/>
      <c r="AZ148" s="135" t="str">
        <f t="shared" ca="1" si="47"/>
        <v/>
      </c>
      <c r="BA148" s="135" t="str">
        <f t="shared" ca="1" si="48"/>
        <v/>
      </c>
      <c r="BB148" s="9"/>
      <c r="BC148" s="52" t="str">
        <f ca="1">IF(AL148="","",IF(AL148=BC135,AL148,""))</f>
        <v/>
      </c>
      <c r="BD148" s="52" t="str">
        <f ca="1">IF(AL148="","",IF(AL148=BD135,AL148,""))</f>
        <v/>
      </c>
      <c r="BE148" s="52" t="str">
        <f ca="1">IF(AL148="","",IF(AL148=BE135,AL148,""))</f>
        <v/>
      </c>
      <c r="BF148" s="52" t="str">
        <f ca="1">IF(AL148="","",IF(AL148=BF135,AL148,""))</f>
        <v/>
      </c>
      <c r="BG148" s="52" t="str">
        <f ca="1">IF(AL148="","",IF(AL148=BG135,AL148,""))</f>
        <v/>
      </c>
      <c r="BH148" s="52" t="str">
        <f ca="1">IF(AL148="","",IF(AL148=BH135,AL148,""))</f>
        <v/>
      </c>
      <c r="BI148" s="52" t="str">
        <f ca="1">IF(AL148="","",IF(AL148=BI135,AL148,""))</f>
        <v/>
      </c>
      <c r="BJ148" s="52" t="str">
        <f ca="1">IF(AL148="","",IF(AL148=BJ135,AL148,""))</f>
        <v/>
      </c>
      <c r="BK148" s="52" t="str">
        <f ca="1">IF(AM148="","",IF(AM148=BK135,AM148,""))</f>
        <v/>
      </c>
      <c r="BL148" s="52" t="str">
        <f ca="1">IF(AM148="","",IF(AM148=BL135,AM148,""))</f>
        <v/>
      </c>
      <c r="BM148" s="52" t="str">
        <f ca="1">IF(AM148="","",IF(AM148=BM135,AM148,""))</f>
        <v/>
      </c>
      <c r="BN148" s="52" t="str">
        <f ca="1">IF(AM148="","",IF(AM148=BN135,AM148,""))</f>
        <v/>
      </c>
      <c r="BO148" s="52" t="str">
        <f ca="1">IF(AM148="","",IF(AM148=BO135,AM148,""))</f>
        <v/>
      </c>
      <c r="BP148" s="52" t="str">
        <f ca="1">IF(AM148="","",IF(AM148=BP135,AM148,""))</f>
        <v/>
      </c>
      <c r="BQ148" s="52" t="str">
        <f ca="1">IF(AM148="","",IF(AM148=BQ135,AM148,""))</f>
        <v/>
      </c>
      <c r="BR148" s="52" t="str">
        <f ca="1">IF(AM148="","",IF(AM148=BR135,AM148,""))</f>
        <v/>
      </c>
      <c r="BS148" s="46"/>
      <c r="BT148" s="4">
        <f>IFERROR(IF(A135=0,A148/11,LEFT(A148,1)),"")</f>
        <v>5</v>
      </c>
    </row>
    <row r="149" spans="1:72" s="4" customFormat="1" ht="16.149999999999999" customHeight="1" x14ac:dyDescent="0.35">
      <c r="A149" s="8">
        <f>IFERROR(IF(A135=0,A141*11,A141&amp;A141),"-")</f>
        <v>44</v>
      </c>
      <c r="B149" s="10" t="str">
        <f ca="1">IFERROR(IF(OR(AK149=0,AK149="B"),"",RANK(AZ149,AZ136:AZ151,1)),"")</f>
        <v/>
      </c>
      <c r="C149" s="10" t="str">
        <f ca="1">IFERROR(IF(OR(AK149=0,AK149="A"),"",RANK(BA149,BA136:BA151,1)),"")</f>
        <v/>
      </c>
      <c r="D149" s="55">
        <v>14</v>
      </c>
      <c r="E149" s="17">
        <f t="shared" si="49"/>
        <v>44</v>
      </c>
      <c r="F149" s="319" t="str">
        <f>IFERROR(VLOOKUP($A132&amp;E149,downloads!$A$1:$E$1000,2,FALSE),"")</f>
        <v/>
      </c>
      <c r="G149" s="18" t="str">
        <f t="shared" si="44"/>
        <v>Macc</v>
      </c>
      <c r="H149" s="497"/>
      <c r="I149" s="498"/>
      <c r="J149" s="497"/>
      <c r="K149" s="498"/>
      <c r="L149" s="497"/>
      <c r="M149" s="498"/>
      <c r="N149" s="497"/>
      <c r="O149" s="498"/>
      <c r="P149" s="497"/>
      <c r="Q149" s="498"/>
      <c r="R149" s="497"/>
      <c r="S149" s="498"/>
      <c r="T149" s="497"/>
      <c r="U149" s="498"/>
      <c r="V149" s="497"/>
      <c r="W149" s="498"/>
      <c r="X149" s="497"/>
      <c r="Y149" s="498"/>
      <c r="Z149" s="497"/>
      <c r="AA149" s="498"/>
      <c r="AB149" s="497"/>
      <c r="AC149" s="498"/>
      <c r="AD149" s="497"/>
      <c r="AE149" s="498"/>
      <c r="AF149" s="511">
        <f ca="1">IFERROR(INDIRECT(CONCATENATE("'Height Input'!"&amp;B134&amp;C134+13)),"")</f>
        <v>0</v>
      </c>
      <c r="AG149" s="512"/>
      <c r="AH149" s="48"/>
      <c r="AI149" s="48"/>
      <c r="AJ149" s="49">
        <f ca="1">IFERROR(IF(AF149="X",MatchDay!$U$2+MatchDay!$U$2+1-COUNTIF($AF136:AF149,"X"),IF(AF149&gt;=97,1,INT(INDIRECT(CONCATENATE("'Height Input'!"&amp;$B133&amp;$C134+13))))),"")</f>
        <v>0</v>
      </c>
      <c r="AK149" s="50">
        <f ca="1">IFERROR(IF(OR(AJ149=0,AJ149=""),0,IF(OR(AJ149&lt;VLOOKUP(BT149,$E136:$AJ143,32,FALSE),VLOOKUP(BT149,$E136:$AJ143,32,FALSE)=0),"A","B")),0)</f>
        <v>0</v>
      </c>
      <c r="AL149" s="123" t="str">
        <f ca="1">IFERROR(IF(OR(AK149=0,AK149="B"),"",RANK(AW149,AW136:AW151,1)),"")</f>
        <v/>
      </c>
      <c r="AM149" s="123" t="str">
        <f ca="1">IFERROR(IF(OR(AK149=0,AK149="A"),"",RANK(AX149,AX136:AX151,1)),"")</f>
        <v/>
      </c>
      <c r="AN149" s="51">
        <f ca="1">IFERROR(IF(AF149="X",0,(INDIRECT(CONCATENATE("'Height Input'!"&amp;$B133&amp;$C134+13))-AJ149)*10),"")</f>
        <v>0</v>
      </c>
      <c r="AO149" s="8"/>
      <c r="AP149" s="9" t="str">
        <f t="shared" ca="1" si="50"/>
        <v/>
      </c>
      <c r="AQ149" s="9" t="str">
        <f ca="1">IF(AR149="","",HLOOKUP(AL149,BC135:BJ152,18,FALSE))</f>
        <v/>
      </c>
      <c r="AR149" s="45" t="str">
        <f ca="1">IF(OR(AL149=0,AL149=""),"",IF(COUNTIFS(AL136:AL151,AL149)&gt;1,"=",""))</f>
        <v/>
      </c>
      <c r="AS149" s="45"/>
      <c r="AT149" s="9" t="str">
        <f t="shared" ca="1" si="51"/>
        <v/>
      </c>
      <c r="AU149" s="9" t="str">
        <f ca="1">IF(AV149="","",HLOOKUP(AM149,BK135:BR152,18,FALSE))</f>
        <v/>
      </c>
      <c r="AV149" s="45" t="str">
        <f ca="1">IF(OR(AM149=0,AM149=""),"",IF(COUNTIFS(AM136:AM151,AM149)&gt;1,"=",""))</f>
        <v/>
      </c>
      <c r="AW149" s="9" t="str">
        <f t="shared" ca="1" si="45"/>
        <v/>
      </c>
      <c r="AX149" s="9" t="str">
        <f t="shared" ca="1" si="46"/>
        <v/>
      </c>
      <c r="AY149" s="47"/>
      <c r="AZ149" s="135" t="str">
        <f t="shared" ca="1" si="47"/>
        <v/>
      </c>
      <c r="BA149" s="135" t="str">
        <f t="shared" ca="1" si="48"/>
        <v/>
      </c>
      <c r="BB149" s="9"/>
      <c r="BC149" s="52" t="str">
        <f ca="1">IF(AL149="","",IF(AL149=BC135,AL149,""))</f>
        <v/>
      </c>
      <c r="BD149" s="52" t="str">
        <f ca="1">IF(AL149="","",IF(AL149=BD135,AL149,""))</f>
        <v/>
      </c>
      <c r="BE149" s="52" t="str">
        <f ca="1">IF(AL149="","",IF(AL149=BE135,AL149,""))</f>
        <v/>
      </c>
      <c r="BF149" s="52" t="str">
        <f ca="1">IF(AL149="","",IF(AL149=BF135,AL149,""))</f>
        <v/>
      </c>
      <c r="BG149" s="52" t="str">
        <f ca="1">IF(AL149="","",IF(AL149=BG135,AL149,""))</f>
        <v/>
      </c>
      <c r="BH149" s="52" t="str">
        <f ca="1">IF(AL149="","",IF(AL149=BH135,AL149,""))</f>
        <v/>
      </c>
      <c r="BI149" s="52" t="str">
        <f ca="1">IF(AL149="","",IF(AL149=BI135,AL149,""))</f>
        <v/>
      </c>
      <c r="BJ149" s="52" t="str">
        <f ca="1">IF(AL149="","",IF(AL149=BJ135,AL149,""))</f>
        <v/>
      </c>
      <c r="BK149" s="52" t="str">
        <f ca="1">IF(AM149="","",IF(AM149=BK135,AM149,""))</f>
        <v/>
      </c>
      <c r="BL149" s="52" t="str">
        <f ca="1">IF(AM149="","",IF(AM149=BL135,AM149,""))</f>
        <v/>
      </c>
      <c r="BM149" s="52" t="str">
        <f ca="1">IF(AM149="","",IF(AM149=BM135,AM149,""))</f>
        <v/>
      </c>
      <c r="BN149" s="52" t="str">
        <f ca="1">IF(AM149="","",IF(AM149=BN135,AM149,""))</f>
        <v/>
      </c>
      <c r="BO149" s="52" t="str">
        <f ca="1">IF(AM149="","",IF(AM149=BO135,AM149,""))</f>
        <v/>
      </c>
      <c r="BP149" s="52" t="str">
        <f ca="1">IF(AM149="","",IF(AM149=BP135,AM149,""))</f>
        <v/>
      </c>
      <c r="BQ149" s="52" t="str">
        <f ca="1">IF(AM149="","",IF(AM149=BQ135,AM149,""))</f>
        <v/>
      </c>
      <c r="BR149" s="52" t="str">
        <f ca="1">IF(AM149="","",IF(AM149=BR135,AM149,""))</f>
        <v/>
      </c>
      <c r="BS149" s="46"/>
      <c r="BT149" s="4">
        <f>IFERROR(IF(A135=0,A149/11,LEFT(A149,1)),"")</f>
        <v>4</v>
      </c>
    </row>
    <row r="150" spans="1:72" s="4" customFormat="1" ht="16.149999999999999" customHeight="1" x14ac:dyDescent="0.35">
      <c r="A150" s="8">
        <f>IFERROR(IF(A135=0,A142*11,A142&amp;A142),"-")</f>
        <v>77</v>
      </c>
      <c r="B150" s="10" t="str">
        <f ca="1">IFERROR(IF(OR(AK150=0,AK150="B"),"",RANK(AZ150,AZ136:AZ151,1)),"")</f>
        <v/>
      </c>
      <c r="C150" s="10">
        <f ca="1">IFERROR(IF(OR(AK150=0,AK150="A"),"",RANK(BA150,BA136:BA151,1)),"")</f>
        <v>1</v>
      </c>
      <c r="D150" s="55">
        <v>15</v>
      </c>
      <c r="E150" s="17">
        <f t="shared" si="49"/>
        <v>77</v>
      </c>
      <c r="F150" s="319" t="str">
        <f>IFERROR(VLOOKUP($A132&amp;E150,downloads!$A$1:$E$1000,2,FALSE),"")</f>
        <v>Lucy STRETTON</v>
      </c>
      <c r="G150" s="18" t="str">
        <f t="shared" si="44"/>
        <v>Wigan</v>
      </c>
      <c r="H150" s="497"/>
      <c r="I150" s="498"/>
      <c r="J150" s="497"/>
      <c r="K150" s="498"/>
      <c r="L150" s="497"/>
      <c r="M150" s="498"/>
      <c r="N150" s="497"/>
      <c r="O150" s="498"/>
      <c r="P150" s="497"/>
      <c r="Q150" s="498"/>
      <c r="R150" s="497"/>
      <c r="S150" s="498"/>
      <c r="T150" s="497"/>
      <c r="U150" s="498"/>
      <c r="V150" s="497"/>
      <c r="W150" s="498"/>
      <c r="X150" s="497"/>
      <c r="Y150" s="498"/>
      <c r="Z150" s="497"/>
      <c r="AA150" s="498"/>
      <c r="AB150" s="497"/>
      <c r="AC150" s="498"/>
      <c r="AD150" s="497"/>
      <c r="AE150" s="498"/>
      <c r="AF150" s="511">
        <f ca="1">IFERROR(INDIRECT(CONCATENATE("'Height Input'!"&amp;B134&amp;C134+14)),"")</f>
        <v>2</v>
      </c>
      <c r="AG150" s="512"/>
      <c r="AH150" s="48"/>
      <c r="AI150" s="48"/>
      <c r="AJ150" s="49">
        <f ca="1">IFERROR(IF(AF150="X",MatchDay!$U$2+MatchDay!$U$2+1-COUNTIF($AF136:AF150,"X"),IF(AF150&gt;=97,1,INT(INDIRECT(CONCATENATE("'Height Input'!"&amp;$B133&amp;$C134+14))))),"")</f>
        <v>2</v>
      </c>
      <c r="AK150" s="50" t="str">
        <f ca="1">IFERROR(IF(OR(AJ150=0,AJ150=""),0,IF(OR(AJ150&lt;VLOOKUP(BT150,$E136:$AJ143,32,FALSE),VLOOKUP(BT150,$E136:$AJ143,32,FALSE)=0),"A","B")),0)</f>
        <v>B</v>
      </c>
      <c r="AL150" s="123" t="str">
        <f ca="1">IFERROR(IF(OR(AK150=0,AK150="B"),"",RANK(AW150,AW136:AW151,1)),"")</f>
        <v/>
      </c>
      <c r="AM150" s="123">
        <f ca="1">IFERROR(IF(OR(AK150=0,AK150="A"),"",RANK(AX150,AX136:AX151,1)),"")</f>
        <v>1</v>
      </c>
      <c r="AN150" s="51">
        <f ca="1">IFERROR(IF(AF150="X",0,(INDIRECT(CONCATENATE("'Height Input'!"&amp;$B133&amp;$C134+14))-AJ150)*10),"")</f>
        <v>0</v>
      </c>
      <c r="AO150" s="8"/>
      <c r="AP150" s="9" t="str">
        <f t="shared" ca="1" si="50"/>
        <v/>
      </c>
      <c r="AQ150" s="9" t="str">
        <f ca="1">IF(AR150="","",HLOOKUP(AL150,BC135:BJ152,18,FALSE))</f>
        <v/>
      </c>
      <c r="AR150" s="45" t="str">
        <f ca="1">IF(OR(AL150=0,AL150=""),"",IF(COUNTIFS(AL136:AL151,AL150)&gt;1,"=",""))</f>
        <v/>
      </c>
      <c r="AS150" s="45"/>
      <c r="AT150" s="9" t="str">
        <f t="shared" ca="1" si="51"/>
        <v/>
      </c>
      <c r="AU150" s="9" t="str">
        <f ca="1">IF(AV150="","",HLOOKUP(AM150,BK135:BR152,18,FALSE))</f>
        <v/>
      </c>
      <c r="AV150" s="45" t="str">
        <f ca="1">IF(OR(AM150=0,AM150=""),"",IF(COUNTIFS(AM136:AM151,AM150)&gt;1,"=",""))</f>
        <v/>
      </c>
      <c r="AW150" s="9" t="str">
        <f t="shared" ca="1" si="45"/>
        <v/>
      </c>
      <c r="AX150" s="9">
        <f t="shared" ca="1" si="46"/>
        <v>2</v>
      </c>
      <c r="AY150" s="47"/>
      <c r="AZ150" s="135" t="str">
        <f t="shared" ca="1" si="47"/>
        <v/>
      </c>
      <c r="BA150" s="135">
        <f t="shared" ca="1" si="48"/>
        <v>2</v>
      </c>
      <c r="BB150" s="9"/>
      <c r="BC150" s="52" t="str">
        <f ca="1">IF(AL150="","",IF(AL150=BC135,AL150,""))</f>
        <v/>
      </c>
      <c r="BD150" s="52" t="str">
        <f ca="1">IF(AL150="","",IF(AL150=BD135,AL150,""))</f>
        <v/>
      </c>
      <c r="BE150" s="52" t="str">
        <f ca="1">IF(AL150="","",IF(AL150=BE135,AL150,""))</f>
        <v/>
      </c>
      <c r="BF150" s="52" t="str">
        <f ca="1">IF(AL150="","",IF(AL150=BF135,AL150,""))</f>
        <v/>
      </c>
      <c r="BG150" s="52" t="str">
        <f ca="1">IF(AL150="","",IF(AL150=BG135,AL150,""))</f>
        <v/>
      </c>
      <c r="BH150" s="52" t="str">
        <f ca="1">IF(AL150="","",IF(AL150=BH135,AL150,""))</f>
        <v/>
      </c>
      <c r="BI150" s="52" t="str">
        <f ca="1">IF(AL150="","",IF(AL150=BI135,AL150,""))</f>
        <v/>
      </c>
      <c r="BJ150" s="52" t="str">
        <f ca="1">IF(AL150="","",IF(AL150=BJ135,AL150,""))</f>
        <v/>
      </c>
      <c r="BK150" s="52">
        <f ca="1">IF(AM150="","",IF(AM150=BK135,AM150,""))</f>
        <v>1</v>
      </c>
      <c r="BL150" s="52" t="str">
        <f ca="1">IF(AM150="","",IF(AM150=BL135,AM150,""))</f>
        <v/>
      </c>
      <c r="BM150" s="52" t="str">
        <f ca="1">IF(AM150="","",IF(AM150=BM135,AM150,""))</f>
        <v/>
      </c>
      <c r="BN150" s="52" t="str">
        <f ca="1">IF(AM150="","",IF(AM150=BN135,AM150,""))</f>
        <v/>
      </c>
      <c r="BO150" s="52" t="str">
        <f ca="1">IF(AM150="","",IF(AM150=BO135,AM150,""))</f>
        <v/>
      </c>
      <c r="BP150" s="52" t="str">
        <f ca="1">IF(AM150="","",IF(AM150=BP135,AM150,""))</f>
        <v/>
      </c>
      <c r="BQ150" s="52" t="str">
        <f ca="1">IF(AM150="","",IF(AM150=BQ135,AM150,""))</f>
        <v/>
      </c>
      <c r="BR150" s="52" t="str">
        <f ca="1">IF(AM150="","",IF(AM150=BR135,AM150,""))</f>
        <v/>
      </c>
      <c r="BS150" s="46"/>
      <c r="BT150" s="4">
        <f>IFERROR(IF(A135=0,A150/11,LEFT(A150,1)),"")</f>
        <v>7</v>
      </c>
    </row>
    <row r="151" spans="1:72" s="4" customFormat="1" ht="16.149999999999999" customHeight="1" x14ac:dyDescent="0.35">
      <c r="A151" s="8" t="str">
        <f>IFERROR(IF(A135=0,A143*11,A143&amp;A143),"-")</f>
        <v>-</v>
      </c>
      <c r="B151" s="10" t="str">
        <f ca="1">IFERROR(IF(OR(AK151=0,AK151="B"),"",RANK(AZ151,AZ136:AZ151,1)),"")</f>
        <v/>
      </c>
      <c r="C151" s="10" t="str">
        <f ca="1">IFERROR(IF(OR(AK151=0,AK151="A"),"",RANK(BA151,BA136:BA151,1)),"")</f>
        <v/>
      </c>
      <c r="D151" s="55">
        <v>16</v>
      </c>
      <c r="E151" s="17" t="str">
        <f t="shared" si="49"/>
        <v>-</v>
      </c>
      <c r="F151" s="319" t="str">
        <f>IFERROR(VLOOKUP($A132&amp;E151,downloads!$A$1:$E$1000,2,FALSE),"")</f>
        <v/>
      </c>
      <c r="G151" s="18" t="str">
        <f t="shared" si="44"/>
        <v/>
      </c>
      <c r="H151" s="497"/>
      <c r="I151" s="498"/>
      <c r="J151" s="497"/>
      <c r="K151" s="498"/>
      <c r="L151" s="497"/>
      <c r="M151" s="498"/>
      <c r="N151" s="497"/>
      <c r="O151" s="498"/>
      <c r="P151" s="497"/>
      <c r="Q151" s="498"/>
      <c r="R151" s="497"/>
      <c r="S151" s="498"/>
      <c r="T151" s="497"/>
      <c r="U151" s="498"/>
      <c r="V151" s="497"/>
      <c r="W151" s="498"/>
      <c r="X151" s="497"/>
      <c r="Y151" s="498"/>
      <c r="Z151" s="497"/>
      <c r="AA151" s="498"/>
      <c r="AB151" s="497"/>
      <c r="AC151" s="498"/>
      <c r="AD151" s="497"/>
      <c r="AE151" s="498"/>
      <c r="AF151" s="511">
        <f ca="1">IFERROR(INDIRECT(CONCATENATE("'Height Input'!"&amp;B134&amp;C134+15)),"")</f>
        <v>0</v>
      </c>
      <c r="AG151" s="512"/>
      <c r="AH151" s="48"/>
      <c r="AI151" s="48"/>
      <c r="AJ151" s="49">
        <f ca="1">IFERROR(IF(AF151="X",MatchDay!$U$2+MatchDay!$U$2+1-COUNTIF($AF136:AF151,"X"),IF(AF151&gt;=97,1,INT(INDIRECT(CONCATENATE("'Height Input'!"&amp;$B133&amp;$C134+15))))),"")</f>
        <v>0</v>
      </c>
      <c r="AK151" s="50">
        <f ca="1">IFERROR(IF(OR(AJ151=0,AJ151=""),0,IF(OR(AJ151&lt;VLOOKUP(BT151,$E136:$AJ143,32,FALSE),VLOOKUP(BT151,$E136:$AJ143,32,FALSE)=0),"A","B")),0)</f>
        <v>0</v>
      </c>
      <c r="AL151" s="123" t="str">
        <f ca="1">IFERROR(IF(OR(AK151=0,AK151="B"),"",RANK(AW151,AW136:AW151,1)),"")</f>
        <v/>
      </c>
      <c r="AM151" s="123" t="str">
        <f ca="1">IFERROR(IF(OR(AK151=0,AK151="A"),"",RANK(AX151,AX136:AX151,1)),"")</f>
        <v/>
      </c>
      <c r="AN151" s="51">
        <f ca="1">IFERROR(IF(AF151="X",0,(INDIRECT(CONCATENATE("'Height Input'!"&amp;$B133&amp;$C134+15))-AJ151)*10),"")</f>
        <v>0</v>
      </c>
      <c r="AO151" s="8"/>
      <c r="AP151" s="9" t="str">
        <f t="shared" ca="1" si="50"/>
        <v/>
      </c>
      <c r="AQ151" s="9" t="str">
        <f ca="1">IF(AR151="","",HLOOKUP(AL151,BC135:BJ152,18,FALSE))</f>
        <v/>
      </c>
      <c r="AR151" s="45" t="str">
        <f ca="1">IF(OR(AL151=0,AL151=""),"",IF(COUNTIFS(AL136:AL151,AL151)&gt;1,"=",""))</f>
        <v/>
      </c>
      <c r="AS151" s="45"/>
      <c r="AT151" s="9" t="str">
        <f t="shared" ca="1" si="51"/>
        <v/>
      </c>
      <c r="AU151" s="9" t="str">
        <f ca="1">IF(AV151="","",HLOOKUP(AM151,BK135:BR152,18,FALSE))</f>
        <v/>
      </c>
      <c r="AV151" s="45" t="str">
        <f ca="1">IF(OR(AM151=0,AM151=""),"",IF(COUNTIFS(AM136:AM151,AM151)&gt;1,"=",""))</f>
        <v/>
      </c>
      <c r="AW151" s="9" t="str">
        <f t="shared" ca="1" si="45"/>
        <v/>
      </c>
      <c r="AX151" s="9" t="str">
        <f t="shared" ca="1" si="46"/>
        <v/>
      </c>
      <c r="AY151" s="47"/>
      <c r="AZ151" s="135" t="str">
        <f t="shared" ca="1" si="47"/>
        <v/>
      </c>
      <c r="BA151" s="135" t="str">
        <f t="shared" ca="1" si="48"/>
        <v/>
      </c>
      <c r="BB151" s="9"/>
      <c r="BC151" s="52" t="str">
        <f ca="1">IF(AL151="","",IF(AL151=BC135,AL151,""))</f>
        <v/>
      </c>
      <c r="BD151" s="52" t="str">
        <f ca="1">IF(AL151="","",IF(AL151=BD135,AL151,""))</f>
        <v/>
      </c>
      <c r="BE151" s="52" t="str">
        <f ca="1">IF(AL151="","",IF(AL151=BE135,AL151,""))</f>
        <v/>
      </c>
      <c r="BF151" s="52" t="str">
        <f ca="1">IF(AL151="","",IF(AL151=BF135,AL151,""))</f>
        <v/>
      </c>
      <c r="BG151" s="52" t="str">
        <f ca="1">IF(AL151="","",IF(AL151=BG135,AL151,""))</f>
        <v/>
      </c>
      <c r="BH151" s="52" t="str">
        <f ca="1">IF(AL151="","",IF(AL151=BH135,AL151,""))</f>
        <v/>
      </c>
      <c r="BI151" s="52" t="str">
        <f ca="1">IF(AL151="","",IF(AL151=BI135,AL151,""))</f>
        <v/>
      </c>
      <c r="BJ151" s="52" t="str">
        <f ca="1">IF(AL151="","",IF(AL151=BJ135,AL151,""))</f>
        <v/>
      </c>
      <c r="BK151" s="52" t="str">
        <f ca="1">IF(AM151="","",IF(AM151=BK135,AM151,""))</f>
        <v/>
      </c>
      <c r="BL151" s="52" t="str">
        <f ca="1">IF(AM151="","",IF(AM151=BL135,AM151,""))</f>
        <v/>
      </c>
      <c r="BM151" s="52" t="str">
        <f ca="1">IF(AM151="","",IF(AM151=BM135,AM151,""))</f>
        <v/>
      </c>
      <c r="BN151" s="52" t="str">
        <f ca="1">IF(AM151="","",IF(AM151=BN135,AM151,""))</f>
        <v/>
      </c>
      <c r="BO151" s="52" t="str">
        <f ca="1">IF(AM151="","",IF(AM151=BO135,AM151,""))</f>
        <v/>
      </c>
      <c r="BP151" s="52" t="str">
        <f ca="1">IF(AM151="","",IF(AM151=BP135,AM151,""))</f>
        <v/>
      </c>
      <c r="BQ151" s="52" t="str">
        <f ca="1">IF(AM151="","",IF(AM151=BQ135,AM151,""))</f>
        <v/>
      </c>
      <c r="BR151" s="52" t="str">
        <f ca="1">IF(AM151="","",IF(AM151=BR135,AM151,""))</f>
        <v/>
      </c>
      <c r="BS151" s="46"/>
      <c r="BT151" s="4" t="str">
        <f>IFERROR(IF(A135=0,A151/11,LEFT(A151,1)),"")</f>
        <v/>
      </c>
    </row>
    <row r="152" spans="1:72" s="4" customFormat="1" ht="13.5" x14ac:dyDescent="0.3">
      <c r="A152" s="8"/>
      <c r="B152" s="1"/>
      <c r="C152" s="1"/>
      <c r="AL152" s="124"/>
      <c r="AM152" s="124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137"/>
      <c r="BA152" s="137"/>
      <c r="BB152" s="47"/>
      <c r="BC152" s="9">
        <f ca="1">COUNTIF(BC136:BC151,BC135)</f>
        <v>1</v>
      </c>
      <c r="BD152" s="9">
        <f t="shared" ref="BD152:BR152" ca="1" si="52">COUNTIF(BD136:BD151,BD135)</f>
        <v>0</v>
      </c>
      <c r="BE152" s="9">
        <f t="shared" ca="1" si="52"/>
        <v>0</v>
      </c>
      <c r="BF152" s="9">
        <f t="shared" ca="1" si="52"/>
        <v>0</v>
      </c>
      <c r="BG152" s="9">
        <f t="shared" ca="1" si="52"/>
        <v>0</v>
      </c>
      <c r="BH152" s="9">
        <f t="shared" ca="1" si="52"/>
        <v>0</v>
      </c>
      <c r="BI152" s="9">
        <f t="shared" ca="1" si="52"/>
        <v>0</v>
      </c>
      <c r="BJ152" s="9">
        <f t="shared" ca="1" si="52"/>
        <v>0</v>
      </c>
      <c r="BK152" s="9">
        <f t="shared" ca="1" si="52"/>
        <v>1</v>
      </c>
      <c r="BL152" s="9">
        <f t="shared" ca="1" si="52"/>
        <v>0</v>
      </c>
      <c r="BM152" s="9">
        <f t="shared" ca="1" si="52"/>
        <v>0</v>
      </c>
      <c r="BN152" s="9">
        <f t="shared" ca="1" si="52"/>
        <v>0</v>
      </c>
      <c r="BO152" s="9">
        <f t="shared" ca="1" si="52"/>
        <v>0</v>
      </c>
      <c r="BP152" s="9">
        <f t="shared" ca="1" si="52"/>
        <v>0</v>
      </c>
      <c r="BQ152" s="9">
        <f t="shared" ca="1" si="52"/>
        <v>0</v>
      </c>
      <c r="BR152" s="9">
        <f t="shared" ca="1" si="52"/>
        <v>0</v>
      </c>
    </row>
    <row r="153" spans="1:72" s="4" customFormat="1" x14ac:dyDescent="0.25">
      <c r="A153" s="8"/>
      <c r="B153" s="1"/>
      <c r="C153" s="1"/>
      <c r="D153" s="466" t="s">
        <v>139</v>
      </c>
      <c r="E153" s="507"/>
      <c r="F153" s="507"/>
      <c r="G153" s="507"/>
      <c r="H153" s="507"/>
      <c r="I153" s="508"/>
      <c r="J153" s="466" t="s">
        <v>140</v>
      </c>
      <c r="K153" s="507"/>
      <c r="L153" s="507"/>
      <c r="M153" s="507"/>
      <c r="N153" s="507"/>
      <c r="O153" s="507"/>
      <c r="P153" s="507"/>
      <c r="Q153" s="507"/>
      <c r="R153" s="507"/>
      <c r="S153" s="507"/>
      <c r="T153" s="507"/>
      <c r="U153" s="507"/>
      <c r="V153" s="507"/>
      <c r="W153" s="507"/>
      <c r="X153" s="507"/>
      <c r="Y153" s="507"/>
      <c r="Z153" s="507"/>
      <c r="AA153" s="508"/>
      <c r="AB153" s="466" t="s">
        <v>1134</v>
      </c>
      <c r="AC153" s="507"/>
      <c r="AD153" s="507"/>
      <c r="AE153" s="507"/>
      <c r="AF153" s="507"/>
      <c r="AG153" s="507"/>
      <c r="AH153" s="507"/>
      <c r="AI153" s="507"/>
      <c r="AJ153" s="507"/>
      <c r="AK153" s="507"/>
      <c r="AL153" s="507"/>
      <c r="AM153" s="50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136"/>
      <c r="BA153" s="136"/>
      <c r="BB153" s="8"/>
      <c r="BC153" s="8"/>
      <c r="BD153" s="8"/>
      <c r="BE153" s="8"/>
    </row>
    <row r="154" spans="1:72" s="4" customFormat="1" x14ac:dyDescent="0.25">
      <c r="A154" s="8" t="s">
        <v>55</v>
      </c>
      <c r="B154" s="1"/>
      <c r="C154" s="1"/>
      <c r="D154" s="12" t="s">
        <v>177</v>
      </c>
      <c r="E154" s="55" t="s">
        <v>141</v>
      </c>
      <c r="F154" s="55" t="s">
        <v>124</v>
      </c>
      <c r="G154" s="119" t="s">
        <v>125</v>
      </c>
      <c r="H154" s="513" t="s">
        <v>270</v>
      </c>
      <c r="I154" s="514"/>
      <c r="J154" s="466" t="s">
        <v>177</v>
      </c>
      <c r="K154" s="468"/>
      <c r="L154" s="466" t="s">
        <v>141</v>
      </c>
      <c r="M154" s="508"/>
      <c r="N154" s="515" t="s">
        <v>124</v>
      </c>
      <c r="O154" s="515"/>
      <c r="P154" s="515"/>
      <c r="Q154" s="515"/>
      <c r="R154" s="515"/>
      <c r="S154" s="515"/>
      <c r="T154" s="515" t="s">
        <v>125</v>
      </c>
      <c r="U154" s="515"/>
      <c r="V154" s="515"/>
      <c r="W154" s="515"/>
      <c r="X154" s="515"/>
      <c r="Y154" s="515"/>
      <c r="Z154" s="513" t="s">
        <v>270</v>
      </c>
      <c r="AA154" s="514"/>
      <c r="AB154" s="116"/>
      <c r="AC154" s="117"/>
      <c r="AD154" s="117"/>
      <c r="AE154" s="117"/>
      <c r="AF154" s="117"/>
      <c r="AG154" s="117"/>
      <c r="AH154" s="25"/>
      <c r="AI154" s="25"/>
      <c r="AJ154" s="25"/>
      <c r="AK154" s="25"/>
      <c r="AL154" s="125"/>
      <c r="AM154" s="126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136"/>
      <c r="BA154" s="136"/>
      <c r="BB154" s="8"/>
      <c r="BC154" s="8"/>
      <c r="BD154" s="8"/>
      <c r="BE154" s="8"/>
    </row>
    <row r="155" spans="1:72" s="4" customFormat="1" ht="16.149999999999999" customHeight="1" x14ac:dyDescent="0.25">
      <c r="A155" s="11">
        <f>IFERROR(VLOOKUP(A132,standards,3,FALSE),"-")</f>
        <v>1</v>
      </c>
      <c r="B155" s="1"/>
      <c r="C155" s="10">
        <v>1</v>
      </c>
      <c r="D155" s="19">
        <f ca="1">IFERROR(IF(VLOOKUP(C155,B136:AP151,41,FALSE)="",VLOOKUP(C155,B136:AP151,37,FALSE),VLOOKUP(C155,B136:AP151,37,FALSE)&amp;VLOOKUP(C155,B136:AP151,41,FALSE)),"")</f>
        <v>1</v>
      </c>
      <c r="E155" s="19">
        <f ca="1">IFERROR(IF(OR(AF136=98,AF136=99),AF136,IF(VLOOKUP(C155,B136:AG151,31,FALSE)=0,0,VLOOKUP(C155,B136:AG151,4,FALSE))),0)</f>
        <v>7</v>
      </c>
      <c r="F155" s="27" t="str">
        <f ca="1">IFERROR(VLOOKUP(E155,$E136:$F151,2,FALSE),"")</f>
        <v>Claudia BERRY</v>
      </c>
      <c r="G155" s="18" t="str">
        <f t="shared" ref="G155:G162" ca="1" si="53">IFERROR(VLOOKUP(E155,teamlookup,5,FALSE),"-")</f>
        <v>Wigan</v>
      </c>
      <c r="H155" s="459">
        <f ca="1">IFERROR(VLOOKUP(E155,E136:AG151,28,FALSE),0)</f>
        <v>2.6</v>
      </c>
      <c r="I155" s="460"/>
      <c r="J155" s="509">
        <f ca="1">IFERROR(IF(VLOOKUP(C155,C136:AT151,44,FALSE)="",VLOOKUP(C155,C136:AT151,37,FALSE),VLOOKUP(C155,C136:AT151,37,FALSE)&amp;VLOOKUP(C155,C136:AT151,44,FALSE)),"")</f>
        <v>1</v>
      </c>
      <c r="K155" s="510"/>
      <c r="L155" s="509">
        <f ca="1">IFERROR(IF(VLOOKUP(C155,C136:AG151,30,FALSE)=0,"",VLOOKUP(C155,C136:AG151,3,FALSE)),"")</f>
        <v>77</v>
      </c>
      <c r="M155" s="510"/>
      <c r="N155" s="461" t="str">
        <f ca="1">IFERROR(VLOOKUP(L155,E136:F151,2,FALSE),"")</f>
        <v>Lucy STRETTON</v>
      </c>
      <c r="O155" s="462"/>
      <c r="P155" s="462"/>
      <c r="Q155" s="462"/>
      <c r="R155" s="462"/>
      <c r="S155" s="463"/>
      <c r="T155" s="461" t="str">
        <f t="shared" ref="T155:T162" ca="1" si="54">IFERROR(VLOOKUP(L155,teamlookup,5,FALSE),"-")</f>
        <v>Wigan</v>
      </c>
      <c r="U155" s="462"/>
      <c r="V155" s="462"/>
      <c r="W155" s="462"/>
      <c r="X155" s="462"/>
      <c r="Y155" s="463"/>
      <c r="Z155" s="459">
        <f ca="1">IFERROR(VLOOKUP(L155,E136:AG151,28,FALSE),0)</f>
        <v>2</v>
      </c>
      <c r="AA155" s="460"/>
      <c r="AB155" s="28"/>
      <c r="AC155" s="29"/>
      <c r="AD155" s="29"/>
      <c r="AE155" s="29"/>
      <c r="AF155" s="29"/>
      <c r="AG155" s="29"/>
      <c r="AH155" s="29"/>
      <c r="AI155" s="29"/>
      <c r="AJ155" s="29"/>
      <c r="AK155" s="29"/>
      <c r="AL155" s="127"/>
      <c r="AM155" s="128"/>
      <c r="AP155" s="8"/>
      <c r="AQ155" s="8"/>
      <c r="AR155" s="53"/>
      <c r="AS155" s="8"/>
      <c r="AT155" s="8"/>
      <c r="AU155" s="8"/>
      <c r="AV155" s="8"/>
      <c r="AW155" s="8"/>
      <c r="AX155" s="8"/>
      <c r="AY155" s="8"/>
      <c r="AZ155" s="136"/>
      <c r="BA155" s="136"/>
      <c r="BB155" s="8"/>
      <c r="BC155" s="8"/>
      <c r="BD155" s="8"/>
      <c r="BE155" s="8"/>
    </row>
    <row r="156" spans="1:72" s="4" customFormat="1" ht="16.149999999999999" customHeight="1" x14ac:dyDescent="0.25">
      <c r="A156" s="11">
        <f>IFERROR(VLOOKUP(A132,standards,4,FALSE),"-")</f>
        <v>1.2</v>
      </c>
      <c r="B156" s="1"/>
      <c r="C156" s="10">
        <v>2</v>
      </c>
      <c r="D156" s="19" t="str">
        <f ca="1">IFERROR(IF(VLOOKUP(C156,B136:AP151,41,FALSE)="",VLOOKUP(C156,B136:AP151,37,FALSE),VLOOKUP(C156,B136:AP151,37,FALSE)&amp;VLOOKUP(C156,B136:AP151,41,FALSE)),"")</f>
        <v/>
      </c>
      <c r="E156" s="19" t="str">
        <f ca="1">IFERROR(IF(VLOOKUP(C156,B136:AG151,31,FALSE)=0,0,VLOOKUP(C156,B136:AG151,4,FALSE)),"")</f>
        <v/>
      </c>
      <c r="F156" s="27" t="str">
        <f ca="1">IFERROR(VLOOKUP(E156,$E136:$F151,2,FALSE),"")</f>
        <v/>
      </c>
      <c r="G156" s="18" t="str">
        <f t="shared" ca="1" si="53"/>
        <v>-</v>
      </c>
      <c r="H156" s="459">
        <f ca="1">IFERROR(VLOOKUP(E156,E136:AG151,28,FALSE),0)</f>
        <v>0</v>
      </c>
      <c r="I156" s="460"/>
      <c r="J156" s="509" t="str">
        <f ca="1">IFERROR(IF(VLOOKUP(C156,C136:AT151,44,FALSE)="",VLOOKUP(C156,C136:AT151,37,FALSE),VLOOKUP(C156,C136:AT151,37,FALSE)&amp;VLOOKUP(C156,C136:AT151,44,FALSE)),"")</f>
        <v/>
      </c>
      <c r="K156" s="510"/>
      <c r="L156" s="509" t="str">
        <f ca="1">IFERROR(IF(VLOOKUP(C156,C136:AG151,30,FALSE)=0,"",VLOOKUP(C156,C136:AG151,3,FALSE)),"")</f>
        <v/>
      </c>
      <c r="M156" s="510"/>
      <c r="N156" s="461" t="str">
        <f ca="1">IFERROR(VLOOKUP(L156,E136:F151,2,FALSE),"")</f>
        <v/>
      </c>
      <c r="O156" s="462"/>
      <c r="P156" s="462"/>
      <c r="Q156" s="462"/>
      <c r="R156" s="462"/>
      <c r="S156" s="463"/>
      <c r="T156" s="461" t="str">
        <f t="shared" ca="1" si="54"/>
        <v>-</v>
      </c>
      <c r="U156" s="462"/>
      <c r="V156" s="462"/>
      <c r="W156" s="462"/>
      <c r="X156" s="462"/>
      <c r="Y156" s="463"/>
      <c r="Z156" s="459">
        <f ca="1">IFERROR(VLOOKUP(L156,E136:AG151,28,FALSE),0)</f>
        <v>0</v>
      </c>
      <c r="AA156" s="460"/>
      <c r="AB156" s="118"/>
      <c r="AC156" s="20"/>
      <c r="AD156" s="20"/>
      <c r="AE156" s="20"/>
      <c r="AF156" s="20"/>
      <c r="AG156" s="20"/>
      <c r="AH156" s="20"/>
      <c r="AI156" s="20"/>
      <c r="AJ156" s="20"/>
      <c r="AK156" s="20"/>
      <c r="AL156" s="129"/>
      <c r="AM156" s="130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136"/>
      <c r="BA156" s="136"/>
      <c r="BB156" s="8"/>
      <c r="BC156" s="8"/>
      <c r="BD156" s="8"/>
      <c r="BE156" s="8"/>
    </row>
    <row r="157" spans="1:72" s="4" customFormat="1" ht="16.149999999999999" customHeight="1" x14ac:dyDescent="0.25">
      <c r="A157" s="11">
        <f>IFERROR(VLOOKUP(A132,standards,5,FALSE),"-")</f>
        <v>1.4</v>
      </c>
      <c r="B157" s="1"/>
      <c r="C157" s="10">
        <v>3</v>
      </c>
      <c r="D157" s="19" t="str">
        <f ca="1">IFERROR(IF(VLOOKUP(C157,B136:AP151,41,FALSE)="",VLOOKUP(C157,B136:AP151,37,FALSE),VLOOKUP(C157,B136:AP151,37,FALSE)&amp;VLOOKUP(C157,B136:AP151,41,FALSE)),"")</f>
        <v/>
      </c>
      <c r="E157" s="19" t="str">
        <f ca="1">IFERROR(IF(VLOOKUP(C157,B136:AG151,31,FALSE)=0,0,VLOOKUP(C157,B136:AG151,4,FALSE)),"")</f>
        <v/>
      </c>
      <c r="F157" s="27" t="str">
        <f ca="1">IFERROR(VLOOKUP(E157,$E136:$F151,2,FALSE),"")</f>
        <v/>
      </c>
      <c r="G157" s="18" t="str">
        <f t="shared" ca="1" si="53"/>
        <v>-</v>
      </c>
      <c r="H157" s="459">
        <f ca="1">IFERROR(VLOOKUP(E157,E136:AG151,28,FALSE),0)</f>
        <v>0</v>
      </c>
      <c r="I157" s="460"/>
      <c r="J157" s="509" t="str">
        <f ca="1">IFERROR(IF(VLOOKUP(C157,C136:AT151,44,FALSE)="",VLOOKUP(C157,C136:AT151,37,FALSE),VLOOKUP(C157,C136:AT151,37,FALSE)&amp;VLOOKUP(C157,C136:AT151,44,FALSE)),"")</f>
        <v/>
      </c>
      <c r="K157" s="510"/>
      <c r="L157" s="509" t="str">
        <f ca="1">IFERROR(IF(VLOOKUP(C157,C136:AG151,30,FALSE)=0,"",VLOOKUP(C157,C136:AG151,3,FALSE)),"")</f>
        <v/>
      </c>
      <c r="M157" s="510"/>
      <c r="N157" s="461" t="str">
        <f ca="1">IFERROR(VLOOKUP(L157,E136:F151,2,FALSE),"")</f>
        <v/>
      </c>
      <c r="O157" s="462"/>
      <c r="P157" s="462"/>
      <c r="Q157" s="462"/>
      <c r="R157" s="462"/>
      <c r="S157" s="463"/>
      <c r="T157" s="461" t="str">
        <f t="shared" ca="1" si="54"/>
        <v>-</v>
      </c>
      <c r="U157" s="462"/>
      <c r="V157" s="462"/>
      <c r="W157" s="462"/>
      <c r="X157" s="462"/>
      <c r="Y157" s="463"/>
      <c r="Z157" s="459">
        <f ca="1">IFERROR(VLOOKUP(L157,E136:AG151,28,FALSE),0)</f>
        <v>0</v>
      </c>
      <c r="AA157" s="460"/>
      <c r="AB157" s="118"/>
      <c r="AC157" s="20"/>
      <c r="AD157" s="20"/>
      <c r="AE157" s="20"/>
      <c r="AF157" s="20"/>
      <c r="AG157" s="20"/>
      <c r="AH157" s="20"/>
      <c r="AI157" s="20"/>
      <c r="AJ157" s="20"/>
      <c r="AK157" s="20"/>
      <c r="AL157" s="129"/>
      <c r="AM157" s="130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136"/>
      <c r="BA157" s="136"/>
      <c r="BB157" s="8"/>
      <c r="BC157" s="8"/>
      <c r="BD157" s="8"/>
      <c r="BE157" s="8"/>
    </row>
    <row r="158" spans="1:72" s="4" customFormat="1" ht="16.149999999999999" customHeight="1" x14ac:dyDescent="0.25">
      <c r="A158" s="11">
        <f>IFERROR(VLOOKUP(A132,EA!A:K,6,FALSE),"-")</f>
        <v>1.6</v>
      </c>
      <c r="B158" s="1"/>
      <c r="C158" s="10">
        <v>4</v>
      </c>
      <c r="D158" s="19" t="str">
        <f ca="1">IFERROR(IF(VLOOKUP(C158,B136:AP151,41,FALSE)="",VLOOKUP(C158,B136:AP151,37,FALSE),VLOOKUP(C158,B136:AP151,37,FALSE)&amp;VLOOKUP(C158,B136:AP151,41,FALSE)),"")</f>
        <v/>
      </c>
      <c r="E158" s="19" t="str">
        <f ca="1">IFERROR(IF(VLOOKUP(C158,B136:AG151,31,FALSE)=0,0,VLOOKUP(C158,B136:AG151,4,FALSE)),"")</f>
        <v/>
      </c>
      <c r="F158" s="27" t="str">
        <f ca="1">IFERROR(VLOOKUP(E158,$E136:$F151,2,FALSE),"")</f>
        <v/>
      </c>
      <c r="G158" s="18" t="str">
        <f t="shared" ca="1" si="53"/>
        <v>-</v>
      </c>
      <c r="H158" s="459">
        <f ca="1">IFERROR(VLOOKUP(E158,E136:AG151,28,FALSE),0)</f>
        <v>0</v>
      </c>
      <c r="I158" s="460"/>
      <c r="J158" s="509" t="str">
        <f ca="1">IFERROR(IF(VLOOKUP(C158,C136:AT151,44,FALSE)="",VLOOKUP(C158,C136:AT151,37,FALSE),VLOOKUP(C158,C136:AT151,37,FALSE)&amp;VLOOKUP(C158,C136:AT151,44,FALSE)),"")</f>
        <v/>
      </c>
      <c r="K158" s="510"/>
      <c r="L158" s="509" t="str">
        <f ca="1">IFERROR(IF(VLOOKUP(C158,C136:AG151,30,FALSE)=0,"",VLOOKUP(C158,C136:AG151,3,FALSE)),"")</f>
        <v/>
      </c>
      <c r="M158" s="510"/>
      <c r="N158" s="461" t="str">
        <f ca="1">IFERROR(VLOOKUP(L158,E136:F151,2,FALSE),"")</f>
        <v/>
      </c>
      <c r="O158" s="462"/>
      <c r="P158" s="462"/>
      <c r="Q158" s="462"/>
      <c r="R158" s="462"/>
      <c r="S158" s="463"/>
      <c r="T158" s="461" t="str">
        <f t="shared" ca="1" si="54"/>
        <v>-</v>
      </c>
      <c r="U158" s="462"/>
      <c r="V158" s="462"/>
      <c r="W158" s="462"/>
      <c r="X158" s="462"/>
      <c r="Y158" s="463"/>
      <c r="Z158" s="459">
        <f ca="1">IFERROR(VLOOKUP(L158,E136:AG151,28,FALSE),0)</f>
        <v>0</v>
      </c>
      <c r="AA158" s="460"/>
      <c r="AB158" s="24"/>
      <c r="AC158" s="25"/>
      <c r="AD158" s="25"/>
      <c r="AE158" s="25"/>
      <c r="AF158" s="25"/>
      <c r="AG158" s="25"/>
      <c r="AH158" s="25"/>
      <c r="AI158" s="25"/>
      <c r="AJ158" s="25"/>
      <c r="AK158" s="25"/>
      <c r="AL158" s="125"/>
      <c r="AM158" s="126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136"/>
      <c r="BA158" s="136"/>
      <c r="BB158" s="8"/>
      <c r="BC158" s="8"/>
      <c r="BD158" s="8"/>
      <c r="BE158" s="8"/>
    </row>
    <row r="159" spans="1:72" s="4" customFormat="1" ht="16.149999999999999" customHeight="1" x14ac:dyDescent="0.25">
      <c r="A159" s="8"/>
      <c r="B159" s="1"/>
      <c r="C159" s="10">
        <v>5</v>
      </c>
      <c r="D159" s="19" t="str">
        <f ca="1">IFERROR(IF(VLOOKUP(C159,B136:AP151,41,FALSE)="",VLOOKUP(C159,B136:AP151,37,FALSE),VLOOKUP(C159,B136:AP151,37,FALSE)&amp;VLOOKUP(C159,B136:AP151,41,FALSE)),"")</f>
        <v/>
      </c>
      <c r="E159" s="19" t="str">
        <f ca="1">IFERROR(IF(VLOOKUP(C159,B136:AG151,31,FALSE)=0,0,VLOOKUP(C159,B136:AG151,4,FALSE)),"")</f>
        <v/>
      </c>
      <c r="F159" s="27" t="str">
        <f ca="1">IFERROR(VLOOKUP(E159,$E136:$F151,2,FALSE),"")</f>
        <v/>
      </c>
      <c r="G159" s="18" t="str">
        <f t="shared" ca="1" si="53"/>
        <v>-</v>
      </c>
      <c r="H159" s="459">
        <f ca="1">IFERROR(VLOOKUP(E159,E136:AG151,28,FALSE),0)</f>
        <v>0</v>
      </c>
      <c r="I159" s="460"/>
      <c r="J159" s="509" t="str">
        <f ca="1">IFERROR(IF(VLOOKUP(C159,C136:AT151,44,FALSE)="",VLOOKUP(C159,C136:AT151,37,FALSE),VLOOKUP(C159,C136:AT151,37,FALSE)&amp;VLOOKUP(C159,C136:AT151,44,FALSE)),"")</f>
        <v/>
      </c>
      <c r="K159" s="510"/>
      <c r="L159" s="509" t="str">
        <f ca="1">IFERROR(IF(VLOOKUP(C159,C136:AG151,30,FALSE)=0,"",VLOOKUP(C159,C136:AG151,3,FALSE)),"")</f>
        <v/>
      </c>
      <c r="M159" s="510"/>
      <c r="N159" s="461" t="str">
        <f ca="1">IFERROR(VLOOKUP(L159,E136:F151,2,FALSE),"")</f>
        <v/>
      </c>
      <c r="O159" s="462"/>
      <c r="P159" s="462"/>
      <c r="Q159" s="462"/>
      <c r="R159" s="462"/>
      <c r="S159" s="463"/>
      <c r="T159" s="461" t="str">
        <f t="shared" ca="1" si="54"/>
        <v>-</v>
      </c>
      <c r="U159" s="462"/>
      <c r="V159" s="462"/>
      <c r="W159" s="462"/>
      <c r="X159" s="462"/>
      <c r="Y159" s="463"/>
      <c r="Z159" s="459">
        <f ca="1">IFERROR(VLOOKUP(L159,E136:AG151,28,FALSE),0)</f>
        <v>0</v>
      </c>
      <c r="AA159" s="460"/>
      <c r="AB159" s="28"/>
      <c r="AC159" s="29"/>
      <c r="AD159" s="29"/>
      <c r="AE159" s="29"/>
      <c r="AF159" s="29"/>
      <c r="AG159" s="29"/>
      <c r="AH159" s="29"/>
      <c r="AI159" s="29"/>
      <c r="AJ159" s="29"/>
      <c r="AK159" s="29"/>
      <c r="AL159" s="127"/>
      <c r="AM159" s="12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136"/>
      <c r="BA159" s="136"/>
      <c r="BB159" s="8"/>
      <c r="BC159" s="8"/>
      <c r="BD159" s="8"/>
      <c r="BE159" s="8"/>
    </row>
    <row r="160" spans="1:72" s="4" customFormat="1" ht="16.149999999999999" customHeight="1" x14ac:dyDescent="0.25">
      <c r="A160" s="8" t="s">
        <v>151</v>
      </c>
      <c r="B160" s="1"/>
      <c r="C160" s="10">
        <v>6</v>
      </c>
      <c r="D160" s="19" t="str">
        <f ca="1">IFERROR(IF(VLOOKUP(C160,B136:AP151,41,FALSE)="",VLOOKUP(C160,B136:AP151,37,FALSE),VLOOKUP(C160,B136:AP151,37,FALSE)&amp;VLOOKUP(C160,B136:AP151,41,FALSE)),"")</f>
        <v/>
      </c>
      <c r="E160" s="19" t="str">
        <f ca="1">IFERROR(IF(VLOOKUP(C160,B136:AG151,31,FALSE)=0,0,VLOOKUP(C160,B136:AG151,4,FALSE)),"")</f>
        <v/>
      </c>
      <c r="F160" s="27" t="str">
        <f ca="1">IFERROR(VLOOKUP(E160,$E136:$F151,2,FALSE),"")</f>
        <v/>
      </c>
      <c r="G160" s="18" t="str">
        <f t="shared" ca="1" si="53"/>
        <v>-</v>
      </c>
      <c r="H160" s="459">
        <f ca="1">IFERROR(VLOOKUP(E160,E136:AG151,28,FALSE),0)</f>
        <v>0</v>
      </c>
      <c r="I160" s="460"/>
      <c r="J160" s="509" t="str">
        <f ca="1">IFERROR(IF(VLOOKUP(C160,C136:AT151,44,FALSE)="",VLOOKUP(C160,C136:AT151,37,FALSE),VLOOKUP(C160,C136:AT151,37,FALSE)&amp;VLOOKUP(C160,C136:AT151,44,FALSE)),"")</f>
        <v/>
      </c>
      <c r="K160" s="510"/>
      <c r="L160" s="509" t="str">
        <f ca="1">IFERROR(IF(VLOOKUP(C160,C136:AG151,30,FALSE)=0,"",VLOOKUP(C160,C136:AG151,3,FALSE)),"")</f>
        <v/>
      </c>
      <c r="M160" s="510"/>
      <c r="N160" s="461" t="str">
        <f ca="1">IFERROR(VLOOKUP(L160,E136:F151,2,FALSE),"")</f>
        <v/>
      </c>
      <c r="O160" s="462"/>
      <c r="P160" s="462"/>
      <c r="Q160" s="462"/>
      <c r="R160" s="462"/>
      <c r="S160" s="463"/>
      <c r="T160" s="461" t="str">
        <f t="shared" ca="1" si="54"/>
        <v>-</v>
      </c>
      <c r="U160" s="462"/>
      <c r="V160" s="462"/>
      <c r="W160" s="462"/>
      <c r="X160" s="462"/>
      <c r="Y160" s="463"/>
      <c r="Z160" s="459">
        <f ca="1">IFERROR(VLOOKUP(L160,E136:AG151,28,FALSE),0)</f>
        <v>0</v>
      </c>
      <c r="AA160" s="460"/>
      <c r="AB160" s="466" t="s">
        <v>1135</v>
      </c>
      <c r="AC160" s="507"/>
      <c r="AD160" s="507"/>
      <c r="AE160" s="507"/>
      <c r="AF160" s="507"/>
      <c r="AG160" s="507"/>
      <c r="AH160" s="507"/>
      <c r="AI160" s="507"/>
      <c r="AJ160" s="507"/>
      <c r="AK160" s="507"/>
      <c r="AL160" s="507"/>
      <c r="AM160" s="50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136"/>
      <c r="BA160" s="136"/>
      <c r="BB160" s="8"/>
      <c r="BC160" s="8"/>
      <c r="BD160" s="8"/>
      <c r="BE160" s="8"/>
    </row>
    <row r="161" spans="1:72" s="4" customFormat="1" ht="16.149999999999999" customHeight="1" x14ac:dyDescent="0.25">
      <c r="A161" s="8">
        <f>IFERROR(VLOOKUP(A132,records,5,FALSE),"")</f>
        <v>3.43</v>
      </c>
      <c r="B161" s="1"/>
      <c r="C161" s="10">
        <v>7</v>
      </c>
      <c r="D161" s="19" t="str">
        <f ca="1">IFERROR(IF(VLOOKUP(C161,B136:AP151,41,FALSE)="",VLOOKUP(C161,B136:AP151,37,FALSE),VLOOKUP(C161,B136:AP151,37,FALSE)&amp;VLOOKUP(C161,B136:AP151,41,FALSE)),"")</f>
        <v/>
      </c>
      <c r="E161" s="19" t="str">
        <f ca="1">IFERROR(IF(VLOOKUP(C161,B136:AG151,31,FALSE)=0,0,VLOOKUP(C161,B136:AG151,4,FALSE)),"")</f>
        <v/>
      </c>
      <c r="F161" s="27" t="str">
        <f ca="1">IFERROR(VLOOKUP(E161,$E136:$F151,2,FALSE),"")</f>
        <v/>
      </c>
      <c r="G161" s="18" t="str">
        <f t="shared" ca="1" si="53"/>
        <v>-</v>
      </c>
      <c r="H161" s="459">
        <f ca="1">IFERROR(VLOOKUP(E161,E136:AG151,28,FALSE),0)</f>
        <v>0</v>
      </c>
      <c r="I161" s="460"/>
      <c r="J161" s="509" t="str">
        <f ca="1">IFERROR(IF(VLOOKUP(C161,C136:AT151,44,FALSE)="",VLOOKUP(C161,C136:AT151,37,FALSE),VLOOKUP(C161,C136:AT151,37,FALSE)&amp;VLOOKUP(C161,C136:AT151,44,FALSE)),"")</f>
        <v/>
      </c>
      <c r="K161" s="510"/>
      <c r="L161" s="509" t="str">
        <f ca="1">IFERROR(IF(VLOOKUP(C161,C136:AG151,30,FALSE)=0,"",VLOOKUP(C161,C136:AG151,3,FALSE)),"")</f>
        <v/>
      </c>
      <c r="M161" s="510"/>
      <c r="N161" s="461" t="str">
        <f ca="1">IFERROR(VLOOKUP(L161,E136:F151,2,FALSE),"")</f>
        <v/>
      </c>
      <c r="O161" s="462"/>
      <c r="P161" s="462"/>
      <c r="Q161" s="462"/>
      <c r="R161" s="462"/>
      <c r="S161" s="463"/>
      <c r="T161" s="461" t="str">
        <f t="shared" ca="1" si="54"/>
        <v>-</v>
      </c>
      <c r="U161" s="462"/>
      <c r="V161" s="462"/>
      <c r="W161" s="462"/>
      <c r="X161" s="462"/>
      <c r="Y161" s="463"/>
      <c r="Z161" s="459">
        <f ca="1">IFERROR(VLOOKUP(L161,E136:AG151,28,FALSE),0)</f>
        <v>0</v>
      </c>
      <c r="AA161" s="460"/>
      <c r="AB161" s="24"/>
      <c r="AC161" s="25"/>
      <c r="AD161" s="25"/>
      <c r="AE161" s="25"/>
      <c r="AF161" s="25"/>
      <c r="AG161" s="25"/>
      <c r="AH161" s="25"/>
      <c r="AI161" s="25"/>
      <c r="AJ161" s="25"/>
      <c r="AK161" s="25"/>
      <c r="AL161" s="125"/>
      <c r="AM161" s="126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136"/>
      <c r="BA161" s="136"/>
      <c r="BB161" s="8"/>
      <c r="BC161" s="8"/>
      <c r="BD161" s="8"/>
      <c r="BE161" s="8"/>
    </row>
    <row r="162" spans="1:72" s="4" customFormat="1" ht="21" customHeight="1" x14ac:dyDescent="0.25">
      <c r="A162" s="8"/>
      <c r="B162" s="1"/>
      <c r="C162" s="10">
        <v>8</v>
      </c>
      <c r="D162" s="19" t="str">
        <f ca="1">IFERROR(IF(VLOOKUP(C162,B136:AP151,41,FALSE)="",VLOOKUP(C162,B136:AP151,37,FALSE),VLOOKUP(C162,B136:AP151,37,FALSE)&amp;VLOOKUP(C162,B136:AP151,41,FALSE)),"")</f>
        <v/>
      </c>
      <c r="E162" s="19" t="str">
        <f ca="1">IFERROR(IF(VLOOKUP(C162,B136:AG151,31,FALSE)=0,0,VLOOKUP(C162,B136:AG151,4,FALSE)),"")</f>
        <v/>
      </c>
      <c r="F162" s="27" t="str">
        <f ca="1">IFERROR(VLOOKUP(E162,$E136:$F151,2,FALSE),"")</f>
        <v/>
      </c>
      <c r="G162" s="18" t="str">
        <f t="shared" ca="1" si="53"/>
        <v>-</v>
      </c>
      <c r="H162" s="459">
        <f ca="1">IFERROR(VLOOKUP(E162,E136:AG151,28,FALSE),0)</f>
        <v>0</v>
      </c>
      <c r="I162" s="460"/>
      <c r="J162" s="509" t="str">
        <f ca="1">IFERROR(IF(VLOOKUP(C162,C136:AT151,44,FALSE)="",VLOOKUP(C162,C136:AT151,37,FALSE),VLOOKUP(C162,C136:AT151,37,FALSE)&amp;VLOOKUP(C162,C136:AT151,44,FALSE)),"")</f>
        <v/>
      </c>
      <c r="K162" s="510"/>
      <c r="L162" s="509" t="str">
        <f ca="1">IFERROR(IF(VLOOKUP(C162,C136:AG151,30,FALSE)=0,"",VLOOKUP(C162,C136:AG151,3,FALSE)),"")</f>
        <v/>
      </c>
      <c r="M162" s="510"/>
      <c r="N162" s="461" t="str">
        <f ca="1">IFERROR(VLOOKUP(L162,E136:F151,2,FALSE),"")</f>
        <v/>
      </c>
      <c r="O162" s="462"/>
      <c r="P162" s="462"/>
      <c r="Q162" s="462"/>
      <c r="R162" s="462"/>
      <c r="S162" s="463"/>
      <c r="T162" s="461" t="str">
        <f t="shared" ca="1" si="54"/>
        <v>-</v>
      </c>
      <c r="U162" s="462"/>
      <c r="V162" s="462"/>
      <c r="W162" s="462"/>
      <c r="X162" s="462"/>
      <c r="Y162" s="463"/>
      <c r="Z162" s="459">
        <f ca="1">IFERROR(VLOOKUP(L162,E136:AG151,28,FALSE),0)</f>
        <v>0</v>
      </c>
      <c r="AA162" s="460"/>
      <c r="AB162" s="28"/>
      <c r="AC162" s="29"/>
      <c r="AD162" s="29"/>
      <c r="AE162" s="29"/>
      <c r="AF162" s="29"/>
      <c r="AG162" s="29"/>
      <c r="AH162" s="29"/>
      <c r="AI162" s="29"/>
      <c r="AJ162" s="29"/>
      <c r="AK162" s="29"/>
      <c r="AL162" s="127"/>
      <c r="AM162" s="12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136"/>
      <c r="BA162" s="136"/>
      <c r="BB162" s="8"/>
      <c r="BC162" s="8"/>
      <c r="BD162" s="8"/>
      <c r="BE162" s="8"/>
    </row>
    <row r="163" spans="1:72" s="4" customFormat="1" ht="21" x14ac:dyDescent="0.25">
      <c r="A163" s="2" t="str">
        <f>MatchDay!$U$6</f>
        <v>X</v>
      </c>
      <c r="B163" s="10" t="str">
        <f>IFERROR(VLOOKUP($A164,fh,2,FALSE),"")</f>
        <v/>
      </c>
      <c r="C163" s="10" t="str">
        <f>IFERROR(VLOOKUP($A164,fdistance,3,FALSE),"")</f>
        <v/>
      </c>
      <c r="D163" s="499" t="s">
        <v>271</v>
      </c>
      <c r="E163" s="500"/>
      <c r="F163" s="500"/>
      <c r="G163" s="500"/>
      <c r="H163" s="501" t="s">
        <v>144</v>
      </c>
      <c r="I163" s="502"/>
      <c r="J163" s="502"/>
      <c r="K163" s="502"/>
      <c r="L163" s="502"/>
      <c r="M163" s="506"/>
      <c r="N163" s="503" t="str">
        <f>MatchDay!$C$2&amp;" "&amp;MatchDay!$C$3&amp;" "&amp;MatchDay!$C$4</f>
        <v>LOWER NORTH West 2</v>
      </c>
      <c r="O163" s="504"/>
      <c r="P163" s="504"/>
      <c r="Q163" s="504"/>
      <c r="R163" s="504"/>
      <c r="S163" s="504"/>
      <c r="T163" s="504"/>
      <c r="U163" s="504"/>
      <c r="V163" s="504"/>
      <c r="W163" s="504"/>
      <c r="X163" s="504"/>
      <c r="Y163" s="504"/>
      <c r="Z163" s="504"/>
      <c r="AA163" s="504"/>
      <c r="AB163" s="504"/>
      <c r="AC163" s="504"/>
      <c r="AD163" s="504"/>
      <c r="AE163" s="504"/>
      <c r="AF163" s="504"/>
      <c r="AG163" s="504"/>
      <c r="AH163" s="504"/>
      <c r="AI163" s="504"/>
      <c r="AJ163" s="504"/>
      <c r="AK163" s="504"/>
      <c r="AL163" s="504"/>
      <c r="AM163" s="505"/>
      <c r="AP163" s="8"/>
      <c r="AT163" s="8"/>
      <c r="AU163" s="8"/>
      <c r="AV163" s="8"/>
      <c r="AW163" s="8"/>
      <c r="AX163" s="8"/>
      <c r="AY163" s="8"/>
      <c r="AZ163" s="136"/>
      <c r="BA163" s="136"/>
      <c r="BB163" s="8"/>
      <c r="BC163" s="8"/>
      <c r="BD163" s="8"/>
      <c r="BE163" s="8"/>
    </row>
    <row r="164" spans="1:72" s="4" customFormat="1" ht="15.75" customHeight="1" x14ac:dyDescent="0.25">
      <c r="A164" s="1" t="str">
        <f>IFERROR(IF(LEFT(MatchDay!$C$2,1)="L","L"&amp;A166,"U"&amp;A166),"")</f>
        <v>LFH06</v>
      </c>
      <c r="B164" s="8">
        <v>187</v>
      </c>
      <c r="D164" s="476" t="s">
        <v>145</v>
      </c>
      <c r="E164" s="477"/>
      <c r="F164" s="467" t="str">
        <f>IFERROR(UPPER(VLOOKUP(A165,teamlookup,6,FALSE)),"")</f>
        <v/>
      </c>
      <c r="G164" s="468"/>
      <c r="H164" s="476" t="s">
        <v>149</v>
      </c>
      <c r="I164" s="480"/>
      <c r="J164" s="477"/>
      <c r="K164" s="466" t="str">
        <f>MatchDay!$C$8</f>
        <v>Macclesfield Leisure Centre</v>
      </c>
      <c r="L164" s="467"/>
      <c r="M164" s="467"/>
      <c r="N164" s="467"/>
      <c r="O164" s="467"/>
      <c r="P164" s="467"/>
      <c r="Q164" s="467"/>
      <c r="R164" s="467"/>
      <c r="S164" s="467"/>
      <c r="T164" s="467"/>
      <c r="U164" s="467"/>
      <c r="V164" s="467"/>
      <c r="W164" s="467"/>
      <c r="X164" s="467"/>
      <c r="Y164" s="468"/>
      <c r="Z164" s="476" t="s">
        <v>119</v>
      </c>
      <c r="AA164" s="480"/>
      <c r="AB164" s="477"/>
      <c r="AC164" s="494">
        <f>MatchDay!$C$7</f>
        <v>45053</v>
      </c>
      <c r="AD164" s="495"/>
      <c r="AE164" s="495"/>
      <c r="AF164" s="495"/>
      <c r="AG164" s="495"/>
      <c r="AH164" s="495"/>
      <c r="AI164" s="495"/>
      <c r="AJ164" s="495"/>
      <c r="AK164" s="495"/>
      <c r="AL164" s="495"/>
      <c r="AM164" s="496"/>
      <c r="AN164" s="37"/>
      <c r="AP164" s="8"/>
      <c r="AT164" s="8"/>
      <c r="AU164" s="8"/>
      <c r="AV164" s="8"/>
      <c r="AW164" s="8"/>
      <c r="AX164" s="8"/>
      <c r="AY164" s="8"/>
      <c r="AZ164" s="136"/>
      <c r="BA164" s="136"/>
      <c r="BB164" s="8"/>
      <c r="BC164" s="8"/>
      <c r="BD164" s="8"/>
      <c r="BE164" s="8"/>
    </row>
    <row r="165" spans="1:72" s="4" customFormat="1" ht="15.75" customHeight="1" x14ac:dyDescent="0.25">
      <c r="A165" s="5">
        <f>IFERROR(IF(A163=1,VLOOKUP(A164,judges,VLOOKUP(MatchDay!$U$2*10+MatchDay!$C$5,judgesp,5,FALSE),FALSE),VLOOKUP(A164,judges,VLOOKUP(MatchDay!$U$2*10+MatchDay!$C$5,judges2,5,FALSE),FALSE)),"")</f>
        <v>5</v>
      </c>
      <c r="B165" s="38" t="str">
        <f>IFERROR(VLOOKUP($A166,fheight,2,FALSE),"")</f>
        <v>S</v>
      </c>
      <c r="C165" s="138"/>
      <c r="D165" s="476" t="s">
        <v>120</v>
      </c>
      <c r="E165" s="477"/>
      <c r="F165" s="478" t="str">
        <f>IFERROR(VLOOKUP(A164,timetables,2,FALSE)&amp;" "&amp;VLOOKUP(A164,timetables,3,FALSE),"")</f>
        <v>High Jump U15 Boys</v>
      </c>
      <c r="G165" s="479"/>
      <c r="H165" s="476" t="s">
        <v>121</v>
      </c>
      <c r="I165" s="480"/>
      <c r="J165" s="477"/>
      <c r="K165" s="517">
        <f>IFERROR(IF(A163=1,VLOOKUP(A164,Timetables!$A:$G,6,FALSE),VLOOKUP(A164,Timetables!$A:$G,7,FALSE)),"")</f>
        <v>0.60416666666666663</v>
      </c>
      <c r="L165" s="518"/>
      <c r="M165" s="519"/>
      <c r="N165" s="520" t="s">
        <v>150</v>
      </c>
      <c r="O165" s="521"/>
      <c r="P165" s="521"/>
      <c r="Q165" s="522"/>
      <c r="R165" s="520" t="str">
        <f>IFERROR(VLOOKUP(A164,records,3,FALSE)&amp;", "&amp;VLOOKUP(A164,records,4,FALSE)&amp;", "&amp;VLOOKUP(A164,records,5,FALSE)&amp;", "&amp;VLOOKUP(A164,records,6,FALSE)&amp;", "&amp;VLOOKUP(A164,records,7,FALSE)&amp;" "&amp;VLOOKUP(A164,records,8,FALSE),"")</f>
        <v/>
      </c>
      <c r="S165" s="521"/>
      <c r="T165" s="521"/>
      <c r="U165" s="521"/>
      <c r="V165" s="521"/>
      <c r="W165" s="521"/>
      <c r="X165" s="521"/>
      <c r="Y165" s="521"/>
      <c r="Z165" s="521"/>
      <c r="AA165" s="521"/>
      <c r="AB165" s="521"/>
      <c r="AC165" s="521"/>
      <c r="AD165" s="521"/>
      <c r="AE165" s="521"/>
      <c r="AF165" s="521"/>
      <c r="AG165" s="521"/>
      <c r="AH165" s="521"/>
      <c r="AI165" s="521"/>
      <c r="AJ165" s="521"/>
      <c r="AK165" s="521"/>
      <c r="AL165" s="521"/>
      <c r="AM165" s="522"/>
      <c r="AN165" s="8"/>
      <c r="AP165" s="8"/>
      <c r="AT165" s="8"/>
      <c r="AU165" s="8"/>
      <c r="AV165" s="8"/>
      <c r="AW165" s="8"/>
      <c r="AX165" s="8"/>
      <c r="AY165" s="8"/>
      <c r="AZ165" s="136"/>
      <c r="BA165" s="136"/>
      <c r="BB165" s="8"/>
      <c r="BC165" s="8"/>
      <c r="BD165" s="8"/>
      <c r="BE165" s="8"/>
    </row>
    <row r="166" spans="1:72" s="4" customFormat="1" ht="38.25" customHeight="1" x14ac:dyDescent="0.25">
      <c r="A166" s="5" t="s">
        <v>277</v>
      </c>
      <c r="B166" s="10" t="str">
        <f>IFERROR(VLOOKUP($A166,fheight,3,FALSE),"")</f>
        <v>W</v>
      </c>
      <c r="C166" s="10">
        <f>IFERROR(VLOOKUP($A166,fheight,4,FALSE),"")</f>
        <v>23</v>
      </c>
      <c r="D166" s="39" t="s">
        <v>122</v>
      </c>
      <c r="E166" s="39" t="s">
        <v>123</v>
      </c>
      <c r="F166" s="39" t="s">
        <v>124</v>
      </c>
      <c r="G166" s="40" t="s">
        <v>125</v>
      </c>
      <c r="H166" s="523">
        <v>1.25</v>
      </c>
      <c r="I166" s="524"/>
      <c r="J166" s="523">
        <v>1.3</v>
      </c>
      <c r="K166" s="524"/>
      <c r="L166" s="523">
        <v>1.35</v>
      </c>
      <c r="M166" s="524"/>
      <c r="N166" s="523">
        <v>1.4</v>
      </c>
      <c r="O166" s="524"/>
      <c r="P166" s="523">
        <v>1.45</v>
      </c>
      <c r="Q166" s="524"/>
      <c r="R166" s="523">
        <v>1.5</v>
      </c>
      <c r="S166" s="524"/>
      <c r="T166" s="523"/>
      <c r="U166" s="524"/>
      <c r="V166" s="523"/>
      <c r="W166" s="524"/>
      <c r="X166" s="523"/>
      <c r="Y166" s="524"/>
      <c r="Z166" s="523"/>
      <c r="AA166" s="524"/>
      <c r="AB166" s="523"/>
      <c r="AC166" s="524"/>
      <c r="AD166" s="523"/>
      <c r="AE166" s="524"/>
      <c r="AF166" s="525" t="s">
        <v>266</v>
      </c>
      <c r="AG166" s="526"/>
      <c r="AH166" s="527" t="s">
        <v>267</v>
      </c>
      <c r="AI166" s="527" t="s">
        <v>268</v>
      </c>
      <c r="AJ166" s="529" t="s">
        <v>363</v>
      </c>
      <c r="AK166" s="41"/>
      <c r="AL166" s="531" t="s">
        <v>136</v>
      </c>
      <c r="AM166" s="532"/>
      <c r="AN166" s="42" t="s">
        <v>269</v>
      </c>
      <c r="AP166" s="8"/>
      <c r="AT166" s="8"/>
      <c r="AU166" s="8"/>
      <c r="AV166" s="8"/>
      <c r="AW166" s="8"/>
      <c r="AX166" s="8"/>
      <c r="AY166" s="8"/>
      <c r="AZ166" s="136"/>
      <c r="BA166" s="136"/>
      <c r="BB166" s="8"/>
      <c r="BC166" s="8"/>
      <c r="BD166" s="8"/>
      <c r="BE166" s="8"/>
    </row>
    <row r="167" spans="1:72" s="4" customFormat="1" ht="13.5" x14ac:dyDescent="0.3">
      <c r="A167" s="121">
        <f>IFERROR(SEARCH("U17",F165),0)</f>
        <v>0</v>
      </c>
      <c r="B167" s="1"/>
      <c r="C167" s="1"/>
      <c r="D167" s="43"/>
      <c r="E167" s="43"/>
      <c r="F167" s="58"/>
      <c r="G167" s="57"/>
      <c r="H167" s="513" t="s">
        <v>137</v>
      </c>
      <c r="I167" s="516"/>
      <c r="J167" s="513" t="s">
        <v>137</v>
      </c>
      <c r="K167" s="516"/>
      <c r="L167" s="513" t="s">
        <v>137</v>
      </c>
      <c r="M167" s="516"/>
      <c r="N167" s="513" t="s">
        <v>137</v>
      </c>
      <c r="O167" s="516"/>
      <c r="P167" s="513" t="s">
        <v>137</v>
      </c>
      <c r="Q167" s="516"/>
      <c r="R167" s="513" t="s">
        <v>137</v>
      </c>
      <c r="S167" s="516"/>
      <c r="T167" s="513" t="s">
        <v>137</v>
      </c>
      <c r="U167" s="516"/>
      <c r="V167" s="513" t="s">
        <v>137</v>
      </c>
      <c r="W167" s="516"/>
      <c r="X167" s="513" t="s">
        <v>137</v>
      </c>
      <c r="Y167" s="516"/>
      <c r="Z167" s="513" t="s">
        <v>137</v>
      </c>
      <c r="AA167" s="516"/>
      <c r="AB167" s="513" t="s">
        <v>137</v>
      </c>
      <c r="AC167" s="516"/>
      <c r="AD167" s="513" t="s">
        <v>137</v>
      </c>
      <c r="AE167" s="516"/>
      <c r="AF167" s="513" t="s">
        <v>137</v>
      </c>
      <c r="AG167" s="514"/>
      <c r="AH167" s="528"/>
      <c r="AI167" s="528"/>
      <c r="AJ167" s="530"/>
      <c r="AK167" s="44"/>
      <c r="AL167" s="533"/>
      <c r="AM167" s="534"/>
      <c r="AN167" s="42"/>
      <c r="AP167" s="9"/>
      <c r="AQ167" s="9"/>
      <c r="AR167" s="45"/>
      <c r="AS167" s="45"/>
      <c r="AT167" s="45"/>
      <c r="AU167" s="46"/>
      <c r="AV167" s="45"/>
      <c r="AW167" s="9"/>
      <c r="AX167" s="9"/>
      <c r="AY167" s="47"/>
      <c r="AZ167" s="135"/>
      <c r="BA167" s="135"/>
      <c r="BB167" s="9"/>
      <c r="BC167" s="9">
        <v>1</v>
      </c>
      <c r="BD167" s="9">
        <v>2</v>
      </c>
      <c r="BE167" s="9">
        <v>3</v>
      </c>
      <c r="BF167" s="9">
        <v>4</v>
      </c>
      <c r="BG167" s="9">
        <v>5</v>
      </c>
      <c r="BH167" s="9">
        <v>6</v>
      </c>
      <c r="BI167" s="9">
        <v>7</v>
      </c>
      <c r="BJ167" s="9">
        <v>8</v>
      </c>
      <c r="BK167" s="9">
        <v>1</v>
      </c>
      <c r="BL167" s="9">
        <v>2</v>
      </c>
      <c r="BM167" s="9">
        <v>3</v>
      </c>
      <c r="BN167" s="9">
        <v>4</v>
      </c>
      <c r="BO167" s="9">
        <v>5</v>
      </c>
      <c r="BP167" s="9">
        <v>6</v>
      </c>
      <c r="BQ167" s="9">
        <v>7</v>
      </c>
      <c r="BR167" s="9">
        <v>8</v>
      </c>
      <c r="BS167" s="46"/>
    </row>
    <row r="168" spans="1:72" s="4" customFormat="1" ht="16.149999999999999" customHeight="1" x14ac:dyDescent="0.35">
      <c r="A168" s="8">
        <f>IFERROR(IF(D168&gt;MatchDay!$U$2,"-",VLOOKUP(A164,timetables,MatchDay!$U$4,FALSE)),0)</f>
        <v>1</v>
      </c>
      <c r="B168" s="10">
        <f ca="1">IFERROR(IF(OR(AK168=0,AK168="B"),"",RANK(AZ168,AZ168:AZ183,1)),"")</f>
        <v>4</v>
      </c>
      <c r="C168" s="10" t="str">
        <f ca="1">IFERROR(IF(OR(AK168=0,AK168="A"),"",RANK(BA168,BA168:BA183,1)),"")</f>
        <v/>
      </c>
      <c r="D168" s="56">
        <v>1</v>
      </c>
      <c r="E168" s="17">
        <f>A168</f>
        <v>1</v>
      </c>
      <c r="F168" s="319" t="str">
        <f>IFERROR(VLOOKUP($A164&amp;E168,downloads!$A$1:$E$1000,2,FALSE),"")</f>
        <v>William CATTELL</v>
      </c>
      <c r="G168" s="18" t="str">
        <f t="shared" ref="G168:G183" si="55">IFERROR(VLOOKUP(E168,teamlookup,5,FALSE),"-")</f>
        <v>C&amp;N</v>
      </c>
      <c r="H168" s="497"/>
      <c r="I168" s="498"/>
      <c r="J168" s="497"/>
      <c r="K168" s="498"/>
      <c r="L168" s="497"/>
      <c r="M168" s="498"/>
      <c r="N168" s="497"/>
      <c r="O168" s="498"/>
      <c r="P168" s="497"/>
      <c r="Q168" s="498"/>
      <c r="R168" s="497"/>
      <c r="S168" s="498"/>
      <c r="T168" s="497"/>
      <c r="U168" s="498"/>
      <c r="V168" s="497"/>
      <c r="W168" s="498"/>
      <c r="X168" s="497"/>
      <c r="Y168" s="498"/>
      <c r="Z168" s="497"/>
      <c r="AA168" s="498"/>
      <c r="AB168" s="497"/>
      <c r="AC168" s="498"/>
      <c r="AD168" s="497"/>
      <c r="AE168" s="498"/>
      <c r="AF168" s="511">
        <f ca="1">IFERROR(INDIRECT(CONCATENATE("'Height Input'!"&amp;B166&amp;C166)),"")</f>
        <v>1.3</v>
      </c>
      <c r="AG168" s="512"/>
      <c r="AH168" s="48"/>
      <c r="AI168" s="48"/>
      <c r="AJ168" s="49">
        <f ca="1">IFERROR(IF(AF168="X",MatchDay!$U$2+MatchDay!$U$2+1-COUNTIF($AF168:AF168,"X"),IF(AF168&gt;=97,1,INT(INDIRECT(CONCATENATE("'Height Input'!"&amp;$B165&amp;$C166))))),"")</f>
        <v>6</v>
      </c>
      <c r="AK168" s="50" t="str">
        <f ca="1">IFERROR(IF(OR(AJ168=0,AJ168=""),0,IF(OR(AJ168&lt;=VLOOKUP(BT168,$E176:$AJ183,32,FALSE),VLOOKUP(BT168,$E176:$AJ183,32,FALSE)=0),"A","B")),0)</f>
        <v>A</v>
      </c>
      <c r="AL168" s="123">
        <f ca="1">IFERROR(IF(OR(AK168=0,AK168="B"),"",RANK(AW168,AW168:AW183,1)),"")</f>
        <v>4</v>
      </c>
      <c r="AM168" s="123" t="str">
        <f ca="1">IFERROR(IF(OR(AK168=0,AK168="A"),"",RANK(AX168,AX168:AX183,1)),"")</f>
        <v/>
      </c>
      <c r="AN168" s="51">
        <f ca="1">IFERROR(IF(AF168="X",0,(INDIRECT(CONCATENATE("'Height Input'!"&amp;$B165&amp;$C166))-AJ168)*10),"")</f>
        <v>0</v>
      </c>
      <c r="AO168" s="8"/>
      <c r="AP168" s="9" t="str">
        <f ca="1">IF(AQ168="","",IF(AQ168=1,AR168,REPT(AR168,AQ168-1)))</f>
        <v/>
      </c>
      <c r="AQ168" s="9" t="str">
        <f ca="1">IF(AR168="","",HLOOKUP(AL168,BC167:BJ184,18,FALSE))</f>
        <v/>
      </c>
      <c r="AR168" s="45" t="str">
        <f ca="1">IF(OR(AL168=0,AL168=""),"",IF(COUNTIFS(AL168:AL183,AL168)&gt;1,"=",""))</f>
        <v/>
      </c>
      <c r="AS168" s="45"/>
      <c r="AT168" s="9" t="str">
        <f ca="1">IF(AU168="","",IF(AU168=1,AV168,REPT(AV168,AU168-1)))</f>
        <v/>
      </c>
      <c r="AU168" s="9" t="str">
        <f ca="1">IF(AV168="","",HLOOKUP(AM168,BK167:BR184,18,FALSE))</f>
        <v/>
      </c>
      <c r="AV168" s="45" t="str">
        <f ca="1">IF(OR(AM168=0,AM168=""),"",IF(COUNTIFS(AM168:AM183,AM168)&gt;1,"=",""))</f>
        <v/>
      </c>
      <c r="AW168" s="9">
        <f t="shared" ref="AW168:AW183" ca="1" si="56">IF(OR(AJ168=0,AF168=0,AK168="B"),"",AJ168)</f>
        <v>6</v>
      </c>
      <c r="AX168" s="9" t="str">
        <f t="shared" ref="AX168:AX183" ca="1" si="57">IF(OR(AJ168=0,AF168=0,AK168="A"),"",AJ168)</f>
        <v/>
      </c>
      <c r="AY168" s="47"/>
      <c r="AZ168" s="135">
        <f t="shared" ref="AZ168:AZ183" ca="1" si="58">IF(AW168="","",AW168+(AN168/10))</f>
        <v>6</v>
      </c>
      <c r="BA168" s="135" t="str">
        <f t="shared" ref="BA168:BA183" ca="1" si="59">IF(AX168="","",AX168+(AN168/10))</f>
        <v/>
      </c>
      <c r="BB168" s="9"/>
      <c r="BC168" s="52" t="str">
        <f ca="1">IF(AL168="","",IF(AL168=BC167,AL168,""))</f>
        <v/>
      </c>
      <c r="BD168" s="52" t="str">
        <f ca="1">IF(AL168="","",IF(AL168=BD167,AL168,""))</f>
        <v/>
      </c>
      <c r="BE168" s="52" t="str">
        <f ca="1">IF(AL168="","",IF(AL168=BE167,AL168,""))</f>
        <v/>
      </c>
      <c r="BF168" s="52">
        <f ca="1">IF(AL168="","",IF(AL168=BF167,AL168,""))</f>
        <v>4</v>
      </c>
      <c r="BG168" s="52" t="str">
        <f ca="1">IF(AL168="","",IF(AL168=BG167,AL168,""))</f>
        <v/>
      </c>
      <c r="BH168" s="52" t="str">
        <f ca="1">IF(AL168="","",IF(AL168=BH167,AL168,""))</f>
        <v/>
      </c>
      <c r="BI168" s="52" t="str">
        <f ca="1">IF(AL168="","",IF(AL168=BI167,AL168,""))</f>
        <v/>
      </c>
      <c r="BJ168" s="52" t="str">
        <f ca="1">IF(AL168="","",IF(AL168=BJ167,AL168,""))</f>
        <v/>
      </c>
      <c r="BK168" s="52" t="str">
        <f ca="1">IF(AM168="","",IF(AM168=BK167,AM168,""))</f>
        <v/>
      </c>
      <c r="BL168" s="52" t="str">
        <f ca="1">IF(AM168="","",IF(AM168=BL167,AM168,""))</f>
        <v/>
      </c>
      <c r="BM168" s="52" t="str">
        <f ca="1">IF(AM168="","",IF(AM168=BM167,AM168,""))</f>
        <v/>
      </c>
      <c r="BN168" s="52" t="str">
        <f ca="1">IF(AM168="","",IF(AM168=BN167,AM168,""))</f>
        <v/>
      </c>
      <c r="BO168" s="52" t="str">
        <f ca="1">IF(AM168="","",IF(AM168=BO167,AM168,""))</f>
        <v/>
      </c>
      <c r="BP168" s="52" t="str">
        <f ca="1">IF(AM168="","",IF(AM168=BP167,AM168,""))</f>
        <v/>
      </c>
      <c r="BQ168" s="52" t="str">
        <f ca="1">IF(AM168="","",IF(AM168=BQ167,AM168,""))</f>
        <v/>
      </c>
      <c r="BR168" s="52" t="str">
        <f ca="1">IF(AM168="","",IF(AM168=BR167,AM168,""))</f>
        <v/>
      </c>
      <c r="BS168" s="46"/>
      <c r="BT168" s="4">
        <f>IFERROR(IF(A167=0,A168*11,A168&amp;A168),"")</f>
        <v>11</v>
      </c>
    </row>
    <row r="169" spans="1:72" s="4" customFormat="1" ht="16.149999999999999" customHeight="1" x14ac:dyDescent="0.35">
      <c r="A169" s="8">
        <f>IFERROR(IF(D169&gt;MatchDay!$U$2,"-",VLOOKUP(A164,timetables,MatchDay!$U$4+1,FALSE)),0)</f>
        <v>2</v>
      </c>
      <c r="B169" s="10" t="str">
        <f ca="1">IFERROR(IF(OR(AK169=0,AK169="B"),"",RANK(AZ169,AZ168:AZ183,1)),"")</f>
        <v/>
      </c>
      <c r="C169" s="10" t="str">
        <f ca="1">IFERROR(IF(OR(AK169=0,AK169="A"),"",RANK(BA169,BA168:BA183,1)),"")</f>
        <v/>
      </c>
      <c r="D169" s="55">
        <v>2</v>
      </c>
      <c r="E169" s="17">
        <f t="shared" ref="E169:E183" si="60">A169</f>
        <v>2</v>
      </c>
      <c r="F169" s="319" t="str">
        <f>IFERROR(VLOOKUP($A164&amp;E169,downloads!$A$1:$E$1000,2,FALSE),"")</f>
        <v/>
      </c>
      <c r="G169" s="18" t="str">
        <f t="shared" si="55"/>
        <v>ECHT</v>
      </c>
      <c r="H169" s="497"/>
      <c r="I169" s="498"/>
      <c r="J169" s="497"/>
      <c r="K169" s="498"/>
      <c r="L169" s="497"/>
      <c r="M169" s="498"/>
      <c r="N169" s="497"/>
      <c r="O169" s="498"/>
      <c r="P169" s="497"/>
      <c r="Q169" s="498"/>
      <c r="R169" s="497"/>
      <c r="S169" s="498"/>
      <c r="T169" s="497"/>
      <c r="U169" s="498"/>
      <c r="V169" s="497"/>
      <c r="W169" s="498"/>
      <c r="X169" s="497"/>
      <c r="Y169" s="498"/>
      <c r="Z169" s="497"/>
      <c r="AA169" s="498"/>
      <c r="AB169" s="497"/>
      <c r="AC169" s="498"/>
      <c r="AD169" s="497"/>
      <c r="AE169" s="498"/>
      <c r="AF169" s="511">
        <f ca="1">IFERROR(INDIRECT(CONCATENATE("'Height Input'!"&amp;B166&amp;C166+1)),"")</f>
        <v>0</v>
      </c>
      <c r="AG169" s="512"/>
      <c r="AH169" s="48"/>
      <c r="AI169" s="48"/>
      <c r="AJ169" s="49">
        <f ca="1">IFERROR(IF(AF169="X",MatchDay!$U$2+MatchDay!$U$2+1-COUNTIF($AF168:AF169,"X"),IF(AF169&gt;=97,1,INT(INDIRECT(CONCATENATE("'Height Input'!"&amp;$B165&amp;$C166+1))))),"")</f>
        <v>0</v>
      </c>
      <c r="AK169" s="50">
        <f ca="1">IFERROR(IF(OR(AJ169=0,AJ169=""),0,IF(OR(AJ169&lt;=VLOOKUP(BT169,$E176:$AJ183,32,FALSE),VLOOKUP(BT169,$E176:$AJ183,32,FALSE)=0),"A","B")),0)</f>
        <v>0</v>
      </c>
      <c r="AL169" s="123" t="str">
        <f ca="1">IFERROR(IF(OR(AK169=0,AK169="B"),"",RANK(AW169,AW168:AW183,1)),"")</f>
        <v/>
      </c>
      <c r="AM169" s="123" t="str">
        <f ca="1">IFERROR(IF(OR(AK169=0,AK169="A"),"",RANK(AX169,AX168:AX183,1)),"")</f>
        <v/>
      </c>
      <c r="AN169" s="51">
        <f ca="1">IFERROR(IF(AF169="X",0,(INDIRECT(CONCATENATE("'Height Input'!"&amp;$B165&amp;$C166+1))-AJ169)*10),"")</f>
        <v>0</v>
      </c>
      <c r="AO169" s="8"/>
      <c r="AP169" s="9" t="str">
        <f t="shared" ref="AP169:AP183" ca="1" si="61">IF(AQ169="","",IF(AQ169=1,AR169,REPT(AR169,AQ169-1)))</f>
        <v/>
      </c>
      <c r="AQ169" s="9" t="str">
        <f ca="1">IF(AR169="","",HLOOKUP(AL169,BC167:BJ184,18,FALSE))</f>
        <v/>
      </c>
      <c r="AR169" s="45" t="str">
        <f ca="1">IF(OR(AL169=0,AL169=""),"",IF(COUNTIFS(AL168:AL183,AL169)&gt;1,"=",""))</f>
        <v/>
      </c>
      <c r="AS169" s="45"/>
      <c r="AT169" s="9" t="str">
        <f t="shared" ref="AT169:AT183" ca="1" si="62">IF(AU169="","",IF(AU169=1,AV169,REPT(AV169,AU169-1)))</f>
        <v/>
      </c>
      <c r="AU169" s="9" t="str">
        <f ca="1">IF(AV169="","",HLOOKUP(AM169,BK167:BR184,18,FALSE))</f>
        <v/>
      </c>
      <c r="AV169" s="45" t="str">
        <f ca="1">IF(OR(AM169=0,AM169=""),"",IF(COUNTIFS(AM168:AM183,AM169)&gt;1,"=",""))</f>
        <v/>
      </c>
      <c r="AW169" s="9" t="str">
        <f t="shared" ca="1" si="56"/>
        <v/>
      </c>
      <c r="AX169" s="9" t="str">
        <f t="shared" ca="1" si="57"/>
        <v/>
      </c>
      <c r="AY169" s="47"/>
      <c r="AZ169" s="135" t="str">
        <f t="shared" ca="1" si="58"/>
        <v/>
      </c>
      <c r="BA169" s="135" t="str">
        <f t="shared" ca="1" si="59"/>
        <v/>
      </c>
      <c r="BB169" s="9"/>
      <c r="BC169" s="52" t="str">
        <f ca="1">IF(AL169="","",IF(AL169=BC167,AL169,""))</f>
        <v/>
      </c>
      <c r="BD169" s="52" t="str">
        <f ca="1">IF(AL169="","",IF(AL169=BD167,AL169,""))</f>
        <v/>
      </c>
      <c r="BE169" s="52" t="str">
        <f ca="1">IF(AL169="","",IF(AL169=BE167,AL169,""))</f>
        <v/>
      </c>
      <c r="BF169" s="52" t="str">
        <f ca="1">IF(AL169="","",IF(AL169=BF167,AL169,""))</f>
        <v/>
      </c>
      <c r="BG169" s="52" t="str">
        <f ca="1">IF(AL169="","",IF(AL169=BG167,AL169,""))</f>
        <v/>
      </c>
      <c r="BH169" s="52" t="str">
        <f ca="1">IF(AL169="","",IF(AL169=BH167,AL169,""))</f>
        <v/>
      </c>
      <c r="BI169" s="52" t="str">
        <f ca="1">IF(AL169="","",IF(AL169=BI167,AL169,""))</f>
        <v/>
      </c>
      <c r="BJ169" s="52" t="str">
        <f ca="1">IF(AL169="","",IF(AL169=BJ167,AL169,""))</f>
        <v/>
      </c>
      <c r="BK169" s="52" t="str">
        <f ca="1">IF(AM169="","",IF(AM169=BK167,AM169,""))</f>
        <v/>
      </c>
      <c r="BL169" s="52" t="str">
        <f ca="1">IF(AM169="","",IF(AM169=BL167,AM169,""))</f>
        <v/>
      </c>
      <c r="BM169" s="52" t="str">
        <f ca="1">IF(AM169="","",IF(AM169=BM167,AM169,""))</f>
        <v/>
      </c>
      <c r="BN169" s="52" t="str">
        <f ca="1">IF(AM169="","",IF(AM169=BN167,AM169,""))</f>
        <v/>
      </c>
      <c r="BO169" s="52" t="str">
        <f ca="1">IF(AM169="","",IF(AM169=BO167,AM169,""))</f>
        <v/>
      </c>
      <c r="BP169" s="52" t="str">
        <f ca="1">IF(AM169="","",IF(AM169=BP167,AM169,""))</f>
        <v/>
      </c>
      <c r="BQ169" s="52" t="str">
        <f ca="1">IF(AM169="","",IF(AM169=BQ167,AM169,""))</f>
        <v/>
      </c>
      <c r="BR169" s="52" t="str">
        <f ca="1">IF(AM169="","",IF(AM169=BR167,AM169,""))</f>
        <v/>
      </c>
      <c r="BS169" s="46"/>
      <c r="BT169" s="4">
        <f>IFERROR(IF(A167=0,A169*11,A169&amp;A169),"")</f>
        <v>22</v>
      </c>
    </row>
    <row r="170" spans="1:72" s="4" customFormat="1" ht="16.149999999999999" customHeight="1" x14ac:dyDescent="0.35">
      <c r="A170" s="8">
        <f>IFERROR(IF(D170&gt;MatchDay!$U$2,"-",VLOOKUP(A164,timetables,MatchDay!$U$4+2,FALSE)),0)</f>
        <v>6</v>
      </c>
      <c r="B170" s="10">
        <f ca="1">IFERROR(IF(OR(AK170=0,AK170="B"),"",RANK(AZ170,AZ168:AZ183,1)),"")</f>
        <v>1</v>
      </c>
      <c r="C170" s="10" t="str">
        <f ca="1">IFERROR(IF(OR(AK170=0,AK170="A"),"",RANK(BA170,BA168:BA183,1)),"")</f>
        <v/>
      </c>
      <c r="D170" s="55">
        <v>3</v>
      </c>
      <c r="E170" s="17">
        <f t="shared" si="60"/>
        <v>6</v>
      </c>
      <c r="F170" s="319" t="str">
        <f>IFERROR(VLOOKUP($A164&amp;E170,downloads!$A$1:$E$1000,2,FALSE),"")</f>
        <v>Jacob HARWOOD-BRETNALL</v>
      </c>
      <c r="G170" s="18" t="str">
        <f t="shared" si="55"/>
        <v>Stock</v>
      </c>
      <c r="H170" s="497"/>
      <c r="I170" s="498"/>
      <c r="J170" s="497"/>
      <c r="K170" s="498"/>
      <c r="L170" s="497"/>
      <c r="M170" s="498"/>
      <c r="N170" s="497"/>
      <c r="O170" s="498"/>
      <c r="P170" s="497"/>
      <c r="Q170" s="498"/>
      <c r="R170" s="497"/>
      <c r="S170" s="498"/>
      <c r="T170" s="497"/>
      <c r="U170" s="498"/>
      <c r="V170" s="497"/>
      <c r="W170" s="498"/>
      <c r="X170" s="497"/>
      <c r="Y170" s="498"/>
      <c r="Z170" s="497"/>
      <c r="AA170" s="498"/>
      <c r="AB170" s="497"/>
      <c r="AC170" s="498"/>
      <c r="AD170" s="497"/>
      <c r="AE170" s="498"/>
      <c r="AF170" s="511">
        <f ca="1">IFERROR(INDIRECT(CONCATENATE("'Height Input'!"&amp;B166&amp;C166+2)),"")</f>
        <v>1.5</v>
      </c>
      <c r="AG170" s="512"/>
      <c r="AH170" s="48"/>
      <c r="AI170" s="48"/>
      <c r="AJ170" s="49">
        <f ca="1">IFERROR(IF(AF170="X",MatchDay!$U$2+MatchDay!$U$2+1-COUNTIF($AF168:AF170,"X"),IF(AF170&gt;=97,1,INT(INDIRECT(CONCATENATE("'Height Input'!"&amp;$B165&amp;$C166+2))))),"")</f>
        <v>1</v>
      </c>
      <c r="AK170" s="50" t="str">
        <f ca="1">IFERROR(IF(OR(AJ170=0,AJ170=""),0,IF(OR(AJ170&lt;=VLOOKUP(BT170,$E176:$AJ183,32,FALSE),VLOOKUP(BT170,$E176:$AJ183,32,FALSE)=0),"A","B")),0)</f>
        <v>A</v>
      </c>
      <c r="AL170" s="123">
        <f ca="1">IFERROR(IF(OR(AK170=0,AK170="B"),"",RANK(AW170,AW168:AW183,1)),"")</f>
        <v>1</v>
      </c>
      <c r="AM170" s="123" t="str">
        <f ca="1">IFERROR(IF(OR(AK170=0,AK170="A"),"",RANK(AX170,AX168:AX183,1)),"")</f>
        <v/>
      </c>
      <c r="AN170" s="51">
        <f ca="1">IFERROR(IF(AF170="X",0,(INDIRECT(CONCATENATE("'Height Input'!"&amp;$B165&amp;$C166+2))-AJ170)*10),"")</f>
        <v>0</v>
      </c>
      <c r="AO170" s="8"/>
      <c r="AP170" s="9" t="str">
        <f t="shared" ca="1" si="61"/>
        <v/>
      </c>
      <c r="AQ170" s="9" t="str">
        <f ca="1">IF(AR170="","",HLOOKUP(AL170,BC167:BJ184,18,FALSE))</f>
        <v/>
      </c>
      <c r="AR170" s="45" t="str">
        <f ca="1">IF(OR(AL170=0,AL170=""),"",IF(COUNTIFS(AL168:AL183,AL170)&gt;1,"=",""))</f>
        <v/>
      </c>
      <c r="AS170" s="45"/>
      <c r="AT170" s="9" t="str">
        <f t="shared" ca="1" si="62"/>
        <v/>
      </c>
      <c r="AU170" s="9" t="str">
        <f ca="1">IF(AV170="","",HLOOKUP(AM170,BK167:BR184,18,FALSE))</f>
        <v/>
      </c>
      <c r="AV170" s="45" t="str">
        <f ca="1">IF(OR(AM170=0,AM170=""),"",IF(COUNTIFS(AM168:AM183,AM170)&gt;1,"=",""))</f>
        <v/>
      </c>
      <c r="AW170" s="9">
        <f t="shared" ca="1" si="56"/>
        <v>1</v>
      </c>
      <c r="AX170" s="9" t="str">
        <f t="shared" ca="1" si="57"/>
        <v/>
      </c>
      <c r="AY170" s="47"/>
      <c r="AZ170" s="135">
        <f t="shared" ca="1" si="58"/>
        <v>1</v>
      </c>
      <c r="BA170" s="135" t="str">
        <f t="shared" ca="1" si="59"/>
        <v/>
      </c>
      <c r="BB170" s="9"/>
      <c r="BC170" s="52">
        <f ca="1">IF(AL170="","",IF(AL170=BC167,AL170,""))</f>
        <v>1</v>
      </c>
      <c r="BD170" s="52" t="str">
        <f ca="1">IF(AL170="","",IF(AL170=BD167,AL170,""))</f>
        <v/>
      </c>
      <c r="BE170" s="52" t="str">
        <f ca="1">IF(AL170="","",IF(AL170=BE167,AL170,""))</f>
        <v/>
      </c>
      <c r="BF170" s="52" t="str">
        <f ca="1">IF(AL170="","",IF(AL170=BF167,AL170,""))</f>
        <v/>
      </c>
      <c r="BG170" s="52" t="str">
        <f ca="1">IF(AL170="","",IF(AL170=BG167,AL170,""))</f>
        <v/>
      </c>
      <c r="BH170" s="52" t="str">
        <f ca="1">IF(AL170="","",IF(AL170=BH167,AL170,""))</f>
        <v/>
      </c>
      <c r="BI170" s="52" t="str">
        <f ca="1">IF(AL170="","",IF(AL170=BI167,AL170,""))</f>
        <v/>
      </c>
      <c r="BJ170" s="52" t="str">
        <f ca="1">IF(AL170="","",IF(AL170=BJ167,AL170,""))</f>
        <v/>
      </c>
      <c r="BK170" s="52" t="str">
        <f ca="1">IF(AM170="","",IF(AM170=BK167,AM170,""))</f>
        <v/>
      </c>
      <c r="BL170" s="52" t="str">
        <f ca="1">IF(AM170="","",IF(AM170=BL167,AM170,""))</f>
        <v/>
      </c>
      <c r="BM170" s="52" t="str">
        <f ca="1">IF(AM170="","",IF(AM170=BM167,AM170,""))</f>
        <v/>
      </c>
      <c r="BN170" s="52" t="str">
        <f ca="1">IF(AM170="","",IF(AM170=BN167,AM170,""))</f>
        <v/>
      </c>
      <c r="BO170" s="52" t="str">
        <f ca="1">IF(AM170="","",IF(AM170=BO167,AM170,""))</f>
        <v/>
      </c>
      <c r="BP170" s="52" t="str">
        <f ca="1">IF(AM170="","",IF(AM170=BP167,AM170,""))</f>
        <v/>
      </c>
      <c r="BQ170" s="52" t="str">
        <f ca="1">IF(AM170="","",IF(AM170=BQ167,AM170,""))</f>
        <v/>
      </c>
      <c r="BR170" s="52" t="str">
        <f ca="1">IF(AM170="","",IF(AM170=BR167,AM170,""))</f>
        <v/>
      </c>
      <c r="BS170" s="46"/>
      <c r="BT170" s="4">
        <f>IFERROR(IF(A167=0,A170*11,A170&amp;A170),"")</f>
        <v>66</v>
      </c>
    </row>
    <row r="171" spans="1:72" s="4" customFormat="1" ht="16.149999999999999" customHeight="1" x14ac:dyDescent="0.35">
      <c r="A171" s="8">
        <f>IFERROR(IF(D171&gt;MatchDay!$U$2,"-",VLOOKUP(A164,timetables,MatchDay!$U$4+3,FALSE)),0)</f>
        <v>7</v>
      </c>
      <c r="B171" s="10" t="str">
        <f ca="1">IFERROR(IF(OR(AK171=0,AK171="B"),"",RANK(AZ171,AZ168:AZ183,1)),"")</f>
        <v/>
      </c>
      <c r="C171" s="10" t="str">
        <f ca="1">IFERROR(IF(OR(AK171=0,AK171="A"),"",RANK(BA171,BA168:BA183,1)),"")</f>
        <v/>
      </c>
      <c r="D171" s="55">
        <v>4</v>
      </c>
      <c r="E171" s="17">
        <f t="shared" si="60"/>
        <v>7</v>
      </c>
      <c r="F171" s="319" t="str">
        <f>IFERROR(VLOOKUP($A164&amp;E171,downloads!$A$1:$E$1000,2,FALSE),"")</f>
        <v/>
      </c>
      <c r="G171" s="18" t="str">
        <f t="shared" si="55"/>
        <v>Wigan</v>
      </c>
      <c r="H171" s="497"/>
      <c r="I171" s="498"/>
      <c r="J171" s="497"/>
      <c r="K171" s="498"/>
      <c r="L171" s="497"/>
      <c r="M171" s="498"/>
      <c r="N171" s="497"/>
      <c r="O171" s="498"/>
      <c r="P171" s="497"/>
      <c r="Q171" s="498"/>
      <c r="R171" s="497"/>
      <c r="S171" s="498"/>
      <c r="T171" s="497"/>
      <c r="U171" s="498"/>
      <c r="V171" s="497"/>
      <c r="W171" s="498"/>
      <c r="X171" s="497"/>
      <c r="Y171" s="498"/>
      <c r="Z171" s="497"/>
      <c r="AA171" s="498"/>
      <c r="AB171" s="497"/>
      <c r="AC171" s="498"/>
      <c r="AD171" s="497"/>
      <c r="AE171" s="498"/>
      <c r="AF171" s="511">
        <f ca="1">IFERROR(INDIRECT(CONCATENATE("'Height Input'!"&amp;B166&amp;C166+3)),"")</f>
        <v>0</v>
      </c>
      <c r="AG171" s="512"/>
      <c r="AH171" s="48"/>
      <c r="AI171" s="48"/>
      <c r="AJ171" s="49">
        <f ca="1">IFERROR(IF(AF171="X",MatchDay!$U$2+MatchDay!$U$2+1-COUNTIF($AF168:AF171,"X"),IF(AF171&gt;=97,1,INT(INDIRECT(CONCATENATE("'Height Input'!"&amp;$B165&amp;$C166+3))))),"")</f>
        <v>0</v>
      </c>
      <c r="AK171" s="50">
        <f ca="1">IFERROR(IF(OR(AJ171=0,AJ171=""),0,IF(OR(AJ171&lt;=VLOOKUP(BT171,$E176:$AJ183,32,FALSE),VLOOKUP(BT171,$E176:$AJ183,32,FALSE)=0),"A","B")),0)</f>
        <v>0</v>
      </c>
      <c r="AL171" s="123" t="str">
        <f ca="1">IFERROR(IF(OR(AK171=0,AK171="B"),"",RANK(AW171,AW168:AW183,1)),"")</f>
        <v/>
      </c>
      <c r="AM171" s="123" t="str">
        <f ca="1">IFERROR(IF(OR(AK171=0,AK171="A"),"",RANK(AX171,AX168:AX183,1)),"")</f>
        <v/>
      </c>
      <c r="AN171" s="51">
        <f ca="1">IFERROR(IF(AF171="X",0,(INDIRECT(CONCATENATE("'Height Input'!"&amp;$B165&amp;$C166+3))-AJ171)*10),"")</f>
        <v>0</v>
      </c>
      <c r="AO171" s="8"/>
      <c r="AP171" s="9" t="str">
        <f t="shared" ca="1" si="61"/>
        <v/>
      </c>
      <c r="AQ171" s="9" t="str">
        <f ca="1">IF(AR171="","",HLOOKUP(AL171,BC167:BJ184,18,FALSE))</f>
        <v/>
      </c>
      <c r="AR171" s="45" t="str">
        <f ca="1">IF(OR(AL171=0,AL171=""),"",IF(COUNTIFS(AL168:AL183,AL171)&gt;1,"=",""))</f>
        <v/>
      </c>
      <c r="AS171" s="45"/>
      <c r="AT171" s="9" t="str">
        <f t="shared" ca="1" si="62"/>
        <v/>
      </c>
      <c r="AU171" s="9" t="str">
        <f ca="1">IF(AV171="","",HLOOKUP(AM171,BK167:BR184,18,FALSE))</f>
        <v/>
      </c>
      <c r="AV171" s="45" t="str">
        <f ca="1">IF(OR(AM171=0,AM171=""),"",IF(COUNTIFS(AM168:AM183,AM171)&gt;1,"=",""))</f>
        <v/>
      </c>
      <c r="AW171" s="9" t="str">
        <f t="shared" ca="1" si="56"/>
        <v/>
      </c>
      <c r="AX171" s="9" t="str">
        <f t="shared" ca="1" si="57"/>
        <v/>
      </c>
      <c r="AY171" s="47"/>
      <c r="AZ171" s="135" t="str">
        <f t="shared" ca="1" si="58"/>
        <v/>
      </c>
      <c r="BA171" s="135" t="str">
        <f t="shared" ca="1" si="59"/>
        <v/>
      </c>
      <c r="BB171" s="9"/>
      <c r="BC171" s="52" t="str">
        <f ca="1">IF(AL171="","",IF(AL171=BC167,AL171,""))</f>
        <v/>
      </c>
      <c r="BD171" s="52" t="str">
        <f ca="1">IF(AL171="","",IF(AL171=BD167,AL171,""))</f>
        <v/>
      </c>
      <c r="BE171" s="52" t="str">
        <f ca="1">IF(AL171="","",IF(AL171=BE167,AL171,""))</f>
        <v/>
      </c>
      <c r="BF171" s="52" t="str">
        <f ca="1">IF(AL171="","",IF(AL171=BF167,AL171,""))</f>
        <v/>
      </c>
      <c r="BG171" s="52" t="str">
        <f ca="1">IF(AL171="","",IF(AL171=BG167,AL171,""))</f>
        <v/>
      </c>
      <c r="BH171" s="52" t="str">
        <f ca="1">IF(AL171="","",IF(AL171=BH167,AL171,""))</f>
        <v/>
      </c>
      <c r="BI171" s="52" t="str">
        <f ca="1">IF(AL171="","",IF(AL171=BI167,AL171,""))</f>
        <v/>
      </c>
      <c r="BJ171" s="52" t="str">
        <f ca="1">IF(AL171="","",IF(AL171=BJ167,AL171,""))</f>
        <v/>
      </c>
      <c r="BK171" s="52" t="str">
        <f ca="1">IF(AM171="","",IF(AM171=BK167,AM171,""))</f>
        <v/>
      </c>
      <c r="BL171" s="52" t="str">
        <f ca="1">IF(AM171="","",IF(AM171=BL167,AM171,""))</f>
        <v/>
      </c>
      <c r="BM171" s="52" t="str">
        <f ca="1">IF(AM171="","",IF(AM171=BM167,AM171,""))</f>
        <v/>
      </c>
      <c r="BN171" s="52" t="str">
        <f ca="1">IF(AM171="","",IF(AM171=BN167,AM171,""))</f>
        <v/>
      </c>
      <c r="BO171" s="52" t="str">
        <f ca="1">IF(AM171="","",IF(AM171=BO167,AM171,""))</f>
        <v/>
      </c>
      <c r="BP171" s="52" t="str">
        <f ca="1">IF(AM171="","",IF(AM171=BP167,AM171,""))</f>
        <v/>
      </c>
      <c r="BQ171" s="52" t="str">
        <f ca="1">IF(AM171="","",IF(AM171=BQ167,AM171,""))</f>
        <v/>
      </c>
      <c r="BR171" s="52" t="str">
        <f ca="1">IF(AM171="","",IF(AM171=BR167,AM171,""))</f>
        <v/>
      </c>
      <c r="BS171" s="46"/>
      <c r="BT171" s="4">
        <f>IFERROR(IF(A167=0,A171*11,A171&amp;A171),"")</f>
        <v>77</v>
      </c>
    </row>
    <row r="172" spans="1:72" s="4" customFormat="1" ht="16.149999999999999" customHeight="1" x14ac:dyDescent="0.35">
      <c r="A172" s="8">
        <f>IFERROR(IF(D172&gt;MatchDay!$U$2,"-",VLOOKUP(A164,timetables,MatchDay!$U$4+4,FALSE)),0)</f>
        <v>3</v>
      </c>
      <c r="B172" s="10">
        <f ca="1">IFERROR(IF(OR(AK172=0,AK172="B"),"",RANK(AZ172,AZ168:AZ183,1)),"")</f>
        <v>2</v>
      </c>
      <c r="C172" s="10" t="str">
        <f ca="1">IFERROR(IF(OR(AK172=0,AK172="A"),"",RANK(BA172,BA168:BA183,1)),"")</f>
        <v/>
      </c>
      <c r="D172" s="55">
        <v>5</v>
      </c>
      <c r="E172" s="17">
        <f t="shared" si="60"/>
        <v>3</v>
      </c>
      <c r="F172" s="319" t="str">
        <f>IFERROR(VLOOKUP($A164&amp;E172,downloads!$A$1:$E$1000,2,FALSE),"")</f>
        <v>Hugo JAMES</v>
      </c>
      <c r="G172" s="18" t="str">
        <f t="shared" si="55"/>
        <v>Leigh</v>
      </c>
      <c r="H172" s="497"/>
      <c r="I172" s="498"/>
      <c r="J172" s="497"/>
      <c r="K172" s="498"/>
      <c r="L172" s="497"/>
      <c r="M172" s="498"/>
      <c r="N172" s="497"/>
      <c r="O172" s="498"/>
      <c r="P172" s="497"/>
      <c r="Q172" s="498"/>
      <c r="R172" s="497"/>
      <c r="S172" s="498"/>
      <c r="T172" s="497"/>
      <c r="U172" s="498"/>
      <c r="V172" s="497"/>
      <c r="W172" s="498"/>
      <c r="X172" s="497"/>
      <c r="Y172" s="498"/>
      <c r="Z172" s="497"/>
      <c r="AA172" s="498"/>
      <c r="AB172" s="497"/>
      <c r="AC172" s="498"/>
      <c r="AD172" s="497"/>
      <c r="AE172" s="498"/>
      <c r="AF172" s="511">
        <f ca="1">IFERROR(INDIRECT(CONCATENATE("'Height Input'!"&amp;B166&amp;C166+4)),"")</f>
        <v>1.45</v>
      </c>
      <c r="AG172" s="512"/>
      <c r="AH172" s="48"/>
      <c r="AI172" s="48"/>
      <c r="AJ172" s="49">
        <f ca="1">IFERROR(IF(AF172="X",MatchDay!$U$2+MatchDay!$U$2+1-COUNTIF($AF168:AF172,"X"),IF(AF172&gt;=97,1,INT(INDIRECT(CONCATENATE("'Height Input'!"&amp;$B165&amp;$C166+4))))),"")</f>
        <v>2</v>
      </c>
      <c r="AK172" s="50" t="str">
        <f ca="1">IFERROR(IF(OR(AJ172=0,AJ172=""),0,IF(OR(AJ172&lt;=VLOOKUP(BT172,$E176:$AJ183,32,FALSE),VLOOKUP(BT172,$E176:$AJ183,32,FALSE)=0),"A","B")),0)</f>
        <v>A</v>
      </c>
      <c r="AL172" s="123">
        <f ca="1">IFERROR(IF(OR(AK172=0,AK172="B"),"",RANK(AW172,AW168:AW183,1)),"")</f>
        <v>2</v>
      </c>
      <c r="AM172" s="123" t="str">
        <f ca="1">IFERROR(IF(OR(AK172=0,AK172="A"),"",RANK(AX172,AX168:AX183,1)),"")</f>
        <v/>
      </c>
      <c r="AN172" s="51">
        <f ca="1">IFERROR(IF(AF172="X",0,(INDIRECT(CONCATENATE("'Height Input'!"&amp;$B165&amp;$C166+4))-AJ172)*10),"")</f>
        <v>0</v>
      </c>
      <c r="AO172" s="8"/>
      <c r="AP172" s="9" t="str">
        <f t="shared" ca="1" si="61"/>
        <v/>
      </c>
      <c r="AQ172" s="9" t="str">
        <f ca="1">IF(AR172="","",HLOOKUP(AL172,BC167:BJ184,18,FALSE))</f>
        <v/>
      </c>
      <c r="AR172" s="45" t="str">
        <f ca="1">IF(OR(AL172=0,AL172=""),"",IF(COUNTIFS(AL168:AL183,AL172)&gt;1,"=",""))</f>
        <v/>
      </c>
      <c r="AS172" s="45"/>
      <c r="AT172" s="9" t="str">
        <f t="shared" ca="1" si="62"/>
        <v/>
      </c>
      <c r="AU172" s="9" t="str">
        <f ca="1">IF(AV172="","",HLOOKUP(AM172,BK167:BR184,18,FALSE))</f>
        <v/>
      </c>
      <c r="AV172" s="45" t="str">
        <f ca="1">IF(OR(AM172=0,AM172=""),"",IF(COUNTIFS(AM168:AM183,AM172)&gt;1,"=",""))</f>
        <v/>
      </c>
      <c r="AW172" s="9">
        <f t="shared" ca="1" si="56"/>
        <v>2</v>
      </c>
      <c r="AX172" s="9" t="str">
        <f t="shared" ca="1" si="57"/>
        <v/>
      </c>
      <c r="AY172" s="47"/>
      <c r="AZ172" s="135">
        <f t="shared" ca="1" si="58"/>
        <v>2</v>
      </c>
      <c r="BA172" s="135" t="str">
        <f t="shared" ca="1" si="59"/>
        <v/>
      </c>
      <c r="BB172" s="9"/>
      <c r="BC172" s="52" t="str">
        <f ca="1">IF(AL172="","",IF(AL172=BC167,AL172,""))</f>
        <v/>
      </c>
      <c r="BD172" s="52">
        <f ca="1">IF(AL172="","",IF(AL172=BD167,AL172,""))</f>
        <v>2</v>
      </c>
      <c r="BE172" s="52" t="str">
        <f ca="1">IF(AL172="","",IF(AL172=BE167,AL172,""))</f>
        <v/>
      </c>
      <c r="BF172" s="52" t="str">
        <f ca="1">IF(AL172="","",IF(AL172=BF167,AL172,""))</f>
        <v/>
      </c>
      <c r="BG172" s="52" t="str">
        <f ca="1">IF(AL172="","",IF(AL172=BG167,AL172,""))</f>
        <v/>
      </c>
      <c r="BH172" s="52" t="str">
        <f ca="1">IF(AL172="","",IF(AL172=BH167,AL172,""))</f>
        <v/>
      </c>
      <c r="BI172" s="52" t="str">
        <f ca="1">IF(AL172="","",IF(AL172=BI167,AL172,""))</f>
        <v/>
      </c>
      <c r="BJ172" s="52" t="str">
        <f ca="1">IF(AL172="","",IF(AL172=BJ167,AL172,""))</f>
        <v/>
      </c>
      <c r="BK172" s="52" t="str">
        <f ca="1">IF(AM172="","",IF(AM172=BK167,AM172,""))</f>
        <v/>
      </c>
      <c r="BL172" s="52" t="str">
        <f ca="1">IF(AM172="","",IF(AM172=BL167,AM172,""))</f>
        <v/>
      </c>
      <c r="BM172" s="52" t="str">
        <f ca="1">IF(AM172="","",IF(AM172=BM167,AM172,""))</f>
        <v/>
      </c>
      <c r="BN172" s="52" t="str">
        <f ca="1">IF(AM172="","",IF(AM172=BN167,AM172,""))</f>
        <v/>
      </c>
      <c r="BO172" s="52" t="str">
        <f ca="1">IF(AM172="","",IF(AM172=BO167,AM172,""))</f>
        <v/>
      </c>
      <c r="BP172" s="52" t="str">
        <f ca="1">IF(AM172="","",IF(AM172=BP167,AM172,""))</f>
        <v/>
      </c>
      <c r="BQ172" s="52" t="str">
        <f ca="1">IF(AM172="","",IF(AM172=BQ167,AM172,""))</f>
        <v/>
      </c>
      <c r="BR172" s="52" t="str">
        <f ca="1">IF(AM172="","",IF(AM172=BR167,AM172,""))</f>
        <v/>
      </c>
      <c r="BS172" s="46"/>
      <c r="BT172" s="4">
        <f>IFERROR(IF(A167=0,A172*11,A172&amp;A172),"")</f>
        <v>33</v>
      </c>
    </row>
    <row r="173" spans="1:72" s="4" customFormat="1" ht="16.149999999999999" customHeight="1" x14ac:dyDescent="0.35">
      <c r="A173" s="8">
        <f>IFERROR(IF(D173&gt;MatchDay!$U$2,"-",VLOOKUP(A164,timetables,MatchDay!$U$4+5,FALSE)),0)</f>
        <v>4</v>
      </c>
      <c r="B173" s="10">
        <f ca="1">IFERROR(IF(OR(AK173=0,AK173="B"),"",RANK(AZ173,AZ168:AZ183,1)),"")</f>
        <v>3</v>
      </c>
      <c r="C173" s="10" t="str">
        <f ca="1">IFERROR(IF(OR(AK173=0,AK173="A"),"",RANK(BA173,BA168:BA183,1)),"")</f>
        <v/>
      </c>
      <c r="D173" s="55">
        <v>6</v>
      </c>
      <c r="E173" s="17">
        <f t="shared" si="60"/>
        <v>4</v>
      </c>
      <c r="F173" s="319" t="str">
        <f>IFERROR(VLOOKUP($A164&amp;E173,downloads!$A$1:$E$1000,2,FALSE),"")</f>
        <v>Will HAMMOND</v>
      </c>
      <c r="G173" s="18" t="str">
        <f t="shared" si="55"/>
        <v>Macc</v>
      </c>
      <c r="H173" s="497"/>
      <c r="I173" s="498"/>
      <c r="J173" s="497"/>
      <c r="K173" s="498"/>
      <c r="L173" s="497"/>
      <c r="M173" s="498"/>
      <c r="N173" s="497"/>
      <c r="O173" s="498"/>
      <c r="P173" s="497"/>
      <c r="Q173" s="498"/>
      <c r="R173" s="497"/>
      <c r="S173" s="498"/>
      <c r="T173" s="497"/>
      <c r="U173" s="498"/>
      <c r="V173" s="497"/>
      <c r="W173" s="498"/>
      <c r="X173" s="497"/>
      <c r="Y173" s="498"/>
      <c r="Z173" s="497"/>
      <c r="AA173" s="498"/>
      <c r="AB173" s="497"/>
      <c r="AC173" s="498"/>
      <c r="AD173" s="497"/>
      <c r="AE173" s="498"/>
      <c r="AF173" s="511">
        <f ca="1">IFERROR(INDIRECT(CONCATENATE("'Height Input'!"&amp;B166&amp;C166+5)),"")</f>
        <v>1.4</v>
      </c>
      <c r="AG173" s="512"/>
      <c r="AH173" s="48"/>
      <c r="AI173" s="48"/>
      <c r="AJ173" s="49">
        <f ca="1">IFERROR(IF(AF173="X",MatchDay!$U$2+MatchDay!$U$2+1-COUNTIF($AF168:AF173,"X"),IF(AF173&gt;=97,1,INT(INDIRECT(CONCATENATE("'Height Input'!"&amp;$B165&amp;$C166+5))))),"")</f>
        <v>3</v>
      </c>
      <c r="AK173" s="50" t="str">
        <f ca="1">IFERROR(IF(OR(AJ173=0,AJ173=""),0,IF(OR(AJ173&lt;=VLOOKUP(BT173,$E176:$AJ183,32,FALSE),VLOOKUP(BT173,$E176:$AJ183,32,FALSE)=0),"A","B")),0)</f>
        <v>A</v>
      </c>
      <c r="AL173" s="123">
        <f ca="1">IFERROR(IF(OR(AK173=0,AK173="B"),"",RANK(AW173,AW168:AW183,1)),"")</f>
        <v>3</v>
      </c>
      <c r="AM173" s="123" t="str">
        <f ca="1">IFERROR(IF(OR(AK173=0,AK173="A"),"",RANK(AX173,AX168:AX183,1)),"")</f>
        <v/>
      </c>
      <c r="AN173" s="51">
        <f ca="1">IFERROR(IF(AF173="X",0,(INDIRECT(CONCATENATE("'Height Input'!"&amp;$B165&amp;$C166+5))-AJ173)*10),"")</f>
        <v>0</v>
      </c>
      <c r="AO173" s="8"/>
      <c r="AP173" s="9" t="str">
        <f t="shared" ca="1" si="61"/>
        <v/>
      </c>
      <c r="AQ173" s="9" t="str">
        <f ca="1">IF(AR173="","",HLOOKUP(AL173,BC167:BJ184,18,FALSE))</f>
        <v/>
      </c>
      <c r="AR173" s="45" t="str">
        <f ca="1">IF(OR(AL173=0,AL173=""),"",IF(COUNTIFS(AL168:AL183,AL173)&gt;1,"=",""))</f>
        <v/>
      </c>
      <c r="AS173" s="45"/>
      <c r="AT173" s="9" t="str">
        <f t="shared" ca="1" si="62"/>
        <v/>
      </c>
      <c r="AU173" s="9" t="str">
        <f ca="1">IF(AV173="","",HLOOKUP(AM173,BK167:BR184,18,FALSE))</f>
        <v/>
      </c>
      <c r="AV173" s="45" t="str">
        <f ca="1">IF(OR(AM173=0,AM173=""),"",IF(COUNTIFS(AM168:AM183,AM173)&gt;1,"=",""))</f>
        <v/>
      </c>
      <c r="AW173" s="9">
        <f t="shared" ca="1" si="56"/>
        <v>3</v>
      </c>
      <c r="AX173" s="9" t="str">
        <f t="shared" ca="1" si="57"/>
        <v/>
      </c>
      <c r="AY173" s="47"/>
      <c r="AZ173" s="135">
        <f t="shared" ca="1" si="58"/>
        <v>3</v>
      </c>
      <c r="BA173" s="135" t="str">
        <f t="shared" ca="1" si="59"/>
        <v/>
      </c>
      <c r="BB173" s="9"/>
      <c r="BC173" s="52" t="str">
        <f ca="1">IF(AL173="","",IF(AL173=BC167,AL173,""))</f>
        <v/>
      </c>
      <c r="BD173" s="52" t="str">
        <f ca="1">IF(AL173="","",IF(AL173=BD167,AL173,""))</f>
        <v/>
      </c>
      <c r="BE173" s="52">
        <f ca="1">IF(AL173="","",IF(AL173=BE167,AL173,""))</f>
        <v>3</v>
      </c>
      <c r="BF173" s="52" t="str">
        <f ca="1">IF(AL173="","",IF(AL173=BF167,AL173,""))</f>
        <v/>
      </c>
      <c r="BG173" s="52" t="str">
        <f ca="1">IF(AL173="","",IF(AL173=BG167,AL173,""))</f>
        <v/>
      </c>
      <c r="BH173" s="52" t="str">
        <f ca="1">IF(AL173="","",IF(AL173=BH167,AL173,""))</f>
        <v/>
      </c>
      <c r="BI173" s="52" t="str">
        <f ca="1">IF(AL173="","",IF(AL173=BI167,AL173,""))</f>
        <v/>
      </c>
      <c r="BJ173" s="52" t="str">
        <f ca="1">IF(AL173="","",IF(AL173=BJ167,AL173,""))</f>
        <v/>
      </c>
      <c r="BK173" s="52" t="str">
        <f ca="1">IF(AM173="","",IF(AM173=BK167,AM173,""))</f>
        <v/>
      </c>
      <c r="BL173" s="52" t="str">
        <f ca="1">IF(AM173="","",IF(AM173=BL167,AM173,""))</f>
        <v/>
      </c>
      <c r="BM173" s="52" t="str">
        <f ca="1">IF(AM173="","",IF(AM173=BM167,AM173,""))</f>
        <v/>
      </c>
      <c r="BN173" s="52" t="str">
        <f ca="1">IF(AM173="","",IF(AM173=BN167,AM173,""))</f>
        <v/>
      </c>
      <c r="BO173" s="52" t="str">
        <f ca="1">IF(AM173="","",IF(AM173=BO167,AM173,""))</f>
        <v/>
      </c>
      <c r="BP173" s="52" t="str">
        <f ca="1">IF(AM173="","",IF(AM173=BP167,AM173,""))</f>
        <v/>
      </c>
      <c r="BQ173" s="52" t="str">
        <f ca="1">IF(AM173="","",IF(AM173=BQ167,AM173,""))</f>
        <v/>
      </c>
      <c r="BR173" s="52" t="str">
        <f ca="1">IF(AM173="","",IF(AM173=BR167,AM173,""))</f>
        <v/>
      </c>
      <c r="BS173" s="46"/>
      <c r="BT173" s="4">
        <f>IFERROR(IF(A167=0,A173*11,A173&amp;A173),"")</f>
        <v>44</v>
      </c>
    </row>
    <row r="174" spans="1:72" s="4" customFormat="1" ht="16.149999999999999" customHeight="1" x14ac:dyDescent="0.35">
      <c r="A174" s="8">
        <f>IFERROR(IF(D174&gt;MatchDay!$U$2,"-",VLOOKUP(A164,timetables,MatchDay!$U$4+6,FALSE)),0)</f>
        <v>5</v>
      </c>
      <c r="B174" s="10" t="str">
        <f ca="1">IFERROR(IF(OR(AK174=0,AK174="B"),"",RANK(AZ174,AZ168:AZ183,1)),"")</f>
        <v/>
      </c>
      <c r="C174" s="10" t="str">
        <f ca="1">IFERROR(IF(OR(AK174=0,AK174="A"),"",RANK(BA174,BA168:BA183,1)),"")</f>
        <v/>
      </c>
      <c r="D174" s="55">
        <v>7</v>
      </c>
      <c r="E174" s="17">
        <f t="shared" si="60"/>
        <v>5</v>
      </c>
      <c r="F174" s="319" t="str">
        <f>IFERROR(VLOOKUP($A164&amp;E174,downloads!$A$1:$E$1000,2,FALSE),"")</f>
        <v/>
      </c>
      <c r="G174" s="18" t="str">
        <f t="shared" si="55"/>
        <v>Menai</v>
      </c>
      <c r="H174" s="497"/>
      <c r="I174" s="498"/>
      <c r="J174" s="497"/>
      <c r="K174" s="498"/>
      <c r="L174" s="497"/>
      <c r="M174" s="498"/>
      <c r="N174" s="497"/>
      <c r="O174" s="498"/>
      <c r="P174" s="497"/>
      <c r="Q174" s="498"/>
      <c r="R174" s="497"/>
      <c r="S174" s="498"/>
      <c r="T174" s="497"/>
      <c r="U174" s="498"/>
      <c r="V174" s="497"/>
      <c r="W174" s="498"/>
      <c r="X174" s="497"/>
      <c r="Y174" s="498"/>
      <c r="Z174" s="497"/>
      <c r="AA174" s="498"/>
      <c r="AB174" s="497"/>
      <c r="AC174" s="498"/>
      <c r="AD174" s="497"/>
      <c r="AE174" s="498"/>
      <c r="AF174" s="511">
        <f ca="1">IFERROR(INDIRECT(CONCATENATE("'Height Input'!"&amp;B166&amp;C166+6)),"")</f>
        <v>0</v>
      </c>
      <c r="AG174" s="512"/>
      <c r="AH174" s="48"/>
      <c r="AI174" s="48"/>
      <c r="AJ174" s="49">
        <f ca="1">IFERROR(IF(AF174="X",MatchDay!$U$2+MatchDay!$U$2+1-COUNTIF($AF168:AF174,"X"),IF(AF174&gt;=97,1,INT(INDIRECT(CONCATENATE("'Height Input'!"&amp;$B165&amp;$C166+6))))),"")</f>
        <v>0</v>
      </c>
      <c r="AK174" s="50">
        <f ca="1">IFERROR(IF(OR(AJ174=0,AJ174=""),0,IF(OR(AJ174&lt;=VLOOKUP(BT174,$E176:$AJ183,32,FALSE),VLOOKUP(BT174,$E176:$AJ183,32,FALSE)=0),"A","B")),0)</f>
        <v>0</v>
      </c>
      <c r="AL174" s="123" t="str">
        <f ca="1">IFERROR(IF(OR(AK174=0,AK174="B"),"",RANK(AW174,AW168:AW183,1)),"")</f>
        <v/>
      </c>
      <c r="AM174" s="123" t="str">
        <f ca="1">IFERROR(IF(OR(AK174=0,AK174="A"),"",RANK(AX174,AX168:AX183,1)),"")</f>
        <v/>
      </c>
      <c r="AN174" s="51">
        <f ca="1">IFERROR(IF(AF174="X",0,(INDIRECT(CONCATENATE("'Height Input'!"&amp;$B165&amp;$C166+6))-AJ174)*10),"")</f>
        <v>0</v>
      </c>
      <c r="AO174" s="8"/>
      <c r="AP174" s="9" t="str">
        <f t="shared" ca="1" si="61"/>
        <v/>
      </c>
      <c r="AQ174" s="9" t="str">
        <f ca="1">IF(AR174="","",HLOOKUP(AL174,BC167:BJ184,18,FALSE))</f>
        <v/>
      </c>
      <c r="AR174" s="45" t="str">
        <f ca="1">IF(OR(AL174=0,AL174=""),"",IF(COUNTIFS(AL168:AL183,AL174)&gt;1,"=",""))</f>
        <v/>
      </c>
      <c r="AS174" s="45"/>
      <c r="AT174" s="9" t="str">
        <f t="shared" ca="1" si="62"/>
        <v/>
      </c>
      <c r="AU174" s="9" t="str">
        <f ca="1">IF(AV174="","",HLOOKUP(AM174,BK167:BR184,18,FALSE))</f>
        <v/>
      </c>
      <c r="AV174" s="45" t="str">
        <f ca="1">IF(OR(AM174=0,AM174=""),"",IF(COUNTIFS(AM168:AM183,AM174)&gt;1,"=",""))</f>
        <v/>
      </c>
      <c r="AW174" s="9" t="str">
        <f t="shared" ca="1" si="56"/>
        <v/>
      </c>
      <c r="AX174" s="9" t="str">
        <f t="shared" ca="1" si="57"/>
        <v/>
      </c>
      <c r="AY174" s="47"/>
      <c r="AZ174" s="135" t="str">
        <f t="shared" ca="1" si="58"/>
        <v/>
      </c>
      <c r="BA174" s="135" t="str">
        <f t="shared" ca="1" si="59"/>
        <v/>
      </c>
      <c r="BB174" s="9"/>
      <c r="BC174" s="52" t="str">
        <f ca="1">IF(AL174="","",IF(AL174=BC167,AL174,""))</f>
        <v/>
      </c>
      <c r="BD174" s="52" t="str">
        <f ca="1">IF(AL174="","",IF(AL174=BD167,AL174,""))</f>
        <v/>
      </c>
      <c r="BE174" s="52" t="str">
        <f ca="1">IF(AL174="","",IF(AL174=BE167,AL174,""))</f>
        <v/>
      </c>
      <c r="BF174" s="52" t="str">
        <f ca="1">IF(AL174="","",IF(AL174=BF167,AL174,""))</f>
        <v/>
      </c>
      <c r="BG174" s="52" t="str">
        <f ca="1">IF(AL174="","",IF(AL174=BG167,AL174,""))</f>
        <v/>
      </c>
      <c r="BH174" s="52" t="str">
        <f ca="1">IF(AL174="","",IF(AL174=BH167,AL174,""))</f>
        <v/>
      </c>
      <c r="BI174" s="52" t="str">
        <f ca="1">IF(AL174="","",IF(AL174=BI167,AL174,""))</f>
        <v/>
      </c>
      <c r="BJ174" s="52" t="str">
        <f ca="1">IF(AL174="","",IF(AL174=BJ167,AL174,""))</f>
        <v/>
      </c>
      <c r="BK174" s="52" t="str">
        <f ca="1">IF(AM174="","",IF(AM174=BK167,AM174,""))</f>
        <v/>
      </c>
      <c r="BL174" s="52" t="str">
        <f ca="1">IF(AM174="","",IF(AM174=BL167,AM174,""))</f>
        <v/>
      </c>
      <c r="BM174" s="52" t="str">
        <f ca="1">IF(AM174="","",IF(AM174=BM167,AM174,""))</f>
        <v/>
      </c>
      <c r="BN174" s="52" t="str">
        <f ca="1">IF(AM174="","",IF(AM174=BN167,AM174,""))</f>
        <v/>
      </c>
      <c r="BO174" s="52" t="str">
        <f ca="1">IF(AM174="","",IF(AM174=BO167,AM174,""))</f>
        <v/>
      </c>
      <c r="BP174" s="52" t="str">
        <f ca="1">IF(AM174="","",IF(AM174=BP167,AM174,""))</f>
        <v/>
      </c>
      <c r="BQ174" s="52" t="str">
        <f ca="1">IF(AM174="","",IF(AM174=BQ167,AM174,""))</f>
        <v/>
      </c>
      <c r="BR174" s="52" t="str">
        <f ca="1">IF(AM174="","",IF(AM174=BR167,AM174,""))</f>
        <v/>
      </c>
      <c r="BS174" s="46"/>
      <c r="BT174" s="4">
        <f>IFERROR(IF(A167=0,A174*11,A174&amp;A174),"")</f>
        <v>55</v>
      </c>
    </row>
    <row r="175" spans="1:72" s="4" customFormat="1" ht="16.149999999999999" customHeight="1" x14ac:dyDescent="0.35">
      <c r="A175" s="8" t="str">
        <f>IFERROR(IF(D175&gt;MatchDay!$U$2,"-",VLOOKUP(A164,timetables,MatchDay!$U$4+7,FALSE)),0)</f>
        <v>-</v>
      </c>
      <c r="B175" s="10" t="str">
        <f ca="1">IFERROR(IF(OR(AK175=0,AK175="B"),"",RANK(AZ175,AZ168:AZ183,1)),"")</f>
        <v/>
      </c>
      <c r="C175" s="10" t="str">
        <f ca="1">IFERROR(IF(OR(AK175=0,AK175="A"),"",RANK(BA175,BA168:BA183,1)),"")</f>
        <v/>
      </c>
      <c r="D175" s="55">
        <v>8</v>
      </c>
      <c r="E175" s="17" t="str">
        <f t="shared" si="60"/>
        <v>-</v>
      </c>
      <c r="F175" s="319" t="str">
        <f>IFERROR(VLOOKUP($A164&amp;E175,downloads!$A$1:$E$1000,2,FALSE),"")</f>
        <v/>
      </c>
      <c r="G175" s="18" t="str">
        <f t="shared" si="55"/>
        <v/>
      </c>
      <c r="H175" s="497"/>
      <c r="I175" s="498"/>
      <c r="J175" s="497"/>
      <c r="K175" s="498"/>
      <c r="L175" s="497"/>
      <c r="M175" s="498"/>
      <c r="N175" s="497"/>
      <c r="O175" s="498"/>
      <c r="P175" s="497"/>
      <c r="Q175" s="498"/>
      <c r="R175" s="497"/>
      <c r="S175" s="498"/>
      <c r="T175" s="497"/>
      <c r="U175" s="498"/>
      <c r="V175" s="497"/>
      <c r="W175" s="498"/>
      <c r="X175" s="497"/>
      <c r="Y175" s="498"/>
      <c r="Z175" s="497"/>
      <c r="AA175" s="498"/>
      <c r="AB175" s="497"/>
      <c r="AC175" s="498"/>
      <c r="AD175" s="497"/>
      <c r="AE175" s="498"/>
      <c r="AF175" s="511">
        <f ca="1">IFERROR(INDIRECT(CONCATENATE("'Height Input'!"&amp;B166&amp;C166+7)),"")</f>
        <v>0</v>
      </c>
      <c r="AG175" s="512"/>
      <c r="AH175" s="48"/>
      <c r="AI175" s="48"/>
      <c r="AJ175" s="49">
        <f ca="1">IFERROR(IF(AF175="X",MatchDay!$U$2+MatchDay!$U$2+1-COUNTIF($AF168:AF175,"X"),IF(AF175&gt;=97,1,INT(INDIRECT(CONCATENATE("'Height Input'!"&amp;$B165&amp;$C166+7))))),"")</f>
        <v>0</v>
      </c>
      <c r="AK175" s="50">
        <f ca="1">IFERROR(IF(OR(AJ175=0,AJ175=""),0,IF(OR(AJ175&lt;=VLOOKUP(BT175,$E176:$AJ183,32,FALSE),VLOOKUP(BT175,$E176:$AJ183,32,FALSE)=0),"A","B")),0)</f>
        <v>0</v>
      </c>
      <c r="AL175" s="123" t="str">
        <f ca="1">IFERROR(IF(OR(AK175=0,AK175="B"),"",RANK(AW175,AW168:AW183,1)),"")</f>
        <v/>
      </c>
      <c r="AM175" s="123" t="str">
        <f ca="1">IFERROR(IF(OR(AK175=0,AK175="A"),"",RANK(AX175,AX168:AX183,1)),"")</f>
        <v/>
      </c>
      <c r="AN175" s="51">
        <f ca="1">IFERROR(IF(AF175="X",0,(INDIRECT(CONCATENATE("'Height Input'!"&amp;$B165&amp;$C166+7))-AJ175)*10),"")</f>
        <v>0</v>
      </c>
      <c r="AO175" s="8"/>
      <c r="AP175" s="9" t="str">
        <f t="shared" ca="1" si="61"/>
        <v/>
      </c>
      <c r="AQ175" s="9" t="str">
        <f ca="1">IF(AR175="","",HLOOKUP(AL175,BC167:BJ184,18,FALSE))</f>
        <v/>
      </c>
      <c r="AR175" s="45" t="str">
        <f ca="1">IF(OR(AL175=0,AL175=""),"",IF(COUNTIFS(AL168:AL183,AL175)&gt;1,"=",""))</f>
        <v/>
      </c>
      <c r="AS175" s="45"/>
      <c r="AT175" s="9" t="str">
        <f t="shared" ca="1" si="62"/>
        <v/>
      </c>
      <c r="AU175" s="9" t="str">
        <f ca="1">IF(AV175="","",HLOOKUP(AM175,BK167:BR184,18,FALSE))</f>
        <v/>
      </c>
      <c r="AV175" s="45" t="str">
        <f ca="1">IF(OR(AM175=0,AM175=""),"",IF(COUNTIFS(AM168:AM183,AM175)&gt;1,"=",""))</f>
        <v/>
      </c>
      <c r="AW175" s="9" t="str">
        <f t="shared" ca="1" si="56"/>
        <v/>
      </c>
      <c r="AX175" s="9" t="str">
        <f t="shared" ca="1" si="57"/>
        <v/>
      </c>
      <c r="AY175" s="47"/>
      <c r="AZ175" s="135" t="str">
        <f t="shared" ca="1" si="58"/>
        <v/>
      </c>
      <c r="BA175" s="135" t="str">
        <f t="shared" ca="1" si="59"/>
        <v/>
      </c>
      <c r="BB175" s="9"/>
      <c r="BC175" s="52" t="str">
        <f ca="1">IF(AL175="","",IF(AL175=BC167,AL175,""))</f>
        <v/>
      </c>
      <c r="BD175" s="52" t="str">
        <f ca="1">IF(AL175="","",IF(AL175=BD167,AL175,""))</f>
        <v/>
      </c>
      <c r="BE175" s="52" t="str">
        <f ca="1">IF(AL175="","",IF(AL175=BE167,AL175,""))</f>
        <v/>
      </c>
      <c r="BF175" s="52" t="str">
        <f ca="1">IF(AL175="","",IF(AL175=BF167,AL175,""))</f>
        <v/>
      </c>
      <c r="BG175" s="52" t="str">
        <f ca="1">IF(AL175="","",IF(AL175=BG167,AL175,""))</f>
        <v/>
      </c>
      <c r="BH175" s="52" t="str">
        <f ca="1">IF(AL175="","",IF(AL175=BH167,AL175,""))</f>
        <v/>
      </c>
      <c r="BI175" s="52" t="str">
        <f ca="1">IF(AL175="","",IF(AL175=BI167,AL175,""))</f>
        <v/>
      </c>
      <c r="BJ175" s="52" t="str">
        <f ca="1">IF(AL175="","",IF(AL175=BJ167,AL175,""))</f>
        <v/>
      </c>
      <c r="BK175" s="52" t="str">
        <f ca="1">IF(AM175="","",IF(AM175=BK167,AM175,""))</f>
        <v/>
      </c>
      <c r="BL175" s="52" t="str">
        <f ca="1">IF(AM175="","",IF(AM175=BL167,AM175,""))</f>
        <v/>
      </c>
      <c r="BM175" s="52" t="str">
        <f ca="1">IF(AM175="","",IF(AM175=BM167,AM175,""))</f>
        <v/>
      </c>
      <c r="BN175" s="52" t="str">
        <f ca="1">IF(AM175="","",IF(AM175=BN167,AM175,""))</f>
        <v/>
      </c>
      <c r="BO175" s="52" t="str">
        <f ca="1">IF(AM175="","",IF(AM175=BO167,AM175,""))</f>
        <v/>
      </c>
      <c r="BP175" s="52" t="str">
        <f ca="1">IF(AM175="","",IF(AM175=BP167,AM175,""))</f>
        <v/>
      </c>
      <c r="BQ175" s="52" t="str">
        <f ca="1">IF(AM175="","",IF(AM175=BQ167,AM175,""))</f>
        <v/>
      </c>
      <c r="BR175" s="52" t="str">
        <f ca="1">IF(AM175="","",IF(AM175=BR167,AM175,""))</f>
        <v/>
      </c>
      <c r="BS175" s="46"/>
      <c r="BT175" s="4" t="str">
        <f>IFERROR(IF(A167=0,A175*11,A175&amp;A175),"")</f>
        <v/>
      </c>
    </row>
    <row r="176" spans="1:72" s="4" customFormat="1" ht="16.149999999999999" customHeight="1" x14ac:dyDescent="0.35">
      <c r="A176" s="8">
        <f>IFERROR(IF(A167=0,A168*11,A168&amp;A168),"-")</f>
        <v>11</v>
      </c>
      <c r="B176" s="10" t="str">
        <f ca="1">IFERROR(IF(OR(AK176=0,AK176="B"),"",RANK(AZ176,AZ168:AZ183,1)),"")</f>
        <v/>
      </c>
      <c r="C176" s="10">
        <f ca="1">IFERROR(IF(OR(AK176=0,AK176="A"),"",RANK(BA176,BA168:BA183,1)),"")</f>
        <v>3</v>
      </c>
      <c r="D176" s="55">
        <v>9</v>
      </c>
      <c r="E176" s="17">
        <f t="shared" si="60"/>
        <v>11</v>
      </c>
      <c r="F176" s="319" t="str">
        <f>IFERROR(VLOOKUP($A164&amp;E176,downloads!$A$1:$E$1000,2,FALSE),"")</f>
        <v>Sam FIRMAN</v>
      </c>
      <c r="G176" s="18" t="str">
        <f t="shared" si="55"/>
        <v>C&amp;N</v>
      </c>
      <c r="H176" s="497"/>
      <c r="I176" s="498"/>
      <c r="J176" s="497"/>
      <c r="K176" s="498"/>
      <c r="L176" s="497"/>
      <c r="M176" s="498"/>
      <c r="N176" s="497"/>
      <c r="O176" s="498"/>
      <c r="P176" s="497"/>
      <c r="Q176" s="498"/>
      <c r="R176" s="497"/>
      <c r="S176" s="498"/>
      <c r="T176" s="497"/>
      <c r="U176" s="498"/>
      <c r="V176" s="497"/>
      <c r="W176" s="498"/>
      <c r="X176" s="497"/>
      <c r="Y176" s="498"/>
      <c r="Z176" s="497"/>
      <c r="AA176" s="498"/>
      <c r="AB176" s="497"/>
      <c r="AC176" s="498"/>
      <c r="AD176" s="497"/>
      <c r="AE176" s="498"/>
      <c r="AF176" s="511">
        <f ca="1">IFERROR(INDIRECT(CONCATENATE("'Height Input'!"&amp;B166&amp;C166+8)),"")</f>
        <v>1.25</v>
      </c>
      <c r="AG176" s="512"/>
      <c r="AH176" s="48"/>
      <c r="AI176" s="48"/>
      <c r="AJ176" s="49">
        <f ca="1">IFERROR(IF(AF176="X",MatchDay!$U$2+MatchDay!$U$2+1-COUNTIF($AF168:AF176,"X"),IF(AF176&gt;=97,1,INT(INDIRECT(CONCATENATE("'Height Input'!"&amp;$B165&amp;$C166+8))))),"")</f>
        <v>7</v>
      </c>
      <c r="AK176" s="50" t="str">
        <f ca="1">IFERROR(IF(OR(AJ176=0,AJ176=""),0,IF(OR(AJ176&lt;VLOOKUP(BT176,$E168:$AJ175,32,FALSE),VLOOKUP(BT176,$E168:$AJ175,32,FALSE)=0),"A","B")),0)</f>
        <v>B</v>
      </c>
      <c r="AL176" s="123" t="str">
        <f ca="1">IFERROR(IF(OR(AK176=0,AK176="B"),"",RANK(AW176,AW168:AW183,1)),"")</f>
        <v/>
      </c>
      <c r="AM176" s="123">
        <f ca="1">IFERROR(IF(OR(AK176=0,AK176="A"),"",RANK(AX176,AX168:AX183,1)),"")</f>
        <v>3</v>
      </c>
      <c r="AN176" s="51">
        <f ca="1">IFERROR(IF(AF176="X",0,(INDIRECT(CONCATENATE("'Height Input'!"&amp;$B165&amp;$C166+8))-AJ176)*10),"")</f>
        <v>0</v>
      </c>
      <c r="AO176" s="8"/>
      <c r="AP176" s="9" t="str">
        <f t="shared" ca="1" si="61"/>
        <v/>
      </c>
      <c r="AQ176" s="9" t="str">
        <f ca="1">IF(AR176="","",HLOOKUP(AL176,BC167:BJ184,18,FALSE))</f>
        <v/>
      </c>
      <c r="AR176" s="45" t="str">
        <f ca="1">IF(OR(AL176=0,AL176=""),"",IF(COUNTIFS(AL168:AL183,AL176)&gt;1,"=",""))</f>
        <v/>
      </c>
      <c r="AS176" s="45"/>
      <c r="AT176" s="9" t="str">
        <f t="shared" ca="1" si="62"/>
        <v/>
      </c>
      <c r="AU176" s="9" t="str">
        <f ca="1">IF(AV176="","",HLOOKUP(AM176,BK167:BR184,18,FALSE))</f>
        <v/>
      </c>
      <c r="AV176" s="45" t="str">
        <f ca="1">IF(OR(AM176=0,AM176=""),"",IF(COUNTIFS(AM168:AM183,AM176)&gt;1,"=",""))</f>
        <v/>
      </c>
      <c r="AW176" s="9" t="str">
        <f t="shared" ca="1" si="56"/>
        <v/>
      </c>
      <c r="AX176" s="9">
        <f t="shared" ca="1" si="57"/>
        <v>7</v>
      </c>
      <c r="AY176" s="47"/>
      <c r="AZ176" s="135" t="str">
        <f t="shared" ca="1" si="58"/>
        <v/>
      </c>
      <c r="BA176" s="135">
        <f t="shared" ca="1" si="59"/>
        <v>7</v>
      </c>
      <c r="BB176" s="9"/>
      <c r="BC176" s="52" t="str">
        <f ca="1">IF(AL176="","",IF(AL176=BC167,AL176,""))</f>
        <v/>
      </c>
      <c r="BD176" s="52" t="str">
        <f ca="1">IF(AL176="","",IF(AL176=BD167,AL176,""))</f>
        <v/>
      </c>
      <c r="BE176" s="52" t="str">
        <f ca="1">IF(AL176="","",IF(AL176=BE167,AL176,""))</f>
        <v/>
      </c>
      <c r="BF176" s="52" t="str">
        <f ca="1">IF(AL176="","",IF(AL176=BF167,AL176,""))</f>
        <v/>
      </c>
      <c r="BG176" s="52" t="str">
        <f ca="1">IF(AL176="","",IF(AL176=BG167,AL176,""))</f>
        <v/>
      </c>
      <c r="BH176" s="52" t="str">
        <f ca="1">IF(AL176="","",IF(AL176=BH167,AL176,""))</f>
        <v/>
      </c>
      <c r="BI176" s="52" t="str">
        <f ca="1">IF(AL176="","",IF(AL176=BI167,AL176,""))</f>
        <v/>
      </c>
      <c r="BJ176" s="52" t="str">
        <f ca="1">IF(AL176="","",IF(AL176=BJ167,AL176,""))</f>
        <v/>
      </c>
      <c r="BK176" s="52" t="str">
        <f ca="1">IF(AM176="","",IF(AM176=BK167,AM176,""))</f>
        <v/>
      </c>
      <c r="BL176" s="52" t="str">
        <f ca="1">IF(AM176="","",IF(AM176=BL167,AM176,""))</f>
        <v/>
      </c>
      <c r="BM176" s="52">
        <f ca="1">IF(AM176="","",IF(AM176=BM167,AM176,""))</f>
        <v>3</v>
      </c>
      <c r="BN176" s="52" t="str">
        <f ca="1">IF(AM176="","",IF(AM176=BN167,AM176,""))</f>
        <v/>
      </c>
      <c r="BO176" s="52" t="str">
        <f ca="1">IF(AM176="","",IF(AM176=BO167,AM176,""))</f>
        <v/>
      </c>
      <c r="BP176" s="52" t="str">
        <f ca="1">IF(AM176="","",IF(AM176=BP167,AM176,""))</f>
        <v/>
      </c>
      <c r="BQ176" s="52" t="str">
        <f ca="1">IF(AM176="","",IF(AM176=BQ167,AM176,""))</f>
        <v/>
      </c>
      <c r="BR176" s="52" t="str">
        <f ca="1">IF(AM176="","",IF(AM176=BR167,AM176,""))</f>
        <v/>
      </c>
      <c r="BS176" s="46"/>
      <c r="BT176" s="4">
        <f>IFERROR(IF(A167=0,A176/11,LEFT(A176,1)),"")</f>
        <v>1</v>
      </c>
    </row>
    <row r="177" spans="1:72" s="4" customFormat="1" ht="16.149999999999999" customHeight="1" x14ac:dyDescent="0.35">
      <c r="A177" s="8">
        <f>IFERROR(IF(A167=0,A169*11,A169&amp;A169),"-")</f>
        <v>22</v>
      </c>
      <c r="B177" s="10" t="str">
        <f ca="1">IFERROR(IF(OR(AK177=0,AK177="B"),"",RANK(AZ177,AZ168:AZ183,1)),"")</f>
        <v/>
      </c>
      <c r="C177" s="10" t="str">
        <f ca="1">IFERROR(IF(OR(AK177=0,AK177="A"),"",RANK(BA177,BA168:BA183,1)),"")</f>
        <v/>
      </c>
      <c r="D177" s="55">
        <v>10</v>
      </c>
      <c r="E177" s="17">
        <f t="shared" si="60"/>
        <v>22</v>
      </c>
      <c r="F177" s="319" t="str">
        <f>IFERROR(VLOOKUP($A164&amp;E177,downloads!$A$1:$E$1000,2,FALSE),"")</f>
        <v/>
      </c>
      <c r="G177" s="18" t="str">
        <f t="shared" si="55"/>
        <v>ECHT</v>
      </c>
      <c r="H177" s="497"/>
      <c r="I177" s="498"/>
      <c r="J177" s="497"/>
      <c r="K177" s="498"/>
      <c r="L177" s="497"/>
      <c r="M177" s="498"/>
      <c r="N177" s="497"/>
      <c r="O177" s="498"/>
      <c r="P177" s="497"/>
      <c r="Q177" s="498"/>
      <c r="R177" s="497"/>
      <c r="S177" s="498"/>
      <c r="T177" s="497"/>
      <c r="U177" s="498"/>
      <c r="V177" s="497"/>
      <c r="W177" s="498"/>
      <c r="X177" s="497"/>
      <c r="Y177" s="498"/>
      <c r="Z177" s="497"/>
      <c r="AA177" s="498"/>
      <c r="AB177" s="497"/>
      <c r="AC177" s="498"/>
      <c r="AD177" s="497"/>
      <c r="AE177" s="498"/>
      <c r="AF177" s="511">
        <f ca="1">IFERROR(INDIRECT(CONCATENATE("'Height Input'!"&amp;B166&amp;C166+9)),"")</f>
        <v>0</v>
      </c>
      <c r="AG177" s="512"/>
      <c r="AH177" s="48"/>
      <c r="AI177" s="48"/>
      <c r="AJ177" s="49">
        <f ca="1">IFERROR(IF(AF177="X",MatchDay!$U$2+MatchDay!$U$2+1-COUNTIF($AF168:AF177,"X"),IF(AF177&gt;=97,1,INT(INDIRECT(CONCATENATE("'Height Input'!"&amp;$B165&amp;$C166+9))))),"")</f>
        <v>0</v>
      </c>
      <c r="AK177" s="50">
        <f ca="1">IFERROR(IF(OR(AJ177=0,AJ177=""),0,IF(OR(AJ177&lt;VLOOKUP(BT177,$E168:$AJ175,32,FALSE),VLOOKUP(BT177,$E168:$AJ175,32,FALSE)=0),"A","B")),0)</f>
        <v>0</v>
      </c>
      <c r="AL177" s="123" t="str">
        <f ca="1">IFERROR(IF(OR(AK177=0,AK177="B"),"",RANK(AW177,AW168:AW183,1)),"")</f>
        <v/>
      </c>
      <c r="AM177" s="123" t="str">
        <f ca="1">IFERROR(IF(OR(AK177=0,AK177="A"),"",RANK(AX177,AX168:AX183,1)),"")</f>
        <v/>
      </c>
      <c r="AN177" s="51">
        <f ca="1">IFERROR(IF(AF177="X",0,(INDIRECT(CONCATENATE("'Height Input'!"&amp;$B165&amp;$C166+9))-AJ177)*10),"")</f>
        <v>0</v>
      </c>
      <c r="AO177" s="8"/>
      <c r="AP177" s="9" t="str">
        <f t="shared" ca="1" si="61"/>
        <v/>
      </c>
      <c r="AQ177" s="9" t="str">
        <f ca="1">IF(AR177="","",HLOOKUP(AL177,BC167:BJ184,18,FALSE))</f>
        <v/>
      </c>
      <c r="AR177" s="45" t="str">
        <f ca="1">IF(OR(AL177=0,AL177=""),"",IF(COUNTIFS(AL168:AL183,AL177)&gt;1,"=",""))</f>
        <v/>
      </c>
      <c r="AS177" s="45"/>
      <c r="AT177" s="9" t="str">
        <f t="shared" ca="1" si="62"/>
        <v/>
      </c>
      <c r="AU177" s="9" t="str">
        <f ca="1">IF(AV177="","",HLOOKUP(AM177,BK167:BR184,18,FALSE))</f>
        <v/>
      </c>
      <c r="AV177" s="45" t="str">
        <f ca="1">IF(OR(AM177=0,AM177=""),"",IF(COUNTIFS(AM168:AM183,AM177)&gt;1,"=",""))</f>
        <v/>
      </c>
      <c r="AW177" s="9" t="str">
        <f t="shared" ca="1" si="56"/>
        <v/>
      </c>
      <c r="AX177" s="9" t="str">
        <f t="shared" ca="1" si="57"/>
        <v/>
      </c>
      <c r="AY177" s="47"/>
      <c r="AZ177" s="135" t="str">
        <f t="shared" ca="1" si="58"/>
        <v/>
      </c>
      <c r="BA177" s="135" t="str">
        <f t="shared" ca="1" si="59"/>
        <v/>
      </c>
      <c r="BB177" s="9"/>
      <c r="BC177" s="52" t="str">
        <f ca="1">IF(AL177="","",IF(AL177=BC167,AL177,""))</f>
        <v/>
      </c>
      <c r="BD177" s="52" t="str">
        <f ca="1">IF(AL177="","",IF(AL177=BD167,AL177,""))</f>
        <v/>
      </c>
      <c r="BE177" s="52" t="str">
        <f ca="1">IF(AL177="","",IF(AL177=BE167,AL177,""))</f>
        <v/>
      </c>
      <c r="BF177" s="52" t="str">
        <f ca="1">IF(AL177="","",IF(AL177=BF167,AL177,""))</f>
        <v/>
      </c>
      <c r="BG177" s="52" t="str">
        <f ca="1">IF(AL177="","",IF(AL177=BG167,AL177,""))</f>
        <v/>
      </c>
      <c r="BH177" s="52" t="str">
        <f ca="1">IF(AL177="","",IF(AL177=BH167,AL177,""))</f>
        <v/>
      </c>
      <c r="BI177" s="52" t="str">
        <f ca="1">IF(AL177="","",IF(AL177=BI167,AL177,""))</f>
        <v/>
      </c>
      <c r="BJ177" s="52" t="str">
        <f ca="1">IF(AL177="","",IF(AL177=BJ167,AL177,""))</f>
        <v/>
      </c>
      <c r="BK177" s="52" t="str">
        <f ca="1">IF(AM177="","",IF(AM177=BK167,AM177,""))</f>
        <v/>
      </c>
      <c r="BL177" s="52" t="str">
        <f ca="1">IF(AM177="","",IF(AM177=BL167,AM177,""))</f>
        <v/>
      </c>
      <c r="BM177" s="52" t="str">
        <f ca="1">IF(AM177="","",IF(AM177=BM167,AM177,""))</f>
        <v/>
      </c>
      <c r="BN177" s="52" t="str">
        <f ca="1">IF(AM177="","",IF(AM177=BN167,AM177,""))</f>
        <v/>
      </c>
      <c r="BO177" s="52" t="str">
        <f ca="1">IF(AM177="","",IF(AM177=BO167,AM177,""))</f>
        <v/>
      </c>
      <c r="BP177" s="52" t="str">
        <f ca="1">IF(AM177="","",IF(AM177=BP167,AM177,""))</f>
        <v/>
      </c>
      <c r="BQ177" s="52" t="str">
        <f ca="1">IF(AM177="","",IF(AM177=BQ167,AM177,""))</f>
        <v/>
      </c>
      <c r="BR177" s="52" t="str">
        <f ca="1">IF(AM177="","",IF(AM177=BR167,AM177,""))</f>
        <v/>
      </c>
      <c r="BS177" s="46"/>
      <c r="BT177" s="4">
        <f>IFERROR(IF(A167=0,A177/11,LEFT(A177,1)),"")</f>
        <v>2</v>
      </c>
    </row>
    <row r="178" spans="1:72" s="4" customFormat="1" ht="16.149999999999999" customHeight="1" x14ac:dyDescent="0.35">
      <c r="A178" s="8">
        <f>IFERROR(IF(A167=0,A170*11,A170&amp;A170),"-")</f>
        <v>66</v>
      </c>
      <c r="B178" s="10" t="str">
        <f ca="1">IFERROR(IF(OR(AK178=0,AK178="B"),"",RANK(AZ178,AZ168:AZ183,1)),"")</f>
        <v/>
      </c>
      <c r="C178" s="10">
        <f ca="1">IFERROR(IF(OR(AK178=0,AK178="A"),"",RANK(BA178,BA168:BA183,1)),"")</f>
        <v>2</v>
      </c>
      <c r="D178" s="55">
        <v>11</v>
      </c>
      <c r="E178" s="17">
        <f t="shared" si="60"/>
        <v>66</v>
      </c>
      <c r="F178" s="319" t="str">
        <f>IFERROR(VLOOKUP($A164&amp;E178,downloads!$A$1:$E$1000,2,FALSE),"")</f>
        <v>Campbell JOHNSON</v>
      </c>
      <c r="G178" s="18" t="str">
        <f t="shared" si="55"/>
        <v>Stock</v>
      </c>
      <c r="H178" s="497"/>
      <c r="I178" s="498"/>
      <c r="J178" s="497"/>
      <c r="K178" s="498"/>
      <c r="L178" s="497"/>
      <c r="M178" s="498"/>
      <c r="N178" s="497"/>
      <c r="O178" s="498"/>
      <c r="P178" s="497"/>
      <c r="Q178" s="498"/>
      <c r="R178" s="497"/>
      <c r="S178" s="498"/>
      <c r="T178" s="497"/>
      <c r="U178" s="498"/>
      <c r="V178" s="497"/>
      <c r="W178" s="498"/>
      <c r="X178" s="497"/>
      <c r="Y178" s="498"/>
      <c r="Z178" s="497"/>
      <c r="AA178" s="498"/>
      <c r="AB178" s="497"/>
      <c r="AC178" s="498"/>
      <c r="AD178" s="497"/>
      <c r="AE178" s="498"/>
      <c r="AF178" s="511">
        <f ca="1">IFERROR(INDIRECT(CONCATENATE("'Height Input'!"&amp;B166&amp;C166+10)),"")</f>
        <v>1.35</v>
      </c>
      <c r="AG178" s="512"/>
      <c r="AH178" s="48"/>
      <c r="AI178" s="48"/>
      <c r="AJ178" s="49">
        <f ca="1">IFERROR(IF(AF178="X",MatchDay!$U$2+MatchDay!$U$2+1-COUNTIF($AF168:AF178,"X"),IF(AF178&gt;=97,1,INT(INDIRECT(CONCATENATE("'Height Input'!"&amp;$B165&amp;$C166+10))))),"")</f>
        <v>5</v>
      </c>
      <c r="AK178" s="50" t="str">
        <f ca="1">IFERROR(IF(OR(AJ178=0,AJ178=""),0,IF(OR(AJ178&lt;VLOOKUP(BT178,$E168:$AJ175,32,FALSE),VLOOKUP(BT178,$E168:$AJ175,32,FALSE)=0),"A","B")),0)</f>
        <v>B</v>
      </c>
      <c r="AL178" s="123" t="str">
        <f ca="1">IFERROR(IF(OR(AK178=0,AK178="B"),"",RANK(AW178,AW168:AW183,1)),"")</f>
        <v/>
      </c>
      <c r="AM178" s="123">
        <f ca="1">IFERROR(IF(OR(AK178=0,AK178="A"),"",RANK(AX178,AX168:AX183,1)),"")</f>
        <v>2</v>
      </c>
      <c r="AN178" s="51">
        <f ca="1">IFERROR(IF(AF178="X",0,(INDIRECT(CONCATENATE("'Height Input'!"&amp;$B165&amp;$C166+10))-AJ178)*10),"")</f>
        <v>0</v>
      </c>
      <c r="AO178" s="8"/>
      <c r="AP178" s="9" t="str">
        <f t="shared" ca="1" si="61"/>
        <v/>
      </c>
      <c r="AQ178" s="9" t="str">
        <f ca="1">IF(AR178="","",HLOOKUP(AL178,BC167:BJ184,18,FALSE))</f>
        <v/>
      </c>
      <c r="AR178" s="45" t="str">
        <f ca="1">IF(OR(AL178=0,AL178=""),"",IF(COUNTIFS(AL168:AL183,AL178)&gt;1,"=",""))</f>
        <v/>
      </c>
      <c r="AS178" s="45"/>
      <c r="AT178" s="9" t="str">
        <f t="shared" ca="1" si="62"/>
        <v/>
      </c>
      <c r="AU178" s="9" t="str">
        <f ca="1">IF(AV178="","",HLOOKUP(AM178,BK167:BR184,18,FALSE))</f>
        <v/>
      </c>
      <c r="AV178" s="45" t="str">
        <f ca="1">IF(OR(AM178=0,AM178=""),"",IF(COUNTIFS(AM168:AM183,AM178)&gt;1,"=",""))</f>
        <v/>
      </c>
      <c r="AW178" s="9" t="str">
        <f t="shared" ca="1" si="56"/>
        <v/>
      </c>
      <c r="AX178" s="9">
        <f t="shared" ca="1" si="57"/>
        <v>5</v>
      </c>
      <c r="AY178" s="47"/>
      <c r="AZ178" s="135" t="str">
        <f t="shared" ca="1" si="58"/>
        <v/>
      </c>
      <c r="BA178" s="135">
        <f t="shared" ca="1" si="59"/>
        <v>5</v>
      </c>
      <c r="BB178" s="9"/>
      <c r="BC178" s="52" t="str">
        <f ca="1">IF(AL178="","",IF(AL178=BC167,AL178,""))</f>
        <v/>
      </c>
      <c r="BD178" s="52" t="str">
        <f ca="1">IF(AL178="","",IF(AL178=BD167,AL178,""))</f>
        <v/>
      </c>
      <c r="BE178" s="52" t="str">
        <f ca="1">IF(AL178="","",IF(AL178=BE167,AL178,""))</f>
        <v/>
      </c>
      <c r="BF178" s="52" t="str">
        <f ca="1">IF(AL178="","",IF(AL178=BF167,AL178,""))</f>
        <v/>
      </c>
      <c r="BG178" s="52" t="str">
        <f ca="1">IF(AL178="","",IF(AL178=BG167,AL178,""))</f>
        <v/>
      </c>
      <c r="BH178" s="52" t="str">
        <f ca="1">IF(AL178="","",IF(AL178=BH167,AL178,""))</f>
        <v/>
      </c>
      <c r="BI178" s="52" t="str">
        <f ca="1">IF(AL178="","",IF(AL178=BI167,AL178,""))</f>
        <v/>
      </c>
      <c r="BJ178" s="52" t="str">
        <f ca="1">IF(AL178="","",IF(AL178=BJ167,AL178,""))</f>
        <v/>
      </c>
      <c r="BK178" s="52" t="str">
        <f ca="1">IF(AM178="","",IF(AM178=BK167,AM178,""))</f>
        <v/>
      </c>
      <c r="BL178" s="52">
        <f ca="1">IF(AM178="","",IF(AM178=BL167,AM178,""))</f>
        <v>2</v>
      </c>
      <c r="BM178" s="52" t="str">
        <f ca="1">IF(AM178="","",IF(AM178=BM167,AM178,""))</f>
        <v/>
      </c>
      <c r="BN178" s="52" t="str">
        <f ca="1">IF(AM178="","",IF(AM178=BN167,AM178,""))</f>
        <v/>
      </c>
      <c r="BO178" s="52" t="str">
        <f ca="1">IF(AM178="","",IF(AM178=BO167,AM178,""))</f>
        <v/>
      </c>
      <c r="BP178" s="52" t="str">
        <f ca="1">IF(AM178="","",IF(AM178=BP167,AM178,""))</f>
        <v/>
      </c>
      <c r="BQ178" s="52" t="str">
        <f ca="1">IF(AM178="","",IF(AM178=BQ167,AM178,""))</f>
        <v/>
      </c>
      <c r="BR178" s="52" t="str">
        <f ca="1">IF(AM178="","",IF(AM178=BR167,AM178,""))</f>
        <v/>
      </c>
      <c r="BS178" s="46"/>
      <c r="BT178" s="4">
        <f>IFERROR(IF(A167=0,A178/11,LEFT(A178,1)),"")</f>
        <v>6</v>
      </c>
    </row>
    <row r="179" spans="1:72" s="4" customFormat="1" ht="16.149999999999999" customHeight="1" x14ac:dyDescent="0.35">
      <c r="A179" s="8">
        <f>IFERROR(IF(A167=0,A171*11,A171&amp;A171),"-")</f>
        <v>77</v>
      </c>
      <c r="B179" s="10" t="str">
        <f ca="1">IFERROR(IF(OR(AK179=0,AK179="B"),"",RANK(AZ179,AZ168:AZ183,1)),"")</f>
        <v/>
      </c>
      <c r="C179" s="10" t="str">
        <f ca="1">IFERROR(IF(OR(AK179=0,AK179="A"),"",RANK(BA179,BA168:BA183,1)),"")</f>
        <v/>
      </c>
      <c r="D179" s="55">
        <v>12</v>
      </c>
      <c r="E179" s="17">
        <f t="shared" si="60"/>
        <v>77</v>
      </c>
      <c r="F179" s="319" t="str">
        <f>IFERROR(VLOOKUP($A164&amp;E179,downloads!$A$1:$E$1000,2,FALSE),"")</f>
        <v/>
      </c>
      <c r="G179" s="18" t="str">
        <f t="shared" si="55"/>
        <v>Wigan</v>
      </c>
      <c r="H179" s="497"/>
      <c r="I179" s="498"/>
      <c r="J179" s="497"/>
      <c r="K179" s="498"/>
      <c r="L179" s="497"/>
      <c r="M179" s="498"/>
      <c r="N179" s="497"/>
      <c r="O179" s="498"/>
      <c r="P179" s="497"/>
      <c r="Q179" s="498"/>
      <c r="R179" s="497"/>
      <c r="S179" s="498"/>
      <c r="T179" s="497"/>
      <c r="U179" s="498"/>
      <c r="V179" s="497"/>
      <c r="W179" s="498"/>
      <c r="X179" s="497"/>
      <c r="Y179" s="498"/>
      <c r="Z179" s="497"/>
      <c r="AA179" s="498"/>
      <c r="AB179" s="497"/>
      <c r="AC179" s="498"/>
      <c r="AD179" s="497"/>
      <c r="AE179" s="498"/>
      <c r="AF179" s="511">
        <f ca="1">IFERROR(INDIRECT(CONCATENATE("'Height Input'!"&amp;B166&amp;C166+11)),"")</f>
        <v>0</v>
      </c>
      <c r="AG179" s="512"/>
      <c r="AH179" s="48"/>
      <c r="AI179" s="48"/>
      <c r="AJ179" s="49">
        <f ca="1">IFERROR(IF(AF179="X",MatchDay!$U$2+MatchDay!$U$2+1-COUNTIF($AF168:AF179,"X"),IF(AF179&gt;=97,1,INT(INDIRECT(CONCATENATE("'Height Input'!"&amp;$B165&amp;$C166+11))))),"")</f>
        <v>0</v>
      </c>
      <c r="AK179" s="50">
        <f ca="1">IFERROR(IF(OR(AJ179=0,AJ179=""),0,IF(OR(AJ179&lt;VLOOKUP(BT179,$E168:$AJ175,32,FALSE),VLOOKUP(BT179,$E168:$AJ175,32,FALSE)=0),"A","B")),0)</f>
        <v>0</v>
      </c>
      <c r="AL179" s="123" t="str">
        <f ca="1">IFERROR(IF(OR(AK179=0,AK179="B"),"",RANK(AW179,AW168:AW183,1)),"")</f>
        <v/>
      </c>
      <c r="AM179" s="123" t="str">
        <f ca="1">IFERROR(IF(OR(AK179=0,AK179="A"),"",RANK(AX179,AX168:AX183,1)),"")</f>
        <v/>
      </c>
      <c r="AN179" s="51">
        <f ca="1">IFERROR(IF(AF179="X",0,(INDIRECT(CONCATENATE("'Height Input'!"&amp;$B165&amp;$C166+11))-AJ179)*10),"")</f>
        <v>0</v>
      </c>
      <c r="AO179" s="8"/>
      <c r="AP179" s="9" t="str">
        <f t="shared" ca="1" si="61"/>
        <v/>
      </c>
      <c r="AQ179" s="9" t="str">
        <f ca="1">IF(AR179="","",HLOOKUP(AL179,BC167:BJ184,18,FALSE))</f>
        <v/>
      </c>
      <c r="AR179" s="45" t="str">
        <f ca="1">IF(OR(AL179=0,AL179=""),"",IF(COUNTIFS(AL168:AL183,AL179)&gt;1,"=",""))</f>
        <v/>
      </c>
      <c r="AS179" s="45"/>
      <c r="AT179" s="9" t="str">
        <f t="shared" ca="1" si="62"/>
        <v/>
      </c>
      <c r="AU179" s="9" t="str">
        <f ca="1">IF(AV179="","",HLOOKUP(AM179,BK167:BR184,18,FALSE))</f>
        <v/>
      </c>
      <c r="AV179" s="45" t="str">
        <f ca="1">IF(OR(AM179=0,AM179=""),"",IF(COUNTIFS(AM168:AM183,AM179)&gt;1,"=",""))</f>
        <v/>
      </c>
      <c r="AW179" s="9" t="str">
        <f t="shared" ca="1" si="56"/>
        <v/>
      </c>
      <c r="AX179" s="9" t="str">
        <f t="shared" ca="1" si="57"/>
        <v/>
      </c>
      <c r="AY179" s="47"/>
      <c r="AZ179" s="135" t="str">
        <f t="shared" ca="1" si="58"/>
        <v/>
      </c>
      <c r="BA179" s="135" t="str">
        <f t="shared" ca="1" si="59"/>
        <v/>
      </c>
      <c r="BB179" s="9"/>
      <c r="BC179" s="52" t="str">
        <f ca="1">IF(AL179="","",IF(AL179=BC167,AL179,""))</f>
        <v/>
      </c>
      <c r="BD179" s="52" t="str">
        <f ca="1">IF(AL179="","",IF(AL179=BD167,AL179,""))</f>
        <v/>
      </c>
      <c r="BE179" s="52" t="str">
        <f ca="1">IF(AL179="","",IF(AL179=BE167,AL179,""))</f>
        <v/>
      </c>
      <c r="BF179" s="52" t="str">
        <f ca="1">IF(AL179="","",IF(AL179=BF167,AL179,""))</f>
        <v/>
      </c>
      <c r="BG179" s="52" t="str">
        <f ca="1">IF(AL179="","",IF(AL179=BG167,AL179,""))</f>
        <v/>
      </c>
      <c r="BH179" s="52" t="str">
        <f ca="1">IF(AL179="","",IF(AL179=BH167,AL179,""))</f>
        <v/>
      </c>
      <c r="BI179" s="52" t="str">
        <f ca="1">IF(AL179="","",IF(AL179=BI167,AL179,""))</f>
        <v/>
      </c>
      <c r="BJ179" s="52" t="str">
        <f ca="1">IF(AL179="","",IF(AL179=BJ167,AL179,""))</f>
        <v/>
      </c>
      <c r="BK179" s="52" t="str">
        <f ca="1">IF(AM179="","",IF(AM179=BK167,AM179,""))</f>
        <v/>
      </c>
      <c r="BL179" s="52" t="str">
        <f ca="1">IF(AM179="","",IF(AM179=BL167,AM179,""))</f>
        <v/>
      </c>
      <c r="BM179" s="52" t="str">
        <f ca="1">IF(AM179="","",IF(AM179=BM167,AM179,""))</f>
        <v/>
      </c>
      <c r="BN179" s="52" t="str">
        <f ca="1">IF(AM179="","",IF(AM179=BN167,AM179,""))</f>
        <v/>
      </c>
      <c r="BO179" s="52" t="str">
        <f ca="1">IF(AM179="","",IF(AM179=BO167,AM179,""))</f>
        <v/>
      </c>
      <c r="BP179" s="52" t="str">
        <f ca="1">IF(AM179="","",IF(AM179=BP167,AM179,""))</f>
        <v/>
      </c>
      <c r="BQ179" s="52" t="str">
        <f ca="1">IF(AM179="","",IF(AM179=BQ167,AM179,""))</f>
        <v/>
      </c>
      <c r="BR179" s="52" t="str">
        <f ca="1">IF(AM179="","",IF(AM179=BR167,AM179,""))</f>
        <v/>
      </c>
      <c r="BS179" s="46"/>
      <c r="BT179" s="4">
        <f>IFERROR(IF(A167=0,A179/11,LEFT(A179,1)),"")</f>
        <v>7</v>
      </c>
    </row>
    <row r="180" spans="1:72" s="4" customFormat="1" ht="16.149999999999999" customHeight="1" x14ac:dyDescent="0.35">
      <c r="A180" s="8">
        <f>IFERROR(IF(A167=0,A172*11,A172&amp;A172),"-")</f>
        <v>33</v>
      </c>
      <c r="B180" s="10" t="str">
        <f ca="1">IFERROR(IF(OR(AK180=0,AK180="B"),"",RANK(AZ180,AZ168:AZ183,1)),"")</f>
        <v/>
      </c>
      <c r="C180" s="10" t="str">
        <f ca="1">IFERROR(IF(OR(AK180=0,AK180="A"),"",RANK(BA180,BA168:BA183,1)),"")</f>
        <v/>
      </c>
      <c r="D180" s="55">
        <v>13</v>
      </c>
      <c r="E180" s="17">
        <f t="shared" si="60"/>
        <v>33</v>
      </c>
      <c r="F180" s="319" t="str">
        <f>IFERROR(VLOOKUP($A164&amp;E180,downloads!$A$1:$E$1000,2,FALSE),"")</f>
        <v/>
      </c>
      <c r="G180" s="18" t="str">
        <f t="shared" si="55"/>
        <v>Leigh</v>
      </c>
      <c r="H180" s="497"/>
      <c r="I180" s="498"/>
      <c r="J180" s="497"/>
      <c r="K180" s="498"/>
      <c r="L180" s="497"/>
      <c r="M180" s="498"/>
      <c r="N180" s="497"/>
      <c r="O180" s="498"/>
      <c r="P180" s="497"/>
      <c r="Q180" s="498"/>
      <c r="R180" s="497"/>
      <c r="S180" s="498"/>
      <c r="T180" s="497"/>
      <c r="U180" s="498"/>
      <c r="V180" s="497"/>
      <c r="W180" s="498"/>
      <c r="X180" s="497"/>
      <c r="Y180" s="498"/>
      <c r="Z180" s="497"/>
      <c r="AA180" s="498"/>
      <c r="AB180" s="497"/>
      <c r="AC180" s="498"/>
      <c r="AD180" s="497"/>
      <c r="AE180" s="498"/>
      <c r="AF180" s="511">
        <f ca="1">IFERROR(INDIRECT(CONCATENATE("'Height Input'!"&amp;B166&amp;C166+12)),"")</f>
        <v>0</v>
      </c>
      <c r="AG180" s="512"/>
      <c r="AH180" s="48"/>
      <c r="AI180" s="48"/>
      <c r="AJ180" s="49">
        <f ca="1">IFERROR(IF(AF180="X",MatchDay!$U$2+MatchDay!$U$2+1-COUNTIF($AF168:AF180,"X"),IF(AF180&gt;=97,1,INT(INDIRECT(CONCATENATE("'Height Input'!"&amp;$B165&amp;$C166+12))))),"")</f>
        <v>0</v>
      </c>
      <c r="AK180" s="50">
        <f ca="1">IFERROR(IF(OR(AJ180=0,AJ180=""),0,IF(OR(AJ180&lt;VLOOKUP(BT180,$E168:$AJ175,32,FALSE),VLOOKUP(BT180,$E168:$AJ175,32,FALSE)=0),"A","B")),0)</f>
        <v>0</v>
      </c>
      <c r="AL180" s="123" t="str">
        <f ca="1">IFERROR(IF(OR(AK180=0,AK180="B"),"",RANK(AW180,AW168:AW183,1)),"")</f>
        <v/>
      </c>
      <c r="AM180" s="123" t="str">
        <f ca="1">IFERROR(IF(OR(AK180=0,AK180="A"),"",RANK(AX180,AX168:AX183,1)),"")</f>
        <v/>
      </c>
      <c r="AN180" s="51">
        <f ca="1">IFERROR(IF(AF180="X",0,(INDIRECT(CONCATENATE("'Height Input'!"&amp;$B165&amp;$C166+12))-AJ180)*10),"")</f>
        <v>0</v>
      </c>
      <c r="AO180" s="8"/>
      <c r="AP180" s="9" t="str">
        <f t="shared" ca="1" si="61"/>
        <v/>
      </c>
      <c r="AQ180" s="9" t="str">
        <f ca="1">IF(AR180="","",HLOOKUP(AL180,BC167:BJ184,18,FALSE))</f>
        <v/>
      </c>
      <c r="AR180" s="45" t="str">
        <f ca="1">IF(OR(AL180=0,AL180=""),"",IF(COUNTIFS(AL168:AL183,AL180)&gt;1,"=",""))</f>
        <v/>
      </c>
      <c r="AS180" s="45"/>
      <c r="AT180" s="9" t="str">
        <f t="shared" ca="1" si="62"/>
        <v/>
      </c>
      <c r="AU180" s="9" t="str">
        <f ca="1">IF(AV180="","",HLOOKUP(AM180,BK167:BR184,18,FALSE))</f>
        <v/>
      </c>
      <c r="AV180" s="45" t="str">
        <f ca="1">IF(OR(AM180=0,AM180=""),"",IF(COUNTIFS(AM168:AM183,AM180)&gt;1,"=",""))</f>
        <v/>
      </c>
      <c r="AW180" s="9" t="str">
        <f t="shared" ca="1" si="56"/>
        <v/>
      </c>
      <c r="AX180" s="9" t="str">
        <f t="shared" ca="1" si="57"/>
        <v/>
      </c>
      <c r="AY180" s="47"/>
      <c r="AZ180" s="135" t="str">
        <f t="shared" ca="1" si="58"/>
        <v/>
      </c>
      <c r="BA180" s="135" t="str">
        <f t="shared" ca="1" si="59"/>
        <v/>
      </c>
      <c r="BB180" s="9"/>
      <c r="BC180" s="52" t="str">
        <f ca="1">IF(AL180="","",IF(AL180=BC167,AL180,""))</f>
        <v/>
      </c>
      <c r="BD180" s="52" t="str">
        <f ca="1">IF(AL180="","",IF(AL180=BD167,AL180,""))</f>
        <v/>
      </c>
      <c r="BE180" s="52" t="str">
        <f ca="1">IF(AL180="","",IF(AL180=BE167,AL180,""))</f>
        <v/>
      </c>
      <c r="BF180" s="52" t="str">
        <f ca="1">IF(AL180="","",IF(AL180=BF167,AL180,""))</f>
        <v/>
      </c>
      <c r="BG180" s="52" t="str">
        <f ca="1">IF(AL180="","",IF(AL180=BG167,AL180,""))</f>
        <v/>
      </c>
      <c r="BH180" s="52" t="str">
        <f ca="1">IF(AL180="","",IF(AL180=BH167,AL180,""))</f>
        <v/>
      </c>
      <c r="BI180" s="52" t="str">
        <f ca="1">IF(AL180="","",IF(AL180=BI167,AL180,""))</f>
        <v/>
      </c>
      <c r="BJ180" s="52" t="str">
        <f ca="1">IF(AL180="","",IF(AL180=BJ167,AL180,""))</f>
        <v/>
      </c>
      <c r="BK180" s="52" t="str">
        <f ca="1">IF(AM180="","",IF(AM180=BK167,AM180,""))</f>
        <v/>
      </c>
      <c r="BL180" s="52" t="str">
        <f ca="1">IF(AM180="","",IF(AM180=BL167,AM180,""))</f>
        <v/>
      </c>
      <c r="BM180" s="52" t="str">
        <f ca="1">IF(AM180="","",IF(AM180=BM167,AM180,""))</f>
        <v/>
      </c>
      <c r="BN180" s="52" t="str">
        <f ca="1">IF(AM180="","",IF(AM180=BN167,AM180,""))</f>
        <v/>
      </c>
      <c r="BO180" s="52" t="str">
        <f ca="1">IF(AM180="","",IF(AM180=BO167,AM180,""))</f>
        <v/>
      </c>
      <c r="BP180" s="52" t="str">
        <f ca="1">IF(AM180="","",IF(AM180=BP167,AM180,""))</f>
        <v/>
      </c>
      <c r="BQ180" s="52" t="str">
        <f ca="1">IF(AM180="","",IF(AM180=BQ167,AM180,""))</f>
        <v/>
      </c>
      <c r="BR180" s="52" t="str">
        <f ca="1">IF(AM180="","",IF(AM180=BR167,AM180,""))</f>
        <v/>
      </c>
      <c r="BS180" s="46"/>
      <c r="BT180" s="4">
        <f>IFERROR(IF(A167=0,A180/11,LEFT(A180,1)),"")</f>
        <v>3</v>
      </c>
    </row>
    <row r="181" spans="1:72" s="4" customFormat="1" ht="16.149999999999999" customHeight="1" x14ac:dyDescent="0.35">
      <c r="A181" s="8">
        <f>IFERROR(IF(A167=0,A173*11,A173&amp;A173),"-")</f>
        <v>44</v>
      </c>
      <c r="B181" s="10" t="str">
        <f ca="1">IFERROR(IF(OR(AK181=0,AK181="B"),"",RANK(AZ181,AZ168:AZ183,1)),"")</f>
        <v/>
      </c>
      <c r="C181" s="10">
        <f ca="1">IFERROR(IF(OR(AK181=0,AK181="A"),"",RANK(BA181,BA168:BA183,1)),"")</f>
        <v>1</v>
      </c>
      <c r="D181" s="55">
        <v>14</v>
      </c>
      <c r="E181" s="17">
        <f t="shared" si="60"/>
        <v>44</v>
      </c>
      <c r="F181" s="319" t="str">
        <f>IFERROR(VLOOKUP($A164&amp;E181,downloads!$A$1:$E$1000,2,FALSE),"")</f>
        <v>Tristan LAMPRECHT</v>
      </c>
      <c r="G181" s="18" t="str">
        <f t="shared" si="55"/>
        <v>Macc</v>
      </c>
      <c r="H181" s="497"/>
      <c r="I181" s="498"/>
      <c r="J181" s="497"/>
      <c r="K181" s="498"/>
      <c r="L181" s="497"/>
      <c r="M181" s="498"/>
      <c r="N181" s="497"/>
      <c r="O181" s="498"/>
      <c r="P181" s="497"/>
      <c r="Q181" s="498"/>
      <c r="R181" s="497"/>
      <c r="S181" s="498"/>
      <c r="T181" s="497"/>
      <c r="U181" s="498"/>
      <c r="V181" s="497"/>
      <c r="W181" s="498"/>
      <c r="X181" s="497"/>
      <c r="Y181" s="498"/>
      <c r="Z181" s="497"/>
      <c r="AA181" s="498"/>
      <c r="AB181" s="497"/>
      <c r="AC181" s="498"/>
      <c r="AD181" s="497"/>
      <c r="AE181" s="498"/>
      <c r="AF181" s="511">
        <f ca="1">IFERROR(INDIRECT(CONCATENATE("'Height Input'!"&amp;B166&amp;C166+13)),"")</f>
        <v>1.4</v>
      </c>
      <c r="AG181" s="512"/>
      <c r="AH181" s="48"/>
      <c r="AI181" s="48"/>
      <c r="AJ181" s="49">
        <f ca="1">IFERROR(IF(AF181="X",MatchDay!$U$2+MatchDay!$U$2+1-COUNTIF($AF168:AF181,"X"),IF(AF181&gt;=97,1,INT(INDIRECT(CONCATENATE("'Height Input'!"&amp;$B165&amp;$C166+13))))),"")</f>
        <v>4</v>
      </c>
      <c r="AK181" s="50" t="str">
        <f ca="1">IFERROR(IF(OR(AJ181=0,AJ181=""),0,IF(OR(AJ181&lt;VLOOKUP(BT181,$E168:$AJ175,32,FALSE),VLOOKUP(BT181,$E168:$AJ175,32,FALSE)=0),"A","B")),0)</f>
        <v>B</v>
      </c>
      <c r="AL181" s="123" t="str">
        <f ca="1">IFERROR(IF(OR(AK181=0,AK181="B"),"",RANK(AW181,AW168:AW183,1)),"")</f>
        <v/>
      </c>
      <c r="AM181" s="123">
        <f ca="1">IFERROR(IF(OR(AK181=0,AK181="A"),"",RANK(AX181,AX168:AX183,1)),"")</f>
        <v>1</v>
      </c>
      <c r="AN181" s="51">
        <f ca="1">IFERROR(IF(AF181="X",0,(INDIRECT(CONCATENATE("'Height Input'!"&amp;$B165&amp;$C166+13))-AJ181)*10),"")</f>
        <v>0</v>
      </c>
      <c r="AO181" s="8"/>
      <c r="AP181" s="9" t="str">
        <f t="shared" ca="1" si="61"/>
        <v/>
      </c>
      <c r="AQ181" s="9" t="str">
        <f ca="1">IF(AR181="","",HLOOKUP(AL181,BC167:BJ184,18,FALSE))</f>
        <v/>
      </c>
      <c r="AR181" s="45" t="str">
        <f ca="1">IF(OR(AL181=0,AL181=""),"",IF(COUNTIFS(AL168:AL183,AL181)&gt;1,"=",""))</f>
        <v/>
      </c>
      <c r="AS181" s="45"/>
      <c r="AT181" s="9" t="str">
        <f t="shared" ca="1" si="62"/>
        <v/>
      </c>
      <c r="AU181" s="9" t="str">
        <f ca="1">IF(AV181="","",HLOOKUP(AM181,BK167:BR184,18,FALSE))</f>
        <v/>
      </c>
      <c r="AV181" s="45" t="str">
        <f ca="1">IF(OR(AM181=0,AM181=""),"",IF(COUNTIFS(AM168:AM183,AM181)&gt;1,"=",""))</f>
        <v/>
      </c>
      <c r="AW181" s="9" t="str">
        <f t="shared" ca="1" si="56"/>
        <v/>
      </c>
      <c r="AX181" s="9">
        <f t="shared" ca="1" si="57"/>
        <v>4</v>
      </c>
      <c r="AY181" s="47"/>
      <c r="AZ181" s="135" t="str">
        <f t="shared" ca="1" si="58"/>
        <v/>
      </c>
      <c r="BA181" s="135">
        <f t="shared" ca="1" si="59"/>
        <v>4</v>
      </c>
      <c r="BB181" s="9"/>
      <c r="BC181" s="52" t="str">
        <f ca="1">IF(AL181="","",IF(AL181=BC167,AL181,""))</f>
        <v/>
      </c>
      <c r="BD181" s="52" t="str">
        <f ca="1">IF(AL181="","",IF(AL181=BD167,AL181,""))</f>
        <v/>
      </c>
      <c r="BE181" s="52" t="str">
        <f ca="1">IF(AL181="","",IF(AL181=BE167,AL181,""))</f>
        <v/>
      </c>
      <c r="BF181" s="52" t="str">
        <f ca="1">IF(AL181="","",IF(AL181=BF167,AL181,""))</f>
        <v/>
      </c>
      <c r="BG181" s="52" t="str">
        <f ca="1">IF(AL181="","",IF(AL181=BG167,AL181,""))</f>
        <v/>
      </c>
      <c r="BH181" s="52" t="str">
        <f ca="1">IF(AL181="","",IF(AL181=BH167,AL181,""))</f>
        <v/>
      </c>
      <c r="BI181" s="52" t="str">
        <f ca="1">IF(AL181="","",IF(AL181=BI167,AL181,""))</f>
        <v/>
      </c>
      <c r="BJ181" s="52" t="str">
        <f ca="1">IF(AL181="","",IF(AL181=BJ167,AL181,""))</f>
        <v/>
      </c>
      <c r="BK181" s="52">
        <f ca="1">IF(AM181="","",IF(AM181=BK167,AM181,""))</f>
        <v>1</v>
      </c>
      <c r="BL181" s="52" t="str">
        <f ca="1">IF(AM181="","",IF(AM181=BL167,AM181,""))</f>
        <v/>
      </c>
      <c r="BM181" s="52" t="str">
        <f ca="1">IF(AM181="","",IF(AM181=BM167,AM181,""))</f>
        <v/>
      </c>
      <c r="BN181" s="52" t="str">
        <f ca="1">IF(AM181="","",IF(AM181=BN167,AM181,""))</f>
        <v/>
      </c>
      <c r="BO181" s="52" t="str">
        <f ca="1">IF(AM181="","",IF(AM181=BO167,AM181,""))</f>
        <v/>
      </c>
      <c r="BP181" s="52" t="str">
        <f ca="1">IF(AM181="","",IF(AM181=BP167,AM181,""))</f>
        <v/>
      </c>
      <c r="BQ181" s="52" t="str">
        <f ca="1">IF(AM181="","",IF(AM181=BQ167,AM181,""))</f>
        <v/>
      </c>
      <c r="BR181" s="52" t="str">
        <f ca="1">IF(AM181="","",IF(AM181=BR167,AM181,""))</f>
        <v/>
      </c>
      <c r="BS181" s="46"/>
      <c r="BT181" s="4">
        <f>IFERROR(IF(A167=0,A181/11,LEFT(A181,1)),"")</f>
        <v>4</v>
      </c>
    </row>
    <row r="182" spans="1:72" s="4" customFormat="1" ht="16.149999999999999" customHeight="1" x14ac:dyDescent="0.35">
      <c r="A182" s="8">
        <f>IFERROR(IF(A167=0,A174*11,A174&amp;A174),"-")</f>
        <v>55</v>
      </c>
      <c r="B182" s="10" t="str">
        <f ca="1">IFERROR(IF(OR(AK182=0,AK182="B"),"",RANK(AZ182,AZ168:AZ183,1)),"")</f>
        <v/>
      </c>
      <c r="C182" s="10" t="str">
        <f ca="1">IFERROR(IF(OR(AK182=0,AK182="A"),"",RANK(BA182,BA168:BA183,1)),"")</f>
        <v/>
      </c>
      <c r="D182" s="55">
        <v>15</v>
      </c>
      <c r="E182" s="17">
        <f t="shared" si="60"/>
        <v>55</v>
      </c>
      <c r="F182" s="319" t="str">
        <f>IFERROR(VLOOKUP($A164&amp;E182,downloads!$A$1:$E$1000,2,FALSE),"")</f>
        <v/>
      </c>
      <c r="G182" s="18" t="str">
        <f t="shared" si="55"/>
        <v>Menai</v>
      </c>
      <c r="H182" s="497"/>
      <c r="I182" s="498"/>
      <c r="J182" s="497"/>
      <c r="K182" s="498"/>
      <c r="L182" s="497"/>
      <c r="M182" s="498"/>
      <c r="N182" s="497"/>
      <c r="O182" s="498"/>
      <c r="P182" s="497"/>
      <c r="Q182" s="498"/>
      <c r="R182" s="497"/>
      <c r="S182" s="498"/>
      <c r="T182" s="497"/>
      <c r="U182" s="498"/>
      <c r="V182" s="497"/>
      <c r="W182" s="498"/>
      <c r="X182" s="497"/>
      <c r="Y182" s="498"/>
      <c r="Z182" s="497"/>
      <c r="AA182" s="498"/>
      <c r="AB182" s="497"/>
      <c r="AC182" s="498"/>
      <c r="AD182" s="497"/>
      <c r="AE182" s="498"/>
      <c r="AF182" s="511">
        <f ca="1">IFERROR(INDIRECT(CONCATENATE("'Height Input'!"&amp;B166&amp;C166+14)),"")</f>
        <v>0</v>
      </c>
      <c r="AG182" s="512"/>
      <c r="AH182" s="48"/>
      <c r="AI182" s="48"/>
      <c r="AJ182" s="49">
        <f ca="1">IFERROR(IF(AF182="X",MatchDay!$U$2+MatchDay!$U$2+1-COUNTIF($AF168:AF182,"X"),IF(AF182&gt;=97,1,INT(INDIRECT(CONCATENATE("'Height Input'!"&amp;$B165&amp;$C166+14))))),"")</f>
        <v>0</v>
      </c>
      <c r="AK182" s="50">
        <f ca="1">IFERROR(IF(OR(AJ182=0,AJ182=""),0,IF(OR(AJ182&lt;VLOOKUP(BT182,$E168:$AJ175,32,FALSE),VLOOKUP(BT182,$E168:$AJ175,32,FALSE)=0),"A","B")),0)</f>
        <v>0</v>
      </c>
      <c r="AL182" s="123" t="str">
        <f ca="1">IFERROR(IF(OR(AK182=0,AK182="B"),"",RANK(AW182,AW168:AW183,1)),"")</f>
        <v/>
      </c>
      <c r="AM182" s="123" t="str">
        <f ca="1">IFERROR(IF(OR(AK182=0,AK182="A"),"",RANK(AX182,AX168:AX183,1)),"")</f>
        <v/>
      </c>
      <c r="AN182" s="51">
        <f ca="1">IFERROR(IF(AF182="X",0,(INDIRECT(CONCATENATE("'Height Input'!"&amp;$B165&amp;$C166+14))-AJ182)*10),"")</f>
        <v>0</v>
      </c>
      <c r="AO182" s="8"/>
      <c r="AP182" s="9" t="str">
        <f t="shared" ca="1" si="61"/>
        <v/>
      </c>
      <c r="AQ182" s="9" t="str">
        <f ca="1">IF(AR182="","",HLOOKUP(AL182,BC167:BJ184,18,FALSE))</f>
        <v/>
      </c>
      <c r="AR182" s="45" t="str">
        <f ca="1">IF(OR(AL182=0,AL182=""),"",IF(COUNTIFS(AL168:AL183,AL182)&gt;1,"=",""))</f>
        <v/>
      </c>
      <c r="AS182" s="45"/>
      <c r="AT182" s="9" t="str">
        <f t="shared" ca="1" si="62"/>
        <v/>
      </c>
      <c r="AU182" s="9" t="str">
        <f ca="1">IF(AV182="","",HLOOKUP(AM182,BK167:BR184,18,FALSE))</f>
        <v/>
      </c>
      <c r="AV182" s="45" t="str">
        <f ca="1">IF(OR(AM182=0,AM182=""),"",IF(COUNTIFS(AM168:AM183,AM182)&gt;1,"=",""))</f>
        <v/>
      </c>
      <c r="AW182" s="9" t="str">
        <f t="shared" ca="1" si="56"/>
        <v/>
      </c>
      <c r="AX182" s="9" t="str">
        <f t="shared" ca="1" si="57"/>
        <v/>
      </c>
      <c r="AY182" s="47"/>
      <c r="AZ182" s="135" t="str">
        <f t="shared" ca="1" si="58"/>
        <v/>
      </c>
      <c r="BA182" s="135" t="str">
        <f t="shared" ca="1" si="59"/>
        <v/>
      </c>
      <c r="BB182" s="9"/>
      <c r="BC182" s="52" t="str">
        <f ca="1">IF(AL182="","",IF(AL182=BC167,AL182,""))</f>
        <v/>
      </c>
      <c r="BD182" s="52" t="str">
        <f ca="1">IF(AL182="","",IF(AL182=BD167,AL182,""))</f>
        <v/>
      </c>
      <c r="BE182" s="52" t="str">
        <f ca="1">IF(AL182="","",IF(AL182=BE167,AL182,""))</f>
        <v/>
      </c>
      <c r="BF182" s="52" t="str">
        <f ca="1">IF(AL182="","",IF(AL182=BF167,AL182,""))</f>
        <v/>
      </c>
      <c r="BG182" s="52" t="str">
        <f ca="1">IF(AL182="","",IF(AL182=BG167,AL182,""))</f>
        <v/>
      </c>
      <c r="BH182" s="52" t="str">
        <f ca="1">IF(AL182="","",IF(AL182=BH167,AL182,""))</f>
        <v/>
      </c>
      <c r="BI182" s="52" t="str">
        <f ca="1">IF(AL182="","",IF(AL182=BI167,AL182,""))</f>
        <v/>
      </c>
      <c r="BJ182" s="52" t="str">
        <f ca="1">IF(AL182="","",IF(AL182=BJ167,AL182,""))</f>
        <v/>
      </c>
      <c r="BK182" s="52" t="str">
        <f ca="1">IF(AM182="","",IF(AM182=BK167,AM182,""))</f>
        <v/>
      </c>
      <c r="BL182" s="52" t="str">
        <f ca="1">IF(AM182="","",IF(AM182=BL167,AM182,""))</f>
        <v/>
      </c>
      <c r="BM182" s="52" t="str">
        <f ca="1">IF(AM182="","",IF(AM182=BM167,AM182,""))</f>
        <v/>
      </c>
      <c r="BN182" s="52" t="str">
        <f ca="1">IF(AM182="","",IF(AM182=BN167,AM182,""))</f>
        <v/>
      </c>
      <c r="BO182" s="52" t="str">
        <f ca="1">IF(AM182="","",IF(AM182=BO167,AM182,""))</f>
        <v/>
      </c>
      <c r="BP182" s="52" t="str">
        <f ca="1">IF(AM182="","",IF(AM182=BP167,AM182,""))</f>
        <v/>
      </c>
      <c r="BQ182" s="52" t="str">
        <f ca="1">IF(AM182="","",IF(AM182=BQ167,AM182,""))</f>
        <v/>
      </c>
      <c r="BR182" s="52" t="str">
        <f ca="1">IF(AM182="","",IF(AM182=BR167,AM182,""))</f>
        <v/>
      </c>
      <c r="BS182" s="46"/>
      <c r="BT182" s="4">
        <f>IFERROR(IF(A167=0,A182/11,LEFT(A182,1)),"")</f>
        <v>5</v>
      </c>
    </row>
    <row r="183" spans="1:72" s="4" customFormat="1" ht="16.149999999999999" customHeight="1" x14ac:dyDescent="0.35">
      <c r="A183" s="8" t="str">
        <f>IFERROR(IF(A167=0,A175*11,A175&amp;A175),"-")</f>
        <v>-</v>
      </c>
      <c r="B183" s="10" t="str">
        <f ca="1">IFERROR(IF(OR(AK183=0,AK183="B"),"",RANK(AZ183,AZ168:AZ183,1)),"")</f>
        <v/>
      </c>
      <c r="C183" s="10" t="str">
        <f ca="1">IFERROR(IF(OR(AK183=0,AK183="A"),"",RANK(BA183,BA168:BA183,1)),"")</f>
        <v/>
      </c>
      <c r="D183" s="55">
        <v>16</v>
      </c>
      <c r="E183" s="17" t="str">
        <f t="shared" si="60"/>
        <v>-</v>
      </c>
      <c r="F183" s="319" t="str">
        <f>IFERROR(VLOOKUP($A164&amp;E183,downloads!$A$1:$E$1000,2,FALSE),"")</f>
        <v/>
      </c>
      <c r="G183" s="18" t="str">
        <f t="shared" si="55"/>
        <v/>
      </c>
      <c r="H183" s="497"/>
      <c r="I183" s="498"/>
      <c r="J183" s="497"/>
      <c r="K183" s="498"/>
      <c r="L183" s="497"/>
      <c r="M183" s="498"/>
      <c r="N183" s="497"/>
      <c r="O183" s="498"/>
      <c r="P183" s="497"/>
      <c r="Q183" s="498"/>
      <c r="R183" s="497"/>
      <c r="S183" s="498"/>
      <c r="T183" s="497"/>
      <c r="U183" s="498"/>
      <c r="V183" s="497"/>
      <c r="W183" s="498"/>
      <c r="X183" s="497"/>
      <c r="Y183" s="498"/>
      <c r="Z183" s="497"/>
      <c r="AA183" s="498"/>
      <c r="AB183" s="497"/>
      <c r="AC183" s="498"/>
      <c r="AD183" s="497"/>
      <c r="AE183" s="498"/>
      <c r="AF183" s="511">
        <f ca="1">IFERROR(INDIRECT(CONCATENATE("'Height Input'!"&amp;B166&amp;C166+15)),"")</f>
        <v>0</v>
      </c>
      <c r="AG183" s="512"/>
      <c r="AH183" s="48"/>
      <c r="AI183" s="48"/>
      <c r="AJ183" s="49">
        <f ca="1">IFERROR(IF(AF183="X",MatchDay!$U$2+MatchDay!$U$2+1-COUNTIF($AF168:AF183,"X"),IF(AF183&gt;=97,1,INT(INDIRECT(CONCATENATE("'Height Input'!"&amp;$B165&amp;$C166+15))))),"")</f>
        <v>0</v>
      </c>
      <c r="AK183" s="50">
        <f ca="1">IFERROR(IF(OR(AJ183=0,AJ183=""),0,IF(OR(AJ183&lt;VLOOKUP(BT183,$E168:$AJ175,32,FALSE),VLOOKUP(BT183,$E168:$AJ175,32,FALSE)=0),"A","B")),0)</f>
        <v>0</v>
      </c>
      <c r="AL183" s="123" t="str">
        <f ca="1">IFERROR(IF(OR(AK183=0,AK183="B"),"",RANK(AW183,AW168:AW183,1)),"")</f>
        <v/>
      </c>
      <c r="AM183" s="123" t="str">
        <f ca="1">IFERROR(IF(OR(AK183=0,AK183="A"),"",RANK(AX183,AX168:AX183,1)),"")</f>
        <v/>
      </c>
      <c r="AN183" s="51">
        <f ca="1">IFERROR(IF(AF183="X",0,(INDIRECT(CONCATENATE("'Height Input'!"&amp;$B165&amp;$C166+15))-AJ183)*10),"")</f>
        <v>0</v>
      </c>
      <c r="AO183" s="8"/>
      <c r="AP183" s="9" t="str">
        <f t="shared" ca="1" si="61"/>
        <v/>
      </c>
      <c r="AQ183" s="9" t="str">
        <f ca="1">IF(AR183="","",HLOOKUP(AL183,BC167:BJ184,18,FALSE))</f>
        <v/>
      </c>
      <c r="AR183" s="45" t="str">
        <f ca="1">IF(OR(AL183=0,AL183=""),"",IF(COUNTIFS(AL168:AL183,AL183)&gt;1,"=",""))</f>
        <v/>
      </c>
      <c r="AS183" s="45"/>
      <c r="AT183" s="9" t="str">
        <f t="shared" ca="1" si="62"/>
        <v/>
      </c>
      <c r="AU183" s="9" t="str">
        <f ca="1">IF(AV183="","",HLOOKUP(AM183,BK167:BR184,18,FALSE))</f>
        <v/>
      </c>
      <c r="AV183" s="45" t="str">
        <f ca="1">IF(OR(AM183=0,AM183=""),"",IF(COUNTIFS(AM168:AM183,AM183)&gt;1,"=",""))</f>
        <v/>
      </c>
      <c r="AW183" s="9" t="str">
        <f t="shared" ca="1" si="56"/>
        <v/>
      </c>
      <c r="AX183" s="9" t="str">
        <f t="shared" ca="1" si="57"/>
        <v/>
      </c>
      <c r="AY183" s="47"/>
      <c r="AZ183" s="135" t="str">
        <f t="shared" ca="1" si="58"/>
        <v/>
      </c>
      <c r="BA183" s="135" t="str">
        <f t="shared" ca="1" si="59"/>
        <v/>
      </c>
      <c r="BB183" s="9"/>
      <c r="BC183" s="52" t="str">
        <f ca="1">IF(AL183="","",IF(AL183=BC167,AL183,""))</f>
        <v/>
      </c>
      <c r="BD183" s="52" t="str">
        <f ca="1">IF(AL183="","",IF(AL183=BD167,AL183,""))</f>
        <v/>
      </c>
      <c r="BE183" s="52" t="str">
        <f ca="1">IF(AL183="","",IF(AL183=BE167,AL183,""))</f>
        <v/>
      </c>
      <c r="BF183" s="52" t="str">
        <f ca="1">IF(AL183="","",IF(AL183=BF167,AL183,""))</f>
        <v/>
      </c>
      <c r="BG183" s="52" t="str">
        <f ca="1">IF(AL183="","",IF(AL183=BG167,AL183,""))</f>
        <v/>
      </c>
      <c r="BH183" s="52" t="str">
        <f ca="1">IF(AL183="","",IF(AL183=BH167,AL183,""))</f>
        <v/>
      </c>
      <c r="BI183" s="52" t="str">
        <f ca="1">IF(AL183="","",IF(AL183=BI167,AL183,""))</f>
        <v/>
      </c>
      <c r="BJ183" s="52" t="str">
        <f ca="1">IF(AL183="","",IF(AL183=BJ167,AL183,""))</f>
        <v/>
      </c>
      <c r="BK183" s="52" t="str">
        <f ca="1">IF(AM183="","",IF(AM183=BK167,AM183,""))</f>
        <v/>
      </c>
      <c r="BL183" s="52" t="str">
        <f ca="1">IF(AM183="","",IF(AM183=BL167,AM183,""))</f>
        <v/>
      </c>
      <c r="BM183" s="52" t="str">
        <f ca="1">IF(AM183="","",IF(AM183=BM167,AM183,""))</f>
        <v/>
      </c>
      <c r="BN183" s="52" t="str">
        <f ca="1">IF(AM183="","",IF(AM183=BN167,AM183,""))</f>
        <v/>
      </c>
      <c r="BO183" s="52" t="str">
        <f ca="1">IF(AM183="","",IF(AM183=BO167,AM183,""))</f>
        <v/>
      </c>
      <c r="BP183" s="52" t="str">
        <f ca="1">IF(AM183="","",IF(AM183=BP167,AM183,""))</f>
        <v/>
      </c>
      <c r="BQ183" s="52" t="str">
        <f ca="1">IF(AM183="","",IF(AM183=BQ167,AM183,""))</f>
        <v/>
      </c>
      <c r="BR183" s="52" t="str">
        <f ca="1">IF(AM183="","",IF(AM183=BR167,AM183,""))</f>
        <v/>
      </c>
      <c r="BS183" s="46"/>
      <c r="BT183" s="4" t="str">
        <f>IFERROR(IF(A167=0,A183/11,LEFT(A183,1)),"")</f>
        <v/>
      </c>
    </row>
    <row r="184" spans="1:72" s="4" customFormat="1" ht="13.5" x14ac:dyDescent="0.3">
      <c r="A184" s="8"/>
      <c r="B184" s="1"/>
      <c r="C184" s="1"/>
      <c r="AL184" s="124"/>
      <c r="AM184" s="124"/>
      <c r="AP184" s="47"/>
      <c r="AQ184" s="47"/>
      <c r="AR184" s="47"/>
      <c r="AS184" s="47"/>
      <c r="AT184" s="47"/>
      <c r="AU184" s="47"/>
      <c r="AV184" s="47"/>
      <c r="AW184" s="47"/>
      <c r="AX184" s="47"/>
      <c r="AY184" s="47"/>
      <c r="AZ184" s="137"/>
      <c r="BA184" s="137"/>
      <c r="BB184" s="47"/>
      <c r="BC184" s="9">
        <f ca="1">COUNTIF(BC168:BC183,BC167)</f>
        <v>1</v>
      </c>
      <c r="BD184" s="9">
        <f t="shared" ref="BD184:BR184" ca="1" si="63">COUNTIF(BD168:BD183,BD167)</f>
        <v>1</v>
      </c>
      <c r="BE184" s="9">
        <f t="shared" ca="1" si="63"/>
        <v>1</v>
      </c>
      <c r="BF184" s="9">
        <f t="shared" ca="1" si="63"/>
        <v>1</v>
      </c>
      <c r="BG184" s="9">
        <f t="shared" ca="1" si="63"/>
        <v>0</v>
      </c>
      <c r="BH184" s="9">
        <f t="shared" ca="1" si="63"/>
        <v>0</v>
      </c>
      <c r="BI184" s="9">
        <f t="shared" ca="1" si="63"/>
        <v>0</v>
      </c>
      <c r="BJ184" s="9">
        <f t="shared" ca="1" si="63"/>
        <v>0</v>
      </c>
      <c r="BK184" s="9">
        <f t="shared" ca="1" si="63"/>
        <v>1</v>
      </c>
      <c r="BL184" s="9">
        <f t="shared" ca="1" si="63"/>
        <v>1</v>
      </c>
      <c r="BM184" s="9">
        <f t="shared" ca="1" si="63"/>
        <v>1</v>
      </c>
      <c r="BN184" s="9">
        <f t="shared" ca="1" si="63"/>
        <v>0</v>
      </c>
      <c r="BO184" s="9">
        <f t="shared" ca="1" si="63"/>
        <v>0</v>
      </c>
      <c r="BP184" s="9">
        <f t="shared" ca="1" si="63"/>
        <v>0</v>
      </c>
      <c r="BQ184" s="9">
        <f t="shared" ca="1" si="63"/>
        <v>0</v>
      </c>
      <c r="BR184" s="9">
        <f t="shared" ca="1" si="63"/>
        <v>0</v>
      </c>
    </row>
    <row r="185" spans="1:72" s="4" customFormat="1" x14ac:dyDescent="0.25">
      <c r="A185" s="8"/>
      <c r="B185" s="1"/>
      <c r="C185" s="1"/>
      <c r="D185" s="466" t="s">
        <v>139</v>
      </c>
      <c r="E185" s="507"/>
      <c r="F185" s="507"/>
      <c r="G185" s="507"/>
      <c r="H185" s="507"/>
      <c r="I185" s="508"/>
      <c r="J185" s="466" t="s">
        <v>140</v>
      </c>
      <c r="K185" s="507"/>
      <c r="L185" s="507"/>
      <c r="M185" s="507"/>
      <c r="N185" s="507"/>
      <c r="O185" s="507"/>
      <c r="P185" s="507"/>
      <c r="Q185" s="507"/>
      <c r="R185" s="507"/>
      <c r="S185" s="507"/>
      <c r="T185" s="507"/>
      <c r="U185" s="507"/>
      <c r="V185" s="507"/>
      <c r="W185" s="507"/>
      <c r="X185" s="507"/>
      <c r="Y185" s="507"/>
      <c r="Z185" s="507"/>
      <c r="AA185" s="508"/>
      <c r="AB185" s="466" t="s">
        <v>1134</v>
      </c>
      <c r="AC185" s="507"/>
      <c r="AD185" s="507"/>
      <c r="AE185" s="507"/>
      <c r="AF185" s="507"/>
      <c r="AG185" s="507"/>
      <c r="AH185" s="507"/>
      <c r="AI185" s="507"/>
      <c r="AJ185" s="507"/>
      <c r="AK185" s="507"/>
      <c r="AL185" s="507"/>
      <c r="AM185" s="50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136"/>
      <c r="BA185" s="136"/>
      <c r="BB185" s="8"/>
      <c r="BC185" s="8"/>
      <c r="BD185" s="8"/>
      <c r="BE185" s="8"/>
    </row>
    <row r="186" spans="1:72" s="4" customFormat="1" x14ac:dyDescent="0.25">
      <c r="A186" s="8" t="s">
        <v>55</v>
      </c>
      <c r="B186" s="1"/>
      <c r="C186" s="1"/>
      <c r="D186" s="12" t="s">
        <v>177</v>
      </c>
      <c r="E186" s="55" t="s">
        <v>141</v>
      </c>
      <c r="F186" s="55" t="s">
        <v>124</v>
      </c>
      <c r="G186" s="119" t="s">
        <v>125</v>
      </c>
      <c r="H186" s="513" t="s">
        <v>270</v>
      </c>
      <c r="I186" s="514"/>
      <c r="J186" s="466" t="s">
        <v>177</v>
      </c>
      <c r="K186" s="468"/>
      <c r="L186" s="466" t="s">
        <v>141</v>
      </c>
      <c r="M186" s="508"/>
      <c r="N186" s="515" t="s">
        <v>124</v>
      </c>
      <c r="O186" s="515"/>
      <c r="P186" s="515"/>
      <c r="Q186" s="515"/>
      <c r="R186" s="515"/>
      <c r="S186" s="515"/>
      <c r="T186" s="515" t="s">
        <v>125</v>
      </c>
      <c r="U186" s="515"/>
      <c r="V186" s="515"/>
      <c r="W186" s="515"/>
      <c r="X186" s="515"/>
      <c r="Y186" s="515"/>
      <c r="Z186" s="513" t="s">
        <v>270</v>
      </c>
      <c r="AA186" s="514"/>
      <c r="AB186" s="116"/>
      <c r="AC186" s="117"/>
      <c r="AD186" s="117"/>
      <c r="AE186" s="117"/>
      <c r="AF186" s="117"/>
      <c r="AG186" s="117"/>
      <c r="AH186" s="25"/>
      <c r="AI186" s="25"/>
      <c r="AJ186" s="25"/>
      <c r="AK186" s="25"/>
      <c r="AL186" s="125"/>
      <c r="AM186" s="126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136"/>
      <c r="BA186" s="136"/>
      <c r="BB186" s="8"/>
      <c r="BC186" s="8"/>
      <c r="BD186" s="8"/>
      <c r="BE186" s="8"/>
    </row>
    <row r="187" spans="1:72" s="4" customFormat="1" ht="16.149999999999999" customHeight="1" x14ac:dyDescent="0.25">
      <c r="A187" s="11">
        <f>IFERROR(VLOOKUP(A164,standards,3,FALSE),"-")</f>
        <v>1.25</v>
      </c>
      <c r="B187" s="1"/>
      <c r="C187" s="10">
        <v>1</v>
      </c>
      <c r="D187" s="19">
        <f ca="1">IFERROR(IF(VLOOKUP(C187,B168:AP183,41,FALSE)="",VLOOKUP(C187,B168:AP183,37,FALSE),VLOOKUP(C187,B168:AP183,37,FALSE)&amp;VLOOKUP(C187,B168:AP183,41,FALSE)),"")</f>
        <v>1</v>
      </c>
      <c r="E187" s="19">
        <f ca="1">IFERROR(IF(OR(AF168=98,AF168=99),AF168,IF(VLOOKUP(C187,B168:AG183,31,FALSE)=0,0,VLOOKUP(C187,B168:AG183,4,FALSE))),0)</f>
        <v>6</v>
      </c>
      <c r="F187" s="27" t="str">
        <f ca="1">IFERROR(VLOOKUP(E187,$E168:$F183,2,FALSE),"")</f>
        <v>Jacob HARWOOD-BRETNALL</v>
      </c>
      <c r="G187" s="18" t="str">
        <f t="shared" ref="G187:G194" ca="1" si="64">IFERROR(VLOOKUP(E187,teamlookup,5,FALSE),"-")</f>
        <v>Stock</v>
      </c>
      <c r="H187" s="459">
        <f ca="1">IFERROR(VLOOKUP(E187,E168:AG183,28,FALSE),0)</f>
        <v>1.5</v>
      </c>
      <c r="I187" s="460"/>
      <c r="J187" s="509">
        <f ca="1">IFERROR(IF(VLOOKUP(C187,C168:AT183,44,FALSE)="",VLOOKUP(C187,C168:AT183,37,FALSE),VLOOKUP(C187,C168:AT183,37,FALSE)&amp;VLOOKUP(C187,C168:AT183,44,FALSE)),"")</f>
        <v>1</v>
      </c>
      <c r="K187" s="510"/>
      <c r="L187" s="509">
        <f ca="1">IFERROR(IF(VLOOKUP(C187,C168:AG183,30,FALSE)=0,"",VLOOKUP(C187,C168:AG183,3,FALSE)),"")</f>
        <v>44</v>
      </c>
      <c r="M187" s="510"/>
      <c r="N187" s="461" t="str">
        <f ca="1">IFERROR(VLOOKUP(L187,E168:F183,2,FALSE),"")</f>
        <v>Tristan LAMPRECHT</v>
      </c>
      <c r="O187" s="462"/>
      <c r="P187" s="462"/>
      <c r="Q187" s="462"/>
      <c r="R187" s="462"/>
      <c r="S187" s="463"/>
      <c r="T187" s="461" t="str">
        <f t="shared" ref="T187:T194" ca="1" si="65">IFERROR(VLOOKUP(L187,teamlookup,5,FALSE),"-")</f>
        <v>Macc</v>
      </c>
      <c r="U187" s="462"/>
      <c r="V187" s="462"/>
      <c r="W187" s="462"/>
      <c r="X187" s="462"/>
      <c r="Y187" s="463"/>
      <c r="Z187" s="459">
        <f ca="1">IFERROR(VLOOKUP(L187,E168:AG183,28,FALSE),0)</f>
        <v>1.4</v>
      </c>
      <c r="AA187" s="460"/>
      <c r="AB187" s="28"/>
      <c r="AC187" s="29"/>
      <c r="AD187" s="29"/>
      <c r="AE187" s="29"/>
      <c r="AF187" s="29"/>
      <c r="AG187" s="29"/>
      <c r="AH187" s="29"/>
      <c r="AI187" s="29"/>
      <c r="AJ187" s="29"/>
      <c r="AK187" s="29"/>
      <c r="AL187" s="127"/>
      <c r="AM187" s="128"/>
      <c r="AP187" s="8"/>
      <c r="AQ187" s="8"/>
      <c r="AR187" s="53"/>
      <c r="AS187" s="8"/>
      <c r="AT187" s="8"/>
      <c r="AU187" s="8"/>
      <c r="AV187" s="8"/>
      <c r="AW187" s="8"/>
      <c r="AX187" s="8"/>
      <c r="AY187" s="8"/>
      <c r="AZ187" s="136"/>
      <c r="BA187" s="136"/>
      <c r="BB187" s="8"/>
      <c r="BC187" s="8"/>
      <c r="BD187" s="8"/>
      <c r="BE187" s="8"/>
    </row>
    <row r="188" spans="1:72" s="4" customFormat="1" ht="16.149999999999999" customHeight="1" x14ac:dyDescent="0.25">
      <c r="A188" s="11">
        <f>IFERROR(VLOOKUP(A164,standards,4,FALSE),"-")</f>
        <v>1.3</v>
      </c>
      <c r="B188" s="1"/>
      <c r="C188" s="10">
        <v>2</v>
      </c>
      <c r="D188" s="19">
        <f ca="1">IFERROR(IF(VLOOKUP(C188,B168:AP183,41,FALSE)="",VLOOKUP(C188,B168:AP183,37,FALSE),VLOOKUP(C188,B168:AP183,37,FALSE)&amp;VLOOKUP(C188,B168:AP183,41,FALSE)),"")</f>
        <v>2</v>
      </c>
      <c r="E188" s="19">
        <f ca="1">IFERROR(IF(VLOOKUP(C188,B168:AG183,31,FALSE)=0,0,VLOOKUP(C188,B168:AG183,4,FALSE)),"")</f>
        <v>3</v>
      </c>
      <c r="F188" s="27" t="str">
        <f ca="1">IFERROR(VLOOKUP(E188,$E168:$F183,2,FALSE),"")</f>
        <v>Hugo JAMES</v>
      </c>
      <c r="G188" s="18" t="str">
        <f t="shared" ca="1" si="64"/>
        <v>Leigh</v>
      </c>
      <c r="H188" s="459">
        <f ca="1">IFERROR(VLOOKUP(E188,E168:AG183,28,FALSE),0)</f>
        <v>1.45</v>
      </c>
      <c r="I188" s="460"/>
      <c r="J188" s="509">
        <f ca="1">IFERROR(IF(VLOOKUP(C188,C168:AT183,44,FALSE)="",VLOOKUP(C188,C168:AT183,37,FALSE),VLOOKUP(C188,C168:AT183,37,FALSE)&amp;VLOOKUP(C188,C168:AT183,44,FALSE)),"")</f>
        <v>2</v>
      </c>
      <c r="K188" s="510"/>
      <c r="L188" s="509">
        <f ca="1">IFERROR(IF(VLOOKUP(C188,C168:AG183,30,FALSE)=0,"",VLOOKUP(C188,C168:AG183,3,FALSE)),"")</f>
        <v>66</v>
      </c>
      <c r="M188" s="510"/>
      <c r="N188" s="461" t="str">
        <f ca="1">IFERROR(VLOOKUP(L188,E168:F183,2,FALSE),"")</f>
        <v>Campbell JOHNSON</v>
      </c>
      <c r="O188" s="462"/>
      <c r="P188" s="462"/>
      <c r="Q188" s="462"/>
      <c r="R188" s="462"/>
      <c r="S188" s="463"/>
      <c r="T188" s="461" t="str">
        <f t="shared" ca="1" si="65"/>
        <v>Stock</v>
      </c>
      <c r="U188" s="462"/>
      <c r="V188" s="462"/>
      <c r="W188" s="462"/>
      <c r="X188" s="462"/>
      <c r="Y188" s="463"/>
      <c r="Z188" s="459">
        <f ca="1">IFERROR(VLOOKUP(L188,E168:AG183,28,FALSE),0)</f>
        <v>1.35</v>
      </c>
      <c r="AA188" s="460"/>
      <c r="AB188" s="118"/>
      <c r="AC188" s="20"/>
      <c r="AD188" s="20"/>
      <c r="AE188" s="20"/>
      <c r="AF188" s="20"/>
      <c r="AG188" s="20"/>
      <c r="AH188" s="20"/>
      <c r="AI188" s="20"/>
      <c r="AJ188" s="20"/>
      <c r="AK188" s="20"/>
      <c r="AL188" s="129"/>
      <c r="AM188" s="130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136"/>
      <c r="BA188" s="136"/>
      <c r="BB188" s="8"/>
      <c r="BC188" s="8"/>
      <c r="BD188" s="8"/>
      <c r="BE188" s="8"/>
    </row>
    <row r="189" spans="1:72" s="4" customFormat="1" ht="16.149999999999999" customHeight="1" x14ac:dyDescent="0.25">
      <c r="A189" s="11">
        <f>IFERROR(VLOOKUP(A164,standards,5,FALSE),"-")</f>
        <v>1.35</v>
      </c>
      <c r="B189" s="1"/>
      <c r="C189" s="10">
        <v>3</v>
      </c>
      <c r="D189" s="19">
        <f ca="1">IFERROR(IF(VLOOKUP(C189,B168:AP183,41,FALSE)="",VLOOKUP(C189,B168:AP183,37,FALSE),VLOOKUP(C189,B168:AP183,37,FALSE)&amp;VLOOKUP(C189,B168:AP183,41,FALSE)),"")</f>
        <v>3</v>
      </c>
      <c r="E189" s="19">
        <f ca="1">IFERROR(IF(VLOOKUP(C189,B168:AG183,31,FALSE)=0,0,VLOOKUP(C189,B168:AG183,4,FALSE)),"")</f>
        <v>4</v>
      </c>
      <c r="F189" s="27" t="str">
        <f ca="1">IFERROR(VLOOKUP(E189,$E168:$F183,2,FALSE),"")</f>
        <v>Will HAMMOND</v>
      </c>
      <c r="G189" s="18" t="str">
        <f t="shared" ca="1" si="64"/>
        <v>Macc</v>
      </c>
      <c r="H189" s="459">
        <f ca="1">IFERROR(VLOOKUP(E189,E168:AG183,28,FALSE),0)</f>
        <v>1.4</v>
      </c>
      <c r="I189" s="460"/>
      <c r="J189" s="509">
        <f ca="1">IFERROR(IF(VLOOKUP(C189,C168:AT183,44,FALSE)="",VLOOKUP(C189,C168:AT183,37,FALSE),VLOOKUP(C189,C168:AT183,37,FALSE)&amp;VLOOKUP(C189,C168:AT183,44,FALSE)),"")</f>
        <v>3</v>
      </c>
      <c r="K189" s="510"/>
      <c r="L189" s="509">
        <f ca="1">IFERROR(IF(VLOOKUP(C189,C168:AG183,30,FALSE)=0,"",VLOOKUP(C189,C168:AG183,3,FALSE)),"")</f>
        <v>11</v>
      </c>
      <c r="M189" s="510"/>
      <c r="N189" s="461" t="str">
        <f ca="1">IFERROR(VLOOKUP(L189,E168:F183,2,FALSE),"")</f>
        <v>Sam FIRMAN</v>
      </c>
      <c r="O189" s="462"/>
      <c r="P189" s="462"/>
      <c r="Q189" s="462"/>
      <c r="R189" s="462"/>
      <c r="S189" s="463"/>
      <c r="T189" s="461" t="str">
        <f t="shared" ca="1" si="65"/>
        <v>C&amp;N</v>
      </c>
      <c r="U189" s="462"/>
      <c r="V189" s="462"/>
      <c r="W189" s="462"/>
      <c r="X189" s="462"/>
      <c r="Y189" s="463"/>
      <c r="Z189" s="459">
        <f ca="1">IFERROR(VLOOKUP(L189,E168:AG183,28,FALSE),0)</f>
        <v>1.25</v>
      </c>
      <c r="AA189" s="460"/>
      <c r="AB189" s="118"/>
      <c r="AC189" s="20"/>
      <c r="AD189" s="20"/>
      <c r="AE189" s="20"/>
      <c r="AF189" s="20"/>
      <c r="AG189" s="20"/>
      <c r="AH189" s="20"/>
      <c r="AI189" s="20"/>
      <c r="AJ189" s="20"/>
      <c r="AK189" s="20"/>
      <c r="AL189" s="129"/>
      <c r="AM189" s="130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136"/>
      <c r="BA189" s="136"/>
      <c r="BB189" s="8"/>
      <c r="BC189" s="8"/>
      <c r="BD189" s="8"/>
      <c r="BE189" s="8"/>
    </row>
    <row r="190" spans="1:72" s="4" customFormat="1" ht="16.149999999999999" customHeight="1" x14ac:dyDescent="0.25">
      <c r="A190" s="11">
        <f>IFERROR(VLOOKUP(A164,EA!A:K,6,FALSE),"-")</f>
        <v>1.4</v>
      </c>
      <c r="B190" s="1"/>
      <c r="C190" s="10">
        <v>4</v>
      </c>
      <c r="D190" s="19">
        <f ca="1">IFERROR(IF(VLOOKUP(C190,B168:AP183,41,FALSE)="",VLOOKUP(C190,B168:AP183,37,FALSE),VLOOKUP(C190,B168:AP183,37,FALSE)&amp;VLOOKUP(C190,B168:AP183,41,FALSE)),"")</f>
        <v>4</v>
      </c>
      <c r="E190" s="19">
        <f ca="1">IFERROR(IF(VLOOKUP(C190,B168:AG183,31,FALSE)=0,0,VLOOKUP(C190,B168:AG183,4,FALSE)),"")</f>
        <v>1</v>
      </c>
      <c r="F190" s="27" t="str">
        <f ca="1">IFERROR(VLOOKUP(E190,$E168:$F183,2,FALSE),"")</f>
        <v>William CATTELL</v>
      </c>
      <c r="G190" s="18" t="str">
        <f t="shared" ca="1" si="64"/>
        <v>C&amp;N</v>
      </c>
      <c r="H190" s="459">
        <f ca="1">IFERROR(VLOOKUP(E190,E168:AG183,28,FALSE),0)</f>
        <v>1.3</v>
      </c>
      <c r="I190" s="460"/>
      <c r="J190" s="509" t="str">
        <f ca="1">IFERROR(IF(VLOOKUP(C190,C168:AT183,44,FALSE)="",VLOOKUP(C190,C168:AT183,37,FALSE),VLOOKUP(C190,C168:AT183,37,FALSE)&amp;VLOOKUP(C190,C168:AT183,44,FALSE)),"")</f>
        <v/>
      </c>
      <c r="K190" s="510"/>
      <c r="L190" s="509" t="str">
        <f ca="1">IFERROR(IF(VLOOKUP(C190,C168:AG183,30,FALSE)=0,"",VLOOKUP(C190,C168:AG183,3,FALSE)),"")</f>
        <v/>
      </c>
      <c r="M190" s="510"/>
      <c r="N190" s="461" t="str">
        <f ca="1">IFERROR(VLOOKUP(L190,E168:F183,2,FALSE),"")</f>
        <v/>
      </c>
      <c r="O190" s="462"/>
      <c r="P190" s="462"/>
      <c r="Q190" s="462"/>
      <c r="R190" s="462"/>
      <c r="S190" s="463"/>
      <c r="T190" s="461" t="str">
        <f t="shared" ca="1" si="65"/>
        <v>-</v>
      </c>
      <c r="U190" s="462"/>
      <c r="V190" s="462"/>
      <c r="W190" s="462"/>
      <c r="X190" s="462"/>
      <c r="Y190" s="463"/>
      <c r="Z190" s="459">
        <f ca="1">IFERROR(VLOOKUP(L190,E168:AG183,28,FALSE),0)</f>
        <v>0</v>
      </c>
      <c r="AA190" s="460"/>
      <c r="AB190" s="24"/>
      <c r="AC190" s="25"/>
      <c r="AD190" s="25"/>
      <c r="AE190" s="25"/>
      <c r="AF190" s="25"/>
      <c r="AG190" s="25"/>
      <c r="AH190" s="25"/>
      <c r="AI190" s="25"/>
      <c r="AJ190" s="25"/>
      <c r="AK190" s="25"/>
      <c r="AL190" s="125"/>
      <c r="AM190" s="126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136"/>
      <c r="BA190" s="136"/>
      <c r="BB190" s="8"/>
      <c r="BC190" s="8"/>
      <c r="BD190" s="8"/>
      <c r="BE190" s="8"/>
    </row>
    <row r="191" spans="1:72" s="4" customFormat="1" ht="16.149999999999999" customHeight="1" x14ac:dyDescent="0.25">
      <c r="A191" s="8"/>
      <c r="B191" s="1"/>
      <c r="C191" s="10">
        <v>5</v>
      </c>
      <c r="D191" s="19" t="str">
        <f ca="1">IFERROR(IF(VLOOKUP(C191,B168:AP183,41,FALSE)="",VLOOKUP(C191,B168:AP183,37,FALSE),VLOOKUP(C191,B168:AP183,37,FALSE)&amp;VLOOKUP(C191,B168:AP183,41,FALSE)),"")</f>
        <v/>
      </c>
      <c r="E191" s="19" t="str">
        <f ca="1">IFERROR(IF(VLOOKUP(C191,B168:AG183,31,FALSE)=0,0,VLOOKUP(C191,B168:AG183,4,FALSE)),"")</f>
        <v/>
      </c>
      <c r="F191" s="27" t="str">
        <f ca="1">IFERROR(VLOOKUP(E191,$E168:$F183,2,FALSE),"")</f>
        <v/>
      </c>
      <c r="G191" s="18" t="str">
        <f t="shared" ca="1" si="64"/>
        <v>-</v>
      </c>
      <c r="H191" s="459">
        <f ca="1">IFERROR(VLOOKUP(E191,E168:AG183,28,FALSE),0)</f>
        <v>0</v>
      </c>
      <c r="I191" s="460"/>
      <c r="J191" s="509" t="str">
        <f ca="1">IFERROR(IF(VLOOKUP(C191,C168:AT183,44,FALSE)="",VLOOKUP(C191,C168:AT183,37,FALSE),VLOOKUP(C191,C168:AT183,37,FALSE)&amp;VLOOKUP(C191,C168:AT183,44,FALSE)),"")</f>
        <v/>
      </c>
      <c r="K191" s="510"/>
      <c r="L191" s="509" t="str">
        <f ca="1">IFERROR(IF(VLOOKUP(C191,C168:AG183,30,FALSE)=0,"",VLOOKUP(C191,C168:AG183,3,FALSE)),"")</f>
        <v/>
      </c>
      <c r="M191" s="510"/>
      <c r="N191" s="461" t="str">
        <f ca="1">IFERROR(VLOOKUP(L191,E168:F183,2,FALSE),"")</f>
        <v/>
      </c>
      <c r="O191" s="462"/>
      <c r="P191" s="462"/>
      <c r="Q191" s="462"/>
      <c r="R191" s="462"/>
      <c r="S191" s="463"/>
      <c r="T191" s="461" t="str">
        <f t="shared" ca="1" si="65"/>
        <v>-</v>
      </c>
      <c r="U191" s="462"/>
      <c r="V191" s="462"/>
      <c r="W191" s="462"/>
      <c r="X191" s="462"/>
      <c r="Y191" s="463"/>
      <c r="Z191" s="459">
        <f ca="1">IFERROR(VLOOKUP(L191,E168:AG183,28,FALSE),0)</f>
        <v>0</v>
      </c>
      <c r="AA191" s="460"/>
      <c r="AB191" s="28"/>
      <c r="AC191" s="29"/>
      <c r="AD191" s="29"/>
      <c r="AE191" s="29"/>
      <c r="AF191" s="29"/>
      <c r="AG191" s="29"/>
      <c r="AH191" s="29"/>
      <c r="AI191" s="29"/>
      <c r="AJ191" s="29"/>
      <c r="AK191" s="29"/>
      <c r="AL191" s="127"/>
      <c r="AM191" s="12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136"/>
      <c r="BA191" s="136"/>
      <c r="BB191" s="8"/>
      <c r="BC191" s="8"/>
      <c r="BD191" s="8"/>
      <c r="BE191" s="8"/>
    </row>
    <row r="192" spans="1:72" s="4" customFormat="1" ht="16.149999999999999" customHeight="1" x14ac:dyDescent="0.25">
      <c r="A192" s="8" t="s">
        <v>151</v>
      </c>
      <c r="B192" s="1"/>
      <c r="C192" s="10">
        <v>6</v>
      </c>
      <c r="D192" s="19" t="str">
        <f ca="1">IFERROR(IF(VLOOKUP(C192,B168:AP183,41,FALSE)="",VLOOKUP(C192,B168:AP183,37,FALSE),VLOOKUP(C192,B168:AP183,37,FALSE)&amp;VLOOKUP(C192,B168:AP183,41,FALSE)),"")</f>
        <v/>
      </c>
      <c r="E192" s="19" t="str">
        <f ca="1">IFERROR(IF(VLOOKUP(C192,B168:AG183,31,FALSE)=0,0,VLOOKUP(C192,B168:AG183,4,FALSE)),"")</f>
        <v/>
      </c>
      <c r="F192" s="27" t="str">
        <f ca="1">IFERROR(VLOOKUP(E192,$E168:$F183,2,FALSE),"")</f>
        <v/>
      </c>
      <c r="G192" s="18" t="str">
        <f t="shared" ca="1" si="64"/>
        <v>-</v>
      </c>
      <c r="H192" s="459">
        <f ca="1">IFERROR(VLOOKUP(E192,E168:AG183,28,FALSE),0)</f>
        <v>0</v>
      </c>
      <c r="I192" s="460"/>
      <c r="J192" s="509" t="str">
        <f ca="1">IFERROR(IF(VLOOKUP(C192,C168:AT183,44,FALSE)="",VLOOKUP(C192,C168:AT183,37,FALSE),VLOOKUP(C192,C168:AT183,37,FALSE)&amp;VLOOKUP(C192,C168:AT183,44,FALSE)),"")</f>
        <v/>
      </c>
      <c r="K192" s="510"/>
      <c r="L192" s="509" t="str">
        <f ca="1">IFERROR(IF(VLOOKUP(C192,C168:AG183,30,FALSE)=0,"",VLOOKUP(C192,C168:AG183,3,FALSE)),"")</f>
        <v/>
      </c>
      <c r="M192" s="510"/>
      <c r="N192" s="461" t="str">
        <f ca="1">IFERROR(VLOOKUP(L192,E168:F183,2,FALSE),"")</f>
        <v/>
      </c>
      <c r="O192" s="462"/>
      <c r="P192" s="462"/>
      <c r="Q192" s="462"/>
      <c r="R192" s="462"/>
      <c r="S192" s="463"/>
      <c r="T192" s="461" t="str">
        <f t="shared" ca="1" si="65"/>
        <v>-</v>
      </c>
      <c r="U192" s="462"/>
      <c r="V192" s="462"/>
      <c r="W192" s="462"/>
      <c r="X192" s="462"/>
      <c r="Y192" s="463"/>
      <c r="Z192" s="459">
        <f ca="1">IFERROR(VLOOKUP(L192,E168:AG183,28,FALSE),0)</f>
        <v>0</v>
      </c>
      <c r="AA192" s="460"/>
      <c r="AB192" s="466" t="s">
        <v>1135</v>
      </c>
      <c r="AC192" s="507"/>
      <c r="AD192" s="507"/>
      <c r="AE192" s="507"/>
      <c r="AF192" s="507"/>
      <c r="AG192" s="507"/>
      <c r="AH192" s="507"/>
      <c r="AI192" s="507"/>
      <c r="AJ192" s="507"/>
      <c r="AK192" s="507"/>
      <c r="AL192" s="507"/>
      <c r="AM192" s="50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136"/>
      <c r="BA192" s="136"/>
      <c r="BB192" s="8"/>
      <c r="BC192" s="8"/>
      <c r="BD192" s="8"/>
      <c r="BE192" s="8"/>
    </row>
    <row r="193" spans="1:57" s="4" customFormat="1" ht="16.149999999999999" customHeight="1" x14ac:dyDescent="0.25">
      <c r="A193" s="8">
        <f>IFERROR(VLOOKUP(A164,records,5,FALSE),"")</f>
        <v>1.93</v>
      </c>
      <c r="B193" s="1"/>
      <c r="C193" s="10">
        <v>7</v>
      </c>
      <c r="D193" s="19" t="str">
        <f ca="1">IFERROR(IF(VLOOKUP(C193,B168:AP183,41,FALSE)="",VLOOKUP(C193,B168:AP183,37,FALSE),VLOOKUP(C193,B168:AP183,37,FALSE)&amp;VLOOKUP(C193,B168:AP183,41,FALSE)),"")</f>
        <v/>
      </c>
      <c r="E193" s="19" t="str">
        <f ca="1">IFERROR(IF(VLOOKUP(C193,B168:AG183,31,FALSE)=0,0,VLOOKUP(C193,B168:AG183,4,FALSE)),"")</f>
        <v/>
      </c>
      <c r="F193" s="27" t="str">
        <f ca="1">IFERROR(VLOOKUP(E193,$E168:$F183,2,FALSE),"")</f>
        <v/>
      </c>
      <c r="G193" s="18" t="str">
        <f t="shared" ca="1" si="64"/>
        <v>-</v>
      </c>
      <c r="H193" s="459">
        <f ca="1">IFERROR(VLOOKUP(E193,E168:AG183,28,FALSE),0)</f>
        <v>0</v>
      </c>
      <c r="I193" s="460"/>
      <c r="J193" s="509" t="str">
        <f ca="1">IFERROR(IF(VLOOKUP(C193,C168:AT183,44,FALSE)="",VLOOKUP(C193,C168:AT183,37,FALSE),VLOOKUP(C193,C168:AT183,37,FALSE)&amp;VLOOKUP(C193,C168:AT183,44,FALSE)),"")</f>
        <v/>
      </c>
      <c r="K193" s="510"/>
      <c r="L193" s="509" t="str">
        <f ca="1">IFERROR(IF(VLOOKUP(C193,C168:AG183,30,FALSE)=0,"",VLOOKUP(C193,C168:AG183,3,FALSE)),"")</f>
        <v/>
      </c>
      <c r="M193" s="510"/>
      <c r="N193" s="461" t="str">
        <f ca="1">IFERROR(VLOOKUP(L193,E168:F183,2,FALSE),"")</f>
        <v/>
      </c>
      <c r="O193" s="462"/>
      <c r="P193" s="462"/>
      <c r="Q193" s="462"/>
      <c r="R193" s="462"/>
      <c r="S193" s="463"/>
      <c r="T193" s="461" t="str">
        <f t="shared" ca="1" si="65"/>
        <v>-</v>
      </c>
      <c r="U193" s="462"/>
      <c r="V193" s="462"/>
      <c r="W193" s="462"/>
      <c r="X193" s="462"/>
      <c r="Y193" s="463"/>
      <c r="Z193" s="459">
        <f ca="1">IFERROR(VLOOKUP(L193,E168:AG183,28,FALSE),0)</f>
        <v>0</v>
      </c>
      <c r="AA193" s="460"/>
      <c r="AB193" s="24"/>
      <c r="AC193" s="25"/>
      <c r="AD193" s="25"/>
      <c r="AE193" s="25"/>
      <c r="AF193" s="25"/>
      <c r="AG193" s="25"/>
      <c r="AH193" s="25"/>
      <c r="AI193" s="25"/>
      <c r="AJ193" s="25"/>
      <c r="AK193" s="25"/>
      <c r="AL193" s="125"/>
      <c r="AM193" s="126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136"/>
      <c r="BA193" s="136"/>
      <c r="BB193" s="8"/>
      <c r="BC193" s="8"/>
      <c r="BD193" s="8"/>
      <c r="BE193" s="8"/>
    </row>
    <row r="194" spans="1:57" s="4" customFormat="1" ht="16.149999999999999" customHeight="1" x14ac:dyDescent="0.25">
      <c r="A194" s="8"/>
      <c r="B194" s="1"/>
      <c r="C194" s="10">
        <v>8</v>
      </c>
      <c r="D194" s="19" t="str">
        <f ca="1">IFERROR(IF(VLOOKUP(C194,B168:AP183,41,FALSE)="",VLOOKUP(C194,B168:AP183,37,FALSE),VLOOKUP(C194,B168:AP183,37,FALSE)&amp;VLOOKUP(C194,B168:AP183,41,FALSE)),"")</f>
        <v/>
      </c>
      <c r="E194" s="19" t="str">
        <f ca="1">IFERROR(IF(VLOOKUP(C194,B168:AG183,31,FALSE)=0,0,VLOOKUP(C194,B168:AG183,4,FALSE)),"")</f>
        <v/>
      </c>
      <c r="F194" s="27" t="str">
        <f ca="1">IFERROR(VLOOKUP(E194,$E168:$F183,2,FALSE),"")</f>
        <v/>
      </c>
      <c r="G194" s="18" t="str">
        <f t="shared" ca="1" si="64"/>
        <v>-</v>
      </c>
      <c r="H194" s="459">
        <f ca="1">IFERROR(VLOOKUP(E194,E168:AG183,28,FALSE),0)</f>
        <v>0</v>
      </c>
      <c r="I194" s="460"/>
      <c r="J194" s="509" t="str">
        <f ca="1">IFERROR(IF(VLOOKUP(C194,C168:AT183,44,FALSE)="",VLOOKUP(C194,C168:AT183,37,FALSE),VLOOKUP(C194,C168:AT183,37,FALSE)&amp;VLOOKUP(C194,C168:AT183,44,FALSE)),"")</f>
        <v/>
      </c>
      <c r="K194" s="510"/>
      <c r="L194" s="509" t="str">
        <f ca="1">IFERROR(IF(VLOOKUP(C194,C168:AG183,30,FALSE)=0,"",VLOOKUP(C194,C168:AG183,3,FALSE)),"")</f>
        <v/>
      </c>
      <c r="M194" s="510"/>
      <c r="N194" s="461" t="str">
        <f ca="1">IFERROR(VLOOKUP(L194,E168:F183,2,FALSE),"")</f>
        <v/>
      </c>
      <c r="O194" s="462"/>
      <c r="P194" s="462"/>
      <c r="Q194" s="462"/>
      <c r="R194" s="462"/>
      <c r="S194" s="463"/>
      <c r="T194" s="461" t="str">
        <f t="shared" ca="1" si="65"/>
        <v>-</v>
      </c>
      <c r="U194" s="462"/>
      <c r="V194" s="462"/>
      <c r="W194" s="462"/>
      <c r="X194" s="462"/>
      <c r="Y194" s="463"/>
      <c r="Z194" s="459">
        <f ca="1">IFERROR(VLOOKUP(L194,E168:AG183,28,FALSE),0)</f>
        <v>0</v>
      </c>
      <c r="AA194" s="460"/>
      <c r="AB194" s="28"/>
      <c r="AC194" s="29"/>
      <c r="AD194" s="29"/>
      <c r="AE194" s="29"/>
      <c r="AF194" s="29"/>
      <c r="AG194" s="29"/>
      <c r="AH194" s="29"/>
      <c r="AI194" s="29"/>
      <c r="AJ194" s="29"/>
      <c r="AK194" s="29"/>
      <c r="AL194" s="127"/>
      <c r="AM194" s="12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136"/>
      <c r="BA194" s="136"/>
      <c r="BB194" s="8"/>
      <c r="BC194" s="8"/>
      <c r="BD194" s="8"/>
      <c r="BE194" s="8"/>
    </row>
  </sheetData>
  <sheetProtection algorithmName="SHA-512" hashValue="4PSJlMTiT+8yq3BPf2di24JkzTEj0BRS+vbVNF9OWAeicqywS3GD/89c28lv02I+KwFoMo8xetXWvHHUpO2aXA==" saltValue="CpOapWA0LnBSYx6y14z3RA==" spinCount="100000" sheet="1" objects="1" scenarios="1" formatCells="0" formatColumns="0" formatRows="0" sort="0" autoFilter="0"/>
  <mergeCells count="1866">
    <mergeCell ref="N30:S30"/>
    <mergeCell ref="T30:Y30"/>
    <mergeCell ref="Z30:AA30"/>
    <mergeCell ref="H3:M3"/>
    <mergeCell ref="N3:AM3"/>
    <mergeCell ref="H34:I34"/>
    <mergeCell ref="J34:K34"/>
    <mergeCell ref="L34:M34"/>
    <mergeCell ref="N34:S34"/>
    <mergeCell ref="T34:Y34"/>
    <mergeCell ref="Z34:AA34"/>
    <mergeCell ref="AB32:AM32"/>
    <mergeCell ref="H33:I33"/>
    <mergeCell ref="J33:K33"/>
    <mergeCell ref="L33:M33"/>
    <mergeCell ref="N33:S33"/>
    <mergeCell ref="T33:Y33"/>
    <mergeCell ref="Z33:AA33"/>
    <mergeCell ref="H32:I32"/>
    <mergeCell ref="J32:K32"/>
    <mergeCell ref="L32:M32"/>
    <mergeCell ref="N32:S32"/>
    <mergeCell ref="T32:Y32"/>
    <mergeCell ref="Z32:AA32"/>
    <mergeCell ref="H31:I31"/>
    <mergeCell ref="J31:K31"/>
    <mergeCell ref="H27:I27"/>
    <mergeCell ref="J27:K27"/>
    <mergeCell ref="L27:M27"/>
    <mergeCell ref="N27:S27"/>
    <mergeCell ref="T27:Y27"/>
    <mergeCell ref="Z27:AA27"/>
    <mergeCell ref="H26:I26"/>
    <mergeCell ref="J26:K26"/>
    <mergeCell ref="L26:M26"/>
    <mergeCell ref="N26:S26"/>
    <mergeCell ref="T26:Y26"/>
    <mergeCell ref="Z26:AA26"/>
    <mergeCell ref="H29:I29"/>
    <mergeCell ref="J29:K29"/>
    <mergeCell ref="L29:M29"/>
    <mergeCell ref="N29:S29"/>
    <mergeCell ref="T29:Y29"/>
    <mergeCell ref="Z29:AA29"/>
    <mergeCell ref="H28:I28"/>
    <mergeCell ref="J28:K28"/>
    <mergeCell ref="L28:M28"/>
    <mergeCell ref="N28:S28"/>
    <mergeCell ref="T28:Y28"/>
    <mergeCell ref="Z28:AA28"/>
    <mergeCell ref="L31:M31"/>
    <mergeCell ref="N31:S31"/>
    <mergeCell ref="T31:Y31"/>
    <mergeCell ref="Z31:AA31"/>
    <mergeCell ref="H30:I30"/>
    <mergeCell ref="J30:K30"/>
    <mergeCell ref="L30:M30"/>
    <mergeCell ref="H22:I22"/>
    <mergeCell ref="J22:K22"/>
    <mergeCell ref="L22:M22"/>
    <mergeCell ref="N22:O22"/>
    <mergeCell ref="P22:Q22"/>
    <mergeCell ref="R22:S22"/>
    <mergeCell ref="Z23:AA23"/>
    <mergeCell ref="AB23:AC23"/>
    <mergeCell ref="AD23:AE23"/>
    <mergeCell ref="AF23:AG23"/>
    <mergeCell ref="D25:I25"/>
    <mergeCell ref="J25:AA25"/>
    <mergeCell ref="AB25:AM25"/>
    <mergeCell ref="AF22:AG22"/>
    <mergeCell ref="H23:I23"/>
    <mergeCell ref="J23:K23"/>
    <mergeCell ref="L23:M23"/>
    <mergeCell ref="N23:O23"/>
    <mergeCell ref="P23:Q23"/>
    <mergeCell ref="R23:S23"/>
    <mergeCell ref="T23:U23"/>
    <mergeCell ref="V23:W23"/>
    <mergeCell ref="X23:Y23"/>
    <mergeCell ref="T22:U22"/>
    <mergeCell ref="V22:W22"/>
    <mergeCell ref="X22:Y22"/>
    <mergeCell ref="Z22:AA22"/>
    <mergeCell ref="AB22:AC22"/>
    <mergeCell ref="AD22:AE22"/>
    <mergeCell ref="H20:I20"/>
    <mergeCell ref="J20:K20"/>
    <mergeCell ref="L20:M20"/>
    <mergeCell ref="N20:O20"/>
    <mergeCell ref="P20:Q20"/>
    <mergeCell ref="R20:S20"/>
    <mergeCell ref="AF20:AG20"/>
    <mergeCell ref="H21:I21"/>
    <mergeCell ref="J21:K21"/>
    <mergeCell ref="L21:M21"/>
    <mergeCell ref="N21:O21"/>
    <mergeCell ref="P21:Q21"/>
    <mergeCell ref="R21:S21"/>
    <mergeCell ref="T21:U21"/>
    <mergeCell ref="V21:W21"/>
    <mergeCell ref="X21:Y21"/>
    <mergeCell ref="T20:U20"/>
    <mergeCell ref="V20:W20"/>
    <mergeCell ref="X20:Y20"/>
    <mergeCell ref="Z20:AA20"/>
    <mergeCell ref="AB20:AC20"/>
    <mergeCell ref="AD20:AE20"/>
    <mergeCell ref="Z21:AA21"/>
    <mergeCell ref="AB21:AC21"/>
    <mergeCell ref="AD21:AE21"/>
    <mergeCell ref="AF21:AG21"/>
    <mergeCell ref="H18:I18"/>
    <mergeCell ref="J18:K18"/>
    <mergeCell ref="L18:M18"/>
    <mergeCell ref="N18:O18"/>
    <mergeCell ref="P18:Q18"/>
    <mergeCell ref="R18:S18"/>
    <mergeCell ref="AF18:AG18"/>
    <mergeCell ref="H19:I19"/>
    <mergeCell ref="J19:K19"/>
    <mergeCell ref="L19:M19"/>
    <mergeCell ref="N19:O19"/>
    <mergeCell ref="P19:Q19"/>
    <mergeCell ref="R19:S19"/>
    <mergeCell ref="T19:U19"/>
    <mergeCell ref="V19:W19"/>
    <mergeCell ref="X19:Y19"/>
    <mergeCell ref="T18:U18"/>
    <mergeCell ref="V18:W18"/>
    <mergeCell ref="X18:Y18"/>
    <mergeCell ref="Z18:AA18"/>
    <mergeCell ref="AB18:AC18"/>
    <mergeCell ref="AD18:AE18"/>
    <mergeCell ref="Z19:AA19"/>
    <mergeCell ref="AB19:AC19"/>
    <mergeCell ref="AD19:AE19"/>
    <mergeCell ref="AF19:AG19"/>
    <mergeCell ref="H16:I16"/>
    <mergeCell ref="J16:K16"/>
    <mergeCell ref="L16:M16"/>
    <mergeCell ref="N16:O16"/>
    <mergeCell ref="P16:Q16"/>
    <mergeCell ref="R16:S16"/>
    <mergeCell ref="AF16:AG16"/>
    <mergeCell ref="H17:I17"/>
    <mergeCell ref="J17:K17"/>
    <mergeCell ref="L17:M17"/>
    <mergeCell ref="N17:O17"/>
    <mergeCell ref="P17:Q17"/>
    <mergeCell ref="R17:S17"/>
    <mergeCell ref="T17:U17"/>
    <mergeCell ref="V17:W17"/>
    <mergeCell ref="X17:Y17"/>
    <mergeCell ref="T16:U16"/>
    <mergeCell ref="V16:W16"/>
    <mergeCell ref="X16:Y16"/>
    <mergeCell ref="Z16:AA16"/>
    <mergeCell ref="AB16:AC16"/>
    <mergeCell ref="AD16:AE16"/>
    <mergeCell ref="Z17:AA17"/>
    <mergeCell ref="AB17:AC17"/>
    <mergeCell ref="AD17:AE17"/>
    <mergeCell ref="AF17:AG17"/>
    <mergeCell ref="H14:I14"/>
    <mergeCell ref="J14:K14"/>
    <mergeCell ref="L14:M14"/>
    <mergeCell ref="N14:O14"/>
    <mergeCell ref="P14:Q14"/>
    <mergeCell ref="R14:S14"/>
    <mergeCell ref="AF14:AG14"/>
    <mergeCell ref="H15:I15"/>
    <mergeCell ref="J15:K15"/>
    <mergeCell ref="L15:M15"/>
    <mergeCell ref="N15:O15"/>
    <mergeCell ref="P15:Q15"/>
    <mergeCell ref="R15:S15"/>
    <mergeCell ref="T15:U15"/>
    <mergeCell ref="V15:W15"/>
    <mergeCell ref="X15:Y15"/>
    <mergeCell ref="T14:U14"/>
    <mergeCell ref="V14:W14"/>
    <mergeCell ref="X14:Y14"/>
    <mergeCell ref="Z14:AA14"/>
    <mergeCell ref="AB14:AC14"/>
    <mergeCell ref="AD14:AE14"/>
    <mergeCell ref="Z15:AA15"/>
    <mergeCell ref="AB15:AC15"/>
    <mergeCell ref="AD15:AE15"/>
    <mergeCell ref="AF15:AG15"/>
    <mergeCell ref="H12:I12"/>
    <mergeCell ref="J12:K12"/>
    <mergeCell ref="L12:M12"/>
    <mergeCell ref="N12:O12"/>
    <mergeCell ref="P12:Q12"/>
    <mergeCell ref="R12:S12"/>
    <mergeCell ref="AF12:AG12"/>
    <mergeCell ref="H13:I13"/>
    <mergeCell ref="J13:K13"/>
    <mergeCell ref="L13:M13"/>
    <mergeCell ref="N13:O13"/>
    <mergeCell ref="P13:Q13"/>
    <mergeCell ref="R13:S13"/>
    <mergeCell ref="T13:U13"/>
    <mergeCell ref="V13:W13"/>
    <mergeCell ref="X13:Y13"/>
    <mergeCell ref="T12:U12"/>
    <mergeCell ref="V12:W12"/>
    <mergeCell ref="X12:Y12"/>
    <mergeCell ref="Z12:AA12"/>
    <mergeCell ref="AB12:AC12"/>
    <mergeCell ref="AD12:AE12"/>
    <mergeCell ref="Z13:AA13"/>
    <mergeCell ref="AB13:AC13"/>
    <mergeCell ref="AD13:AE13"/>
    <mergeCell ref="AF13:AG13"/>
    <mergeCell ref="H10:I10"/>
    <mergeCell ref="J10:K10"/>
    <mergeCell ref="L10:M10"/>
    <mergeCell ref="N10:O10"/>
    <mergeCell ref="P10:Q10"/>
    <mergeCell ref="R10:S10"/>
    <mergeCell ref="AF10:AG10"/>
    <mergeCell ref="H11:I11"/>
    <mergeCell ref="J11:K11"/>
    <mergeCell ref="L11:M11"/>
    <mergeCell ref="N11:O11"/>
    <mergeCell ref="P11:Q11"/>
    <mergeCell ref="R11:S11"/>
    <mergeCell ref="T11:U11"/>
    <mergeCell ref="V11:W11"/>
    <mergeCell ref="X11:Y11"/>
    <mergeCell ref="T10:U10"/>
    <mergeCell ref="V10:W10"/>
    <mergeCell ref="X10:Y10"/>
    <mergeCell ref="Z10:AA10"/>
    <mergeCell ref="AB10:AC10"/>
    <mergeCell ref="AD10:AE10"/>
    <mergeCell ref="Z11:AA11"/>
    <mergeCell ref="AB11:AC11"/>
    <mergeCell ref="AD11:AE11"/>
    <mergeCell ref="AF11:AG11"/>
    <mergeCell ref="AF8:AG8"/>
    <mergeCell ref="H9:I9"/>
    <mergeCell ref="J9:K9"/>
    <mergeCell ref="L9:M9"/>
    <mergeCell ref="N9:O9"/>
    <mergeCell ref="P9:Q9"/>
    <mergeCell ref="R9:S9"/>
    <mergeCell ref="T9:U9"/>
    <mergeCell ref="V9:W9"/>
    <mergeCell ref="X9:Y9"/>
    <mergeCell ref="T8:U8"/>
    <mergeCell ref="V8:W8"/>
    <mergeCell ref="X8:Y8"/>
    <mergeCell ref="Z8:AA8"/>
    <mergeCell ref="AB8:AC8"/>
    <mergeCell ref="AD8:AE8"/>
    <mergeCell ref="H8:I8"/>
    <mergeCell ref="J8:K8"/>
    <mergeCell ref="L8:M8"/>
    <mergeCell ref="N8:O8"/>
    <mergeCell ref="P8:Q8"/>
    <mergeCell ref="R8:S8"/>
    <mergeCell ref="Z9:AA9"/>
    <mergeCell ref="AB9:AC9"/>
    <mergeCell ref="AD9:AE9"/>
    <mergeCell ref="AF9:AG9"/>
    <mergeCell ref="AB6:AC6"/>
    <mergeCell ref="AD6:AE6"/>
    <mergeCell ref="AF6:AG6"/>
    <mergeCell ref="AH6:AH7"/>
    <mergeCell ref="AF7:AG7"/>
    <mergeCell ref="T7:U7"/>
    <mergeCell ref="V7:W7"/>
    <mergeCell ref="X7:Y7"/>
    <mergeCell ref="Z7:AA7"/>
    <mergeCell ref="AB7:AC7"/>
    <mergeCell ref="AD7:AE7"/>
    <mergeCell ref="AC4:AM4"/>
    <mergeCell ref="D3:G3"/>
    <mergeCell ref="N5:Q5"/>
    <mergeCell ref="R5:AM5"/>
    <mergeCell ref="AI6:AI7"/>
    <mergeCell ref="AJ6:AJ7"/>
    <mergeCell ref="J7:K7"/>
    <mergeCell ref="L7:M7"/>
    <mergeCell ref="N7:O7"/>
    <mergeCell ref="D35:G35"/>
    <mergeCell ref="H35:M35"/>
    <mergeCell ref="N35:AM35"/>
    <mergeCell ref="D36:E36"/>
    <mergeCell ref="F36:G36"/>
    <mergeCell ref="H36:J36"/>
    <mergeCell ref="K36:Y36"/>
    <mergeCell ref="Z36:AB36"/>
    <mergeCell ref="AC36:AM36"/>
    <mergeCell ref="D5:E5"/>
    <mergeCell ref="F5:G5"/>
    <mergeCell ref="H5:J5"/>
    <mergeCell ref="K5:M5"/>
    <mergeCell ref="D4:E4"/>
    <mergeCell ref="F4:G4"/>
    <mergeCell ref="H4:J4"/>
    <mergeCell ref="K4:Y4"/>
    <mergeCell ref="Z4:AB4"/>
    <mergeCell ref="H6:I6"/>
    <mergeCell ref="J6:K6"/>
    <mergeCell ref="L6:M6"/>
    <mergeCell ref="N6:O6"/>
    <mergeCell ref="P6:Q6"/>
    <mergeCell ref="R6:S6"/>
    <mergeCell ref="T6:U6"/>
    <mergeCell ref="V6:W6"/>
    <mergeCell ref="AL6:AM7"/>
    <mergeCell ref="H7:I7"/>
    <mergeCell ref="P7:Q7"/>
    <mergeCell ref="R7:S7"/>
    <mergeCell ref="X6:Y6"/>
    <mergeCell ref="Z6:AA6"/>
    <mergeCell ref="D37:E37"/>
    <mergeCell ref="F37:G37"/>
    <mergeCell ref="H37:J37"/>
    <mergeCell ref="K37:M37"/>
    <mergeCell ref="N37:Q37"/>
    <mergeCell ref="R37:AM37"/>
    <mergeCell ref="H38:I38"/>
    <mergeCell ref="J38:K38"/>
    <mergeCell ref="L38:M38"/>
    <mergeCell ref="N38:O38"/>
    <mergeCell ref="P38:Q38"/>
    <mergeCell ref="R38:S38"/>
    <mergeCell ref="T38:U38"/>
    <mergeCell ref="V38:W38"/>
    <mergeCell ref="X38:Y38"/>
    <mergeCell ref="Z38:AA38"/>
    <mergeCell ref="AB38:AC38"/>
    <mergeCell ref="AD38:AE38"/>
    <mergeCell ref="AF38:AG38"/>
    <mergeCell ref="AH38:AH39"/>
    <mergeCell ref="AI38:AI39"/>
    <mergeCell ref="AJ38:AJ39"/>
    <mergeCell ref="AL38:AM39"/>
    <mergeCell ref="Z39:AA39"/>
    <mergeCell ref="AB39:AC39"/>
    <mergeCell ref="AD39:AE39"/>
    <mergeCell ref="AF39:AG39"/>
    <mergeCell ref="H40:I40"/>
    <mergeCell ref="J40:K40"/>
    <mergeCell ref="L40:M40"/>
    <mergeCell ref="N40:O40"/>
    <mergeCell ref="P40:Q40"/>
    <mergeCell ref="R40:S40"/>
    <mergeCell ref="T40:U40"/>
    <mergeCell ref="V40:W40"/>
    <mergeCell ref="X40:Y40"/>
    <mergeCell ref="Z40:AA40"/>
    <mergeCell ref="AB40:AC40"/>
    <mergeCell ref="AD40:AE40"/>
    <mergeCell ref="AF40:AG40"/>
    <mergeCell ref="H39:I39"/>
    <mergeCell ref="J39:K39"/>
    <mergeCell ref="L39:M39"/>
    <mergeCell ref="N39:O39"/>
    <mergeCell ref="P39:Q39"/>
    <mergeCell ref="R39:S39"/>
    <mergeCell ref="T39:U39"/>
    <mergeCell ref="V39:W39"/>
    <mergeCell ref="X39:Y39"/>
    <mergeCell ref="Z41:AA41"/>
    <mergeCell ref="AB41:AC41"/>
    <mergeCell ref="AD41:AE41"/>
    <mergeCell ref="AF41:AG41"/>
    <mergeCell ref="H42:I42"/>
    <mergeCell ref="J42:K42"/>
    <mergeCell ref="L42:M42"/>
    <mergeCell ref="N42:O42"/>
    <mergeCell ref="P42:Q42"/>
    <mergeCell ref="R42:S42"/>
    <mergeCell ref="T42:U42"/>
    <mergeCell ref="V42:W42"/>
    <mergeCell ref="X42:Y42"/>
    <mergeCell ref="Z42:AA42"/>
    <mergeCell ref="AB42:AC42"/>
    <mergeCell ref="AD42:AE42"/>
    <mergeCell ref="AF42:AG42"/>
    <mergeCell ref="H41:I41"/>
    <mergeCell ref="J41:K41"/>
    <mergeCell ref="L41:M41"/>
    <mergeCell ref="N41:O41"/>
    <mergeCell ref="P41:Q41"/>
    <mergeCell ref="R41:S41"/>
    <mergeCell ref="T41:U41"/>
    <mergeCell ref="V41:W41"/>
    <mergeCell ref="X41:Y41"/>
    <mergeCell ref="Z43:AA43"/>
    <mergeCell ref="AB43:AC43"/>
    <mergeCell ref="AD43:AE43"/>
    <mergeCell ref="AF43:AG43"/>
    <mergeCell ref="H44:I44"/>
    <mergeCell ref="J44:K44"/>
    <mergeCell ref="L44:M44"/>
    <mergeCell ref="N44:O44"/>
    <mergeCell ref="P44:Q44"/>
    <mergeCell ref="R44:S44"/>
    <mergeCell ref="T44:U44"/>
    <mergeCell ref="V44:W44"/>
    <mergeCell ref="X44:Y44"/>
    <mergeCell ref="Z44:AA44"/>
    <mergeCell ref="AB44:AC44"/>
    <mergeCell ref="AD44:AE44"/>
    <mergeCell ref="AF44:AG44"/>
    <mergeCell ref="H43:I43"/>
    <mergeCell ref="J43:K43"/>
    <mergeCell ref="L43:M43"/>
    <mergeCell ref="N43:O43"/>
    <mergeCell ref="P43:Q43"/>
    <mergeCell ref="R43:S43"/>
    <mergeCell ref="T43:U43"/>
    <mergeCell ref="V43:W43"/>
    <mergeCell ref="X43:Y43"/>
    <mergeCell ref="Z45:AA45"/>
    <mergeCell ref="AB45:AC45"/>
    <mergeCell ref="AD45:AE45"/>
    <mergeCell ref="AF45:AG45"/>
    <mergeCell ref="H46:I46"/>
    <mergeCell ref="J46:K46"/>
    <mergeCell ref="L46:M46"/>
    <mergeCell ref="N46:O46"/>
    <mergeCell ref="P46:Q46"/>
    <mergeCell ref="R46:S46"/>
    <mergeCell ref="T46:U46"/>
    <mergeCell ref="V46:W46"/>
    <mergeCell ref="X46:Y46"/>
    <mergeCell ref="Z46:AA46"/>
    <mergeCell ref="AB46:AC46"/>
    <mergeCell ref="AD46:AE46"/>
    <mergeCell ref="AF46:AG46"/>
    <mergeCell ref="H45:I45"/>
    <mergeCell ref="J45:K45"/>
    <mergeCell ref="L45:M45"/>
    <mergeCell ref="N45:O45"/>
    <mergeCell ref="P45:Q45"/>
    <mergeCell ref="R45:S45"/>
    <mergeCell ref="T45:U45"/>
    <mergeCell ref="V45:W45"/>
    <mergeCell ref="X45:Y45"/>
    <mergeCell ref="Z47:AA47"/>
    <mergeCell ref="AB47:AC47"/>
    <mergeCell ref="AD47:AE47"/>
    <mergeCell ref="AF47:AG47"/>
    <mergeCell ref="H48:I48"/>
    <mergeCell ref="J48:K48"/>
    <mergeCell ref="L48:M48"/>
    <mergeCell ref="N48:O48"/>
    <mergeCell ref="P48:Q48"/>
    <mergeCell ref="R48:S48"/>
    <mergeCell ref="T48:U48"/>
    <mergeCell ref="V48:W48"/>
    <mergeCell ref="X48:Y48"/>
    <mergeCell ref="Z48:AA48"/>
    <mergeCell ref="AB48:AC48"/>
    <mergeCell ref="AD48:AE48"/>
    <mergeCell ref="AF48:AG48"/>
    <mergeCell ref="H47:I47"/>
    <mergeCell ref="J47:K47"/>
    <mergeCell ref="L47:M47"/>
    <mergeCell ref="N47:O47"/>
    <mergeCell ref="P47:Q47"/>
    <mergeCell ref="R47:S47"/>
    <mergeCell ref="T47:U47"/>
    <mergeCell ref="V47:W47"/>
    <mergeCell ref="X47:Y47"/>
    <mergeCell ref="Z49:AA49"/>
    <mergeCell ref="AB49:AC49"/>
    <mergeCell ref="AD49:AE49"/>
    <mergeCell ref="AF49:AG49"/>
    <mergeCell ref="H50:I50"/>
    <mergeCell ref="J50:K50"/>
    <mergeCell ref="L50:M50"/>
    <mergeCell ref="N50:O50"/>
    <mergeCell ref="P50:Q50"/>
    <mergeCell ref="R50:S50"/>
    <mergeCell ref="T50:U50"/>
    <mergeCell ref="V50:W50"/>
    <mergeCell ref="X50:Y50"/>
    <mergeCell ref="Z50:AA50"/>
    <mergeCell ref="AB50:AC50"/>
    <mergeCell ref="AD50:AE50"/>
    <mergeCell ref="AF50:AG50"/>
    <mergeCell ref="H49:I49"/>
    <mergeCell ref="J49:K49"/>
    <mergeCell ref="L49:M49"/>
    <mergeCell ref="N49:O49"/>
    <mergeCell ref="P49:Q49"/>
    <mergeCell ref="R49:S49"/>
    <mergeCell ref="T49:U49"/>
    <mergeCell ref="V49:W49"/>
    <mergeCell ref="X49:Y49"/>
    <mergeCell ref="Z51:AA51"/>
    <mergeCell ref="AB51:AC51"/>
    <mergeCell ref="AD51:AE51"/>
    <mergeCell ref="AF51:AG51"/>
    <mergeCell ref="H52:I52"/>
    <mergeCell ref="J52:K52"/>
    <mergeCell ref="L52:M52"/>
    <mergeCell ref="N52:O52"/>
    <mergeCell ref="P52:Q52"/>
    <mergeCell ref="R52:S52"/>
    <mergeCell ref="T52:U52"/>
    <mergeCell ref="V52:W52"/>
    <mergeCell ref="X52:Y52"/>
    <mergeCell ref="Z52:AA52"/>
    <mergeCell ref="AB52:AC52"/>
    <mergeCell ref="AD52:AE52"/>
    <mergeCell ref="AF52:AG52"/>
    <mergeCell ref="H51:I51"/>
    <mergeCell ref="J51:K51"/>
    <mergeCell ref="L51:M51"/>
    <mergeCell ref="N51:O51"/>
    <mergeCell ref="P51:Q51"/>
    <mergeCell ref="R51:S51"/>
    <mergeCell ref="T51:U51"/>
    <mergeCell ref="V51:W51"/>
    <mergeCell ref="X51:Y51"/>
    <mergeCell ref="V55:W55"/>
    <mergeCell ref="X55:Y55"/>
    <mergeCell ref="Z53:AA53"/>
    <mergeCell ref="AB53:AC53"/>
    <mergeCell ref="AD53:AE53"/>
    <mergeCell ref="AF53:AG53"/>
    <mergeCell ref="H54:I54"/>
    <mergeCell ref="J54:K54"/>
    <mergeCell ref="L54:M54"/>
    <mergeCell ref="N54:O54"/>
    <mergeCell ref="P54:Q54"/>
    <mergeCell ref="R54:S54"/>
    <mergeCell ref="T54:U54"/>
    <mergeCell ref="V54:W54"/>
    <mergeCell ref="X54:Y54"/>
    <mergeCell ref="Z54:AA54"/>
    <mergeCell ref="AB54:AC54"/>
    <mergeCell ref="AD54:AE54"/>
    <mergeCell ref="AF54:AG54"/>
    <mergeCell ref="H53:I53"/>
    <mergeCell ref="J53:K53"/>
    <mergeCell ref="L53:M53"/>
    <mergeCell ref="N53:O53"/>
    <mergeCell ref="P53:Q53"/>
    <mergeCell ref="R53:S53"/>
    <mergeCell ref="T53:U53"/>
    <mergeCell ref="V53:W53"/>
    <mergeCell ref="X53:Y53"/>
    <mergeCell ref="H59:I59"/>
    <mergeCell ref="J59:K59"/>
    <mergeCell ref="L59:M59"/>
    <mergeCell ref="N59:S59"/>
    <mergeCell ref="T59:Y59"/>
    <mergeCell ref="Z59:AA59"/>
    <mergeCell ref="H60:I60"/>
    <mergeCell ref="J60:K60"/>
    <mergeCell ref="L60:M60"/>
    <mergeCell ref="N60:S60"/>
    <mergeCell ref="T60:Y60"/>
    <mergeCell ref="Z60:AA60"/>
    <mergeCell ref="Z55:AA55"/>
    <mergeCell ref="AB55:AC55"/>
    <mergeCell ref="AD55:AE55"/>
    <mergeCell ref="AF55:AG55"/>
    <mergeCell ref="D57:I57"/>
    <mergeCell ref="J57:AA57"/>
    <mergeCell ref="AB57:AM57"/>
    <mergeCell ref="H58:I58"/>
    <mergeCell ref="J58:K58"/>
    <mergeCell ref="L58:M58"/>
    <mergeCell ref="N58:S58"/>
    <mergeCell ref="T58:Y58"/>
    <mergeCell ref="Z58:AA58"/>
    <mergeCell ref="H55:I55"/>
    <mergeCell ref="J55:K55"/>
    <mergeCell ref="L55:M55"/>
    <mergeCell ref="N55:O55"/>
    <mergeCell ref="P55:Q55"/>
    <mergeCell ref="R55:S55"/>
    <mergeCell ref="T55:U55"/>
    <mergeCell ref="H63:I63"/>
    <mergeCell ref="J63:K63"/>
    <mergeCell ref="L63:M63"/>
    <mergeCell ref="N63:S63"/>
    <mergeCell ref="T63:Y63"/>
    <mergeCell ref="Z63:AA63"/>
    <mergeCell ref="H64:I64"/>
    <mergeCell ref="J64:K64"/>
    <mergeCell ref="L64:M64"/>
    <mergeCell ref="N64:S64"/>
    <mergeCell ref="T64:Y64"/>
    <mergeCell ref="Z64:AA64"/>
    <mergeCell ref="H61:I61"/>
    <mergeCell ref="J61:K61"/>
    <mergeCell ref="L61:M61"/>
    <mergeCell ref="N61:S61"/>
    <mergeCell ref="T61:Y61"/>
    <mergeCell ref="Z61:AA61"/>
    <mergeCell ref="H62:I62"/>
    <mergeCell ref="J62:K62"/>
    <mergeCell ref="L62:M62"/>
    <mergeCell ref="N62:S62"/>
    <mergeCell ref="T62:Y62"/>
    <mergeCell ref="Z62:AA62"/>
    <mergeCell ref="D67:G67"/>
    <mergeCell ref="H67:M67"/>
    <mergeCell ref="N67:AM67"/>
    <mergeCell ref="D68:E68"/>
    <mergeCell ref="F68:G68"/>
    <mergeCell ref="H68:J68"/>
    <mergeCell ref="K68:Y68"/>
    <mergeCell ref="Z68:AB68"/>
    <mergeCell ref="AC68:AM68"/>
    <mergeCell ref="AB64:AM64"/>
    <mergeCell ref="H65:I65"/>
    <mergeCell ref="J65:K65"/>
    <mergeCell ref="L65:M65"/>
    <mergeCell ref="N65:S65"/>
    <mergeCell ref="T65:Y65"/>
    <mergeCell ref="Z65:AA65"/>
    <mergeCell ref="H66:I66"/>
    <mergeCell ref="J66:K66"/>
    <mergeCell ref="L66:M66"/>
    <mergeCell ref="N66:S66"/>
    <mergeCell ref="T66:Y66"/>
    <mergeCell ref="Z66:AA66"/>
    <mergeCell ref="D69:E69"/>
    <mergeCell ref="F69:G69"/>
    <mergeCell ref="H69:J69"/>
    <mergeCell ref="K69:M69"/>
    <mergeCell ref="N69:Q69"/>
    <mergeCell ref="R69:AM69"/>
    <mergeCell ref="H70:I70"/>
    <mergeCell ref="J70:K70"/>
    <mergeCell ref="L70:M70"/>
    <mergeCell ref="N70:O70"/>
    <mergeCell ref="P70:Q70"/>
    <mergeCell ref="R70:S70"/>
    <mergeCell ref="T70:U70"/>
    <mergeCell ref="V70:W70"/>
    <mergeCell ref="X70:Y70"/>
    <mergeCell ref="Z70:AA70"/>
    <mergeCell ref="AB70:AC70"/>
    <mergeCell ref="AD70:AE70"/>
    <mergeCell ref="AF70:AG70"/>
    <mergeCell ref="AH70:AH71"/>
    <mergeCell ref="AI70:AI71"/>
    <mergeCell ref="AJ70:AJ71"/>
    <mergeCell ref="AL70:AM71"/>
    <mergeCell ref="Z71:AA71"/>
    <mergeCell ref="AB71:AC71"/>
    <mergeCell ref="AD71:AE71"/>
    <mergeCell ref="AF71:AG71"/>
    <mergeCell ref="H72:I72"/>
    <mergeCell ref="J72:K72"/>
    <mergeCell ref="L72:M72"/>
    <mergeCell ref="N72:O72"/>
    <mergeCell ref="P72:Q72"/>
    <mergeCell ref="R72:S72"/>
    <mergeCell ref="T72:U72"/>
    <mergeCell ref="V72:W72"/>
    <mergeCell ref="X72:Y72"/>
    <mergeCell ref="Z72:AA72"/>
    <mergeCell ref="AB72:AC72"/>
    <mergeCell ref="AD72:AE72"/>
    <mergeCell ref="AF72:AG72"/>
    <mergeCell ref="H71:I71"/>
    <mergeCell ref="J71:K71"/>
    <mergeCell ref="L71:M71"/>
    <mergeCell ref="N71:O71"/>
    <mergeCell ref="P71:Q71"/>
    <mergeCell ref="R71:S71"/>
    <mergeCell ref="T71:U71"/>
    <mergeCell ref="V71:W71"/>
    <mergeCell ref="X71:Y71"/>
    <mergeCell ref="Z73:AA73"/>
    <mergeCell ref="AB73:AC73"/>
    <mergeCell ref="AD73:AE73"/>
    <mergeCell ref="AF73:AG73"/>
    <mergeCell ref="H74:I74"/>
    <mergeCell ref="J74:K74"/>
    <mergeCell ref="L74:M74"/>
    <mergeCell ref="N74:O74"/>
    <mergeCell ref="P74:Q74"/>
    <mergeCell ref="R74:S74"/>
    <mergeCell ref="T74:U74"/>
    <mergeCell ref="V74:W74"/>
    <mergeCell ref="X74:Y74"/>
    <mergeCell ref="Z74:AA74"/>
    <mergeCell ref="AB74:AC74"/>
    <mergeCell ref="AD74:AE74"/>
    <mergeCell ref="AF74:AG74"/>
    <mergeCell ref="H73:I73"/>
    <mergeCell ref="J73:K73"/>
    <mergeCell ref="L73:M73"/>
    <mergeCell ref="N73:O73"/>
    <mergeCell ref="P73:Q73"/>
    <mergeCell ref="R73:S73"/>
    <mergeCell ref="T73:U73"/>
    <mergeCell ref="V73:W73"/>
    <mergeCell ref="X73:Y73"/>
    <mergeCell ref="Z75:AA75"/>
    <mergeCell ref="AB75:AC75"/>
    <mergeCell ref="AD75:AE75"/>
    <mergeCell ref="AF75:AG75"/>
    <mergeCell ref="H76:I76"/>
    <mergeCell ref="J76:K76"/>
    <mergeCell ref="L76:M76"/>
    <mergeCell ref="N76:O76"/>
    <mergeCell ref="P76:Q76"/>
    <mergeCell ref="R76:S76"/>
    <mergeCell ref="T76:U76"/>
    <mergeCell ref="V76:W76"/>
    <mergeCell ref="X76:Y76"/>
    <mergeCell ref="Z76:AA76"/>
    <mergeCell ref="AB76:AC76"/>
    <mergeCell ref="AD76:AE76"/>
    <mergeCell ref="AF76:AG76"/>
    <mergeCell ref="H75:I75"/>
    <mergeCell ref="J75:K75"/>
    <mergeCell ref="L75:M75"/>
    <mergeCell ref="N75:O75"/>
    <mergeCell ref="P75:Q75"/>
    <mergeCell ref="R75:S75"/>
    <mergeCell ref="T75:U75"/>
    <mergeCell ref="V75:W75"/>
    <mergeCell ref="X75:Y75"/>
    <mergeCell ref="Z77:AA77"/>
    <mergeCell ref="AB77:AC77"/>
    <mergeCell ref="AD77:AE77"/>
    <mergeCell ref="AF77:AG77"/>
    <mergeCell ref="H78:I78"/>
    <mergeCell ref="J78:K78"/>
    <mergeCell ref="L78:M78"/>
    <mergeCell ref="N78:O78"/>
    <mergeCell ref="P78:Q78"/>
    <mergeCell ref="R78:S78"/>
    <mergeCell ref="T78:U78"/>
    <mergeCell ref="V78:W78"/>
    <mergeCell ref="X78:Y78"/>
    <mergeCell ref="Z78:AA78"/>
    <mergeCell ref="AB78:AC78"/>
    <mergeCell ref="AD78:AE78"/>
    <mergeCell ref="AF78:AG78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9:AA79"/>
    <mergeCell ref="AB79:AC79"/>
    <mergeCell ref="AD79:AE79"/>
    <mergeCell ref="AF79:AG79"/>
    <mergeCell ref="H80:I80"/>
    <mergeCell ref="J80:K80"/>
    <mergeCell ref="L80:M80"/>
    <mergeCell ref="N80:O80"/>
    <mergeCell ref="P80:Q80"/>
    <mergeCell ref="R80:S80"/>
    <mergeCell ref="T80:U80"/>
    <mergeCell ref="V80:W80"/>
    <mergeCell ref="X80:Y80"/>
    <mergeCell ref="Z80:AA80"/>
    <mergeCell ref="AB80:AC80"/>
    <mergeCell ref="AD80:AE80"/>
    <mergeCell ref="AF80:AG80"/>
    <mergeCell ref="H79:I79"/>
    <mergeCell ref="J79:K79"/>
    <mergeCell ref="L79:M79"/>
    <mergeCell ref="N79:O79"/>
    <mergeCell ref="P79:Q79"/>
    <mergeCell ref="R79:S79"/>
    <mergeCell ref="T79:U79"/>
    <mergeCell ref="V79:W79"/>
    <mergeCell ref="X79:Y79"/>
    <mergeCell ref="Z81:AA81"/>
    <mergeCell ref="AB81:AC81"/>
    <mergeCell ref="AD81:AE81"/>
    <mergeCell ref="AF81:AG81"/>
    <mergeCell ref="H82:I82"/>
    <mergeCell ref="J82:K82"/>
    <mergeCell ref="L82:M82"/>
    <mergeCell ref="N82:O82"/>
    <mergeCell ref="P82:Q82"/>
    <mergeCell ref="R82:S82"/>
    <mergeCell ref="T82:U82"/>
    <mergeCell ref="V82:W82"/>
    <mergeCell ref="X82:Y82"/>
    <mergeCell ref="Z82:AA82"/>
    <mergeCell ref="AB82:AC82"/>
    <mergeCell ref="AD82:AE82"/>
    <mergeCell ref="AF82:AG82"/>
    <mergeCell ref="H81:I81"/>
    <mergeCell ref="J81:K81"/>
    <mergeCell ref="L81:M81"/>
    <mergeCell ref="N81:O81"/>
    <mergeCell ref="P81:Q81"/>
    <mergeCell ref="R81:S81"/>
    <mergeCell ref="T81:U81"/>
    <mergeCell ref="V81:W81"/>
    <mergeCell ref="X81:Y81"/>
    <mergeCell ref="Z83:AA83"/>
    <mergeCell ref="AB83:AC83"/>
    <mergeCell ref="AD83:AE83"/>
    <mergeCell ref="AF83:AG83"/>
    <mergeCell ref="H84:I84"/>
    <mergeCell ref="J84:K84"/>
    <mergeCell ref="L84:M84"/>
    <mergeCell ref="N84:O84"/>
    <mergeCell ref="P84:Q84"/>
    <mergeCell ref="R84:S84"/>
    <mergeCell ref="T84:U84"/>
    <mergeCell ref="V84:W84"/>
    <mergeCell ref="X84:Y84"/>
    <mergeCell ref="Z84:AA84"/>
    <mergeCell ref="AB84:AC84"/>
    <mergeCell ref="AD84:AE84"/>
    <mergeCell ref="AF84:AG84"/>
    <mergeCell ref="H83:I83"/>
    <mergeCell ref="J83:K83"/>
    <mergeCell ref="L83:M83"/>
    <mergeCell ref="N83:O83"/>
    <mergeCell ref="P83:Q83"/>
    <mergeCell ref="R83:S83"/>
    <mergeCell ref="T83:U83"/>
    <mergeCell ref="V83:W83"/>
    <mergeCell ref="X83:Y83"/>
    <mergeCell ref="V87:W87"/>
    <mergeCell ref="X87:Y87"/>
    <mergeCell ref="Z85:AA85"/>
    <mergeCell ref="AB85:AC85"/>
    <mergeCell ref="AD85:AE85"/>
    <mergeCell ref="AF85:AG85"/>
    <mergeCell ref="H86:I86"/>
    <mergeCell ref="J86:K86"/>
    <mergeCell ref="L86:M86"/>
    <mergeCell ref="N86:O86"/>
    <mergeCell ref="P86:Q86"/>
    <mergeCell ref="R86:S86"/>
    <mergeCell ref="T86:U86"/>
    <mergeCell ref="V86:W86"/>
    <mergeCell ref="X86:Y86"/>
    <mergeCell ref="Z86:AA86"/>
    <mergeCell ref="AB86:AC86"/>
    <mergeCell ref="AD86:AE86"/>
    <mergeCell ref="AF86:AG86"/>
    <mergeCell ref="H85:I85"/>
    <mergeCell ref="J85:K85"/>
    <mergeCell ref="L85:M85"/>
    <mergeCell ref="N85:O85"/>
    <mergeCell ref="P85:Q85"/>
    <mergeCell ref="R85:S85"/>
    <mergeCell ref="T85:U85"/>
    <mergeCell ref="V85:W85"/>
    <mergeCell ref="X85:Y85"/>
    <mergeCell ref="H91:I91"/>
    <mergeCell ref="J91:K91"/>
    <mergeCell ref="L91:M91"/>
    <mergeCell ref="N91:S91"/>
    <mergeCell ref="T91:Y91"/>
    <mergeCell ref="Z91:AA91"/>
    <mergeCell ref="H92:I92"/>
    <mergeCell ref="J92:K92"/>
    <mergeCell ref="L92:M92"/>
    <mergeCell ref="N92:S92"/>
    <mergeCell ref="T92:Y92"/>
    <mergeCell ref="Z92:AA92"/>
    <mergeCell ref="Z87:AA87"/>
    <mergeCell ref="AB87:AC87"/>
    <mergeCell ref="AD87:AE87"/>
    <mergeCell ref="AF87:AG87"/>
    <mergeCell ref="D89:I89"/>
    <mergeCell ref="J89:AA89"/>
    <mergeCell ref="AB89:AM89"/>
    <mergeCell ref="H90:I90"/>
    <mergeCell ref="J90:K90"/>
    <mergeCell ref="L90:M90"/>
    <mergeCell ref="N90:S90"/>
    <mergeCell ref="T90:Y90"/>
    <mergeCell ref="Z90:AA90"/>
    <mergeCell ref="H87:I87"/>
    <mergeCell ref="J87:K87"/>
    <mergeCell ref="L87:M87"/>
    <mergeCell ref="N87:O87"/>
    <mergeCell ref="P87:Q87"/>
    <mergeCell ref="R87:S87"/>
    <mergeCell ref="T87:U87"/>
    <mergeCell ref="H95:I95"/>
    <mergeCell ref="J95:K95"/>
    <mergeCell ref="L95:M95"/>
    <mergeCell ref="N95:S95"/>
    <mergeCell ref="T95:Y95"/>
    <mergeCell ref="Z95:AA95"/>
    <mergeCell ref="H96:I96"/>
    <mergeCell ref="J96:K96"/>
    <mergeCell ref="L96:M96"/>
    <mergeCell ref="N96:S96"/>
    <mergeCell ref="T96:Y96"/>
    <mergeCell ref="Z96:AA96"/>
    <mergeCell ref="H93:I93"/>
    <mergeCell ref="J93:K93"/>
    <mergeCell ref="L93:M93"/>
    <mergeCell ref="N93:S93"/>
    <mergeCell ref="T93:Y93"/>
    <mergeCell ref="Z93:AA93"/>
    <mergeCell ref="H94:I94"/>
    <mergeCell ref="J94:K94"/>
    <mergeCell ref="L94:M94"/>
    <mergeCell ref="N94:S94"/>
    <mergeCell ref="T94:Y94"/>
    <mergeCell ref="Z94:AA94"/>
    <mergeCell ref="D99:G99"/>
    <mergeCell ref="H99:M99"/>
    <mergeCell ref="N99:AM99"/>
    <mergeCell ref="D100:E100"/>
    <mergeCell ref="F100:G100"/>
    <mergeCell ref="H100:J100"/>
    <mergeCell ref="K100:Y100"/>
    <mergeCell ref="Z100:AB100"/>
    <mergeCell ref="AC100:AM100"/>
    <mergeCell ref="AB96:AM96"/>
    <mergeCell ref="H97:I97"/>
    <mergeCell ref="J97:K97"/>
    <mergeCell ref="L97:M97"/>
    <mergeCell ref="N97:S97"/>
    <mergeCell ref="T97:Y97"/>
    <mergeCell ref="Z97:AA97"/>
    <mergeCell ref="H98:I98"/>
    <mergeCell ref="J98:K98"/>
    <mergeCell ref="L98:M98"/>
    <mergeCell ref="N98:S98"/>
    <mergeCell ref="T98:Y98"/>
    <mergeCell ref="Z98:AA98"/>
    <mergeCell ref="D101:E101"/>
    <mergeCell ref="F101:G101"/>
    <mergeCell ref="H101:J101"/>
    <mergeCell ref="K101:M101"/>
    <mergeCell ref="N101:Q101"/>
    <mergeCell ref="R101:AM101"/>
    <mergeCell ref="H102:I102"/>
    <mergeCell ref="J102:K102"/>
    <mergeCell ref="L102:M102"/>
    <mergeCell ref="N102:O102"/>
    <mergeCell ref="P102:Q102"/>
    <mergeCell ref="R102:S102"/>
    <mergeCell ref="T102:U102"/>
    <mergeCell ref="V102:W102"/>
    <mergeCell ref="X102:Y102"/>
    <mergeCell ref="Z102:AA102"/>
    <mergeCell ref="AB102:AC102"/>
    <mergeCell ref="AD102:AE102"/>
    <mergeCell ref="AF102:AG102"/>
    <mergeCell ref="AH102:AH103"/>
    <mergeCell ref="AI102:AI103"/>
    <mergeCell ref="AJ102:AJ103"/>
    <mergeCell ref="AL102:AM103"/>
    <mergeCell ref="Z103:AA103"/>
    <mergeCell ref="AB103:AC103"/>
    <mergeCell ref="AD103:AE103"/>
    <mergeCell ref="AF103:AG103"/>
    <mergeCell ref="H104:I104"/>
    <mergeCell ref="J104:K104"/>
    <mergeCell ref="L104:M104"/>
    <mergeCell ref="N104:O104"/>
    <mergeCell ref="P104:Q104"/>
    <mergeCell ref="R104:S104"/>
    <mergeCell ref="T104:U104"/>
    <mergeCell ref="V104:W104"/>
    <mergeCell ref="X104:Y104"/>
    <mergeCell ref="Z104:AA104"/>
    <mergeCell ref="AB104:AC104"/>
    <mergeCell ref="AD104:AE104"/>
    <mergeCell ref="AF104:AG104"/>
    <mergeCell ref="H103:I103"/>
    <mergeCell ref="J103:K103"/>
    <mergeCell ref="L103:M103"/>
    <mergeCell ref="N103:O103"/>
    <mergeCell ref="P103:Q103"/>
    <mergeCell ref="R103:S103"/>
    <mergeCell ref="T103:U103"/>
    <mergeCell ref="V103:W103"/>
    <mergeCell ref="X103:Y103"/>
    <mergeCell ref="Z105:AA105"/>
    <mergeCell ref="AB105:AC105"/>
    <mergeCell ref="AD105:AE105"/>
    <mergeCell ref="AF105:AG105"/>
    <mergeCell ref="H106:I106"/>
    <mergeCell ref="J106:K106"/>
    <mergeCell ref="L106:M106"/>
    <mergeCell ref="N106:O106"/>
    <mergeCell ref="P106:Q106"/>
    <mergeCell ref="R106:S106"/>
    <mergeCell ref="T106:U106"/>
    <mergeCell ref="V106:W106"/>
    <mergeCell ref="X106:Y106"/>
    <mergeCell ref="Z106:AA106"/>
    <mergeCell ref="AB106:AC106"/>
    <mergeCell ref="AD106:AE106"/>
    <mergeCell ref="AF106:AG106"/>
    <mergeCell ref="H105:I105"/>
    <mergeCell ref="J105:K105"/>
    <mergeCell ref="L105:M105"/>
    <mergeCell ref="N105:O105"/>
    <mergeCell ref="P105:Q105"/>
    <mergeCell ref="R105:S105"/>
    <mergeCell ref="T105:U105"/>
    <mergeCell ref="V105:W105"/>
    <mergeCell ref="X105:Y105"/>
    <mergeCell ref="Z107:AA107"/>
    <mergeCell ref="AB107:AC107"/>
    <mergeCell ref="AD107:AE107"/>
    <mergeCell ref="AF107:AG107"/>
    <mergeCell ref="H108:I108"/>
    <mergeCell ref="J108:K108"/>
    <mergeCell ref="L108:M108"/>
    <mergeCell ref="N108:O108"/>
    <mergeCell ref="P108:Q108"/>
    <mergeCell ref="R108:S108"/>
    <mergeCell ref="T108:U108"/>
    <mergeCell ref="V108:W108"/>
    <mergeCell ref="X108:Y108"/>
    <mergeCell ref="Z108:AA108"/>
    <mergeCell ref="AB108:AC108"/>
    <mergeCell ref="AD108:AE108"/>
    <mergeCell ref="AF108:AG108"/>
    <mergeCell ref="H107:I107"/>
    <mergeCell ref="J107:K107"/>
    <mergeCell ref="L107:M107"/>
    <mergeCell ref="N107:O107"/>
    <mergeCell ref="P107:Q107"/>
    <mergeCell ref="R107:S107"/>
    <mergeCell ref="T107:U107"/>
    <mergeCell ref="V107:W107"/>
    <mergeCell ref="X107:Y107"/>
    <mergeCell ref="Z109:AA109"/>
    <mergeCell ref="AB109:AC109"/>
    <mergeCell ref="AD109:AE109"/>
    <mergeCell ref="AF109:AG109"/>
    <mergeCell ref="H110:I110"/>
    <mergeCell ref="J110:K110"/>
    <mergeCell ref="L110:M110"/>
    <mergeCell ref="N110:O110"/>
    <mergeCell ref="P110:Q110"/>
    <mergeCell ref="R110:S110"/>
    <mergeCell ref="T110:U110"/>
    <mergeCell ref="V110:W110"/>
    <mergeCell ref="X110:Y110"/>
    <mergeCell ref="Z110:AA110"/>
    <mergeCell ref="AB110:AC110"/>
    <mergeCell ref="AD110:AE110"/>
    <mergeCell ref="AF110:AG110"/>
    <mergeCell ref="H109:I109"/>
    <mergeCell ref="J109:K109"/>
    <mergeCell ref="L109:M109"/>
    <mergeCell ref="N109:O109"/>
    <mergeCell ref="P109:Q109"/>
    <mergeCell ref="R109:S109"/>
    <mergeCell ref="T109:U109"/>
    <mergeCell ref="V109:W109"/>
    <mergeCell ref="X109:Y109"/>
    <mergeCell ref="Z111:AA111"/>
    <mergeCell ref="AB111:AC111"/>
    <mergeCell ref="AD111:AE111"/>
    <mergeCell ref="AF111:AG111"/>
    <mergeCell ref="H112:I112"/>
    <mergeCell ref="J112:K112"/>
    <mergeCell ref="L112:M112"/>
    <mergeCell ref="N112:O112"/>
    <mergeCell ref="P112:Q112"/>
    <mergeCell ref="R112:S112"/>
    <mergeCell ref="T112:U112"/>
    <mergeCell ref="V112:W112"/>
    <mergeCell ref="X112:Y112"/>
    <mergeCell ref="Z112:AA112"/>
    <mergeCell ref="AB112:AC112"/>
    <mergeCell ref="AD112:AE112"/>
    <mergeCell ref="AF112:AG112"/>
    <mergeCell ref="H111:I111"/>
    <mergeCell ref="J111:K111"/>
    <mergeCell ref="L111:M111"/>
    <mergeCell ref="N111:O111"/>
    <mergeCell ref="P111:Q111"/>
    <mergeCell ref="R111:S111"/>
    <mergeCell ref="T111:U111"/>
    <mergeCell ref="V111:W111"/>
    <mergeCell ref="X111:Y111"/>
    <mergeCell ref="Z113:AA113"/>
    <mergeCell ref="AB113:AC113"/>
    <mergeCell ref="AD113:AE113"/>
    <mergeCell ref="AF113:AG113"/>
    <mergeCell ref="H114:I114"/>
    <mergeCell ref="J114:K114"/>
    <mergeCell ref="L114:M114"/>
    <mergeCell ref="N114:O114"/>
    <mergeCell ref="P114:Q114"/>
    <mergeCell ref="R114:S114"/>
    <mergeCell ref="T114:U114"/>
    <mergeCell ref="V114:W114"/>
    <mergeCell ref="X114:Y114"/>
    <mergeCell ref="Z114:AA114"/>
    <mergeCell ref="AB114:AC114"/>
    <mergeCell ref="AD114:AE114"/>
    <mergeCell ref="AF114:AG114"/>
    <mergeCell ref="H113:I113"/>
    <mergeCell ref="J113:K113"/>
    <mergeCell ref="L113:M113"/>
    <mergeCell ref="N113:O113"/>
    <mergeCell ref="P113:Q113"/>
    <mergeCell ref="R113:S113"/>
    <mergeCell ref="T113:U113"/>
    <mergeCell ref="V113:W113"/>
    <mergeCell ref="X113:Y113"/>
    <mergeCell ref="Z115:AA115"/>
    <mergeCell ref="AB115:AC115"/>
    <mergeCell ref="AD115:AE115"/>
    <mergeCell ref="AF115:AG115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X116:Y116"/>
    <mergeCell ref="Z116:AA116"/>
    <mergeCell ref="AB116:AC116"/>
    <mergeCell ref="AD116:AE116"/>
    <mergeCell ref="AF116:AG116"/>
    <mergeCell ref="H115:I115"/>
    <mergeCell ref="J115:K115"/>
    <mergeCell ref="L115:M115"/>
    <mergeCell ref="N115:O115"/>
    <mergeCell ref="P115:Q115"/>
    <mergeCell ref="R115:S115"/>
    <mergeCell ref="T115:U115"/>
    <mergeCell ref="V115:W115"/>
    <mergeCell ref="X115:Y115"/>
    <mergeCell ref="V119:W119"/>
    <mergeCell ref="X119:Y119"/>
    <mergeCell ref="Z117:AA117"/>
    <mergeCell ref="AB117:AC117"/>
    <mergeCell ref="AD117:AE117"/>
    <mergeCell ref="AF117:AG117"/>
    <mergeCell ref="H118:I118"/>
    <mergeCell ref="J118:K118"/>
    <mergeCell ref="L118:M118"/>
    <mergeCell ref="N118:O118"/>
    <mergeCell ref="P118:Q118"/>
    <mergeCell ref="R118:S118"/>
    <mergeCell ref="T118:U118"/>
    <mergeCell ref="V118:W118"/>
    <mergeCell ref="X118:Y118"/>
    <mergeCell ref="Z118:AA118"/>
    <mergeCell ref="AB118:AC118"/>
    <mergeCell ref="AD118:AE118"/>
    <mergeCell ref="AF118:AG118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H123:I123"/>
    <mergeCell ref="J123:K123"/>
    <mergeCell ref="L123:M123"/>
    <mergeCell ref="N123:S123"/>
    <mergeCell ref="T123:Y123"/>
    <mergeCell ref="Z123:AA123"/>
    <mergeCell ref="H124:I124"/>
    <mergeCell ref="J124:K124"/>
    <mergeCell ref="L124:M124"/>
    <mergeCell ref="N124:S124"/>
    <mergeCell ref="T124:Y124"/>
    <mergeCell ref="Z124:AA124"/>
    <mergeCell ref="Z119:AA119"/>
    <mergeCell ref="AB119:AC119"/>
    <mergeCell ref="AD119:AE119"/>
    <mergeCell ref="AF119:AG119"/>
    <mergeCell ref="D121:I121"/>
    <mergeCell ref="J121:AA121"/>
    <mergeCell ref="AB121:AM121"/>
    <mergeCell ref="H122:I122"/>
    <mergeCell ref="J122:K122"/>
    <mergeCell ref="L122:M122"/>
    <mergeCell ref="N122:S122"/>
    <mergeCell ref="T122:Y122"/>
    <mergeCell ref="Z122:AA122"/>
    <mergeCell ref="H119:I119"/>
    <mergeCell ref="J119:K119"/>
    <mergeCell ref="L119:M119"/>
    <mergeCell ref="N119:O119"/>
    <mergeCell ref="P119:Q119"/>
    <mergeCell ref="R119:S119"/>
    <mergeCell ref="T119:U119"/>
    <mergeCell ref="H127:I127"/>
    <mergeCell ref="J127:K127"/>
    <mergeCell ref="L127:M127"/>
    <mergeCell ref="N127:S127"/>
    <mergeCell ref="T127:Y127"/>
    <mergeCell ref="Z127:AA127"/>
    <mergeCell ref="H128:I128"/>
    <mergeCell ref="J128:K128"/>
    <mergeCell ref="L128:M128"/>
    <mergeCell ref="N128:S128"/>
    <mergeCell ref="T128:Y128"/>
    <mergeCell ref="Z128:AA128"/>
    <mergeCell ref="H125:I125"/>
    <mergeCell ref="J125:K125"/>
    <mergeCell ref="L125:M125"/>
    <mergeCell ref="N125:S125"/>
    <mergeCell ref="T125:Y125"/>
    <mergeCell ref="Z125:AA125"/>
    <mergeCell ref="H126:I126"/>
    <mergeCell ref="J126:K126"/>
    <mergeCell ref="L126:M126"/>
    <mergeCell ref="N126:S126"/>
    <mergeCell ref="T126:Y126"/>
    <mergeCell ref="Z126:AA126"/>
    <mergeCell ref="D131:G131"/>
    <mergeCell ref="H131:M131"/>
    <mergeCell ref="N131:AM131"/>
    <mergeCell ref="D132:E132"/>
    <mergeCell ref="F132:G132"/>
    <mergeCell ref="H132:J132"/>
    <mergeCell ref="K132:Y132"/>
    <mergeCell ref="Z132:AB132"/>
    <mergeCell ref="AC132:AM132"/>
    <mergeCell ref="AB128:AM128"/>
    <mergeCell ref="H129:I129"/>
    <mergeCell ref="J129:K129"/>
    <mergeCell ref="L129:M129"/>
    <mergeCell ref="N129:S129"/>
    <mergeCell ref="T129:Y129"/>
    <mergeCell ref="Z129:AA129"/>
    <mergeCell ref="H130:I130"/>
    <mergeCell ref="J130:K130"/>
    <mergeCell ref="L130:M130"/>
    <mergeCell ref="N130:S130"/>
    <mergeCell ref="T130:Y130"/>
    <mergeCell ref="Z130:AA130"/>
    <mergeCell ref="D133:E133"/>
    <mergeCell ref="F133:G133"/>
    <mergeCell ref="H133:J133"/>
    <mergeCell ref="K133:M133"/>
    <mergeCell ref="N133:Q133"/>
    <mergeCell ref="R133:AM133"/>
    <mergeCell ref="H134:I134"/>
    <mergeCell ref="J134:K134"/>
    <mergeCell ref="L134:M134"/>
    <mergeCell ref="N134:O134"/>
    <mergeCell ref="P134:Q134"/>
    <mergeCell ref="R134:S134"/>
    <mergeCell ref="T134:U134"/>
    <mergeCell ref="V134:W134"/>
    <mergeCell ref="X134:Y134"/>
    <mergeCell ref="Z134:AA134"/>
    <mergeCell ref="AB134:AC134"/>
    <mergeCell ref="AD134:AE134"/>
    <mergeCell ref="AF134:AG134"/>
    <mergeCell ref="AH134:AH135"/>
    <mergeCell ref="AI134:AI135"/>
    <mergeCell ref="AJ134:AJ135"/>
    <mergeCell ref="AL134:AM135"/>
    <mergeCell ref="Z135:AA135"/>
    <mergeCell ref="AB135:AC135"/>
    <mergeCell ref="AD135:AE135"/>
    <mergeCell ref="AF135:AG135"/>
    <mergeCell ref="H136:I136"/>
    <mergeCell ref="J136:K136"/>
    <mergeCell ref="L136:M136"/>
    <mergeCell ref="N136:O136"/>
    <mergeCell ref="P136:Q136"/>
    <mergeCell ref="R136:S136"/>
    <mergeCell ref="T136:U136"/>
    <mergeCell ref="V136:W136"/>
    <mergeCell ref="X136:Y136"/>
    <mergeCell ref="Z136:AA136"/>
    <mergeCell ref="AB136:AC136"/>
    <mergeCell ref="AD136:AE136"/>
    <mergeCell ref="AF136:AG136"/>
    <mergeCell ref="H135:I135"/>
    <mergeCell ref="J135:K135"/>
    <mergeCell ref="L135:M135"/>
    <mergeCell ref="N135:O135"/>
    <mergeCell ref="P135:Q135"/>
    <mergeCell ref="R135:S135"/>
    <mergeCell ref="T135:U135"/>
    <mergeCell ref="V135:W135"/>
    <mergeCell ref="X135:Y135"/>
    <mergeCell ref="Z137:AA137"/>
    <mergeCell ref="AB137:AC137"/>
    <mergeCell ref="AD137:AE137"/>
    <mergeCell ref="AF137:AG137"/>
    <mergeCell ref="H138:I138"/>
    <mergeCell ref="J138:K138"/>
    <mergeCell ref="L138:M138"/>
    <mergeCell ref="N138:O138"/>
    <mergeCell ref="P138:Q138"/>
    <mergeCell ref="R138:S138"/>
    <mergeCell ref="T138:U138"/>
    <mergeCell ref="V138:W138"/>
    <mergeCell ref="X138:Y138"/>
    <mergeCell ref="Z138:AA138"/>
    <mergeCell ref="AB138:AC138"/>
    <mergeCell ref="AD138:AE138"/>
    <mergeCell ref="AF138:AG138"/>
    <mergeCell ref="H137:I137"/>
    <mergeCell ref="J137:K137"/>
    <mergeCell ref="L137:M137"/>
    <mergeCell ref="N137:O137"/>
    <mergeCell ref="P137:Q137"/>
    <mergeCell ref="R137:S137"/>
    <mergeCell ref="T137:U137"/>
    <mergeCell ref="V137:W137"/>
    <mergeCell ref="X137:Y137"/>
    <mergeCell ref="Z139:AA139"/>
    <mergeCell ref="AB139:AC139"/>
    <mergeCell ref="AD139:AE139"/>
    <mergeCell ref="AF139:AG139"/>
    <mergeCell ref="H140:I140"/>
    <mergeCell ref="J140:K140"/>
    <mergeCell ref="L140:M140"/>
    <mergeCell ref="N140:O140"/>
    <mergeCell ref="P140:Q140"/>
    <mergeCell ref="R140:S140"/>
    <mergeCell ref="T140:U140"/>
    <mergeCell ref="V140:W140"/>
    <mergeCell ref="X140:Y140"/>
    <mergeCell ref="Z140:AA140"/>
    <mergeCell ref="AB140:AC140"/>
    <mergeCell ref="AD140:AE140"/>
    <mergeCell ref="AF140:AG140"/>
    <mergeCell ref="H139:I139"/>
    <mergeCell ref="J139:K139"/>
    <mergeCell ref="L139:M139"/>
    <mergeCell ref="N139:O139"/>
    <mergeCell ref="P139:Q139"/>
    <mergeCell ref="R139:S139"/>
    <mergeCell ref="T139:U139"/>
    <mergeCell ref="V139:W139"/>
    <mergeCell ref="X139:Y139"/>
    <mergeCell ref="Z141:AA141"/>
    <mergeCell ref="AB141:AC141"/>
    <mergeCell ref="AD141:AE141"/>
    <mergeCell ref="AF141:AG141"/>
    <mergeCell ref="H142:I142"/>
    <mergeCell ref="J142:K142"/>
    <mergeCell ref="L142:M142"/>
    <mergeCell ref="N142:O142"/>
    <mergeCell ref="P142:Q142"/>
    <mergeCell ref="R142:S142"/>
    <mergeCell ref="T142:U142"/>
    <mergeCell ref="V142:W142"/>
    <mergeCell ref="X142:Y142"/>
    <mergeCell ref="Z142:AA142"/>
    <mergeCell ref="AB142:AC142"/>
    <mergeCell ref="AD142:AE142"/>
    <mergeCell ref="AF142:AG142"/>
    <mergeCell ref="H141:I141"/>
    <mergeCell ref="J141:K141"/>
    <mergeCell ref="L141:M141"/>
    <mergeCell ref="N141:O141"/>
    <mergeCell ref="P141:Q141"/>
    <mergeCell ref="R141:S141"/>
    <mergeCell ref="T141:U141"/>
    <mergeCell ref="V141:W141"/>
    <mergeCell ref="X141:Y141"/>
    <mergeCell ref="Z143:AA143"/>
    <mergeCell ref="AB143:AC143"/>
    <mergeCell ref="AD143:AE143"/>
    <mergeCell ref="AF143:AG143"/>
    <mergeCell ref="H144:I144"/>
    <mergeCell ref="J144:K144"/>
    <mergeCell ref="L144:M144"/>
    <mergeCell ref="N144:O144"/>
    <mergeCell ref="P144:Q144"/>
    <mergeCell ref="R144:S144"/>
    <mergeCell ref="T144:U144"/>
    <mergeCell ref="V144:W144"/>
    <mergeCell ref="X144:Y144"/>
    <mergeCell ref="Z144:AA144"/>
    <mergeCell ref="AB144:AC144"/>
    <mergeCell ref="AD144:AE144"/>
    <mergeCell ref="AF144:AG144"/>
    <mergeCell ref="H143:I143"/>
    <mergeCell ref="J143:K143"/>
    <mergeCell ref="L143:M143"/>
    <mergeCell ref="N143:O143"/>
    <mergeCell ref="P143:Q143"/>
    <mergeCell ref="R143:S143"/>
    <mergeCell ref="T143:U143"/>
    <mergeCell ref="V143:W143"/>
    <mergeCell ref="X143:Y143"/>
    <mergeCell ref="Z145:AA145"/>
    <mergeCell ref="AB145:AC145"/>
    <mergeCell ref="AD145:AE145"/>
    <mergeCell ref="AF145:AG145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X146:Y146"/>
    <mergeCell ref="Z146:AA146"/>
    <mergeCell ref="AB146:AC146"/>
    <mergeCell ref="AD146:AE146"/>
    <mergeCell ref="AF146:AG146"/>
    <mergeCell ref="H145:I145"/>
    <mergeCell ref="J145:K145"/>
    <mergeCell ref="L145:M145"/>
    <mergeCell ref="N145:O145"/>
    <mergeCell ref="P145:Q145"/>
    <mergeCell ref="R145:S145"/>
    <mergeCell ref="T145:U145"/>
    <mergeCell ref="V145:W145"/>
    <mergeCell ref="X145:Y145"/>
    <mergeCell ref="Z147:AA147"/>
    <mergeCell ref="AB147:AC147"/>
    <mergeCell ref="AD147:AE147"/>
    <mergeCell ref="AF147:AG147"/>
    <mergeCell ref="H148:I148"/>
    <mergeCell ref="J148:K148"/>
    <mergeCell ref="L148:M148"/>
    <mergeCell ref="N148:O148"/>
    <mergeCell ref="P148:Q148"/>
    <mergeCell ref="R148:S148"/>
    <mergeCell ref="T148:U148"/>
    <mergeCell ref="V148:W148"/>
    <mergeCell ref="X148:Y148"/>
    <mergeCell ref="Z148:AA148"/>
    <mergeCell ref="AB148:AC148"/>
    <mergeCell ref="AD148:AE148"/>
    <mergeCell ref="AF148:AG148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X147:Y147"/>
    <mergeCell ref="V151:W151"/>
    <mergeCell ref="X151:Y151"/>
    <mergeCell ref="Z149:AA149"/>
    <mergeCell ref="AB149:AC149"/>
    <mergeCell ref="AD149:AE149"/>
    <mergeCell ref="AF149:AG149"/>
    <mergeCell ref="H150:I150"/>
    <mergeCell ref="J150:K150"/>
    <mergeCell ref="L150:M150"/>
    <mergeCell ref="N150:O150"/>
    <mergeCell ref="P150:Q150"/>
    <mergeCell ref="R150:S150"/>
    <mergeCell ref="T150:U150"/>
    <mergeCell ref="V150:W150"/>
    <mergeCell ref="X150:Y150"/>
    <mergeCell ref="Z150:AA150"/>
    <mergeCell ref="AB150:AC150"/>
    <mergeCell ref="AD150:AE150"/>
    <mergeCell ref="AF150:AG150"/>
    <mergeCell ref="H149:I149"/>
    <mergeCell ref="J149:K149"/>
    <mergeCell ref="L149:M149"/>
    <mergeCell ref="N149:O149"/>
    <mergeCell ref="P149:Q149"/>
    <mergeCell ref="R149:S149"/>
    <mergeCell ref="T149:U149"/>
    <mergeCell ref="V149:W149"/>
    <mergeCell ref="X149:Y149"/>
    <mergeCell ref="H155:I155"/>
    <mergeCell ref="J155:K155"/>
    <mergeCell ref="L155:M155"/>
    <mergeCell ref="N155:S155"/>
    <mergeCell ref="T155:Y155"/>
    <mergeCell ref="Z155:AA155"/>
    <mergeCell ref="H156:I156"/>
    <mergeCell ref="J156:K156"/>
    <mergeCell ref="L156:M156"/>
    <mergeCell ref="N156:S156"/>
    <mergeCell ref="T156:Y156"/>
    <mergeCell ref="Z156:AA156"/>
    <mergeCell ref="Z151:AA151"/>
    <mergeCell ref="AB151:AC151"/>
    <mergeCell ref="AD151:AE151"/>
    <mergeCell ref="AF151:AG151"/>
    <mergeCell ref="D153:I153"/>
    <mergeCell ref="J153:AA153"/>
    <mergeCell ref="AB153:AM153"/>
    <mergeCell ref="H154:I154"/>
    <mergeCell ref="J154:K154"/>
    <mergeCell ref="L154:M154"/>
    <mergeCell ref="N154:S154"/>
    <mergeCell ref="T154:Y154"/>
    <mergeCell ref="Z154:AA154"/>
    <mergeCell ref="H151:I151"/>
    <mergeCell ref="J151:K151"/>
    <mergeCell ref="L151:M151"/>
    <mergeCell ref="N151:O151"/>
    <mergeCell ref="P151:Q151"/>
    <mergeCell ref="R151:S151"/>
    <mergeCell ref="T151:U151"/>
    <mergeCell ref="H159:I159"/>
    <mergeCell ref="J159:K159"/>
    <mergeCell ref="L159:M159"/>
    <mergeCell ref="N159:S159"/>
    <mergeCell ref="T159:Y159"/>
    <mergeCell ref="Z159:AA159"/>
    <mergeCell ref="H160:I160"/>
    <mergeCell ref="J160:K160"/>
    <mergeCell ref="L160:M160"/>
    <mergeCell ref="N160:S160"/>
    <mergeCell ref="T160:Y160"/>
    <mergeCell ref="Z160:AA160"/>
    <mergeCell ref="H157:I157"/>
    <mergeCell ref="J157:K157"/>
    <mergeCell ref="L157:M157"/>
    <mergeCell ref="N157:S157"/>
    <mergeCell ref="T157:Y157"/>
    <mergeCell ref="Z157:AA157"/>
    <mergeCell ref="H158:I158"/>
    <mergeCell ref="J158:K158"/>
    <mergeCell ref="L158:M158"/>
    <mergeCell ref="N158:S158"/>
    <mergeCell ref="T158:Y158"/>
    <mergeCell ref="Z158:AA158"/>
    <mergeCell ref="D163:G163"/>
    <mergeCell ref="H163:M163"/>
    <mergeCell ref="N163:AM163"/>
    <mergeCell ref="D164:E164"/>
    <mergeCell ref="F164:G164"/>
    <mergeCell ref="H164:J164"/>
    <mergeCell ref="K164:Y164"/>
    <mergeCell ref="Z164:AB164"/>
    <mergeCell ref="AC164:AM164"/>
    <mergeCell ref="AB160:AM160"/>
    <mergeCell ref="H161:I161"/>
    <mergeCell ref="J161:K161"/>
    <mergeCell ref="L161:M161"/>
    <mergeCell ref="N161:S161"/>
    <mergeCell ref="T161:Y161"/>
    <mergeCell ref="Z161:AA161"/>
    <mergeCell ref="H162:I162"/>
    <mergeCell ref="J162:K162"/>
    <mergeCell ref="L162:M162"/>
    <mergeCell ref="N162:S162"/>
    <mergeCell ref="T162:Y162"/>
    <mergeCell ref="Z162:AA162"/>
    <mergeCell ref="D165:E165"/>
    <mergeCell ref="F165:G165"/>
    <mergeCell ref="H165:J165"/>
    <mergeCell ref="K165:M165"/>
    <mergeCell ref="N165:Q165"/>
    <mergeCell ref="R165:AM165"/>
    <mergeCell ref="H166:I166"/>
    <mergeCell ref="J166:K166"/>
    <mergeCell ref="L166:M166"/>
    <mergeCell ref="N166:O166"/>
    <mergeCell ref="P166:Q166"/>
    <mergeCell ref="R166:S166"/>
    <mergeCell ref="T166:U166"/>
    <mergeCell ref="V166:W166"/>
    <mergeCell ref="X166:Y166"/>
    <mergeCell ref="Z166:AA166"/>
    <mergeCell ref="AB166:AC166"/>
    <mergeCell ref="AD166:AE166"/>
    <mergeCell ref="AF166:AG166"/>
    <mergeCell ref="AH166:AH167"/>
    <mergeCell ref="AI166:AI167"/>
    <mergeCell ref="AJ166:AJ167"/>
    <mergeCell ref="AL166:AM167"/>
    <mergeCell ref="Z167:AA167"/>
    <mergeCell ref="AB167:AC167"/>
    <mergeCell ref="AD167:AE167"/>
    <mergeCell ref="AF167:AG167"/>
    <mergeCell ref="H168:I168"/>
    <mergeCell ref="J168:K168"/>
    <mergeCell ref="L168:M168"/>
    <mergeCell ref="N168:O168"/>
    <mergeCell ref="P168:Q168"/>
    <mergeCell ref="R168:S168"/>
    <mergeCell ref="T168:U168"/>
    <mergeCell ref="V168:W168"/>
    <mergeCell ref="X168:Y168"/>
    <mergeCell ref="Z168:AA168"/>
    <mergeCell ref="AB168:AC168"/>
    <mergeCell ref="AD168:AE168"/>
    <mergeCell ref="AF168:AG168"/>
    <mergeCell ref="H167:I167"/>
    <mergeCell ref="J167:K167"/>
    <mergeCell ref="L167:M167"/>
    <mergeCell ref="N167:O167"/>
    <mergeCell ref="P167:Q167"/>
    <mergeCell ref="R167:S167"/>
    <mergeCell ref="T167:U167"/>
    <mergeCell ref="V167:W167"/>
    <mergeCell ref="X167:Y167"/>
    <mergeCell ref="Z169:AA169"/>
    <mergeCell ref="AB169:AC169"/>
    <mergeCell ref="AD169:AE169"/>
    <mergeCell ref="AF169:AG169"/>
    <mergeCell ref="H170:I170"/>
    <mergeCell ref="J170:K170"/>
    <mergeCell ref="L170:M170"/>
    <mergeCell ref="N170:O170"/>
    <mergeCell ref="P170:Q170"/>
    <mergeCell ref="R170:S170"/>
    <mergeCell ref="T170:U170"/>
    <mergeCell ref="V170:W170"/>
    <mergeCell ref="X170:Y170"/>
    <mergeCell ref="Z170:AA170"/>
    <mergeCell ref="AB170:AC170"/>
    <mergeCell ref="AD170:AE170"/>
    <mergeCell ref="AF170:AG170"/>
    <mergeCell ref="H169:I169"/>
    <mergeCell ref="J169:K169"/>
    <mergeCell ref="L169:M169"/>
    <mergeCell ref="N169:O169"/>
    <mergeCell ref="P169:Q169"/>
    <mergeCell ref="R169:S169"/>
    <mergeCell ref="T169:U169"/>
    <mergeCell ref="V169:W169"/>
    <mergeCell ref="X169:Y169"/>
    <mergeCell ref="Z171:AA171"/>
    <mergeCell ref="AB171:AC171"/>
    <mergeCell ref="AD171:AE171"/>
    <mergeCell ref="AF171:AG171"/>
    <mergeCell ref="H172:I172"/>
    <mergeCell ref="J172:K172"/>
    <mergeCell ref="L172:M172"/>
    <mergeCell ref="N172:O172"/>
    <mergeCell ref="P172:Q172"/>
    <mergeCell ref="R172:S172"/>
    <mergeCell ref="T172:U172"/>
    <mergeCell ref="V172:W172"/>
    <mergeCell ref="X172:Y172"/>
    <mergeCell ref="Z172:AA172"/>
    <mergeCell ref="AB172:AC172"/>
    <mergeCell ref="AD172:AE172"/>
    <mergeCell ref="AF172:AG172"/>
    <mergeCell ref="H171:I171"/>
    <mergeCell ref="J171:K171"/>
    <mergeCell ref="L171:M171"/>
    <mergeCell ref="N171:O171"/>
    <mergeCell ref="P171:Q171"/>
    <mergeCell ref="R171:S171"/>
    <mergeCell ref="T171:U171"/>
    <mergeCell ref="V171:W171"/>
    <mergeCell ref="X171:Y171"/>
    <mergeCell ref="Z173:AA173"/>
    <mergeCell ref="AB173:AC173"/>
    <mergeCell ref="AD173:AE173"/>
    <mergeCell ref="AF173:AG173"/>
    <mergeCell ref="H174:I174"/>
    <mergeCell ref="J174:K174"/>
    <mergeCell ref="L174:M174"/>
    <mergeCell ref="N174:O174"/>
    <mergeCell ref="P174:Q174"/>
    <mergeCell ref="R174:S174"/>
    <mergeCell ref="T174:U174"/>
    <mergeCell ref="V174:W174"/>
    <mergeCell ref="X174:Y174"/>
    <mergeCell ref="Z174:AA174"/>
    <mergeCell ref="AB174:AC174"/>
    <mergeCell ref="AD174:AE174"/>
    <mergeCell ref="AF174:AG174"/>
    <mergeCell ref="H173:I173"/>
    <mergeCell ref="J173:K173"/>
    <mergeCell ref="L173:M173"/>
    <mergeCell ref="N173:O173"/>
    <mergeCell ref="P173:Q173"/>
    <mergeCell ref="R173:S173"/>
    <mergeCell ref="T173:U173"/>
    <mergeCell ref="V173:W173"/>
    <mergeCell ref="X173:Y173"/>
    <mergeCell ref="Z175:AA175"/>
    <mergeCell ref="AB175:AC175"/>
    <mergeCell ref="AD175:AE175"/>
    <mergeCell ref="AF175:AG175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X176:Y176"/>
    <mergeCell ref="Z176:AA176"/>
    <mergeCell ref="AB176:AC176"/>
    <mergeCell ref="AD176:AE176"/>
    <mergeCell ref="AF176:AG176"/>
    <mergeCell ref="H175:I175"/>
    <mergeCell ref="J175:K175"/>
    <mergeCell ref="L175:M175"/>
    <mergeCell ref="N175:O175"/>
    <mergeCell ref="P175:Q175"/>
    <mergeCell ref="R175:S175"/>
    <mergeCell ref="T175:U175"/>
    <mergeCell ref="V175:W175"/>
    <mergeCell ref="X175:Y175"/>
    <mergeCell ref="Z177:AA177"/>
    <mergeCell ref="AB177:AC177"/>
    <mergeCell ref="AD177:AE177"/>
    <mergeCell ref="AF177:AG177"/>
    <mergeCell ref="H178:I178"/>
    <mergeCell ref="J178:K178"/>
    <mergeCell ref="L178:M178"/>
    <mergeCell ref="N178:O178"/>
    <mergeCell ref="P178:Q178"/>
    <mergeCell ref="R178:S178"/>
    <mergeCell ref="T178:U178"/>
    <mergeCell ref="V178:W178"/>
    <mergeCell ref="X178:Y178"/>
    <mergeCell ref="Z178:AA178"/>
    <mergeCell ref="AB178:AC178"/>
    <mergeCell ref="AD178:AE178"/>
    <mergeCell ref="AF178:AG178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X177:Y177"/>
    <mergeCell ref="Z179:AA179"/>
    <mergeCell ref="AB179:AC179"/>
    <mergeCell ref="AD179:AE179"/>
    <mergeCell ref="AF179:AG179"/>
    <mergeCell ref="H180:I180"/>
    <mergeCell ref="J180:K180"/>
    <mergeCell ref="L180:M180"/>
    <mergeCell ref="N180:O180"/>
    <mergeCell ref="P180:Q180"/>
    <mergeCell ref="R180:S180"/>
    <mergeCell ref="T180:U180"/>
    <mergeCell ref="V180:W180"/>
    <mergeCell ref="X180:Y180"/>
    <mergeCell ref="Z180:AA180"/>
    <mergeCell ref="AB180:AC180"/>
    <mergeCell ref="AD180:AE180"/>
    <mergeCell ref="AF180:AG180"/>
    <mergeCell ref="H179:I179"/>
    <mergeCell ref="J179:K179"/>
    <mergeCell ref="L179:M179"/>
    <mergeCell ref="N179:O179"/>
    <mergeCell ref="P179:Q179"/>
    <mergeCell ref="R179:S179"/>
    <mergeCell ref="T179:U179"/>
    <mergeCell ref="V179:W179"/>
    <mergeCell ref="X179:Y179"/>
    <mergeCell ref="Z181:AA181"/>
    <mergeCell ref="AB181:AC181"/>
    <mergeCell ref="AD181:AE181"/>
    <mergeCell ref="AF181:AG181"/>
    <mergeCell ref="H182:I182"/>
    <mergeCell ref="J182:K182"/>
    <mergeCell ref="L182:M182"/>
    <mergeCell ref="N182:O182"/>
    <mergeCell ref="P182:Q182"/>
    <mergeCell ref="R182:S182"/>
    <mergeCell ref="T182:U182"/>
    <mergeCell ref="V182:W182"/>
    <mergeCell ref="X182:Y182"/>
    <mergeCell ref="Z182:AA182"/>
    <mergeCell ref="AB182:AC182"/>
    <mergeCell ref="AD182:AE182"/>
    <mergeCell ref="AF182:AG182"/>
    <mergeCell ref="H181:I181"/>
    <mergeCell ref="J181:K181"/>
    <mergeCell ref="L181:M181"/>
    <mergeCell ref="N181:O181"/>
    <mergeCell ref="P181:Q181"/>
    <mergeCell ref="R181:S181"/>
    <mergeCell ref="T181:U181"/>
    <mergeCell ref="V181:W181"/>
    <mergeCell ref="X181:Y181"/>
    <mergeCell ref="Z183:AA183"/>
    <mergeCell ref="AB183:AC183"/>
    <mergeCell ref="AD183:AE183"/>
    <mergeCell ref="AF183:AG183"/>
    <mergeCell ref="D185:I185"/>
    <mergeCell ref="J185:AA185"/>
    <mergeCell ref="AB185:AM185"/>
    <mergeCell ref="H186:I186"/>
    <mergeCell ref="J186:K186"/>
    <mergeCell ref="L186:M186"/>
    <mergeCell ref="N186:S186"/>
    <mergeCell ref="T186:Y186"/>
    <mergeCell ref="Z186:AA186"/>
    <mergeCell ref="H183:I183"/>
    <mergeCell ref="J183:K183"/>
    <mergeCell ref="L183:M183"/>
    <mergeCell ref="N183:O183"/>
    <mergeCell ref="P183:Q183"/>
    <mergeCell ref="R183:S183"/>
    <mergeCell ref="T183:U183"/>
    <mergeCell ref="V183:W183"/>
    <mergeCell ref="X183:Y183"/>
    <mergeCell ref="H189:I189"/>
    <mergeCell ref="J189:K189"/>
    <mergeCell ref="L189:M189"/>
    <mergeCell ref="N189:S189"/>
    <mergeCell ref="T189:Y189"/>
    <mergeCell ref="Z189:AA189"/>
    <mergeCell ref="H190:I190"/>
    <mergeCell ref="J190:K190"/>
    <mergeCell ref="L190:M190"/>
    <mergeCell ref="N190:S190"/>
    <mergeCell ref="T190:Y190"/>
    <mergeCell ref="Z190:AA190"/>
    <mergeCell ref="H187:I187"/>
    <mergeCell ref="J187:K187"/>
    <mergeCell ref="L187:M187"/>
    <mergeCell ref="N187:S187"/>
    <mergeCell ref="T187:Y187"/>
    <mergeCell ref="Z187:AA187"/>
    <mergeCell ref="H188:I188"/>
    <mergeCell ref="J188:K188"/>
    <mergeCell ref="L188:M188"/>
    <mergeCell ref="N188:S188"/>
    <mergeCell ref="T188:Y188"/>
    <mergeCell ref="Z188:AA188"/>
    <mergeCell ref="AB192:AM192"/>
    <mergeCell ref="H193:I193"/>
    <mergeCell ref="J193:K193"/>
    <mergeCell ref="L193:M193"/>
    <mergeCell ref="N193:S193"/>
    <mergeCell ref="T193:Y193"/>
    <mergeCell ref="Z193:AA193"/>
    <mergeCell ref="H194:I194"/>
    <mergeCell ref="J194:K194"/>
    <mergeCell ref="L194:M194"/>
    <mergeCell ref="N194:S194"/>
    <mergeCell ref="T194:Y194"/>
    <mergeCell ref="Z194:AA194"/>
    <mergeCell ref="H191:I191"/>
    <mergeCell ref="J191:K191"/>
    <mergeCell ref="L191:M191"/>
    <mergeCell ref="N191:S191"/>
    <mergeCell ref="T191:Y191"/>
    <mergeCell ref="Z191:AA191"/>
    <mergeCell ref="H192:I192"/>
    <mergeCell ref="J192:K192"/>
    <mergeCell ref="L192:M192"/>
    <mergeCell ref="N192:S192"/>
    <mergeCell ref="T192:Y192"/>
    <mergeCell ref="Z192:AA192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97" orientation="landscape" blackAndWhite="1" horizontalDpi="4294967293" r:id="rId1"/>
  <headerFooter>
    <oddFooter>&amp;L&amp;"+,Regular"&amp;8&amp;D &amp;T&amp;C&amp;G&amp;R&amp;"+,Regular"&amp;9&amp;F/&amp;A/Page &amp;P of &amp;N</oddFoot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5"/>
  <dimension ref="A1:EW60"/>
  <sheetViews>
    <sheetView workbookViewId="0">
      <pane xSplit="3" ySplit="2" topLeftCell="D45" activePane="bottomRight" state="frozen"/>
      <selection activeCell="O3" sqref="O3"/>
      <selection pane="topRight" activeCell="O3" sqref="O3"/>
      <selection pane="bottomLeft" activeCell="O3" sqref="O3"/>
      <selection pane="bottomRight" activeCell="DI65" sqref="DI65"/>
    </sheetView>
  </sheetViews>
  <sheetFormatPr defaultColWidth="8.7109375" defaultRowHeight="15" x14ac:dyDescent="0.35"/>
  <cols>
    <col min="1" max="1" width="8.7109375" style="64"/>
    <col min="2" max="2" width="13.28515625" style="64" bestFit="1" customWidth="1"/>
    <col min="3" max="3" width="12.7109375" style="64" bestFit="1" customWidth="1"/>
    <col min="4" max="4" width="8.7109375" style="64"/>
    <col min="5" max="5" width="2.7109375" style="66" bestFit="1" customWidth="1"/>
    <col min="6" max="7" width="8.7109375" style="65"/>
    <col min="8" max="8" width="8.7109375" style="66"/>
    <col min="9" max="40" width="3.7109375" style="113" customWidth="1"/>
    <col min="41" max="41" width="8.7109375" style="114"/>
    <col min="42" max="69" width="3.7109375" style="113" customWidth="1"/>
    <col min="70" max="70" width="8.7109375" style="114"/>
    <col min="71" max="94" width="3.7109375" style="113" customWidth="1"/>
    <col min="95" max="95" width="8.7109375" style="114"/>
    <col min="96" max="115" width="3.7109375" style="113" customWidth="1"/>
    <col min="116" max="116" width="8.7109375" style="64" customWidth="1"/>
    <col min="117" max="132" width="3.7109375" style="113" customWidth="1"/>
    <col min="133" max="133" width="8.7109375" style="64" customWidth="1"/>
    <col min="134" max="138" width="8.7109375" style="66" customWidth="1"/>
    <col min="139" max="139" width="8.7109375" style="64" customWidth="1"/>
    <col min="140" max="140" width="14" style="64" customWidth="1"/>
    <col min="141" max="143" width="3.7109375" style="64" customWidth="1"/>
    <col min="144" max="144" width="16.7109375" style="64" customWidth="1"/>
    <col min="145" max="145" width="8.7109375" style="64" customWidth="1"/>
    <col min="146" max="146" width="4.42578125" style="64" customWidth="1"/>
    <col min="147" max="148" width="3.7109375" style="64" customWidth="1"/>
    <col min="149" max="149" width="16.28515625" style="64" customWidth="1"/>
    <col min="150" max="152" width="8.7109375" style="64" customWidth="1"/>
    <col min="153" max="153" width="8.7109375" style="65" customWidth="1"/>
    <col min="154" max="16384" width="8.7109375" style="64"/>
  </cols>
  <sheetData>
    <row r="1" spans="1:153" s="85" customFormat="1" x14ac:dyDescent="0.35">
      <c r="D1" s="66" t="s">
        <v>62</v>
      </c>
      <c r="E1" s="66"/>
      <c r="F1" s="65" t="s">
        <v>30</v>
      </c>
      <c r="G1" s="65" t="s">
        <v>29</v>
      </c>
      <c r="H1" s="66" t="s">
        <v>206</v>
      </c>
      <c r="I1" s="111" t="s">
        <v>49</v>
      </c>
      <c r="J1" s="111"/>
      <c r="K1" s="111"/>
      <c r="L1" s="111"/>
      <c r="M1" s="111"/>
      <c r="N1" s="111"/>
      <c r="O1" s="111"/>
      <c r="P1" s="111"/>
      <c r="Q1" s="112" t="s">
        <v>50</v>
      </c>
      <c r="R1" s="111"/>
      <c r="S1" s="111"/>
      <c r="T1" s="111"/>
      <c r="U1" s="111"/>
      <c r="V1" s="111"/>
      <c r="W1" s="111"/>
      <c r="X1" s="111"/>
      <c r="Y1" s="112" t="s">
        <v>51</v>
      </c>
      <c r="Z1" s="111"/>
      <c r="AA1" s="111"/>
      <c r="AB1" s="111"/>
      <c r="AC1" s="111"/>
      <c r="AD1" s="111"/>
      <c r="AE1" s="111"/>
      <c r="AF1" s="111"/>
      <c r="AG1" s="112" t="s">
        <v>52</v>
      </c>
      <c r="AH1" s="111"/>
      <c r="AI1" s="111"/>
      <c r="AJ1" s="111"/>
      <c r="AK1" s="111"/>
      <c r="AL1" s="111"/>
      <c r="AM1" s="111"/>
      <c r="AN1" s="111"/>
      <c r="AP1" s="111" t="s">
        <v>49</v>
      </c>
      <c r="AQ1" s="111"/>
      <c r="AR1" s="111"/>
      <c r="AS1" s="111"/>
      <c r="AT1" s="111"/>
      <c r="AU1" s="111"/>
      <c r="AV1" s="111"/>
      <c r="AW1" s="112" t="s">
        <v>50</v>
      </c>
      <c r="AX1" s="111"/>
      <c r="AY1" s="111"/>
      <c r="AZ1" s="111"/>
      <c r="BA1" s="111"/>
      <c r="BB1" s="111"/>
      <c r="BC1" s="111"/>
      <c r="BD1" s="112" t="s">
        <v>51</v>
      </c>
      <c r="BE1" s="111"/>
      <c r="BF1" s="111"/>
      <c r="BG1" s="111"/>
      <c r="BH1" s="111"/>
      <c r="BI1" s="111"/>
      <c r="BJ1" s="111"/>
      <c r="BK1" s="112" t="s">
        <v>52</v>
      </c>
      <c r="BL1" s="111"/>
      <c r="BM1" s="111"/>
      <c r="BN1" s="111"/>
      <c r="BO1" s="111"/>
      <c r="BP1" s="111"/>
      <c r="BQ1" s="111"/>
      <c r="BS1" s="111" t="s">
        <v>49</v>
      </c>
      <c r="BT1" s="111"/>
      <c r="BU1" s="111"/>
      <c r="BV1" s="111"/>
      <c r="BW1" s="111"/>
      <c r="BX1" s="111"/>
      <c r="BY1" s="112" t="s">
        <v>50</v>
      </c>
      <c r="BZ1" s="111"/>
      <c r="CA1" s="111"/>
      <c r="CB1" s="111"/>
      <c r="CC1" s="111"/>
      <c r="CD1" s="111"/>
      <c r="CE1" s="112" t="s">
        <v>51</v>
      </c>
      <c r="CF1" s="111"/>
      <c r="CG1" s="111"/>
      <c r="CH1" s="111"/>
      <c r="CI1" s="111"/>
      <c r="CJ1" s="111"/>
      <c r="CK1" s="112" t="s">
        <v>52</v>
      </c>
      <c r="CL1" s="111"/>
      <c r="CM1" s="111"/>
      <c r="CN1" s="111"/>
      <c r="CO1" s="111"/>
      <c r="CP1" s="111"/>
      <c r="CR1" s="111" t="s">
        <v>49</v>
      </c>
      <c r="CS1" s="111"/>
      <c r="CT1" s="111"/>
      <c r="CU1" s="111"/>
      <c r="CV1" s="111"/>
      <c r="CW1" s="112" t="s">
        <v>50</v>
      </c>
      <c r="CX1" s="111"/>
      <c r="CY1" s="111"/>
      <c r="CZ1" s="111"/>
      <c r="DA1" s="111"/>
      <c r="DB1" s="112" t="s">
        <v>51</v>
      </c>
      <c r="DC1" s="111"/>
      <c r="DD1" s="111"/>
      <c r="DE1" s="111"/>
      <c r="DF1" s="111"/>
      <c r="DG1" s="112" t="s">
        <v>52</v>
      </c>
      <c r="DH1" s="111"/>
      <c r="DI1" s="111"/>
      <c r="DJ1" s="111"/>
      <c r="DK1" s="111"/>
      <c r="DM1" s="112" t="s">
        <v>49</v>
      </c>
      <c r="DN1" s="326"/>
      <c r="DO1" s="326"/>
      <c r="DP1" s="327"/>
      <c r="DQ1" s="112" t="s">
        <v>50</v>
      </c>
      <c r="DR1" s="111"/>
      <c r="DS1" s="111"/>
      <c r="DT1" s="111"/>
      <c r="DU1" s="112" t="s">
        <v>51</v>
      </c>
      <c r="DV1" s="111"/>
      <c r="DW1" s="111"/>
      <c r="DX1" s="111"/>
      <c r="DY1" s="112" t="s">
        <v>52</v>
      </c>
      <c r="DZ1" s="326"/>
      <c r="EA1" s="326"/>
      <c r="EB1" s="327"/>
      <c r="EE1" s="141"/>
      <c r="EN1" s="85">
        <f>COLUMN(EN1)</f>
        <v>144</v>
      </c>
      <c r="ES1" s="85">
        <f>COLUMN(ES1)</f>
        <v>149</v>
      </c>
      <c r="EW1" s="65" t="s">
        <v>29</v>
      </c>
    </row>
    <row r="2" spans="1:153" s="70" customFormat="1" ht="30" x14ac:dyDescent="0.25">
      <c r="A2" s="70" t="s">
        <v>63</v>
      </c>
      <c r="B2" s="70" t="s">
        <v>1</v>
      </c>
      <c r="C2" s="70" t="s">
        <v>2</v>
      </c>
      <c r="F2" s="142" t="s">
        <v>0</v>
      </c>
      <c r="G2" s="142" t="s">
        <v>0</v>
      </c>
      <c r="H2" s="79"/>
      <c r="I2" s="143">
        <v>1</v>
      </c>
      <c r="J2" s="143">
        <v>2</v>
      </c>
      <c r="K2" s="143">
        <v>3</v>
      </c>
      <c r="L2" s="143">
        <v>4</v>
      </c>
      <c r="M2" s="143">
        <v>5</v>
      </c>
      <c r="N2" s="143">
        <v>6</v>
      </c>
      <c r="O2" s="143">
        <v>7</v>
      </c>
      <c r="P2" s="143">
        <v>8</v>
      </c>
      <c r="Q2" s="144">
        <v>1</v>
      </c>
      <c r="R2" s="143">
        <v>2</v>
      </c>
      <c r="S2" s="143">
        <v>3</v>
      </c>
      <c r="T2" s="143">
        <v>4</v>
      </c>
      <c r="U2" s="143">
        <v>5</v>
      </c>
      <c r="V2" s="143">
        <v>6</v>
      </c>
      <c r="W2" s="143">
        <v>7</v>
      </c>
      <c r="X2" s="143">
        <v>8</v>
      </c>
      <c r="Y2" s="144">
        <v>1</v>
      </c>
      <c r="Z2" s="143">
        <v>2</v>
      </c>
      <c r="AA2" s="143">
        <v>3</v>
      </c>
      <c r="AB2" s="143">
        <v>4</v>
      </c>
      <c r="AC2" s="143">
        <v>5</v>
      </c>
      <c r="AD2" s="143">
        <v>6</v>
      </c>
      <c r="AE2" s="143">
        <v>7</v>
      </c>
      <c r="AF2" s="143">
        <v>8</v>
      </c>
      <c r="AG2" s="144">
        <v>1</v>
      </c>
      <c r="AH2" s="143">
        <v>2</v>
      </c>
      <c r="AI2" s="143">
        <v>3</v>
      </c>
      <c r="AJ2" s="143">
        <v>4</v>
      </c>
      <c r="AK2" s="143">
        <v>5</v>
      </c>
      <c r="AL2" s="143">
        <v>6</v>
      </c>
      <c r="AM2" s="143">
        <v>7</v>
      </c>
      <c r="AN2" s="143">
        <v>8</v>
      </c>
      <c r="AO2" s="145"/>
      <c r="AP2" s="143">
        <v>2</v>
      </c>
      <c r="AQ2" s="143">
        <v>3</v>
      </c>
      <c r="AR2" s="143">
        <v>4</v>
      </c>
      <c r="AS2" s="143">
        <v>5</v>
      </c>
      <c r="AT2" s="143">
        <v>6</v>
      </c>
      <c r="AU2" s="143">
        <v>7</v>
      </c>
      <c r="AV2" s="143">
        <v>8</v>
      </c>
      <c r="AW2" s="144">
        <v>2</v>
      </c>
      <c r="AX2" s="143">
        <v>3</v>
      </c>
      <c r="AY2" s="143">
        <v>4</v>
      </c>
      <c r="AZ2" s="143">
        <v>5</v>
      </c>
      <c r="BA2" s="143">
        <v>6</v>
      </c>
      <c r="BB2" s="143">
        <v>7</v>
      </c>
      <c r="BC2" s="143">
        <v>8</v>
      </c>
      <c r="BD2" s="144">
        <v>2</v>
      </c>
      <c r="BE2" s="143">
        <v>3</v>
      </c>
      <c r="BF2" s="143">
        <v>4</v>
      </c>
      <c r="BG2" s="143">
        <v>5</v>
      </c>
      <c r="BH2" s="143">
        <v>6</v>
      </c>
      <c r="BI2" s="143">
        <v>7</v>
      </c>
      <c r="BJ2" s="143">
        <v>8</v>
      </c>
      <c r="BK2" s="144">
        <v>1</v>
      </c>
      <c r="BL2" s="143">
        <v>2</v>
      </c>
      <c r="BM2" s="143">
        <v>3</v>
      </c>
      <c r="BN2" s="143">
        <v>4</v>
      </c>
      <c r="BO2" s="143">
        <v>5</v>
      </c>
      <c r="BP2" s="143">
        <v>6</v>
      </c>
      <c r="BQ2" s="143">
        <v>7</v>
      </c>
      <c r="BR2" s="145"/>
      <c r="BS2" s="143">
        <v>2</v>
      </c>
      <c r="BT2" s="143">
        <v>3</v>
      </c>
      <c r="BU2" s="143">
        <v>4</v>
      </c>
      <c r="BV2" s="143">
        <v>5</v>
      </c>
      <c r="BW2" s="143">
        <v>6</v>
      </c>
      <c r="BX2" s="143">
        <v>7</v>
      </c>
      <c r="BY2" s="144">
        <v>2</v>
      </c>
      <c r="BZ2" s="143">
        <v>3</v>
      </c>
      <c r="CA2" s="143">
        <v>4</v>
      </c>
      <c r="CB2" s="143">
        <v>5</v>
      </c>
      <c r="CC2" s="143">
        <v>6</v>
      </c>
      <c r="CD2" s="143">
        <v>7</v>
      </c>
      <c r="CE2" s="144">
        <v>2</v>
      </c>
      <c r="CF2" s="143">
        <v>3</v>
      </c>
      <c r="CG2" s="143">
        <v>4</v>
      </c>
      <c r="CH2" s="143">
        <v>5</v>
      </c>
      <c r="CI2" s="143">
        <v>6</v>
      </c>
      <c r="CJ2" s="143">
        <v>7</v>
      </c>
      <c r="CK2" s="144">
        <v>2</v>
      </c>
      <c r="CL2" s="143">
        <v>3</v>
      </c>
      <c r="CM2" s="143">
        <v>4</v>
      </c>
      <c r="CN2" s="143">
        <v>5</v>
      </c>
      <c r="CO2" s="143">
        <v>6</v>
      </c>
      <c r="CP2" s="143">
        <v>7</v>
      </c>
      <c r="CQ2" s="145"/>
      <c r="CR2" s="143">
        <v>3</v>
      </c>
      <c r="CS2" s="143">
        <v>4</v>
      </c>
      <c r="CT2" s="143">
        <v>5</v>
      </c>
      <c r="CU2" s="143">
        <v>6</v>
      </c>
      <c r="CV2" s="143">
        <v>7</v>
      </c>
      <c r="CW2" s="144">
        <v>3</v>
      </c>
      <c r="CX2" s="143">
        <v>4</v>
      </c>
      <c r="CY2" s="143">
        <v>5</v>
      </c>
      <c r="CZ2" s="143">
        <v>6</v>
      </c>
      <c r="DA2" s="143">
        <v>7</v>
      </c>
      <c r="DB2" s="144">
        <v>3</v>
      </c>
      <c r="DC2" s="143">
        <v>4</v>
      </c>
      <c r="DD2" s="143">
        <v>5</v>
      </c>
      <c r="DE2" s="143">
        <v>6</v>
      </c>
      <c r="DF2" s="143">
        <v>7</v>
      </c>
      <c r="DG2" s="144">
        <v>3</v>
      </c>
      <c r="DH2" s="143">
        <v>4</v>
      </c>
      <c r="DI2" s="143">
        <v>5</v>
      </c>
      <c r="DJ2" s="143">
        <v>6</v>
      </c>
      <c r="DK2" s="143">
        <v>7</v>
      </c>
      <c r="DM2" s="144">
        <v>3</v>
      </c>
      <c r="DN2" s="328">
        <v>4</v>
      </c>
      <c r="DO2" s="328">
        <v>1</v>
      </c>
      <c r="DP2" s="329">
        <v>2</v>
      </c>
      <c r="DQ2" s="144">
        <v>3</v>
      </c>
      <c r="DR2" s="143">
        <v>4</v>
      </c>
      <c r="DS2" s="143">
        <v>2</v>
      </c>
      <c r="DT2" s="143">
        <v>1</v>
      </c>
      <c r="DU2" s="144">
        <v>3</v>
      </c>
      <c r="DV2" s="143">
        <v>4</v>
      </c>
      <c r="DW2" s="143">
        <v>1</v>
      </c>
      <c r="DX2" s="143">
        <v>2</v>
      </c>
      <c r="DY2" s="144">
        <v>3</v>
      </c>
      <c r="DZ2" s="143">
        <v>4</v>
      </c>
      <c r="EA2" s="143">
        <v>1</v>
      </c>
      <c r="EB2" s="143">
        <v>2</v>
      </c>
      <c r="ED2" s="79" t="s">
        <v>116</v>
      </c>
      <c r="EE2" s="146" t="s">
        <v>98</v>
      </c>
      <c r="EF2" s="79" t="s">
        <v>90</v>
      </c>
      <c r="EG2" s="146" t="s">
        <v>99</v>
      </c>
      <c r="EH2" s="79" t="s">
        <v>100</v>
      </c>
      <c r="EJ2" s="70" t="s">
        <v>446</v>
      </c>
      <c r="ET2" s="70" t="s">
        <v>456</v>
      </c>
      <c r="EW2" s="142" t="s">
        <v>0</v>
      </c>
    </row>
    <row r="3" spans="1:153" x14ac:dyDescent="0.35">
      <c r="A3" s="353" t="s">
        <v>32</v>
      </c>
      <c r="B3" s="64" t="s">
        <v>3</v>
      </c>
      <c r="C3" s="64" t="s">
        <v>4</v>
      </c>
      <c r="D3" s="66">
        <v>3</v>
      </c>
      <c r="E3" s="66">
        <v>36</v>
      </c>
      <c r="F3" s="272">
        <v>0.46527777777777773</v>
      </c>
      <c r="G3" s="272">
        <v>0.46875</v>
      </c>
      <c r="H3" s="66" t="s">
        <v>162</v>
      </c>
      <c r="I3" s="305">
        <v>5</v>
      </c>
      <c r="J3" s="113">
        <v>7</v>
      </c>
      <c r="K3" s="113">
        <v>8</v>
      </c>
      <c r="L3" s="113">
        <v>6</v>
      </c>
      <c r="M3" s="113">
        <v>4</v>
      </c>
      <c r="N3" s="113">
        <v>2</v>
      </c>
      <c r="O3" s="113">
        <v>1</v>
      </c>
      <c r="P3" s="240">
        <v>3</v>
      </c>
      <c r="Q3" s="113">
        <v>8</v>
      </c>
      <c r="R3" s="113">
        <v>6</v>
      </c>
      <c r="S3" s="113">
        <v>3</v>
      </c>
      <c r="T3" s="113">
        <v>1</v>
      </c>
      <c r="U3" s="113">
        <v>2</v>
      </c>
      <c r="V3" s="113">
        <v>4</v>
      </c>
      <c r="W3" s="113">
        <v>5</v>
      </c>
      <c r="X3" s="240">
        <v>7</v>
      </c>
      <c r="Y3" s="113">
        <v>4</v>
      </c>
      <c r="Z3" s="113">
        <v>2</v>
      </c>
      <c r="AA3" s="113">
        <v>1</v>
      </c>
      <c r="AB3" s="113">
        <v>5</v>
      </c>
      <c r="AC3" s="113">
        <v>3</v>
      </c>
      <c r="AD3" s="113">
        <v>7</v>
      </c>
      <c r="AE3" s="113">
        <v>8</v>
      </c>
      <c r="AF3" s="240">
        <v>6</v>
      </c>
      <c r="AG3" s="113">
        <v>1</v>
      </c>
      <c r="AH3" s="113">
        <v>3</v>
      </c>
      <c r="AI3" s="113">
        <v>5</v>
      </c>
      <c r="AJ3" s="113">
        <v>8</v>
      </c>
      <c r="AK3" s="113">
        <v>7</v>
      </c>
      <c r="AL3" s="113">
        <v>6</v>
      </c>
      <c r="AM3" s="113">
        <v>4</v>
      </c>
      <c r="AN3" s="240">
        <v>2</v>
      </c>
      <c r="AP3" s="113">
        <v>5</v>
      </c>
      <c r="AQ3" s="113">
        <v>7</v>
      </c>
      <c r="AR3" s="113">
        <v>6</v>
      </c>
      <c r="AS3" s="113">
        <v>4</v>
      </c>
      <c r="AT3" s="113">
        <v>2</v>
      </c>
      <c r="AU3" s="113">
        <v>1</v>
      </c>
      <c r="AV3" s="240">
        <v>3</v>
      </c>
      <c r="AW3" s="113">
        <v>6</v>
      </c>
      <c r="AX3" s="113">
        <v>3</v>
      </c>
      <c r="AY3" s="113">
        <v>1</v>
      </c>
      <c r="AZ3" s="113">
        <v>2</v>
      </c>
      <c r="BA3" s="113">
        <v>4</v>
      </c>
      <c r="BB3" s="113">
        <v>5</v>
      </c>
      <c r="BC3" s="240">
        <v>7</v>
      </c>
      <c r="BD3" s="113">
        <v>4</v>
      </c>
      <c r="BE3" s="113">
        <v>2</v>
      </c>
      <c r="BF3" s="113">
        <v>1</v>
      </c>
      <c r="BG3" s="113">
        <v>5</v>
      </c>
      <c r="BH3" s="113">
        <v>3</v>
      </c>
      <c r="BI3" s="113">
        <v>7</v>
      </c>
      <c r="BJ3" s="240">
        <v>6</v>
      </c>
      <c r="BK3" s="113">
        <v>1</v>
      </c>
      <c r="BL3" s="113">
        <v>3</v>
      </c>
      <c r="BM3" s="113">
        <v>5</v>
      </c>
      <c r="BN3" s="113">
        <v>7</v>
      </c>
      <c r="BO3" s="113">
        <v>6</v>
      </c>
      <c r="BP3" s="113">
        <v>4</v>
      </c>
      <c r="BQ3" s="240">
        <v>2</v>
      </c>
      <c r="BS3" s="113">
        <v>5</v>
      </c>
      <c r="BT3" s="113">
        <v>6</v>
      </c>
      <c r="BU3" s="113">
        <v>4</v>
      </c>
      <c r="BV3" s="113">
        <v>2</v>
      </c>
      <c r="BW3" s="113">
        <v>1</v>
      </c>
      <c r="BX3" s="240">
        <v>3</v>
      </c>
      <c r="BY3" s="113">
        <v>6</v>
      </c>
      <c r="BZ3" s="113">
        <v>3</v>
      </c>
      <c r="CA3" s="113">
        <v>1</v>
      </c>
      <c r="CB3" s="113">
        <v>2</v>
      </c>
      <c r="CC3" s="113">
        <v>4</v>
      </c>
      <c r="CD3" s="240">
        <v>5</v>
      </c>
      <c r="CE3" s="113">
        <v>4</v>
      </c>
      <c r="CF3" s="113">
        <v>2</v>
      </c>
      <c r="CG3" s="113">
        <v>1</v>
      </c>
      <c r="CH3" s="113">
        <v>5</v>
      </c>
      <c r="CI3" s="113">
        <v>3</v>
      </c>
      <c r="CJ3" s="240">
        <v>6</v>
      </c>
      <c r="CK3" s="113">
        <v>1</v>
      </c>
      <c r="CL3" s="113">
        <v>3</v>
      </c>
      <c r="CM3" s="113">
        <v>5</v>
      </c>
      <c r="CN3" s="113">
        <v>6</v>
      </c>
      <c r="CO3" s="113">
        <v>4</v>
      </c>
      <c r="CP3" s="240">
        <v>2</v>
      </c>
      <c r="CR3" s="113">
        <v>5</v>
      </c>
      <c r="CS3" s="113">
        <v>4</v>
      </c>
      <c r="CT3" s="113">
        <v>2</v>
      </c>
      <c r="CU3" s="113">
        <v>1</v>
      </c>
      <c r="CV3" s="240">
        <v>3</v>
      </c>
      <c r="CW3" s="113">
        <v>3</v>
      </c>
      <c r="CX3" s="113">
        <v>1</v>
      </c>
      <c r="CY3" s="113">
        <v>2</v>
      </c>
      <c r="CZ3" s="113">
        <v>4</v>
      </c>
      <c r="DA3" s="240">
        <v>5</v>
      </c>
      <c r="DB3" s="113">
        <v>4</v>
      </c>
      <c r="DC3" s="113">
        <v>2</v>
      </c>
      <c r="DD3" s="113">
        <v>1</v>
      </c>
      <c r="DE3" s="113">
        <v>5</v>
      </c>
      <c r="DF3" s="240">
        <v>3</v>
      </c>
      <c r="DG3" s="113">
        <v>1</v>
      </c>
      <c r="DH3" s="113">
        <v>3</v>
      </c>
      <c r="DI3" s="113">
        <v>5</v>
      </c>
      <c r="DJ3" s="113">
        <v>4</v>
      </c>
      <c r="DK3" s="240">
        <v>2</v>
      </c>
      <c r="DM3" s="323">
        <v>4</v>
      </c>
      <c r="DN3" s="320">
        <v>2</v>
      </c>
      <c r="DO3" s="320">
        <v>1</v>
      </c>
      <c r="DP3" s="240">
        <v>3</v>
      </c>
      <c r="DQ3" s="323">
        <v>3</v>
      </c>
      <c r="DR3" s="320">
        <v>1</v>
      </c>
      <c r="DS3" s="320">
        <v>2</v>
      </c>
      <c r="DT3" s="240">
        <v>4</v>
      </c>
      <c r="DU3" s="323">
        <v>4</v>
      </c>
      <c r="DV3" s="320">
        <v>2</v>
      </c>
      <c r="DW3" s="320">
        <v>1</v>
      </c>
      <c r="DX3" s="240">
        <v>3</v>
      </c>
      <c r="DY3" s="323">
        <v>1</v>
      </c>
      <c r="DZ3" s="320">
        <v>3</v>
      </c>
      <c r="EA3" s="320">
        <v>4</v>
      </c>
      <c r="EB3" s="240">
        <v>2</v>
      </c>
      <c r="EC3" s="306"/>
      <c r="ED3" s="66">
        <f>EE3*10+EF3</f>
        <v>81</v>
      </c>
      <c r="EE3" s="66">
        <v>8</v>
      </c>
      <c r="EF3" s="66">
        <v>1</v>
      </c>
      <c r="EG3" s="66" t="s">
        <v>97</v>
      </c>
      <c r="EH3" s="66">
        <v>9</v>
      </c>
      <c r="EJ3" s="87" t="str">
        <f>"'Track1'!"</f>
        <v>'Track1'!</v>
      </c>
      <c r="EK3" s="87" t="s">
        <v>447</v>
      </c>
      <c r="EL3" s="87" t="s">
        <v>280</v>
      </c>
      <c r="EM3" s="64" t="str">
        <f ca="1">IFERROR(MATCH(A3,INDIRECT(CONCATENATE(EJ3,EK3)),0),"-")</f>
        <v>-</v>
      </c>
      <c r="EN3" s="64" t="str">
        <f ca="1">IFERROR(CONCATENATE(EJ3,EL3,EM3+2),"-")</f>
        <v>-</v>
      </c>
      <c r="EO3" s="87" t="str">
        <f>"'Track1'!"</f>
        <v>'Track1'!</v>
      </c>
      <c r="EP3" s="87" t="s">
        <v>447</v>
      </c>
      <c r="EQ3" s="87" t="s">
        <v>165</v>
      </c>
      <c r="ER3" s="87" t="str">
        <f t="shared" ref="ER3:ER34" ca="1" si="0">IFERROR(MATCH(A3,INDIRECT(CONCATENATE(EO3,EP3)),0),"-")</f>
        <v>-</v>
      </c>
      <c r="ES3" s="64" t="str">
        <f ca="1">IFERROR(CONCATENATE(EO3,EQ3,ER3+2),"-")</f>
        <v>-</v>
      </c>
      <c r="EW3" s="65">
        <v>11.3</v>
      </c>
    </row>
    <row r="4" spans="1:153" x14ac:dyDescent="0.35">
      <c r="A4" s="353" t="s">
        <v>33</v>
      </c>
      <c r="B4" s="64" t="s">
        <v>5</v>
      </c>
      <c r="C4" s="64" t="s">
        <v>6</v>
      </c>
      <c r="D4" s="66">
        <v>4</v>
      </c>
      <c r="E4" s="66">
        <v>86</v>
      </c>
      <c r="F4" s="272">
        <v>0.47222222222222227</v>
      </c>
      <c r="G4" s="272">
        <v>0.47569444444444442</v>
      </c>
      <c r="H4" s="66" t="s">
        <v>162</v>
      </c>
      <c r="I4" s="115">
        <f>I$3</f>
        <v>5</v>
      </c>
      <c r="J4" s="115">
        <f t="shared" ref="J4:AH6" si="1">J$3</f>
        <v>7</v>
      </c>
      <c r="K4" s="115">
        <f t="shared" si="1"/>
        <v>8</v>
      </c>
      <c r="L4" s="115">
        <f t="shared" si="1"/>
        <v>6</v>
      </c>
      <c r="M4" s="115">
        <f t="shared" si="1"/>
        <v>4</v>
      </c>
      <c r="N4" s="115">
        <f t="shared" si="1"/>
        <v>2</v>
      </c>
      <c r="O4" s="115">
        <f t="shared" si="1"/>
        <v>1</v>
      </c>
      <c r="P4" s="241">
        <f t="shared" si="1"/>
        <v>3</v>
      </c>
      <c r="Q4" s="115">
        <f>Q$3</f>
        <v>8</v>
      </c>
      <c r="R4" s="115">
        <f t="shared" si="1"/>
        <v>6</v>
      </c>
      <c r="S4" s="115">
        <f t="shared" si="1"/>
        <v>3</v>
      </c>
      <c r="T4" s="115">
        <f t="shared" si="1"/>
        <v>1</v>
      </c>
      <c r="U4" s="115">
        <f t="shared" si="1"/>
        <v>2</v>
      </c>
      <c r="V4" s="115">
        <f t="shared" si="1"/>
        <v>4</v>
      </c>
      <c r="W4" s="115">
        <f t="shared" si="1"/>
        <v>5</v>
      </c>
      <c r="X4" s="241">
        <f t="shared" si="1"/>
        <v>7</v>
      </c>
      <c r="Y4" s="115">
        <f>Y$3</f>
        <v>4</v>
      </c>
      <c r="Z4" s="115">
        <f t="shared" si="1"/>
        <v>2</v>
      </c>
      <c r="AA4" s="115">
        <f t="shared" si="1"/>
        <v>1</v>
      </c>
      <c r="AB4" s="115">
        <f t="shared" si="1"/>
        <v>5</v>
      </c>
      <c r="AC4" s="115">
        <f t="shared" si="1"/>
        <v>3</v>
      </c>
      <c r="AD4" s="115">
        <f t="shared" si="1"/>
        <v>7</v>
      </c>
      <c r="AE4" s="115">
        <f t="shared" si="1"/>
        <v>8</v>
      </c>
      <c r="AF4" s="241">
        <f t="shared" si="1"/>
        <v>6</v>
      </c>
      <c r="AG4" s="115">
        <f>AG$3</f>
        <v>1</v>
      </c>
      <c r="AH4" s="115">
        <f t="shared" si="1"/>
        <v>3</v>
      </c>
      <c r="AI4" s="115">
        <f t="shared" ref="AG4:AN6" si="2">AI$3</f>
        <v>5</v>
      </c>
      <c r="AJ4" s="115">
        <f t="shared" si="2"/>
        <v>8</v>
      </c>
      <c r="AK4" s="115">
        <f t="shared" si="2"/>
        <v>7</v>
      </c>
      <c r="AL4" s="115">
        <f t="shared" si="2"/>
        <v>6</v>
      </c>
      <c r="AM4" s="115">
        <f t="shared" si="2"/>
        <v>4</v>
      </c>
      <c r="AN4" s="241">
        <f t="shared" si="2"/>
        <v>2</v>
      </c>
      <c r="AP4" s="115">
        <f t="shared" ref="AP4:BE6" si="3">AP$3</f>
        <v>5</v>
      </c>
      <c r="AQ4" s="115">
        <f t="shared" si="3"/>
        <v>7</v>
      </c>
      <c r="AR4" s="115">
        <f t="shared" si="3"/>
        <v>6</v>
      </c>
      <c r="AS4" s="115">
        <f t="shared" si="3"/>
        <v>4</v>
      </c>
      <c r="AT4" s="115">
        <f t="shared" si="3"/>
        <v>2</v>
      </c>
      <c r="AU4" s="115">
        <f t="shared" si="3"/>
        <v>1</v>
      </c>
      <c r="AV4" s="241">
        <f t="shared" si="3"/>
        <v>3</v>
      </c>
      <c r="AW4" s="115">
        <f t="shared" si="3"/>
        <v>6</v>
      </c>
      <c r="AX4" s="115">
        <f t="shared" si="3"/>
        <v>3</v>
      </c>
      <c r="AY4" s="115">
        <f t="shared" si="3"/>
        <v>1</v>
      </c>
      <c r="AZ4" s="115">
        <f t="shared" si="3"/>
        <v>2</v>
      </c>
      <c r="BA4" s="115">
        <f t="shared" si="3"/>
        <v>4</v>
      </c>
      <c r="BB4" s="115">
        <f t="shared" si="3"/>
        <v>5</v>
      </c>
      <c r="BC4" s="241">
        <f t="shared" si="3"/>
        <v>7</v>
      </c>
      <c r="BD4" s="115">
        <f t="shared" si="3"/>
        <v>4</v>
      </c>
      <c r="BE4" s="115">
        <f t="shared" si="3"/>
        <v>2</v>
      </c>
      <c r="BF4" s="115">
        <f t="shared" ref="BD4:BQ6" si="4">BF$3</f>
        <v>1</v>
      </c>
      <c r="BG4" s="115">
        <f t="shared" si="4"/>
        <v>5</v>
      </c>
      <c r="BH4" s="115">
        <f t="shared" si="4"/>
        <v>3</v>
      </c>
      <c r="BI4" s="115">
        <f t="shared" si="4"/>
        <v>7</v>
      </c>
      <c r="BJ4" s="241">
        <f t="shared" si="4"/>
        <v>6</v>
      </c>
      <c r="BK4" s="115">
        <f t="shared" si="4"/>
        <v>1</v>
      </c>
      <c r="BL4" s="115">
        <f t="shared" si="4"/>
        <v>3</v>
      </c>
      <c r="BM4" s="115">
        <f t="shared" si="4"/>
        <v>5</v>
      </c>
      <c r="BN4" s="115">
        <f t="shared" si="4"/>
        <v>7</v>
      </c>
      <c r="BO4" s="115">
        <f t="shared" si="4"/>
        <v>6</v>
      </c>
      <c r="BP4" s="115">
        <f t="shared" si="4"/>
        <v>4</v>
      </c>
      <c r="BQ4" s="241">
        <f t="shared" si="4"/>
        <v>2</v>
      </c>
      <c r="BS4" s="115">
        <f t="shared" ref="BS4:CH6" si="5">BS$3</f>
        <v>5</v>
      </c>
      <c r="BT4" s="115">
        <f t="shared" si="5"/>
        <v>6</v>
      </c>
      <c r="BU4" s="115">
        <f t="shared" si="5"/>
        <v>4</v>
      </c>
      <c r="BV4" s="115">
        <f t="shared" si="5"/>
        <v>2</v>
      </c>
      <c r="BW4" s="115">
        <f t="shared" si="5"/>
        <v>1</v>
      </c>
      <c r="BX4" s="241">
        <f t="shared" si="5"/>
        <v>3</v>
      </c>
      <c r="BY4" s="115">
        <f t="shared" si="5"/>
        <v>6</v>
      </c>
      <c r="BZ4" s="115">
        <f t="shared" si="5"/>
        <v>3</v>
      </c>
      <c r="CA4" s="115">
        <f t="shared" si="5"/>
        <v>1</v>
      </c>
      <c r="CB4" s="115">
        <f t="shared" si="5"/>
        <v>2</v>
      </c>
      <c r="CC4" s="115">
        <f t="shared" si="5"/>
        <v>4</v>
      </c>
      <c r="CD4" s="241">
        <f t="shared" si="5"/>
        <v>5</v>
      </c>
      <c r="CE4" s="115">
        <f t="shared" si="5"/>
        <v>4</v>
      </c>
      <c r="CF4" s="115">
        <f t="shared" si="5"/>
        <v>2</v>
      </c>
      <c r="CG4" s="115">
        <f t="shared" si="5"/>
        <v>1</v>
      </c>
      <c r="CH4" s="115">
        <f t="shared" si="5"/>
        <v>5</v>
      </c>
      <c r="CI4" s="115">
        <f t="shared" ref="CE4:CP6" si="6">CI$3</f>
        <v>3</v>
      </c>
      <c r="CJ4" s="241">
        <f t="shared" si="6"/>
        <v>6</v>
      </c>
      <c r="CK4" s="115">
        <f t="shared" si="6"/>
        <v>1</v>
      </c>
      <c r="CL4" s="115">
        <f t="shared" si="6"/>
        <v>3</v>
      </c>
      <c r="CM4" s="115">
        <f t="shared" si="6"/>
        <v>5</v>
      </c>
      <c r="CN4" s="115">
        <f t="shared" si="6"/>
        <v>6</v>
      </c>
      <c r="CO4" s="115">
        <f t="shared" si="6"/>
        <v>4</v>
      </c>
      <c r="CP4" s="241">
        <f t="shared" si="6"/>
        <v>2</v>
      </c>
      <c r="CR4" s="115">
        <f t="shared" ref="CR4:DG6" si="7">CR$3</f>
        <v>5</v>
      </c>
      <c r="CS4" s="115">
        <f t="shared" si="7"/>
        <v>4</v>
      </c>
      <c r="CT4" s="115">
        <f t="shared" si="7"/>
        <v>2</v>
      </c>
      <c r="CU4" s="115">
        <f t="shared" si="7"/>
        <v>1</v>
      </c>
      <c r="CV4" s="241">
        <f t="shared" si="7"/>
        <v>3</v>
      </c>
      <c r="CW4" s="115">
        <f t="shared" si="7"/>
        <v>3</v>
      </c>
      <c r="CX4" s="115">
        <f t="shared" si="7"/>
        <v>1</v>
      </c>
      <c r="CY4" s="115">
        <f t="shared" si="7"/>
        <v>2</v>
      </c>
      <c r="CZ4" s="115">
        <f t="shared" si="7"/>
        <v>4</v>
      </c>
      <c r="DA4" s="241">
        <f t="shared" si="7"/>
        <v>5</v>
      </c>
      <c r="DB4" s="115">
        <f t="shared" si="7"/>
        <v>4</v>
      </c>
      <c r="DC4" s="115">
        <f t="shared" si="7"/>
        <v>2</v>
      </c>
      <c r="DD4" s="115">
        <f t="shared" si="7"/>
        <v>1</v>
      </c>
      <c r="DE4" s="115">
        <f t="shared" si="7"/>
        <v>5</v>
      </c>
      <c r="DF4" s="241">
        <f t="shared" si="7"/>
        <v>3</v>
      </c>
      <c r="DG4" s="115">
        <f t="shared" si="7"/>
        <v>1</v>
      </c>
      <c r="DH4" s="115">
        <f t="shared" ref="DG4:DK6" si="8">DH$3</f>
        <v>3</v>
      </c>
      <c r="DI4" s="115">
        <f t="shared" si="8"/>
        <v>5</v>
      </c>
      <c r="DJ4" s="115">
        <f t="shared" si="8"/>
        <v>4</v>
      </c>
      <c r="DK4" s="241">
        <f t="shared" si="8"/>
        <v>2</v>
      </c>
      <c r="DM4" s="324">
        <f t="shared" ref="DM4:DY6" si="9">DM$3</f>
        <v>4</v>
      </c>
      <c r="DN4" s="321">
        <f t="shared" si="9"/>
        <v>2</v>
      </c>
      <c r="DO4" s="321">
        <f t="shared" si="9"/>
        <v>1</v>
      </c>
      <c r="DP4" s="241">
        <f t="shared" si="9"/>
        <v>3</v>
      </c>
      <c r="DQ4" s="324">
        <f t="shared" si="9"/>
        <v>3</v>
      </c>
      <c r="DR4" s="321">
        <f t="shared" si="9"/>
        <v>1</v>
      </c>
      <c r="DS4" s="321">
        <f t="shared" si="9"/>
        <v>2</v>
      </c>
      <c r="DT4" s="241">
        <f t="shared" si="9"/>
        <v>4</v>
      </c>
      <c r="DU4" s="324">
        <f t="shared" si="9"/>
        <v>4</v>
      </c>
      <c r="DV4" s="321">
        <f t="shared" si="9"/>
        <v>2</v>
      </c>
      <c r="DW4" s="321">
        <f t="shared" si="9"/>
        <v>1</v>
      </c>
      <c r="DX4" s="241">
        <f t="shared" si="9"/>
        <v>3</v>
      </c>
      <c r="DY4" s="324">
        <f t="shared" si="9"/>
        <v>1</v>
      </c>
      <c r="DZ4" s="321">
        <f t="shared" ref="DY4:EB6" si="10">DZ$3</f>
        <v>3</v>
      </c>
      <c r="EA4" s="321">
        <f t="shared" si="10"/>
        <v>4</v>
      </c>
      <c r="EB4" s="241">
        <f t="shared" si="10"/>
        <v>2</v>
      </c>
      <c r="EC4" s="306"/>
      <c r="ED4" s="66">
        <f>$EE$3*10+EF4</f>
        <v>82</v>
      </c>
      <c r="EF4" s="66">
        <v>2</v>
      </c>
      <c r="EG4" s="66" t="s">
        <v>101</v>
      </c>
      <c r="EH4" s="66">
        <f>EH3+$EE$3</f>
        <v>17</v>
      </c>
      <c r="EJ4" s="87" t="str">
        <f t="shared" ref="EJ4:EJ28" si="11">"'Track1'!"</f>
        <v>'Track1'!</v>
      </c>
      <c r="EK4" s="87" t="s">
        <v>447</v>
      </c>
      <c r="EL4" s="87" t="s">
        <v>280</v>
      </c>
      <c r="EM4" s="64" t="str">
        <f t="shared" ref="EM4:EM34" ca="1" si="12">IFERROR(MATCH(A4,INDIRECT(CONCATENATE(EJ4,EK4)),0),"-")</f>
        <v>-</v>
      </c>
      <c r="EN4" s="64" t="str">
        <f t="shared" ref="EN4:EN60" ca="1" si="13">IFERROR(CONCATENATE(EJ4,EL4,EM4+2),"-")</f>
        <v>-</v>
      </c>
      <c r="EO4" s="87" t="str">
        <f t="shared" ref="EO4:EO28" si="14">"'Track1'!"</f>
        <v>'Track1'!</v>
      </c>
      <c r="EP4" s="87" t="s">
        <v>447</v>
      </c>
      <c r="EQ4" s="87" t="s">
        <v>165</v>
      </c>
      <c r="ER4" s="87" t="str">
        <f t="shared" ca="1" si="0"/>
        <v>-</v>
      </c>
      <c r="ES4" s="64" t="str">
        <f t="shared" ref="ES4:ES60" ca="1" si="15">IFERROR(CONCATENATE(EO4,EQ4,ER4+2),"-")</f>
        <v>-</v>
      </c>
      <c r="EW4" s="65">
        <v>11.4</v>
      </c>
    </row>
    <row r="5" spans="1:153" x14ac:dyDescent="0.35">
      <c r="A5" s="353" t="s">
        <v>34</v>
      </c>
      <c r="B5" s="64" t="s">
        <v>5</v>
      </c>
      <c r="C5" s="64" t="s">
        <v>7</v>
      </c>
      <c r="D5" s="66">
        <v>5</v>
      </c>
      <c r="F5" s="272">
        <v>0.47916666666666669</v>
      </c>
      <c r="G5" s="272">
        <v>0.4826388888888889</v>
      </c>
      <c r="H5" s="66" t="s">
        <v>162</v>
      </c>
      <c r="I5" s="115">
        <f t="shared" ref="I5:Y6" si="16">I$3</f>
        <v>5</v>
      </c>
      <c r="J5" s="115">
        <f t="shared" si="16"/>
        <v>7</v>
      </c>
      <c r="K5" s="115">
        <f t="shared" si="16"/>
        <v>8</v>
      </c>
      <c r="L5" s="115">
        <f t="shared" si="16"/>
        <v>6</v>
      </c>
      <c r="M5" s="115">
        <f t="shared" si="16"/>
        <v>4</v>
      </c>
      <c r="N5" s="115">
        <f t="shared" si="16"/>
        <v>2</v>
      </c>
      <c r="O5" s="115">
        <f t="shared" si="16"/>
        <v>1</v>
      </c>
      <c r="P5" s="241">
        <f t="shared" si="16"/>
        <v>3</v>
      </c>
      <c r="Q5" s="115">
        <f t="shared" si="16"/>
        <v>8</v>
      </c>
      <c r="R5" s="115">
        <f t="shared" si="16"/>
        <v>6</v>
      </c>
      <c r="S5" s="115">
        <f t="shared" si="16"/>
        <v>3</v>
      </c>
      <c r="T5" s="115">
        <f t="shared" si="16"/>
        <v>1</v>
      </c>
      <c r="U5" s="115">
        <f t="shared" si="16"/>
        <v>2</v>
      </c>
      <c r="V5" s="115">
        <f t="shared" si="16"/>
        <v>4</v>
      </c>
      <c r="W5" s="115">
        <f t="shared" si="16"/>
        <v>5</v>
      </c>
      <c r="X5" s="241">
        <f t="shared" si="16"/>
        <v>7</v>
      </c>
      <c r="Y5" s="115">
        <f t="shared" si="16"/>
        <v>4</v>
      </c>
      <c r="Z5" s="115">
        <f t="shared" si="1"/>
        <v>2</v>
      </c>
      <c r="AA5" s="115">
        <f t="shared" si="1"/>
        <v>1</v>
      </c>
      <c r="AB5" s="115">
        <f t="shared" si="1"/>
        <v>5</v>
      </c>
      <c r="AC5" s="115">
        <f t="shared" si="1"/>
        <v>3</v>
      </c>
      <c r="AD5" s="115">
        <f t="shared" si="1"/>
        <v>7</v>
      </c>
      <c r="AE5" s="115">
        <f t="shared" si="1"/>
        <v>8</v>
      </c>
      <c r="AF5" s="241">
        <f t="shared" si="1"/>
        <v>6</v>
      </c>
      <c r="AG5" s="115">
        <f t="shared" si="1"/>
        <v>1</v>
      </c>
      <c r="AH5" s="115">
        <f t="shared" si="1"/>
        <v>3</v>
      </c>
      <c r="AI5" s="115">
        <f t="shared" si="2"/>
        <v>5</v>
      </c>
      <c r="AJ5" s="115">
        <f t="shared" si="2"/>
        <v>8</v>
      </c>
      <c r="AK5" s="115">
        <f t="shared" si="2"/>
        <v>7</v>
      </c>
      <c r="AL5" s="115">
        <f t="shared" si="2"/>
        <v>6</v>
      </c>
      <c r="AM5" s="115">
        <f t="shared" si="2"/>
        <v>4</v>
      </c>
      <c r="AN5" s="241">
        <f t="shared" si="2"/>
        <v>2</v>
      </c>
      <c r="AP5" s="115">
        <f t="shared" si="3"/>
        <v>5</v>
      </c>
      <c r="AQ5" s="115">
        <f t="shared" si="3"/>
        <v>7</v>
      </c>
      <c r="AR5" s="115">
        <f t="shared" si="3"/>
        <v>6</v>
      </c>
      <c r="AS5" s="115">
        <f t="shared" si="3"/>
        <v>4</v>
      </c>
      <c r="AT5" s="115">
        <f t="shared" si="3"/>
        <v>2</v>
      </c>
      <c r="AU5" s="115">
        <f t="shared" si="3"/>
        <v>1</v>
      </c>
      <c r="AV5" s="241">
        <f t="shared" si="3"/>
        <v>3</v>
      </c>
      <c r="AW5" s="115">
        <f t="shared" si="3"/>
        <v>6</v>
      </c>
      <c r="AX5" s="115">
        <f t="shared" si="3"/>
        <v>3</v>
      </c>
      <c r="AY5" s="115">
        <f t="shared" si="3"/>
        <v>1</v>
      </c>
      <c r="AZ5" s="115">
        <f t="shared" si="3"/>
        <v>2</v>
      </c>
      <c r="BA5" s="115">
        <f t="shared" si="3"/>
        <v>4</v>
      </c>
      <c r="BB5" s="115">
        <f t="shared" si="3"/>
        <v>5</v>
      </c>
      <c r="BC5" s="241">
        <f t="shared" si="3"/>
        <v>7</v>
      </c>
      <c r="BD5" s="115">
        <f t="shared" si="3"/>
        <v>4</v>
      </c>
      <c r="BE5" s="115">
        <f t="shared" si="3"/>
        <v>2</v>
      </c>
      <c r="BF5" s="115">
        <f t="shared" si="4"/>
        <v>1</v>
      </c>
      <c r="BG5" s="115">
        <f t="shared" si="4"/>
        <v>5</v>
      </c>
      <c r="BH5" s="115">
        <f t="shared" si="4"/>
        <v>3</v>
      </c>
      <c r="BI5" s="115">
        <f t="shared" si="4"/>
        <v>7</v>
      </c>
      <c r="BJ5" s="241">
        <f t="shared" si="4"/>
        <v>6</v>
      </c>
      <c r="BK5" s="115">
        <f t="shared" si="4"/>
        <v>1</v>
      </c>
      <c r="BL5" s="115">
        <f t="shared" si="4"/>
        <v>3</v>
      </c>
      <c r="BM5" s="115">
        <f t="shared" si="4"/>
        <v>5</v>
      </c>
      <c r="BN5" s="115">
        <f t="shared" si="4"/>
        <v>7</v>
      </c>
      <c r="BO5" s="115">
        <f t="shared" si="4"/>
        <v>6</v>
      </c>
      <c r="BP5" s="115">
        <f t="shared" si="4"/>
        <v>4</v>
      </c>
      <c r="BQ5" s="241">
        <f t="shared" si="4"/>
        <v>2</v>
      </c>
      <c r="BS5" s="115">
        <f t="shared" si="5"/>
        <v>5</v>
      </c>
      <c r="BT5" s="115">
        <f t="shared" si="5"/>
        <v>6</v>
      </c>
      <c r="BU5" s="115">
        <f t="shared" si="5"/>
        <v>4</v>
      </c>
      <c r="BV5" s="115">
        <f t="shared" si="5"/>
        <v>2</v>
      </c>
      <c r="BW5" s="115">
        <f t="shared" si="5"/>
        <v>1</v>
      </c>
      <c r="BX5" s="241">
        <f t="shared" si="5"/>
        <v>3</v>
      </c>
      <c r="BY5" s="115">
        <f t="shared" si="5"/>
        <v>6</v>
      </c>
      <c r="BZ5" s="115">
        <f t="shared" si="5"/>
        <v>3</v>
      </c>
      <c r="CA5" s="115">
        <f t="shared" si="5"/>
        <v>1</v>
      </c>
      <c r="CB5" s="115">
        <f t="shared" si="5"/>
        <v>2</v>
      </c>
      <c r="CC5" s="115">
        <f t="shared" si="5"/>
        <v>4</v>
      </c>
      <c r="CD5" s="241">
        <f t="shared" si="5"/>
        <v>5</v>
      </c>
      <c r="CE5" s="115">
        <f t="shared" si="6"/>
        <v>4</v>
      </c>
      <c r="CF5" s="115">
        <f t="shared" si="6"/>
        <v>2</v>
      </c>
      <c r="CG5" s="115">
        <f t="shared" si="6"/>
        <v>1</v>
      </c>
      <c r="CH5" s="115">
        <f t="shared" si="6"/>
        <v>5</v>
      </c>
      <c r="CI5" s="115">
        <f t="shared" si="6"/>
        <v>3</v>
      </c>
      <c r="CJ5" s="241">
        <f t="shared" si="6"/>
        <v>6</v>
      </c>
      <c r="CK5" s="115">
        <f t="shared" si="6"/>
        <v>1</v>
      </c>
      <c r="CL5" s="115">
        <f t="shared" si="6"/>
        <v>3</v>
      </c>
      <c r="CM5" s="115">
        <f t="shared" si="6"/>
        <v>5</v>
      </c>
      <c r="CN5" s="115">
        <f t="shared" si="6"/>
        <v>6</v>
      </c>
      <c r="CO5" s="115">
        <f t="shared" si="6"/>
        <v>4</v>
      </c>
      <c r="CP5" s="241">
        <f t="shared" si="6"/>
        <v>2</v>
      </c>
      <c r="CR5" s="115">
        <f t="shared" si="7"/>
        <v>5</v>
      </c>
      <c r="CS5" s="115">
        <f t="shared" si="7"/>
        <v>4</v>
      </c>
      <c r="CT5" s="115">
        <f t="shared" si="7"/>
        <v>2</v>
      </c>
      <c r="CU5" s="115">
        <f t="shared" si="7"/>
        <v>1</v>
      </c>
      <c r="CV5" s="241">
        <f t="shared" si="7"/>
        <v>3</v>
      </c>
      <c r="CW5" s="115">
        <f t="shared" si="7"/>
        <v>3</v>
      </c>
      <c r="CX5" s="115">
        <f t="shared" si="7"/>
        <v>1</v>
      </c>
      <c r="CY5" s="115">
        <f t="shared" si="7"/>
        <v>2</v>
      </c>
      <c r="CZ5" s="115">
        <f t="shared" si="7"/>
        <v>4</v>
      </c>
      <c r="DA5" s="241">
        <f t="shared" si="7"/>
        <v>5</v>
      </c>
      <c r="DB5" s="115">
        <f t="shared" si="7"/>
        <v>4</v>
      </c>
      <c r="DC5" s="115">
        <f t="shared" si="7"/>
        <v>2</v>
      </c>
      <c r="DD5" s="115">
        <f t="shared" si="7"/>
        <v>1</v>
      </c>
      <c r="DE5" s="115">
        <f t="shared" si="7"/>
        <v>5</v>
      </c>
      <c r="DF5" s="241">
        <f t="shared" si="7"/>
        <v>3</v>
      </c>
      <c r="DG5" s="115">
        <f t="shared" si="8"/>
        <v>1</v>
      </c>
      <c r="DH5" s="115">
        <f t="shared" si="8"/>
        <v>3</v>
      </c>
      <c r="DI5" s="115">
        <f t="shared" si="8"/>
        <v>5</v>
      </c>
      <c r="DJ5" s="115">
        <f t="shared" si="8"/>
        <v>4</v>
      </c>
      <c r="DK5" s="241">
        <f t="shared" si="8"/>
        <v>2</v>
      </c>
      <c r="DM5" s="324">
        <f t="shared" si="9"/>
        <v>4</v>
      </c>
      <c r="DN5" s="321">
        <f t="shared" si="9"/>
        <v>2</v>
      </c>
      <c r="DO5" s="321">
        <f t="shared" si="9"/>
        <v>1</v>
      </c>
      <c r="DP5" s="241">
        <f t="shared" si="9"/>
        <v>3</v>
      </c>
      <c r="DQ5" s="324">
        <f t="shared" si="9"/>
        <v>3</v>
      </c>
      <c r="DR5" s="321">
        <f t="shared" si="9"/>
        <v>1</v>
      </c>
      <c r="DS5" s="321">
        <f t="shared" si="9"/>
        <v>2</v>
      </c>
      <c r="DT5" s="241">
        <f t="shared" si="9"/>
        <v>4</v>
      </c>
      <c r="DU5" s="324">
        <f t="shared" si="9"/>
        <v>4</v>
      </c>
      <c r="DV5" s="321">
        <f t="shared" si="9"/>
        <v>2</v>
      </c>
      <c r="DW5" s="321">
        <f t="shared" si="9"/>
        <v>1</v>
      </c>
      <c r="DX5" s="241">
        <f t="shared" si="9"/>
        <v>3</v>
      </c>
      <c r="DY5" s="324">
        <f t="shared" si="10"/>
        <v>1</v>
      </c>
      <c r="DZ5" s="321">
        <f t="shared" si="10"/>
        <v>3</v>
      </c>
      <c r="EA5" s="321">
        <f t="shared" si="10"/>
        <v>4</v>
      </c>
      <c r="EB5" s="241">
        <f t="shared" si="10"/>
        <v>2</v>
      </c>
      <c r="EC5" s="306"/>
      <c r="ED5" s="66">
        <f>$EE$3*10+EF5</f>
        <v>83</v>
      </c>
      <c r="EF5" s="66">
        <v>3</v>
      </c>
      <c r="EG5" s="66" t="s">
        <v>102</v>
      </c>
      <c r="EH5" s="66">
        <f>EH4+$EE$3</f>
        <v>25</v>
      </c>
      <c r="EJ5" s="87" t="str">
        <f t="shared" si="11"/>
        <v>'Track1'!</v>
      </c>
      <c r="EK5" s="87" t="s">
        <v>447</v>
      </c>
      <c r="EL5" s="87" t="s">
        <v>280</v>
      </c>
      <c r="EM5" s="64" t="str">
        <f t="shared" ca="1" si="12"/>
        <v>-</v>
      </c>
      <c r="EN5" s="64" t="str">
        <f t="shared" ca="1" si="13"/>
        <v>-</v>
      </c>
      <c r="EO5" s="87" t="str">
        <f t="shared" si="14"/>
        <v>'Track1'!</v>
      </c>
      <c r="EP5" s="87" t="s">
        <v>447</v>
      </c>
      <c r="EQ5" s="87" t="s">
        <v>165</v>
      </c>
      <c r="ER5" s="87" t="str">
        <f t="shared" ca="1" si="0"/>
        <v>-</v>
      </c>
      <c r="ES5" s="64" t="str">
        <f t="shared" ca="1" si="15"/>
        <v>-</v>
      </c>
      <c r="EW5" s="65">
        <v>11.5</v>
      </c>
    </row>
    <row r="6" spans="1:153" x14ac:dyDescent="0.35">
      <c r="A6" s="353" t="s">
        <v>35</v>
      </c>
      <c r="B6" s="64" t="s">
        <v>8</v>
      </c>
      <c r="C6" s="64" t="s">
        <v>9</v>
      </c>
      <c r="D6" s="66">
        <v>6</v>
      </c>
      <c r="F6" s="272">
        <v>0.4861111111111111</v>
      </c>
      <c r="G6" s="272">
        <v>0.48958333333333331</v>
      </c>
      <c r="H6" s="66" t="s">
        <v>162</v>
      </c>
      <c r="I6" s="115">
        <f t="shared" si="16"/>
        <v>5</v>
      </c>
      <c r="J6" s="115">
        <f t="shared" si="16"/>
        <v>7</v>
      </c>
      <c r="K6" s="115">
        <f t="shared" si="16"/>
        <v>8</v>
      </c>
      <c r="L6" s="115">
        <f t="shared" si="16"/>
        <v>6</v>
      </c>
      <c r="M6" s="115">
        <f t="shared" si="16"/>
        <v>4</v>
      </c>
      <c r="N6" s="115">
        <f t="shared" si="16"/>
        <v>2</v>
      </c>
      <c r="O6" s="115">
        <f t="shared" si="16"/>
        <v>1</v>
      </c>
      <c r="P6" s="241">
        <f t="shared" si="16"/>
        <v>3</v>
      </c>
      <c r="Q6" s="115">
        <f t="shared" si="16"/>
        <v>8</v>
      </c>
      <c r="R6" s="115">
        <f t="shared" si="16"/>
        <v>6</v>
      </c>
      <c r="S6" s="115">
        <f t="shared" si="16"/>
        <v>3</v>
      </c>
      <c r="T6" s="115">
        <f t="shared" si="16"/>
        <v>1</v>
      </c>
      <c r="U6" s="115">
        <f t="shared" si="16"/>
        <v>2</v>
      </c>
      <c r="V6" s="115">
        <f t="shared" si="16"/>
        <v>4</v>
      </c>
      <c r="W6" s="115">
        <f t="shared" si="16"/>
        <v>5</v>
      </c>
      <c r="X6" s="241">
        <f t="shared" si="16"/>
        <v>7</v>
      </c>
      <c r="Y6" s="115">
        <f t="shared" si="1"/>
        <v>4</v>
      </c>
      <c r="Z6" s="115">
        <f t="shared" si="1"/>
        <v>2</v>
      </c>
      <c r="AA6" s="115">
        <f t="shared" si="1"/>
        <v>1</v>
      </c>
      <c r="AB6" s="115">
        <f t="shared" si="1"/>
        <v>5</v>
      </c>
      <c r="AC6" s="115">
        <f t="shared" si="1"/>
        <v>3</v>
      </c>
      <c r="AD6" s="115">
        <f t="shared" si="1"/>
        <v>7</v>
      </c>
      <c r="AE6" s="115">
        <f t="shared" si="1"/>
        <v>8</v>
      </c>
      <c r="AF6" s="241">
        <f t="shared" si="1"/>
        <v>6</v>
      </c>
      <c r="AG6" s="115">
        <f t="shared" si="2"/>
        <v>1</v>
      </c>
      <c r="AH6" s="115">
        <f t="shared" si="2"/>
        <v>3</v>
      </c>
      <c r="AI6" s="115">
        <f t="shared" si="2"/>
        <v>5</v>
      </c>
      <c r="AJ6" s="115">
        <f t="shared" si="2"/>
        <v>8</v>
      </c>
      <c r="AK6" s="115">
        <f t="shared" si="2"/>
        <v>7</v>
      </c>
      <c r="AL6" s="115">
        <f t="shared" si="2"/>
        <v>6</v>
      </c>
      <c r="AM6" s="115">
        <f t="shared" si="2"/>
        <v>4</v>
      </c>
      <c r="AN6" s="241">
        <f t="shared" si="2"/>
        <v>2</v>
      </c>
      <c r="AP6" s="115">
        <f t="shared" si="3"/>
        <v>5</v>
      </c>
      <c r="AQ6" s="115">
        <f t="shared" si="3"/>
        <v>7</v>
      </c>
      <c r="AR6" s="115">
        <f t="shared" si="3"/>
        <v>6</v>
      </c>
      <c r="AS6" s="115">
        <f t="shared" si="3"/>
        <v>4</v>
      </c>
      <c r="AT6" s="115">
        <f t="shared" si="3"/>
        <v>2</v>
      </c>
      <c r="AU6" s="115">
        <f t="shared" si="3"/>
        <v>1</v>
      </c>
      <c r="AV6" s="241">
        <f t="shared" si="3"/>
        <v>3</v>
      </c>
      <c r="AW6" s="115">
        <f t="shared" si="3"/>
        <v>6</v>
      </c>
      <c r="AX6" s="115">
        <f t="shared" si="3"/>
        <v>3</v>
      </c>
      <c r="AY6" s="115">
        <f t="shared" si="3"/>
        <v>1</v>
      </c>
      <c r="AZ6" s="115">
        <f t="shared" si="3"/>
        <v>2</v>
      </c>
      <c r="BA6" s="115">
        <f t="shared" si="3"/>
        <v>4</v>
      </c>
      <c r="BB6" s="115">
        <f t="shared" si="3"/>
        <v>5</v>
      </c>
      <c r="BC6" s="241">
        <f t="shared" si="3"/>
        <v>7</v>
      </c>
      <c r="BD6" s="115">
        <f t="shared" si="4"/>
        <v>4</v>
      </c>
      <c r="BE6" s="115">
        <f t="shared" si="4"/>
        <v>2</v>
      </c>
      <c r="BF6" s="115">
        <f t="shared" si="4"/>
        <v>1</v>
      </c>
      <c r="BG6" s="115">
        <f t="shared" si="4"/>
        <v>5</v>
      </c>
      <c r="BH6" s="115">
        <f t="shared" si="4"/>
        <v>3</v>
      </c>
      <c r="BI6" s="115">
        <f t="shared" si="4"/>
        <v>7</v>
      </c>
      <c r="BJ6" s="241">
        <f t="shared" si="4"/>
        <v>6</v>
      </c>
      <c r="BK6" s="115">
        <f t="shared" si="4"/>
        <v>1</v>
      </c>
      <c r="BL6" s="115">
        <f t="shared" si="4"/>
        <v>3</v>
      </c>
      <c r="BM6" s="115">
        <f t="shared" si="4"/>
        <v>5</v>
      </c>
      <c r="BN6" s="115">
        <f t="shared" si="4"/>
        <v>7</v>
      </c>
      <c r="BO6" s="115">
        <f t="shared" si="4"/>
        <v>6</v>
      </c>
      <c r="BP6" s="115">
        <f t="shared" si="4"/>
        <v>4</v>
      </c>
      <c r="BQ6" s="241">
        <f t="shared" si="4"/>
        <v>2</v>
      </c>
      <c r="BS6" s="115">
        <f t="shared" si="5"/>
        <v>5</v>
      </c>
      <c r="BT6" s="115">
        <f t="shared" si="5"/>
        <v>6</v>
      </c>
      <c r="BU6" s="115">
        <f t="shared" si="5"/>
        <v>4</v>
      </c>
      <c r="BV6" s="115">
        <f t="shared" si="5"/>
        <v>2</v>
      </c>
      <c r="BW6" s="115">
        <f t="shared" si="5"/>
        <v>1</v>
      </c>
      <c r="BX6" s="241">
        <f t="shared" si="5"/>
        <v>3</v>
      </c>
      <c r="BY6" s="115">
        <f t="shared" si="5"/>
        <v>6</v>
      </c>
      <c r="BZ6" s="115">
        <f t="shared" si="5"/>
        <v>3</v>
      </c>
      <c r="CA6" s="115">
        <f t="shared" si="5"/>
        <v>1</v>
      </c>
      <c r="CB6" s="115">
        <f t="shared" si="5"/>
        <v>2</v>
      </c>
      <c r="CC6" s="115">
        <f t="shared" si="5"/>
        <v>4</v>
      </c>
      <c r="CD6" s="241">
        <f t="shared" si="5"/>
        <v>5</v>
      </c>
      <c r="CE6" s="115">
        <f t="shared" si="6"/>
        <v>4</v>
      </c>
      <c r="CF6" s="115">
        <f t="shared" si="6"/>
        <v>2</v>
      </c>
      <c r="CG6" s="115">
        <f t="shared" si="6"/>
        <v>1</v>
      </c>
      <c r="CH6" s="115">
        <f t="shared" si="6"/>
        <v>5</v>
      </c>
      <c r="CI6" s="115">
        <f t="shared" si="6"/>
        <v>3</v>
      </c>
      <c r="CJ6" s="241">
        <f t="shared" si="6"/>
        <v>6</v>
      </c>
      <c r="CK6" s="115">
        <f t="shared" si="6"/>
        <v>1</v>
      </c>
      <c r="CL6" s="115">
        <f t="shared" si="6"/>
        <v>3</v>
      </c>
      <c r="CM6" s="115">
        <f t="shared" si="6"/>
        <v>5</v>
      </c>
      <c r="CN6" s="115">
        <f t="shared" si="6"/>
        <v>6</v>
      </c>
      <c r="CO6" s="115">
        <f t="shared" si="6"/>
        <v>4</v>
      </c>
      <c r="CP6" s="241">
        <f t="shared" si="6"/>
        <v>2</v>
      </c>
      <c r="CR6" s="115">
        <f t="shared" si="7"/>
        <v>5</v>
      </c>
      <c r="CS6" s="115">
        <f t="shared" si="7"/>
        <v>4</v>
      </c>
      <c r="CT6" s="115">
        <f t="shared" si="7"/>
        <v>2</v>
      </c>
      <c r="CU6" s="115">
        <f t="shared" si="7"/>
        <v>1</v>
      </c>
      <c r="CV6" s="241">
        <f t="shared" si="7"/>
        <v>3</v>
      </c>
      <c r="CW6" s="115">
        <f t="shared" si="7"/>
        <v>3</v>
      </c>
      <c r="CX6" s="115">
        <f t="shared" si="7"/>
        <v>1</v>
      </c>
      <c r="CY6" s="115">
        <f t="shared" si="7"/>
        <v>2</v>
      </c>
      <c r="CZ6" s="115">
        <f t="shared" si="7"/>
        <v>4</v>
      </c>
      <c r="DA6" s="241">
        <f t="shared" si="7"/>
        <v>5</v>
      </c>
      <c r="DB6" s="115">
        <f t="shared" si="7"/>
        <v>4</v>
      </c>
      <c r="DC6" s="115">
        <f t="shared" si="7"/>
        <v>2</v>
      </c>
      <c r="DD6" s="115">
        <f t="shared" si="7"/>
        <v>1</v>
      </c>
      <c r="DE6" s="115">
        <f t="shared" si="7"/>
        <v>5</v>
      </c>
      <c r="DF6" s="241">
        <f t="shared" si="7"/>
        <v>3</v>
      </c>
      <c r="DG6" s="115">
        <f t="shared" si="8"/>
        <v>1</v>
      </c>
      <c r="DH6" s="115">
        <f t="shared" si="8"/>
        <v>3</v>
      </c>
      <c r="DI6" s="115">
        <f t="shared" si="8"/>
        <v>5</v>
      </c>
      <c r="DJ6" s="115">
        <f t="shared" si="8"/>
        <v>4</v>
      </c>
      <c r="DK6" s="241">
        <f t="shared" si="8"/>
        <v>2</v>
      </c>
      <c r="DM6" s="324">
        <f t="shared" si="9"/>
        <v>4</v>
      </c>
      <c r="DN6" s="321">
        <f t="shared" si="9"/>
        <v>2</v>
      </c>
      <c r="DO6" s="321">
        <f t="shared" si="9"/>
        <v>1</v>
      </c>
      <c r="DP6" s="241">
        <f t="shared" si="9"/>
        <v>3</v>
      </c>
      <c r="DQ6" s="324">
        <f t="shared" si="9"/>
        <v>3</v>
      </c>
      <c r="DR6" s="321">
        <f t="shared" si="9"/>
        <v>1</v>
      </c>
      <c r="DS6" s="321">
        <f t="shared" si="9"/>
        <v>2</v>
      </c>
      <c r="DT6" s="241">
        <f t="shared" si="9"/>
        <v>4</v>
      </c>
      <c r="DU6" s="324">
        <f t="shared" si="9"/>
        <v>4</v>
      </c>
      <c r="DV6" s="321">
        <f t="shared" si="9"/>
        <v>2</v>
      </c>
      <c r="DW6" s="321">
        <f t="shared" si="9"/>
        <v>1</v>
      </c>
      <c r="DX6" s="241">
        <f t="shared" si="9"/>
        <v>3</v>
      </c>
      <c r="DY6" s="324">
        <f t="shared" si="10"/>
        <v>1</v>
      </c>
      <c r="DZ6" s="321">
        <f t="shared" si="10"/>
        <v>3</v>
      </c>
      <c r="EA6" s="321">
        <f t="shared" si="10"/>
        <v>4</v>
      </c>
      <c r="EB6" s="241">
        <f t="shared" si="10"/>
        <v>2</v>
      </c>
      <c r="EC6" s="306"/>
      <c r="ED6" s="66">
        <f>$EE$3*10+EF6</f>
        <v>84</v>
      </c>
      <c r="EF6" s="66">
        <v>4</v>
      </c>
      <c r="EG6" s="66" t="s">
        <v>103</v>
      </c>
      <c r="EH6" s="66">
        <f>EH5+$EE$3</f>
        <v>33</v>
      </c>
      <c r="EJ6" s="87" t="str">
        <f t="shared" si="11"/>
        <v>'Track1'!</v>
      </c>
      <c r="EK6" s="87" t="s">
        <v>447</v>
      </c>
      <c r="EL6" s="87" t="s">
        <v>280</v>
      </c>
      <c r="EM6" s="64" t="str">
        <f t="shared" ca="1" si="12"/>
        <v>-</v>
      </c>
      <c r="EN6" s="64" t="str">
        <f t="shared" ca="1" si="13"/>
        <v>-</v>
      </c>
      <c r="EO6" s="87" t="str">
        <f t="shared" si="14"/>
        <v>'Track1'!</v>
      </c>
      <c r="EP6" s="87" t="s">
        <v>447</v>
      </c>
      <c r="EQ6" s="87" t="s">
        <v>165</v>
      </c>
      <c r="ER6" s="87" t="str">
        <f t="shared" ca="1" si="0"/>
        <v>-</v>
      </c>
      <c r="ES6" s="64" t="str">
        <f t="shared" ca="1" si="15"/>
        <v>-</v>
      </c>
      <c r="EW6" s="65">
        <v>12</v>
      </c>
    </row>
    <row r="7" spans="1:153" x14ac:dyDescent="0.35">
      <c r="A7" s="353" t="s">
        <v>36</v>
      </c>
      <c r="B7" s="64" t="s">
        <v>10</v>
      </c>
      <c r="C7" s="64" t="s">
        <v>4</v>
      </c>
      <c r="D7" s="66">
        <v>7</v>
      </c>
      <c r="E7" s="66">
        <v>31</v>
      </c>
      <c r="F7" s="272">
        <v>0.49652777777777773</v>
      </c>
      <c r="G7" s="272">
        <v>0.5</v>
      </c>
      <c r="H7" s="66" t="s">
        <v>162</v>
      </c>
      <c r="I7" s="113">
        <v>3</v>
      </c>
      <c r="J7" s="113">
        <v>8</v>
      </c>
      <c r="K7" s="113">
        <v>2</v>
      </c>
      <c r="L7" s="113">
        <v>6</v>
      </c>
      <c r="M7" s="113">
        <v>1</v>
      </c>
      <c r="N7" s="113">
        <v>5</v>
      </c>
      <c r="O7" s="113">
        <v>4</v>
      </c>
      <c r="P7" s="240">
        <v>7</v>
      </c>
      <c r="Q7" s="113">
        <v>2</v>
      </c>
      <c r="R7" s="113">
        <v>6</v>
      </c>
      <c r="S7" s="113">
        <v>7</v>
      </c>
      <c r="T7" s="113">
        <v>5</v>
      </c>
      <c r="U7" s="113">
        <v>1</v>
      </c>
      <c r="V7" s="113">
        <v>4</v>
      </c>
      <c r="W7" s="113">
        <v>3</v>
      </c>
      <c r="X7" s="240">
        <v>8</v>
      </c>
      <c r="Y7" s="113">
        <v>1</v>
      </c>
      <c r="Z7" s="113">
        <v>5</v>
      </c>
      <c r="AA7" s="113">
        <v>3</v>
      </c>
      <c r="AB7" s="113">
        <v>7</v>
      </c>
      <c r="AC7" s="113">
        <v>4</v>
      </c>
      <c r="AD7" s="113">
        <v>8</v>
      </c>
      <c r="AE7" s="113">
        <v>2</v>
      </c>
      <c r="AF7" s="240">
        <v>6</v>
      </c>
      <c r="AG7" s="113">
        <v>4</v>
      </c>
      <c r="AH7" s="113">
        <v>7</v>
      </c>
      <c r="AI7" s="113">
        <v>2</v>
      </c>
      <c r="AJ7" s="113">
        <v>8</v>
      </c>
      <c r="AK7" s="113">
        <v>3</v>
      </c>
      <c r="AL7" s="113">
        <v>6</v>
      </c>
      <c r="AM7" s="113">
        <v>1</v>
      </c>
      <c r="AN7" s="240">
        <v>5</v>
      </c>
      <c r="AP7" s="113">
        <v>3</v>
      </c>
      <c r="AQ7" s="113">
        <v>2</v>
      </c>
      <c r="AR7" s="113">
        <v>6</v>
      </c>
      <c r="AS7" s="113">
        <v>1</v>
      </c>
      <c r="AT7" s="113">
        <v>5</v>
      </c>
      <c r="AU7" s="113">
        <v>4</v>
      </c>
      <c r="AV7" s="240">
        <v>7</v>
      </c>
      <c r="AW7" s="113">
        <v>2</v>
      </c>
      <c r="AX7" s="113">
        <v>6</v>
      </c>
      <c r="AY7" s="113">
        <v>7</v>
      </c>
      <c r="AZ7" s="113">
        <v>5</v>
      </c>
      <c r="BA7" s="113">
        <v>1</v>
      </c>
      <c r="BB7" s="113">
        <v>4</v>
      </c>
      <c r="BC7" s="240">
        <v>3</v>
      </c>
      <c r="BD7" s="113">
        <v>1</v>
      </c>
      <c r="BE7" s="113">
        <v>5</v>
      </c>
      <c r="BF7" s="113">
        <v>3</v>
      </c>
      <c r="BG7" s="113">
        <v>7</v>
      </c>
      <c r="BH7" s="113">
        <v>4</v>
      </c>
      <c r="BI7" s="113">
        <v>2</v>
      </c>
      <c r="BJ7" s="240">
        <v>6</v>
      </c>
      <c r="BK7" s="113">
        <v>4</v>
      </c>
      <c r="BL7" s="113">
        <v>7</v>
      </c>
      <c r="BM7" s="113">
        <v>2</v>
      </c>
      <c r="BN7" s="113">
        <v>3</v>
      </c>
      <c r="BO7" s="113">
        <v>6</v>
      </c>
      <c r="BP7" s="113">
        <v>1</v>
      </c>
      <c r="BQ7" s="240">
        <v>5</v>
      </c>
      <c r="BS7" s="113">
        <v>3</v>
      </c>
      <c r="BT7" s="113">
        <v>2</v>
      </c>
      <c r="BU7" s="113">
        <v>6</v>
      </c>
      <c r="BV7" s="113">
        <v>1</v>
      </c>
      <c r="BW7" s="113">
        <v>5</v>
      </c>
      <c r="BX7" s="240">
        <v>4</v>
      </c>
      <c r="BY7" s="113">
        <v>2</v>
      </c>
      <c r="BZ7" s="113">
        <v>6</v>
      </c>
      <c r="CA7" s="113">
        <v>5</v>
      </c>
      <c r="CB7" s="113">
        <v>1</v>
      </c>
      <c r="CC7" s="113">
        <v>4</v>
      </c>
      <c r="CD7" s="240">
        <v>3</v>
      </c>
      <c r="CE7" s="113">
        <v>1</v>
      </c>
      <c r="CF7" s="113">
        <v>5</v>
      </c>
      <c r="CG7" s="113">
        <v>3</v>
      </c>
      <c r="CH7" s="113">
        <v>4</v>
      </c>
      <c r="CI7" s="113">
        <v>2</v>
      </c>
      <c r="CJ7" s="240">
        <v>6</v>
      </c>
      <c r="CK7" s="113">
        <v>4</v>
      </c>
      <c r="CL7" s="113">
        <v>2</v>
      </c>
      <c r="CM7" s="113">
        <v>3</v>
      </c>
      <c r="CN7" s="113">
        <v>6</v>
      </c>
      <c r="CO7" s="113">
        <v>1</v>
      </c>
      <c r="CP7" s="240">
        <v>5</v>
      </c>
      <c r="CR7" s="113">
        <v>3</v>
      </c>
      <c r="CS7" s="113">
        <v>2</v>
      </c>
      <c r="CT7" s="113">
        <v>1</v>
      </c>
      <c r="CU7" s="113">
        <v>5</v>
      </c>
      <c r="CV7" s="240">
        <v>4</v>
      </c>
      <c r="CW7" s="113">
        <v>2</v>
      </c>
      <c r="CX7" s="113">
        <v>5</v>
      </c>
      <c r="CY7" s="113">
        <v>1</v>
      </c>
      <c r="CZ7" s="113">
        <v>4</v>
      </c>
      <c r="DA7" s="240">
        <v>3</v>
      </c>
      <c r="DB7" s="113">
        <v>1</v>
      </c>
      <c r="DC7" s="113">
        <v>5</v>
      </c>
      <c r="DD7" s="113">
        <v>3</v>
      </c>
      <c r="DE7" s="113">
        <v>4</v>
      </c>
      <c r="DF7" s="240">
        <v>2</v>
      </c>
      <c r="DG7" s="113">
        <v>4</v>
      </c>
      <c r="DH7" s="113">
        <v>2</v>
      </c>
      <c r="DI7" s="113">
        <v>3</v>
      </c>
      <c r="DJ7" s="113">
        <v>1</v>
      </c>
      <c r="DK7" s="240">
        <v>5</v>
      </c>
      <c r="DM7" s="323">
        <v>3</v>
      </c>
      <c r="DN7" s="320">
        <v>2</v>
      </c>
      <c r="DO7" s="320">
        <v>1</v>
      </c>
      <c r="DP7" s="240">
        <v>4</v>
      </c>
      <c r="DQ7" s="323">
        <v>2</v>
      </c>
      <c r="DR7" s="320">
        <v>1</v>
      </c>
      <c r="DS7" s="320">
        <v>4</v>
      </c>
      <c r="DT7" s="240">
        <v>3</v>
      </c>
      <c r="DU7" s="323">
        <v>1</v>
      </c>
      <c r="DV7" s="320">
        <v>3</v>
      </c>
      <c r="DW7" s="320">
        <v>4</v>
      </c>
      <c r="DX7" s="240">
        <v>2</v>
      </c>
      <c r="DY7" s="323">
        <v>4</v>
      </c>
      <c r="DZ7" s="320">
        <v>2</v>
      </c>
      <c r="EA7" s="320">
        <v>3</v>
      </c>
      <c r="EB7" s="240">
        <v>1</v>
      </c>
      <c r="EC7" s="306"/>
      <c r="ED7" s="66">
        <f>$EE$7*10+EF7</f>
        <v>71</v>
      </c>
      <c r="EE7" s="66">
        <v>7</v>
      </c>
      <c r="EF7" s="66">
        <v>1</v>
      </c>
      <c r="EG7" s="66" t="s">
        <v>104</v>
      </c>
      <c r="EH7" s="66">
        <v>42</v>
      </c>
      <c r="EJ7" s="87" t="str">
        <f t="shared" si="11"/>
        <v>'Track1'!</v>
      </c>
      <c r="EK7" s="87" t="s">
        <v>447</v>
      </c>
      <c r="EL7" s="87" t="s">
        <v>280</v>
      </c>
      <c r="EM7" s="64" t="str">
        <f t="shared" ca="1" si="12"/>
        <v>-</v>
      </c>
      <c r="EN7" s="64" t="str">
        <f t="shared" ca="1" si="13"/>
        <v>-</v>
      </c>
      <c r="EO7" s="87" t="str">
        <f t="shared" si="14"/>
        <v>'Track1'!</v>
      </c>
      <c r="EP7" s="87" t="s">
        <v>447</v>
      </c>
      <c r="EQ7" s="87" t="s">
        <v>165</v>
      </c>
      <c r="ER7" s="87" t="str">
        <f t="shared" ca="1" si="0"/>
        <v>-</v>
      </c>
      <c r="ES7" s="64" t="str">
        <f t="shared" ca="1" si="15"/>
        <v>-</v>
      </c>
      <c r="EW7" s="65">
        <v>12.15</v>
      </c>
    </row>
    <row r="8" spans="1:153" x14ac:dyDescent="0.35">
      <c r="A8" s="353" t="s">
        <v>37</v>
      </c>
      <c r="B8" s="64" t="s">
        <v>10</v>
      </c>
      <c r="C8" s="64" t="s">
        <v>6</v>
      </c>
      <c r="D8" s="66">
        <v>8</v>
      </c>
      <c r="E8" s="66">
        <v>81</v>
      </c>
      <c r="F8" s="272">
        <v>0.50347222222222221</v>
      </c>
      <c r="G8" s="272">
        <v>0.50694444444444442</v>
      </c>
      <c r="H8" s="66" t="s">
        <v>162</v>
      </c>
      <c r="I8" s="115">
        <f>I7</f>
        <v>3</v>
      </c>
      <c r="J8" s="115">
        <f t="shared" ref="J8:P8" si="17">J7</f>
        <v>8</v>
      </c>
      <c r="K8" s="115">
        <f t="shared" si="17"/>
        <v>2</v>
      </c>
      <c r="L8" s="115">
        <f t="shared" si="17"/>
        <v>6</v>
      </c>
      <c r="M8" s="115">
        <f t="shared" si="17"/>
        <v>1</v>
      </c>
      <c r="N8" s="115">
        <f t="shared" si="17"/>
        <v>5</v>
      </c>
      <c r="O8" s="115">
        <f t="shared" si="17"/>
        <v>4</v>
      </c>
      <c r="P8" s="241">
        <f t="shared" si="17"/>
        <v>7</v>
      </c>
      <c r="Q8" s="115">
        <f>Q7</f>
        <v>2</v>
      </c>
      <c r="R8" s="115">
        <f t="shared" ref="R8" si="18">R7</f>
        <v>6</v>
      </c>
      <c r="S8" s="115">
        <f t="shared" ref="S8" si="19">S7</f>
        <v>7</v>
      </c>
      <c r="T8" s="115">
        <f t="shared" ref="T8" si="20">T7</f>
        <v>5</v>
      </c>
      <c r="U8" s="115">
        <f t="shared" ref="U8" si="21">U7</f>
        <v>1</v>
      </c>
      <c r="V8" s="115">
        <f t="shared" ref="V8" si="22">V7</f>
        <v>4</v>
      </c>
      <c r="W8" s="115">
        <f t="shared" ref="W8" si="23">W7</f>
        <v>3</v>
      </c>
      <c r="X8" s="241">
        <f t="shared" ref="X8" si="24">X7</f>
        <v>8</v>
      </c>
      <c r="Y8" s="115">
        <f>Y7</f>
        <v>1</v>
      </c>
      <c r="Z8" s="115">
        <f t="shared" ref="Z8" si="25">Z7</f>
        <v>5</v>
      </c>
      <c r="AA8" s="115">
        <f t="shared" ref="AA8" si="26">AA7</f>
        <v>3</v>
      </c>
      <c r="AB8" s="115">
        <f t="shared" ref="AB8" si="27">AB7</f>
        <v>7</v>
      </c>
      <c r="AC8" s="115">
        <f t="shared" ref="AC8" si="28">AC7</f>
        <v>4</v>
      </c>
      <c r="AD8" s="115">
        <f t="shared" ref="AD8" si="29">AD7</f>
        <v>8</v>
      </c>
      <c r="AE8" s="115">
        <f t="shared" ref="AE8" si="30">AE7</f>
        <v>2</v>
      </c>
      <c r="AF8" s="241">
        <f t="shared" ref="AF8" si="31">AF7</f>
        <v>6</v>
      </c>
      <c r="AG8" s="115">
        <f>AG7</f>
        <v>4</v>
      </c>
      <c r="AH8" s="115">
        <f t="shared" ref="AH8" si="32">AH7</f>
        <v>7</v>
      </c>
      <c r="AI8" s="115">
        <f t="shared" ref="AI8" si="33">AI7</f>
        <v>2</v>
      </c>
      <c r="AJ8" s="115">
        <f t="shared" ref="AJ8" si="34">AJ7</f>
        <v>8</v>
      </c>
      <c r="AK8" s="115">
        <f t="shared" ref="AK8" si="35">AK7</f>
        <v>3</v>
      </c>
      <c r="AL8" s="115">
        <f t="shared" ref="AL8" si="36">AL7</f>
        <v>6</v>
      </c>
      <c r="AM8" s="115">
        <f t="shared" ref="AM8" si="37">AM7</f>
        <v>1</v>
      </c>
      <c r="AN8" s="241">
        <f t="shared" ref="AN8" si="38">AN7</f>
        <v>5</v>
      </c>
      <c r="AP8" s="115">
        <f t="shared" ref="AP8" si="39">AP7</f>
        <v>3</v>
      </c>
      <c r="AQ8" s="115">
        <f t="shared" ref="AQ8" si="40">AQ7</f>
        <v>2</v>
      </c>
      <c r="AR8" s="115">
        <f t="shared" ref="AR8" si="41">AR7</f>
        <v>6</v>
      </c>
      <c r="AS8" s="115">
        <f t="shared" ref="AS8" si="42">AS7</f>
        <v>1</v>
      </c>
      <c r="AT8" s="115">
        <f t="shared" ref="AT8" si="43">AT7</f>
        <v>5</v>
      </c>
      <c r="AU8" s="115">
        <f t="shared" ref="AU8" si="44">AU7</f>
        <v>4</v>
      </c>
      <c r="AV8" s="241">
        <f t="shared" ref="AV8" si="45">AV7</f>
        <v>7</v>
      </c>
      <c r="AW8" s="115">
        <f t="shared" ref="AW8" si="46">AW7</f>
        <v>2</v>
      </c>
      <c r="AX8" s="115">
        <f t="shared" ref="AX8" si="47">AX7</f>
        <v>6</v>
      </c>
      <c r="AY8" s="115">
        <f t="shared" ref="AY8" si="48">AY7</f>
        <v>7</v>
      </c>
      <c r="AZ8" s="115">
        <f t="shared" ref="AZ8" si="49">AZ7</f>
        <v>5</v>
      </c>
      <c r="BA8" s="115">
        <f t="shared" ref="BA8" si="50">BA7</f>
        <v>1</v>
      </c>
      <c r="BB8" s="115">
        <f t="shared" ref="BB8" si="51">BB7</f>
        <v>4</v>
      </c>
      <c r="BC8" s="241">
        <f t="shared" ref="BC8" si="52">BC7</f>
        <v>3</v>
      </c>
      <c r="BD8" s="115">
        <f t="shared" ref="BD8" si="53">BD7</f>
        <v>1</v>
      </c>
      <c r="BE8" s="115">
        <f t="shared" ref="BE8" si="54">BE7</f>
        <v>5</v>
      </c>
      <c r="BF8" s="115">
        <f t="shared" ref="BF8" si="55">BF7</f>
        <v>3</v>
      </c>
      <c r="BG8" s="115">
        <f t="shared" ref="BG8" si="56">BG7</f>
        <v>7</v>
      </c>
      <c r="BH8" s="115">
        <f t="shared" ref="BH8" si="57">BH7</f>
        <v>4</v>
      </c>
      <c r="BI8" s="115">
        <f t="shared" ref="BI8" si="58">BI7</f>
        <v>2</v>
      </c>
      <c r="BJ8" s="241">
        <f t="shared" ref="BJ8" si="59">BJ7</f>
        <v>6</v>
      </c>
      <c r="BK8" s="115">
        <f t="shared" ref="BK8" si="60">BK7</f>
        <v>4</v>
      </c>
      <c r="BL8" s="115">
        <f t="shared" ref="BL8" si="61">BL7</f>
        <v>7</v>
      </c>
      <c r="BM8" s="115">
        <f t="shared" ref="BM8" si="62">BM7</f>
        <v>2</v>
      </c>
      <c r="BN8" s="115">
        <f t="shared" ref="BN8" si="63">BN7</f>
        <v>3</v>
      </c>
      <c r="BO8" s="115">
        <f t="shared" ref="BO8" si="64">BO7</f>
        <v>6</v>
      </c>
      <c r="BP8" s="115">
        <f t="shared" ref="BP8" si="65">BP7</f>
        <v>1</v>
      </c>
      <c r="BQ8" s="241">
        <f t="shared" ref="BQ8" si="66">BQ7</f>
        <v>5</v>
      </c>
      <c r="BS8" s="115">
        <f t="shared" ref="BS8" si="67">BS7</f>
        <v>3</v>
      </c>
      <c r="BT8" s="115">
        <f t="shared" ref="BT8" si="68">BT7</f>
        <v>2</v>
      </c>
      <c r="BU8" s="115">
        <f t="shared" ref="BU8" si="69">BU7</f>
        <v>6</v>
      </c>
      <c r="BV8" s="115">
        <f t="shared" ref="BV8" si="70">BV7</f>
        <v>1</v>
      </c>
      <c r="BW8" s="115">
        <f t="shared" ref="BW8" si="71">BW7</f>
        <v>5</v>
      </c>
      <c r="BX8" s="241">
        <f t="shared" ref="BX8" si="72">BX7</f>
        <v>4</v>
      </c>
      <c r="BY8" s="115">
        <f t="shared" ref="BY8" si="73">BY7</f>
        <v>2</v>
      </c>
      <c r="BZ8" s="115">
        <f t="shared" ref="BZ8" si="74">BZ7</f>
        <v>6</v>
      </c>
      <c r="CA8" s="115">
        <f t="shared" ref="CA8" si="75">CA7</f>
        <v>5</v>
      </c>
      <c r="CB8" s="115">
        <f t="shared" ref="CB8" si="76">CB7</f>
        <v>1</v>
      </c>
      <c r="CC8" s="115">
        <f t="shared" ref="CC8" si="77">CC7</f>
        <v>4</v>
      </c>
      <c r="CD8" s="241">
        <f t="shared" ref="CD8" si="78">CD7</f>
        <v>3</v>
      </c>
      <c r="CE8" s="115">
        <f t="shared" ref="CE8" si="79">CE7</f>
        <v>1</v>
      </c>
      <c r="CF8" s="115">
        <f t="shared" ref="CF8" si="80">CF7</f>
        <v>5</v>
      </c>
      <c r="CG8" s="115">
        <f t="shared" ref="CG8" si="81">CG7</f>
        <v>3</v>
      </c>
      <c r="CH8" s="115">
        <f t="shared" ref="CH8" si="82">CH7</f>
        <v>4</v>
      </c>
      <c r="CI8" s="115">
        <f t="shared" ref="CI8" si="83">CI7</f>
        <v>2</v>
      </c>
      <c r="CJ8" s="241">
        <f t="shared" ref="CJ8" si="84">CJ7</f>
        <v>6</v>
      </c>
      <c r="CK8" s="115">
        <f t="shared" ref="CK8" si="85">CK7</f>
        <v>4</v>
      </c>
      <c r="CL8" s="115">
        <f t="shared" ref="CL8" si="86">CL7</f>
        <v>2</v>
      </c>
      <c r="CM8" s="115">
        <f t="shared" ref="CM8" si="87">CM7</f>
        <v>3</v>
      </c>
      <c r="CN8" s="115">
        <f t="shared" ref="CN8" si="88">CN7</f>
        <v>6</v>
      </c>
      <c r="CO8" s="115">
        <f t="shared" ref="CO8" si="89">CO7</f>
        <v>1</v>
      </c>
      <c r="CP8" s="241">
        <f t="shared" ref="CP8" si="90">CP7</f>
        <v>5</v>
      </c>
      <c r="CR8" s="115">
        <f t="shared" ref="CR8" si="91">CR7</f>
        <v>3</v>
      </c>
      <c r="CS8" s="115">
        <f t="shared" ref="CS8" si="92">CS7</f>
        <v>2</v>
      </c>
      <c r="CT8" s="115">
        <f t="shared" ref="CT8" si="93">CT7</f>
        <v>1</v>
      </c>
      <c r="CU8" s="115">
        <f t="shared" ref="CU8" si="94">CU7</f>
        <v>5</v>
      </c>
      <c r="CV8" s="241">
        <f t="shared" ref="CV8" si="95">CV7</f>
        <v>4</v>
      </c>
      <c r="CW8" s="115">
        <f t="shared" ref="CW8" si="96">CW7</f>
        <v>2</v>
      </c>
      <c r="CX8" s="115">
        <f t="shared" ref="CX8" si="97">CX7</f>
        <v>5</v>
      </c>
      <c r="CY8" s="115">
        <f t="shared" ref="CY8" si="98">CY7</f>
        <v>1</v>
      </c>
      <c r="CZ8" s="115">
        <f t="shared" ref="CZ8" si="99">CZ7</f>
        <v>4</v>
      </c>
      <c r="DA8" s="241">
        <f t="shared" ref="DA8" si="100">DA7</f>
        <v>3</v>
      </c>
      <c r="DB8" s="115">
        <f t="shared" ref="DB8" si="101">DB7</f>
        <v>1</v>
      </c>
      <c r="DC8" s="115">
        <f t="shared" ref="DC8" si="102">DC7</f>
        <v>5</v>
      </c>
      <c r="DD8" s="115">
        <f t="shared" ref="DD8" si="103">DD7</f>
        <v>3</v>
      </c>
      <c r="DE8" s="115">
        <f t="shared" ref="DE8" si="104">DE7</f>
        <v>4</v>
      </c>
      <c r="DF8" s="241">
        <f t="shared" ref="DF8" si="105">DF7</f>
        <v>2</v>
      </c>
      <c r="DG8" s="115">
        <f t="shared" ref="DG8" si="106">DG7</f>
        <v>4</v>
      </c>
      <c r="DH8" s="115">
        <f t="shared" ref="DH8" si="107">DH7</f>
        <v>2</v>
      </c>
      <c r="DI8" s="115">
        <f t="shared" ref="DI8" si="108">DI7</f>
        <v>3</v>
      </c>
      <c r="DJ8" s="115">
        <f t="shared" ref="DJ8" si="109">DJ7</f>
        <v>1</v>
      </c>
      <c r="DK8" s="241">
        <f t="shared" ref="DK8" si="110">DK7</f>
        <v>5</v>
      </c>
      <c r="DM8" s="324">
        <f t="shared" ref="DM8:EB8" si="111">DM7</f>
        <v>3</v>
      </c>
      <c r="DN8" s="321">
        <f t="shared" si="111"/>
        <v>2</v>
      </c>
      <c r="DO8" s="321">
        <f t="shared" si="111"/>
        <v>1</v>
      </c>
      <c r="DP8" s="241">
        <f t="shared" si="111"/>
        <v>4</v>
      </c>
      <c r="DQ8" s="324">
        <f t="shared" si="111"/>
        <v>2</v>
      </c>
      <c r="DR8" s="321">
        <f t="shared" si="111"/>
        <v>1</v>
      </c>
      <c r="DS8" s="321">
        <f t="shared" si="111"/>
        <v>4</v>
      </c>
      <c r="DT8" s="241">
        <f t="shared" si="111"/>
        <v>3</v>
      </c>
      <c r="DU8" s="324">
        <f t="shared" si="111"/>
        <v>1</v>
      </c>
      <c r="DV8" s="321">
        <f t="shared" si="111"/>
        <v>3</v>
      </c>
      <c r="DW8" s="321">
        <f t="shared" si="111"/>
        <v>4</v>
      </c>
      <c r="DX8" s="241">
        <f t="shared" si="111"/>
        <v>2</v>
      </c>
      <c r="DY8" s="324">
        <f t="shared" si="111"/>
        <v>4</v>
      </c>
      <c r="DZ8" s="321">
        <f t="shared" si="111"/>
        <v>2</v>
      </c>
      <c r="EA8" s="321">
        <f t="shared" si="111"/>
        <v>3</v>
      </c>
      <c r="EB8" s="241">
        <f t="shared" si="111"/>
        <v>1</v>
      </c>
      <c r="EC8" s="306"/>
      <c r="ED8" s="66">
        <f>$EE$7*10+EF8</f>
        <v>72</v>
      </c>
      <c r="EF8" s="66">
        <v>2</v>
      </c>
      <c r="EG8" s="66" t="s">
        <v>105</v>
      </c>
      <c r="EH8" s="66">
        <f>EH7+$EE$7</f>
        <v>49</v>
      </c>
      <c r="EJ8" s="87" t="str">
        <f t="shared" si="11"/>
        <v>'Track1'!</v>
      </c>
      <c r="EK8" s="87" t="s">
        <v>447</v>
      </c>
      <c r="EL8" s="87" t="s">
        <v>280</v>
      </c>
      <c r="EM8" s="64" t="str">
        <f t="shared" ca="1" si="12"/>
        <v>-</v>
      </c>
      <c r="EN8" s="64" t="str">
        <f t="shared" ca="1" si="13"/>
        <v>-</v>
      </c>
      <c r="EO8" s="87" t="str">
        <f t="shared" si="14"/>
        <v>'Track1'!</v>
      </c>
      <c r="EP8" s="87" t="s">
        <v>447</v>
      </c>
      <c r="EQ8" s="87" t="s">
        <v>165</v>
      </c>
      <c r="ER8" s="87" t="str">
        <f t="shared" ca="1" si="0"/>
        <v>-</v>
      </c>
      <c r="ES8" s="64" t="str">
        <f t="shared" ca="1" si="15"/>
        <v>-</v>
      </c>
      <c r="EW8" s="65">
        <v>12.25</v>
      </c>
    </row>
    <row r="9" spans="1:153" x14ac:dyDescent="0.35">
      <c r="A9" s="353" t="s">
        <v>38</v>
      </c>
      <c r="B9" s="64" t="s">
        <v>11</v>
      </c>
      <c r="C9" s="64" t="s">
        <v>7</v>
      </c>
      <c r="D9" s="66">
        <v>9</v>
      </c>
      <c r="E9" s="66">
        <v>6</v>
      </c>
      <c r="F9" s="272">
        <v>0.51041666666666663</v>
      </c>
      <c r="G9" s="272">
        <v>0.51388888888888895</v>
      </c>
      <c r="H9" s="66" t="s">
        <v>162</v>
      </c>
      <c r="I9" s="115">
        <f>I7</f>
        <v>3</v>
      </c>
      <c r="J9" s="115">
        <f t="shared" ref="J9:P9" si="112">J7</f>
        <v>8</v>
      </c>
      <c r="K9" s="115">
        <f t="shared" si="112"/>
        <v>2</v>
      </c>
      <c r="L9" s="115">
        <f t="shared" si="112"/>
        <v>6</v>
      </c>
      <c r="M9" s="115">
        <f t="shared" si="112"/>
        <v>1</v>
      </c>
      <c r="N9" s="115">
        <f t="shared" si="112"/>
        <v>5</v>
      </c>
      <c r="O9" s="115">
        <f t="shared" si="112"/>
        <v>4</v>
      </c>
      <c r="P9" s="241">
        <f t="shared" si="112"/>
        <v>7</v>
      </c>
      <c r="Q9" s="115">
        <f>Q7</f>
        <v>2</v>
      </c>
      <c r="R9" s="115">
        <f t="shared" ref="R9:X9" si="113">R7</f>
        <v>6</v>
      </c>
      <c r="S9" s="115">
        <f t="shared" si="113"/>
        <v>7</v>
      </c>
      <c r="T9" s="115">
        <f t="shared" si="113"/>
        <v>5</v>
      </c>
      <c r="U9" s="115">
        <f t="shared" si="113"/>
        <v>1</v>
      </c>
      <c r="V9" s="115">
        <f t="shared" si="113"/>
        <v>4</v>
      </c>
      <c r="W9" s="115">
        <f t="shared" si="113"/>
        <v>3</v>
      </c>
      <c r="X9" s="241">
        <f t="shared" si="113"/>
        <v>8</v>
      </c>
      <c r="Y9" s="115">
        <f>Y7</f>
        <v>1</v>
      </c>
      <c r="Z9" s="115">
        <f t="shared" ref="Z9:AF9" si="114">Z7</f>
        <v>5</v>
      </c>
      <c r="AA9" s="115">
        <f t="shared" si="114"/>
        <v>3</v>
      </c>
      <c r="AB9" s="115">
        <f t="shared" si="114"/>
        <v>7</v>
      </c>
      <c r="AC9" s="115">
        <f t="shared" si="114"/>
        <v>4</v>
      </c>
      <c r="AD9" s="115">
        <f t="shared" si="114"/>
        <v>8</v>
      </c>
      <c r="AE9" s="115">
        <f t="shared" si="114"/>
        <v>2</v>
      </c>
      <c r="AF9" s="241">
        <f t="shared" si="114"/>
        <v>6</v>
      </c>
      <c r="AG9" s="115">
        <f>AG7</f>
        <v>4</v>
      </c>
      <c r="AH9" s="115">
        <f t="shared" ref="AH9:AN9" si="115">AH7</f>
        <v>7</v>
      </c>
      <c r="AI9" s="115">
        <f t="shared" si="115"/>
        <v>2</v>
      </c>
      <c r="AJ9" s="115">
        <f t="shared" si="115"/>
        <v>8</v>
      </c>
      <c r="AK9" s="115">
        <f t="shared" si="115"/>
        <v>3</v>
      </c>
      <c r="AL9" s="115">
        <f t="shared" si="115"/>
        <v>6</v>
      </c>
      <c r="AM9" s="115">
        <f t="shared" si="115"/>
        <v>1</v>
      </c>
      <c r="AN9" s="241">
        <f t="shared" si="115"/>
        <v>5</v>
      </c>
      <c r="AP9" s="115">
        <f t="shared" ref="AP9:BQ9" si="116">AP7</f>
        <v>3</v>
      </c>
      <c r="AQ9" s="115">
        <f t="shared" si="116"/>
        <v>2</v>
      </c>
      <c r="AR9" s="115">
        <f t="shared" si="116"/>
        <v>6</v>
      </c>
      <c r="AS9" s="115">
        <f t="shared" si="116"/>
        <v>1</v>
      </c>
      <c r="AT9" s="115">
        <f t="shared" si="116"/>
        <v>5</v>
      </c>
      <c r="AU9" s="115">
        <f t="shared" si="116"/>
        <v>4</v>
      </c>
      <c r="AV9" s="241">
        <f t="shared" si="116"/>
        <v>7</v>
      </c>
      <c r="AW9" s="115">
        <f t="shared" si="116"/>
        <v>2</v>
      </c>
      <c r="AX9" s="115">
        <f t="shared" si="116"/>
        <v>6</v>
      </c>
      <c r="AY9" s="115">
        <f t="shared" si="116"/>
        <v>7</v>
      </c>
      <c r="AZ9" s="115">
        <f t="shared" si="116"/>
        <v>5</v>
      </c>
      <c r="BA9" s="115">
        <f t="shared" si="116"/>
        <v>1</v>
      </c>
      <c r="BB9" s="115">
        <f t="shared" si="116"/>
        <v>4</v>
      </c>
      <c r="BC9" s="241">
        <f t="shared" si="116"/>
        <v>3</v>
      </c>
      <c r="BD9" s="115">
        <f t="shared" si="116"/>
        <v>1</v>
      </c>
      <c r="BE9" s="115">
        <f t="shared" si="116"/>
        <v>5</v>
      </c>
      <c r="BF9" s="115">
        <f t="shared" si="116"/>
        <v>3</v>
      </c>
      <c r="BG9" s="115">
        <f t="shared" si="116"/>
        <v>7</v>
      </c>
      <c r="BH9" s="115">
        <f t="shared" si="116"/>
        <v>4</v>
      </c>
      <c r="BI9" s="115">
        <f t="shared" si="116"/>
        <v>2</v>
      </c>
      <c r="BJ9" s="241">
        <f t="shared" si="116"/>
        <v>6</v>
      </c>
      <c r="BK9" s="115">
        <f t="shared" si="116"/>
        <v>4</v>
      </c>
      <c r="BL9" s="115">
        <f t="shared" si="116"/>
        <v>7</v>
      </c>
      <c r="BM9" s="115">
        <f t="shared" si="116"/>
        <v>2</v>
      </c>
      <c r="BN9" s="115">
        <f t="shared" si="116"/>
        <v>3</v>
      </c>
      <c r="BO9" s="115">
        <f t="shared" si="116"/>
        <v>6</v>
      </c>
      <c r="BP9" s="115">
        <f t="shared" si="116"/>
        <v>1</v>
      </c>
      <c r="BQ9" s="241">
        <f t="shared" si="116"/>
        <v>5</v>
      </c>
      <c r="BS9" s="115">
        <f t="shared" ref="BS9:CP9" si="117">BS7</f>
        <v>3</v>
      </c>
      <c r="BT9" s="115">
        <f t="shared" si="117"/>
        <v>2</v>
      </c>
      <c r="BU9" s="115">
        <f t="shared" si="117"/>
        <v>6</v>
      </c>
      <c r="BV9" s="115">
        <f t="shared" si="117"/>
        <v>1</v>
      </c>
      <c r="BW9" s="115">
        <f t="shared" si="117"/>
        <v>5</v>
      </c>
      <c r="BX9" s="241">
        <f t="shared" si="117"/>
        <v>4</v>
      </c>
      <c r="BY9" s="115">
        <f t="shared" si="117"/>
        <v>2</v>
      </c>
      <c r="BZ9" s="115">
        <f t="shared" si="117"/>
        <v>6</v>
      </c>
      <c r="CA9" s="115">
        <f t="shared" si="117"/>
        <v>5</v>
      </c>
      <c r="CB9" s="115">
        <f t="shared" si="117"/>
        <v>1</v>
      </c>
      <c r="CC9" s="115">
        <f t="shared" si="117"/>
        <v>4</v>
      </c>
      <c r="CD9" s="241">
        <f t="shared" si="117"/>
        <v>3</v>
      </c>
      <c r="CE9" s="115">
        <f t="shared" si="117"/>
        <v>1</v>
      </c>
      <c r="CF9" s="115">
        <f t="shared" si="117"/>
        <v>5</v>
      </c>
      <c r="CG9" s="115">
        <f t="shared" si="117"/>
        <v>3</v>
      </c>
      <c r="CH9" s="115">
        <f t="shared" si="117"/>
        <v>4</v>
      </c>
      <c r="CI9" s="115">
        <f t="shared" si="117"/>
        <v>2</v>
      </c>
      <c r="CJ9" s="241">
        <f t="shared" si="117"/>
        <v>6</v>
      </c>
      <c r="CK9" s="115">
        <f t="shared" si="117"/>
        <v>4</v>
      </c>
      <c r="CL9" s="115">
        <f t="shared" si="117"/>
        <v>2</v>
      </c>
      <c r="CM9" s="115">
        <f t="shared" si="117"/>
        <v>3</v>
      </c>
      <c r="CN9" s="115">
        <f t="shared" si="117"/>
        <v>6</v>
      </c>
      <c r="CO9" s="115">
        <f t="shared" si="117"/>
        <v>1</v>
      </c>
      <c r="CP9" s="241">
        <f t="shared" si="117"/>
        <v>5</v>
      </c>
      <c r="CR9" s="115">
        <f t="shared" ref="CR9:DK9" si="118">CR7</f>
        <v>3</v>
      </c>
      <c r="CS9" s="115">
        <f t="shared" si="118"/>
        <v>2</v>
      </c>
      <c r="CT9" s="115">
        <f t="shared" si="118"/>
        <v>1</v>
      </c>
      <c r="CU9" s="115">
        <f t="shared" si="118"/>
        <v>5</v>
      </c>
      <c r="CV9" s="241">
        <f t="shared" si="118"/>
        <v>4</v>
      </c>
      <c r="CW9" s="115">
        <f t="shared" si="118"/>
        <v>2</v>
      </c>
      <c r="CX9" s="115">
        <f t="shared" si="118"/>
        <v>5</v>
      </c>
      <c r="CY9" s="115">
        <f t="shared" si="118"/>
        <v>1</v>
      </c>
      <c r="CZ9" s="115">
        <f t="shared" si="118"/>
        <v>4</v>
      </c>
      <c r="DA9" s="241">
        <f t="shared" si="118"/>
        <v>3</v>
      </c>
      <c r="DB9" s="115">
        <f t="shared" si="118"/>
        <v>1</v>
      </c>
      <c r="DC9" s="115">
        <f t="shared" si="118"/>
        <v>5</v>
      </c>
      <c r="DD9" s="115">
        <f t="shared" si="118"/>
        <v>3</v>
      </c>
      <c r="DE9" s="115">
        <f t="shared" si="118"/>
        <v>4</v>
      </c>
      <c r="DF9" s="241">
        <f t="shared" si="118"/>
        <v>2</v>
      </c>
      <c r="DG9" s="115">
        <f t="shared" si="118"/>
        <v>4</v>
      </c>
      <c r="DH9" s="115">
        <f t="shared" si="118"/>
        <v>2</v>
      </c>
      <c r="DI9" s="115">
        <f t="shared" si="118"/>
        <v>3</v>
      </c>
      <c r="DJ9" s="115">
        <f t="shared" si="118"/>
        <v>1</v>
      </c>
      <c r="DK9" s="241">
        <f t="shared" si="118"/>
        <v>5</v>
      </c>
      <c r="DM9" s="324">
        <f t="shared" ref="DM9:EB9" si="119">DM7</f>
        <v>3</v>
      </c>
      <c r="DN9" s="321">
        <f t="shared" si="119"/>
        <v>2</v>
      </c>
      <c r="DO9" s="321">
        <f t="shared" si="119"/>
        <v>1</v>
      </c>
      <c r="DP9" s="241">
        <f t="shared" si="119"/>
        <v>4</v>
      </c>
      <c r="DQ9" s="324">
        <f t="shared" si="119"/>
        <v>2</v>
      </c>
      <c r="DR9" s="321">
        <f t="shared" si="119"/>
        <v>1</v>
      </c>
      <c r="DS9" s="321">
        <f t="shared" si="119"/>
        <v>4</v>
      </c>
      <c r="DT9" s="241">
        <f t="shared" si="119"/>
        <v>3</v>
      </c>
      <c r="DU9" s="324">
        <f t="shared" si="119"/>
        <v>1</v>
      </c>
      <c r="DV9" s="321">
        <f t="shared" si="119"/>
        <v>3</v>
      </c>
      <c r="DW9" s="321">
        <f t="shared" si="119"/>
        <v>4</v>
      </c>
      <c r="DX9" s="241">
        <f t="shared" si="119"/>
        <v>2</v>
      </c>
      <c r="DY9" s="324">
        <f t="shared" si="119"/>
        <v>4</v>
      </c>
      <c r="DZ9" s="321">
        <f t="shared" si="119"/>
        <v>2</v>
      </c>
      <c r="EA9" s="321">
        <f t="shared" si="119"/>
        <v>3</v>
      </c>
      <c r="EB9" s="241">
        <f t="shared" si="119"/>
        <v>1</v>
      </c>
      <c r="EC9" s="306"/>
      <c r="ED9" s="66">
        <f>$EE$7*10+EF9</f>
        <v>73</v>
      </c>
      <c r="EF9" s="66">
        <v>3</v>
      </c>
      <c r="EG9" s="66" t="s">
        <v>106</v>
      </c>
      <c r="EH9" s="66">
        <f>EH8+$EE$7</f>
        <v>56</v>
      </c>
      <c r="EJ9" s="87" t="str">
        <f t="shared" si="11"/>
        <v>'Track1'!</v>
      </c>
      <c r="EK9" s="87" t="s">
        <v>447</v>
      </c>
      <c r="EL9" s="87" t="s">
        <v>280</v>
      </c>
      <c r="EM9" s="64" t="str">
        <f t="shared" ca="1" si="12"/>
        <v>-</v>
      </c>
      <c r="EN9" s="64" t="str">
        <f t="shared" ca="1" si="13"/>
        <v>-</v>
      </c>
      <c r="EO9" s="87" t="str">
        <f t="shared" si="14"/>
        <v>'Track1'!</v>
      </c>
      <c r="EP9" s="87" t="s">
        <v>447</v>
      </c>
      <c r="EQ9" s="87" t="s">
        <v>165</v>
      </c>
      <c r="ER9" s="87" t="str">
        <f t="shared" ca="1" si="0"/>
        <v>-</v>
      </c>
      <c r="ES9" s="64" t="str">
        <f t="shared" ca="1" si="15"/>
        <v>-</v>
      </c>
      <c r="EW9" s="65">
        <v>12.35</v>
      </c>
    </row>
    <row r="10" spans="1:153" x14ac:dyDescent="0.35">
      <c r="A10" s="353" t="s">
        <v>39</v>
      </c>
      <c r="B10" s="64" t="s">
        <v>11</v>
      </c>
      <c r="C10" s="64" t="s">
        <v>9</v>
      </c>
      <c r="D10" s="66">
        <v>10</v>
      </c>
      <c r="E10" s="66">
        <v>56</v>
      </c>
      <c r="F10" s="272">
        <v>0.51736111111111105</v>
      </c>
      <c r="G10" s="272">
        <v>0.52083333333333337</v>
      </c>
      <c r="H10" s="66" t="s">
        <v>162</v>
      </c>
      <c r="I10" s="115">
        <f>I7</f>
        <v>3</v>
      </c>
      <c r="J10" s="115">
        <f t="shared" ref="J10:P10" si="120">J7</f>
        <v>8</v>
      </c>
      <c r="K10" s="115">
        <f t="shared" si="120"/>
        <v>2</v>
      </c>
      <c r="L10" s="115">
        <f t="shared" si="120"/>
        <v>6</v>
      </c>
      <c r="M10" s="115">
        <f t="shared" si="120"/>
        <v>1</v>
      </c>
      <c r="N10" s="115">
        <f t="shared" si="120"/>
        <v>5</v>
      </c>
      <c r="O10" s="115">
        <f t="shared" si="120"/>
        <v>4</v>
      </c>
      <c r="P10" s="241">
        <f t="shared" si="120"/>
        <v>7</v>
      </c>
      <c r="Q10" s="115">
        <f>Q7</f>
        <v>2</v>
      </c>
      <c r="R10" s="115">
        <f t="shared" ref="R10:X10" si="121">R7</f>
        <v>6</v>
      </c>
      <c r="S10" s="115">
        <f t="shared" si="121"/>
        <v>7</v>
      </c>
      <c r="T10" s="115">
        <f t="shared" si="121"/>
        <v>5</v>
      </c>
      <c r="U10" s="115">
        <f t="shared" si="121"/>
        <v>1</v>
      </c>
      <c r="V10" s="115">
        <f t="shared" si="121"/>
        <v>4</v>
      </c>
      <c r="W10" s="115">
        <f t="shared" si="121"/>
        <v>3</v>
      </c>
      <c r="X10" s="241">
        <f t="shared" si="121"/>
        <v>8</v>
      </c>
      <c r="Y10" s="115">
        <f>Y7</f>
        <v>1</v>
      </c>
      <c r="Z10" s="115">
        <f t="shared" ref="Z10:AF10" si="122">Z7</f>
        <v>5</v>
      </c>
      <c r="AA10" s="115">
        <f t="shared" si="122"/>
        <v>3</v>
      </c>
      <c r="AB10" s="115">
        <f t="shared" si="122"/>
        <v>7</v>
      </c>
      <c r="AC10" s="115">
        <f t="shared" si="122"/>
        <v>4</v>
      </c>
      <c r="AD10" s="115">
        <f t="shared" si="122"/>
        <v>8</v>
      </c>
      <c r="AE10" s="115">
        <f t="shared" si="122"/>
        <v>2</v>
      </c>
      <c r="AF10" s="241">
        <f t="shared" si="122"/>
        <v>6</v>
      </c>
      <c r="AG10" s="115">
        <f>AG7</f>
        <v>4</v>
      </c>
      <c r="AH10" s="115">
        <f t="shared" ref="AH10:AN10" si="123">AH7</f>
        <v>7</v>
      </c>
      <c r="AI10" s="115">
        <f t="shared" si="123"/>
        <v>2</v>
      </c>
      <c r="AJ10" s="115">
        <f t="shared" si="123"/>
        <v>8</v>
      </c>
      <c r="AK10" s="115">
        <f t="shared" si="123"/>
        <v>3</v>
      </c>
      <c r="AL10" s="115">
        <f t="shared" si="123"/>
        <v>6</v>
      </c>
      <c r="AM10" s="115">
        <f t="shared" si="123"/>
        <v>1</v>
      </c>
      <c r="AN10" s="241">
        <f t="shared" si="123"/>
        <v>5</v>
      </c>
      <c r="AP10" s="115">
        <f t="shared" ref="AP10:BQ10" si="124">AP7</f>
        <v>3</v>
      </c>
      <c r="AQ10" s="115">
        <f t="shared" si="124"/>
        <v>2</v>
      </c>
      <c r="AR10" s="115">
        <f t="shared" si="124"/>
        <v>6</v>
      </c>
      <c r="AS10" s="115">
        <f t="shared" si="124"/>
        <v>1</v>
      </c>
      <c r="AT10" s="115">
        <f t="shared" si="124"/>
        <v>5</v>
      </c>
      <c r="AU10" s="115">
        <f t="shared" si="124"/>
        <v>4</v>
      </c>
      <c r="AV10" s="241">
        <f t="shared" si="124"/>
        <v>7</v>
      </c>
      <c r="AW10" s="115">
        <f t="shared" si="124"/>
        <v>2</v>
      </c>
      <c r="AX10" s="115">
        <f t="shared" si="124"/>
        <v>6</v>
      </c>
      <c r="AY10" s="115">
        <f t="shared" si="124"/>
        <v>7</v>
      </c>
      <c r="AZ10" s="115">
        <f t="shared" si="124"/>
        <v>5</v>
      </c>
      <c r="BA10" s="115">
        <f t="shared" si="124"/>
        <v>1</v>
      </c>
      <c r="BB10" s="115">
        <f t="shared" si="124"/>
        <v>4</v>
      </c>
      <c r="BC10" s="241">
        <f t="shared" si="124"/>
        <v>3</v>
      </c>
      <c r="BD10" s="115">
        <f t="shared" si="124"/>
        <v>1</v>
      </c>
      <c r="BE10" s="115">
        <f t="shared" si="124"/>
        <v>5</v>
      </c>
      <c r="BF10" s="115">
        <f t="shared" si="124"/>
        <v>3</v>
      </c>
      <c r="BG10" s="115">
        <f t="shared" si="124"/>
        <v>7</v>
      </c>
      <c r="BH10" s="115">
        <f t="shared" si="124"/>
        <v>4</v>
      </c>
      <c r="BI10" s="115">
        <f t="shared" si="124"/>
        <v>2</v>
      </c>
      <c r="BJ10" s="241">
        <f t="shared" si="124"/>
        <v>6</v>
      </c>
      <c r="BK10" s="115">
        <f t="shared" si="124"/>
        <v>4</v>
      </c>
      <c r="BL10" s="115">
        <f t="shared" si="124"/>
        <v>7</v>
      </c>
      <c r="BM10" s="115">
        <f t="shared" si="124"/>
        <v>2</v>
      </c>
      <c r="BN10" s="115">
        <f t="shared" si="124"/>
        <v>3</v>
      </c>
      <c r="BO10" s="115">
        <f t="shared" si="124"/>
        <v>6</v>
      </c>
      <c r="BP10" s="115">
        <f t="shared" si="124"/>
        <v>1</v>
      </c>
      <c r="BQ10" s="241">
        <f t="shared" si="124"/>
        <v>5</v>
      </c>
      <c r="BS10" s="115">
        <f t="shared" ref="BS10:CP10" si="125">BS7</f>
        <v>3</v>
      </c>
      <c r="BT10" s="115">
        <f t="shared" si="125"/>
        <v>2</v>
      </c>
      <c r="BU10" s="115">
        <f t="shared" si="125"/>
        <v>6</v>
      </c>
      <c r="BV10" s="115">
        <f t="shared" si="125"/>
        <v>1</v>
      </c>
      <c r="BW10" s="115">
        <f t="shared" si="125"/>
        <v>5</v>
      </c>
      <c r="BX10" s="241">
        <f t="shared" si="125"/>
        <v>4</v>
      </c>
      <c r="BY10" s="115">
        <f t="shared" si="125"/>
        <v>2</v>
      </c>
      <c r="BZ10" s="115">
        <f t="shared" si="125"/>
        <v>6</v>
      </c>
      <c r="CA10" s="115">
        <f t="shared" si="125"/>
        <v>5</v>
      </c>
      <c r="CB10" s="115">
        <f t="shared" si="125"/>
        <v>1</v>
      </c>
      <c r="CC10" s="115">
        <f t="shared" si="125"/>
        <v>4</v>
      </c>
      <c r="CD10" s="241">
        <f t="shared" si="125"/>
        <v>3</v>
      </c>
      <c r="CE10" s="115">
        <f t="shared" si="125"/>
        <v>1</v>
      </c>
      <c r="CF10" s="115">
        <f t="shared" si="125"/>
        <v>5</v>
      </c>
      <c r="CG10" s="115">
        <f t="shared" si="125"/>
        <v>3</v>
      </c>
      <c r="CH10" s="115">
        <f t="shared" si="125"/>
        <v>4</v>
      </c>
      <c r="CI10" s="115">
        <f t="shared" si="125"/>
        <v>2</v>
      </c>
      <c r="CJ10" s="241">
        <f t="shared" si="125"/>
        <v>6</v>
      </c>
      <c r="CK10" s="115">
        <f t="shared" si="125"/>
        <v>4</v>
      </c>
      <c r="CL10" s="115">
        <f t="shared" si="125"/>
        <v>2</v>
      </c>
      <c r="CM10" s="115">
        <f t="shared" si="125"/>
        <v>3</v>
      </c>
      <c r="CN10" s="115">
        <f t="shared" si="125"/>
        <v>6</v>
      </c>
      <c r="CO10" s="115">
        <f t="shared" si="125"/>
        <v>1</v>
      </c>
      <c r="CP10" s="241">
        <f t="shared" si="125"/>
        <v>5</v>
      </c>
      <c r="CR10" s="115">
        <f t="shared" ref="CR10:DK10" si="126">CR7</f>
        <v>3</v>
      </c>
      <c r="CS10" s="115">
        <f t="shared" si="126"/>
        <v>2</v>
      </c>
      <c r="CT10" s="115">
        <f t="shared" si="126"/>
        <v>1</v>
      </c>
      <c r="CU10" s="115">
        <f t="shared" si="126"/>
        <v>5</v>
      </c>
      <c r="CV10" s="241">
        <f t="shared" si="126"/>
        <v>4</v>
      </c>
      <c r="CW10" s="115">
        <f t="shared" si="126"/>
        <v>2</v>
      </c>
      <c r="CX10" s="115">
        <f t="shared" si="126"/>
        <v>5</v>
      </c>
      <c r="CY10" s="115">
        <f t="shared" si="126"/>
        <v>1</v>
      </c>
      <c r="CZ10" s="115">
        <f t="shared" si="126"/>
        <v>4</v>
      </c>
      <c r="DA10" s="241">
        <f t="shared" si="126"/>
        <v>3</v>
      </c>
      <c r="DB10" s="115">
        <f t="shared" si="126"/>
        <v>1</v>
      </c>
      <c r="DC10" s="115">
        <f t="shared" si="126"/>
        <v>5</v>
      </c>
      <c r="DD10" s="115">
        <f t="shared" si="126"/>
        <v>3</v>
      </c>
      <c r="DE10" s="115">
        <f t="shared" si="126"/>
        <v>4</v>
      </c>
      <c r="DF10" s="241">
        <f t="shared" si="126"/>
        <v>2</v>
      </c>
      <c r="DG10" s="115">
        <f t="shared" si="126"/>
        <v>4</v>
      </c>
      <c r="DH10" s="115">
        <f t="shared" si="126"/>
        <v>2</v>
      </c>
      <c r="DI10" s="115">
        <f t="shared" si="126"/>
        <v>3</v>
      </c>
      <c r="DJ10" s="115">
        <f t="shared" si="126"/>
        <v>1</v>
      </c>
      <c r="DK10" s="241">
        <f t="shared" si="126"/>
        <v>5</v>
      </c>
      <c r="DM10" s="324">
        <f t="shared" ref="DM10:EB10" si="127">DM7</f>
        <v>3</v>
      </c>
      <c r="DN10" s="321">
        <f t="shared" si="127"/>
        <v>2</v>
      </c>
      <c r="DO10" s="321">
        <f t="shared" si="127"/>
        <v>1</v>
      </c>
      <c r="DP10" s="241">
        <f t="shared" si="127"/>
        <v>4</v>
      </c>
      <c r="DQ10" s="324">
        <f t="shared" si="127"/>
        <v>2</v>
      </c>
      <c r="DR10" s="321">
        <f t="shared" si="127"/>
        <v>1</v>
      </c>
      <c r="DS10" s="321">
        <f t="shared" si="127"/>
        <v>4</v>
      </c>
      <c r="DT10" s="241">
        <f t="shared" si="127"/>
        <v>3</v>
      </c>
      <c r="DU10" s="324">
        <f t="shared" si="127"/>
        <v>1</v>
      </c>
      <c r="DV10" s="321">
        <f t="shared" si="127"/>
        <v>3</v>
      </c>
      <c r="DW10" s="321">
        <f t="shared" si="127"/>
        <v>4</v>
      </c>
      <c r="DX10" s="241">
        <f t="shared" si="127"/>
        <v>2</v>
      </c>
      <c r="DY10" s="324">
        <f t="shared" si="127"/>
        <v>4</v>
      </c>
      <c r="DZ10" s="321">
        <f t="shared" si="127"/>
        <v>2</v>
      </c>
      <c r="EA10" s="321">
        <f t="shared" si="127"/>
        <v>3</v>
      </c>
      <c r="EB10" s="241">
        <f t="shared" si="127"/>
        <v>1</v>
      </c>
      <c r="EC10" s="306"/>
      <c r="ED10" s="66">
        <f>$EE$7*10+EF10</f>
        <v>74</v>
      </c>
      <c r="EF10" s="66">
        <v>4</v>
      </c>
      <c r="EG10" s="66" t="s">
        <v>107</v>
      </c>
      <c r="EH10" s="66">
        <f>EH9+$EE$7</f>
        <v>63</v>
      </c>
      <c r="EJ10" s="87" t="str">
        <f t="shared" si="11"/>
        <v>'Track1'!</v>
      </c>
      <c r="EK10" s="87" t="s">
        <v>447</v>
      </c>
      <c r="EL10" s="87" t="s">
        <v>280</v>
      </c>
      <c r="EM10" s="64" t="str">
        <f t="shared" ca="1" si="12"/>
        <v>-</v>
      </c>
      <c r="EN10" s="64" t="str">
        <f t="shared" ca="1" si="13"/>
        <v>-</v>
      </c>
      <c r="EO10" s="87" t="str">
        <f t="shared" si="14"/>
        <v>'Track1'!</v>
      </c>
      <c r="EP10" s="87" t="s">
        <v>447</v>
      </c>
      <c r="EQ10" s="87" t="s">
        <v>165</v>
      </c>
      <c r="ER10" s="87" t="str">
        <f t="shared" ca="1" si="0"/>
        <v>-</v>
      </c>
      <c r="ES10" s="64" t="str">
        <f t="shared" ca="1" si="15"/>
        <v>-</v>
      </c>
      <c r="EW10" s="65">
        <v>12.45</v>
      </c>
    </row>
    <row r="11" spans="1:153" x14ac:dyDescent="0.35">
      <c r="A11" s="353" t="s">
        <v>348</v>
      </c>
      <c r="B11" s="64" t="s">
        <v>12</v>
      </c>
      <c r="C11" s="64" t="s">
        <v>4</v>
      </c>
      <c r="D11" s="66">
        <v>11</v>
      </c>
      <c r="E11" s="66">
        <v>33</v>
      </c>
      <c r="F11" s="272">
        <v>0.52777777777777779</v>
      </c>
      <c r="G11" s="272">
        <v>0.53125</v>
      </c>
      <c r="I11" s="113">
        <v>6</v>
      </c>
      <c r="J11" s="113">
        <v>2</v>
      </c>
      <c r="K11" s="113">
        <v>4</v>
      </c>
      <c r="L11" s="113">
        <v>8</v>
      </c>
      <c r="M11" s="113">
        <v>3</v>
      </c>
      <c r="N11" s="113">
        <v>1</v>
      </c>
      <c r="O11" s="113">
        <v>5</v>
      </c>
      <c r="P11" s="240">
        <v>7</v>
      </c>
      <c r="Q11" s="113">
        <v>4</v>
      </c>
      <c r="R11" s="113">
        <v>8</v>
      </c>
      <c r="S11" s="113">
        <v>3</v>
      </c>
      <c r="T11" s="113">
        <v>7</v>
      </c>
      <c r="U11" s="113">
        <v>1</v>
      </c>
      <c r="V11" s="113">
        <v>5</v>
      </c>
      <c r="W11" s="113">
        <v>6</v>
      </c>
      <c r="X11" s="240">
        <v>2</v>
      </c>
      <c r="Y11" s="113">
        <v>3</v>
      </c>
      <c r="Z11" s="113">
        <v>1</v>
      </c>
      <c r="AA11" s="113">
        <v>2</v>
      </c>
      <c r="AB11" s="113">
        <v>6</v>
      </c>
      <c r="AC11" s="113">
        <v>5</v>
      </c>
      <c r="AD11" s="113">
        <v>7</v>
      </c>
      <c r="AE11" s="113">
        <v>4</v>
      </c>
      <c r="AF11" s="240">
        <v>8</v>
      </c>
      <c r="AG11" s="113">
        <v>5</v>
      </c>
      <c r="AH11" s="113">
        <v>7</v>
      </c>
      <c r="AI11" s="113">
        <v>6</v>
      </c>
      <c r="AJ11" s="113">
        <v>4</v>
      </c>
      <c r="AK11" s="113">
        <v>2</v>
      </c>
      <c r="AL11" s="113">
        <v>8</v>
      </c>
      <c r="AM11" s="113">
        <v>3</v>
      </c>
      <c r="AN11" s="240">
        <v>1</v>
      </c>
      <c r="AP11" s="113">
        <v>6</v>
      </c>
      <c r="AQ11" s="113">
        <v>2</v>
      </c>
      <c r="AR11" s="113">
        <v>4</v>
      </c>
      <c r="AS11" s="113">
        <v>3</v>
      </c>
      <c r="AT11" s="113">
        <v>1</v>
      </c>
      <c r="AU11" s="113">
        <v>5</v>
      </c>
      <c r="AV11" s="240">
        <v>7</v>
      </c>
      <c r="AW11" s="113">
        <v>4</v>
      </c>
      <c r="AX11" s="113">
        <v>3</v>
      </c>
      <c r="AY11" s="113">
        <v>7</v>
      </c>
      <c r="AZ11" s="113">
        <v>1</v>
      </c>
      <c r="BA11" s="113">
        <v>5</v>
      </c>
      <c r="BB11" s="113">
        <v>6</v>
      </c>
      <c r="BC11" s="240">
        <v>2</v>
      </c>
      <c r="BD11" s="113">
        <v>3</v>
      </c>
      <c r="BE11" s="113">
        <v>1</v>
      </c>
      <c r="BF11" s="113">
        <v>2</v>
      </c>
      <c r="BG11" s="113">
        <v>6</v>
      </c>
      <c r="BH11" s="113">
        <v>5</v>
      </c>
      <c r="BI11" s="113">
        <v>7</v>
      </c>
      <c r="BJ11" s="240">
        <v>4</v>
      </c>
      <c r="BK11" s="113">
        <v>5</v>
      </c>
      <c r="BL11" s="113">
        <v>7</v>
      </c>
      <c r="BM11" s="113">
        <v>6</v>
      </c>
      <c r="BN11" s="113">
        <v>4</v>
      </c>
      <c r="BO11" s="113">
        <v>2</v>
      </c>
      <c r="BP11" s="113">
        <v>3</v>
      </c>
      <c r="BQ11" s="240">
        <v>1</v>
      </c>
      <c r="BS11" s="113">
        <v>6</v>
      </c>
      <c r="BT11" s="113">
        <v>2</v>
      </c>
      <c r="BU11" s="113">
        <v>4</v>
      </c>
      <c r="BV11" s="113">
        <v>3</v>
      </c>
      <c r="BW11" s="113">
        <v>1</v>
      </c>
      <c r="BX11" s="240">
        <v>5</v>
      </c>
      <c r="BY11" s="113">
        <v>4</v>
      </c>
      <c r="BZ11" s="113">
        <v>3</v>
      </c>
      <c r="CA11" s="113">
        <v>1</v>
      </c>
      <c r="CB11" s="113">
        <v>5</v>
      </c>
      <c r="CC11" s="113">
        <v>6</v>
      </c>
      <c r="CD11" s="240">
        <v>2</v>
      </c>
      <c r="CE11" s="113">
        <v>3</v>
      </c>
      <c r="CF11" s="113">
        <v>1</v>
      </c>
      <c r="CG11" s="113">
        <v>2</v>
      </c>
      <c r="CH11" s="113">
        <v>6</v>
      </c>
      <c r="CI11" s="113">
        <v>5</v>
      </c>
      <c r="CJ11" s="240">
        <v>4</v>
      </c>
      <c r="CK11" s="113">
        <v>5</v>
      </c>
      <c r="CL11" s="113">
        <v>6</v>
      </c>
      <c r="CM11" s="113">
        <v>4</v>
      </c>
      <c r="CN11" s="113">
        <v>2</v>
      </c>
      <c r="CO11" s="113">
        <v>3</v>
      </c>
      <c r="CP11" s="240">
        <v>1</v>
      </c>
      <c r="CR11" s="113">
        <v>2</v>
      </c>
      <c r="CS11" s="113">
        <v>4</v>
      </c>
      <c r="CT11" s="113">
        <v>3</v>
      </c>
      <c r="CU11" s="113">
        <v>1</v>
      </c>
      <c r="CV11" s="240">
        <v>5</v>
      </c>
      <c r="CW11" s="113">
        <v>4</v>
      </c>
      <c r="CX11" s="113">
        <v>3</v>
      </c>
      <c r="CY11" s="113">
        <v>1</v>
      </c>
      <c r="CZ11" s="113">
        <v>5</v>
      </c>
      <c r="DA11" s="240">
        <v>2</v>
      </c>
      <c r="DB11" s="113">
        <v>3</v>
      </c>
      <c r="DC11" s="113">
        <v>1</v>
      </c>
      <c r="DD11" s="113">
        <v>2</v>
      </c>
      <c r="DE11" s="113">
        <v>5</v>
      </c>
      <c r="DF11" s="240">
        <v>4</v>
      </c>
      <c r="DG11" s="113">
        <v>5</v>
      </c>
      <c r="DH11" s="113">
        <v>4</v>
      </c>
      <c r="DI11" s="113">
        <v>2</v>
      </c>
      <c r="DJ11" s="113">
        <v>3</v>
      </c>
      <c r="DK11" s="240">
        <v>1</v>
      </c>
      <c r="DM11" s="323">
        <v>2</v>
      </c>
      <c r="DN11" s="320">
        <v>4</v>
      </c>
      <c r="DO11" s="320">
        <v>3</v>
      </c>
      <c r="DP11" s="240">
        <v>1</v>
      </c>
      <c r="DQ11" s="323">
        <v>4</v>
      </c>
      <c r="DR11" s="320">
        <v>3</v>
      </c>
      <c r="DS11" s="320">
        <v>1</v>
      </c>
      <c r="DT11" s="240">
        <v>2</v>
      </c>
      <c r="DU11" s="323">
        <v>3</v>
      </c>
      <c r="DV11" s="320">
        <v>1</v>
      </c>
      <c r="DW11" s="320">
        <v>2</v>
      </c>
      <c r="DX11" s="240">
        <v>4</v>
      </c>
      <c r="DY11" s="323">
        <v>4</v>
      </c>
      <c r="DZ11" s="320">
        <v>2</v>
      </c>
      <c r="EA11" s="320">
        <v>3</v>
      </c>
      <c r="EB11" s="240">
        <v>1</v>
      </c>
      <c r="EC11" s="306"/>
      <c r="ED11" s="66">
        <f>$EE$11*10+EF11</f>
        <v>61</v>
      </c>
      <c r="EE11" s="66">
        <v>6</v>
      </c>
      <c r="EF11" s="66">
        <v>1</v>
      </c>
      <c r="EG11" s="66" t="s">
        <v>108</v>
      </c>
      <c r="EH11" s="66">
        <v>71</v>
      </c>
      <c r="EJ11" s="87" t="str">
        <f t="shared" si="11"/>
        <v>'Track1'!</v>
      </c>
      <c r="EK11" s="87" t="s">
        <v>447</v>
      </c>
      <c r="EL11" s="87" t="s">
        <v>280</v>
      </c>
      <c r="EM11" s="64" t="str">
        <f t="shared" ca="1" si="12"/>
        <v>-</v>
      </c>
      <c r="EN11" s="64" t="str">
        <f ca="1">IFERROR(CONCATENATE(EJ11,EL11,EM11+2),"-")</f>
        <v>-</v>
      </c>
      <c r="EO11" s="87" t="str">
        <f t="shared" si="14"/>
        <v>'Track1'!</v>
      </c>
      <c r="EP11" s="87" t="s">
        <v>447</v>
      </c>
      <c r="EQ11" s="87" t="s">
        <v>165</v>
      </c>
      <c r="ER11" s="87" t="str">
        <f t="shared" ca="1" si="0"/>
        <v>-</v>
      </c>
      <c r="ES11" s="64" t="str">
        <f t="shared" ca="1" si="15"/>
        <v>-</v>
      </c>
      <c r="EW11" s="65">
        <v>13</v>
      </c>
    </row>
    <row r="12" spans="1:153" x14ac:dyDescent="0.35">
      <c r="A12" s="353" t="s">
        <v>349</v>
      </c>
      <c r="B12" s="64" t="s">
        <v>12</v>
      </c>
      <c r="C12" s="64" t="s">
        <v>6</v>
      </c>
      <c r="D12" s="66">
        <v>12</v>
      </c>
      <c r="E12" s="66">
        <v>83</v>
      </c>
      <c r="F12" s="272">
        <v>0.53472222222222221</v>
      </c>
      <c r="G12" s="272">
        <v>0.53819444444444442</v>
      </c>
      <c r="I12" s="115">
        <f>I$11</f>
        <v>6</v>
      </c>
      <c r="J12" s="115">
        <f t="shared" ref="J12:AH18" si="128">J$11</f>
        <v>2</v>
      </c>
      <c r="K12" s="115">
        <f t="shared" si="128"/>
        <v>4</v>
      </c>
      <c r="L12" s="115">
        <f t="shared" si="128"/>
        <v>8</v>
      </c>
      <c r="M12" s="115">
        <f t="shared" si="128"/>
        <v>3</v>
      </c>
      <c r="N12" s="115">
        <f t="shared" si="128"/>
        <v>1</v>
      </c>
      <c r="O12" s="115">
        <f t="shared" si="128"/>
        <v>5</v>
      </c>
      <c r="P12" s="241">
        <f t="shared" si="128"/>
        <v>7</v>
      </c>
      <c r="Q12" s="115">
        <f>Q$11</f>
        <v>4</v>
      </c>
      <c r="R12" s="115">
        <f t="shared" si="128"/>
        <v>8</v>
      </c>
      <c r="S12" s="115">
        <f t="shared" si="128"/>
        <v>3</v>
      </c>
      <c r="T12" s="115">
        <f t="shared" si="128"/>
        <v>7</v>
      </c>
      <c r="U12" s="115">
        <f t="shared" si="128"/>
        <v>1</v>
      </c>
      <c r="V12" s="115">
        <f t="shared" si="128"/>
        <v>5</v>
      </c>
      <c r="W12" s="115">
        <f t="shared" si="128"/>
        <v>6</v>
      </c>
      <c r="X12" s="241">
        <f t="shared" si="128"/>
        <v>2</v>
      </c>
      <c r="Y12" s="115">
        <f>Y$11</f>
        <v>3</v>
      </c>
      <c r="Z12" s="115">
        <f t="shared" si="128"/>
        <v>1</v>
      </c>
      <c r="AA12" s="115">
        <f t="shared" si="128"/>
        <v>2</v>
      </c>
      <c r="AB12" s="115">
        <f t="shared" si="128"/>
        <v>6</v>
      </c>
      <c r="AC12" s="115">
        <f t="shared" si="128"/>
        <v>5</v>
      </c>
      <c r="AD12" s="115">
        <f t="shared" si="128"/>
        <v>7</v>
      </c>
      <c r="AE12" s="115">
        <f t="shared" si="128"/>
        <v>4</v>
      </c>
      <c r="AF12" s="241">
        <f t="shared" si="128"/>
        <v>8</v>
      </c>
      <c r="AG12" s="115">
        <f>AG$11</f>
        <v>5</v>
      </c>
      <c r="AH12" s="115">
        <f t="shared" si="128"/>
        <v>7</v>
      </c>
      <c r="AI12" s="115">
        <f t="shared" ref="AG12:AN18" si="129">AI$11</f>
        <v>6</v>
      </c>
      <c r="AJ12" s="115">
        <f t="shared" si="129"/>
        <v>4</v>
      </c>
      <c r="AK12" s="115">
        <f t="shared" si="129"/>
        <v>2</v>
      </c>
      <c r="AL12" s="115">
        <f t="shared" si="129"/>
        <v>8</v>
      </c>
      <c r="AM12" s="115">
        <f t="shared" si="129"/>
        <v>3</v>
      </c>
      <c r="AN12" s="241">
        <f t="shared" si="129"/>
        <v>1</v>
      </c>
      <c r="AP12" s="115">
        <f t="shared" ref="AP12:BE18" si="130">AP$11</f>
        <v>6</v>
      </c>
      <c r="AQ12" s="115">
        <f t="shared" si="130"/>
        <v>2</v>
      </c>
      <c r="AR12" s="115">
        <f t="shared" si="130"/>
        <v>4</v>
      </c>
      <c r="AS12" s="115">
        <f t="shared" si="130"/>
        <v>3</v>
      </c>
      <c r="AT12" s="115">
        <f t="shared" si="130"/>
        <v>1</v>
      </c>
      <c r="AU12" s="115">
        <f t="shared" si="130"/>
        <v>5</v>
      </c>
      <c r="AV12" s="241">
        <f t="shared" si="130"/>
        <v>7</v>
      </c>
      <c r="AW12" s="115">
        <f t="shared" si="130"/>
        <v>4</v>
      </c>
      <c r="AX12" s="115">
        <f t="shared" si="130"/>
        <v>3</v>
      </c>
      <c r="AY12" s="115">
        <f t="shared" si="130"/>
        <v>7</v>
      </c>
      <c r="AZ12" s="115">
        <f t="shared" si="130"/>
        <v>1</v>
      </c>
      <c r="BA12" s="115">
        <f t="shared" si="130"/>
        <v>5</v>
      </c>
      <c r="BB12" s="115">
        <f t="shared" si="130"/>
        <v>6</v>
      </c>
      <c r="BC12" s="241">
        <f t="shared" si="130"/>
        <v>2</v>
      </c>
      <c r="BD12" s="115">
        <f t="shared" si="130"/>
        <v>3</v>
      </c>
      <c r="BE12" s="115">
        <f t="shared" si="130"/>
        <v>1</v>
      </c>
      <c r="BF12" s="115">
        <f t="shared" ref="BD12:BQ18" si="131">BF$11</f>
        <v>2</v>
      </c>
      <c r="BG12" s="115">
        <f t="shared" si="131"/>
        <v>6</v>
      </c>
      <c r="BH12" s="115">
        <f t="shared" si="131"/>
        <v>5</v>
      </c>
      <c r="BI12" s="115">
        <f t="shared" si="131"/>
        <v>7</v>
      </c>
      <c r="BJ12" s="241">
        <f t="shared" si="131"/>
        <v>4</v>
      </c>
      <c r="BK12" s="115">
        <f t="shared" si="131"/>
        <v>5</v>
      </c>
      <c r="BL12" s="115">
        <f t="shared" si="131"/>
        <v>7</v>
      </c>
      <c r="BM12" s="115">
        <f t="shared" si="131"/>
        <v>6</v>
      </c>
      <c r="BN12" s="115">
        <f t="shared" si="131"/>
        <v>4</v>
      </c>
      <c r="BO12" s="115">
        <f t="shared" si="131"/>
        <v>2</v>
      </c>
      <c r="BP12" s="115">
        <f t="shared" si="131"/>
        <v>3</v>
      </c>
      <c r="BQ12" s="241">
        <f t="shared" si="131"/>
        <v>1</v>
      </c>
      <c r="BS12" s="115">
        <f t="shared" ref="BS12:CH18" si="132">BS$11</f>
        <v>6</v>
      </c>
      <c r="BT12" s="115">
        <f t="shared" si="132"/>
        <v>2</v>
      </c>
      <c r="BU12" s="115">
        <f t="shared" si="132"/>
        <v>4</v>
      </c>
      <c r="BV12" s="115">
        <f t="shared" si="132"/>
        <v>3</v>
      </c>
      <c r="BW12" s="115">
        <f t="shared" si="132"/>
        <v>1</v>
      </c>
      <c r="BX12" s="241">
        <f t="shared" si="132"/>
        <v>5</v>
      </c>
      <c r="BY12" s="115">
        <f t="shared" si="132"/>
        <v>4</v>
      </c>
      <c r="BZ12" s="115">
        <f t="shared" si="132"/>
        <v>3</v>
      </c>
      <c r="CA12" s="115">
        <f t="shared" si="132"/>
        <v>1</v>
      </c>
      <c r="CB12" s="115">
        <f t="shared" si="132"/>
        <v>5</v>
      </c>
      <c r="CC12" s="115">
        <f t="shared" si="132"/>
        <v>6</v>
      </c>
      <c r="CD12" s="241">
        <f t="shared" si="132"/>
        <v>2</v>
      </c>
      <c r="CE12" s="115">
        <f t="shared" si="132"/>
        <v>3</v>
      </c>
      <c r="CF12" s="115">
        <f t="shared" si="132"/>
        <v>1</v>
      </c>
      <c r="CG12" s="115">
        <f t="shared" si="132"/>
        <v>2</v>
      </c>
      <c r="CH12" s="115">
        <f t="shared" si="132"/>
        <v>6</v>
      </c>
      <c r="CI12" s="115">
        <f t="shared" ref="CE12:CP18" si="133">CI$11</f>
        <v>5</v>
      </c>
      <c r="CJ12" s="241">
        <f t="shared" si="133"/>
        <v>4</v>
      </c>
      <c r="CK12" s="115">
        <f t="shared" si="133"/>
        <v>5</v>
      </c>
      <c r="CL12" s="115">
        <f t="shared" si="133"/>
        <v>6</v>
      </c>
      <c r="CM12" s="115">
        <f t="shared" si="133"/>
        <v>4</v>
      </c>
      <c r="CN12" s="115">
        <f t="shared" si="133"/>
        <v>2</v>
      </c>
      <c r="CO12" s="115">
        <f t="shared" si="133"/>
        <v>3</v>
      </c>
      <c r="CP12" s="241">
        <f t="shared" si="133"/>
        <v>1</v>
      </c>
      <c r="CR12" s="115">
        <f t="shared" ref="CR12:DG18" si="134">CR$11</f>
        <v>2</v>
      </c>
      <c r="CS12" s="115">
        <f t="shared" si="134"/>
        <v>4</v>
      </c>
      <c r="CT12" s="115">
        <f t="shared" si="134"/>
        <v>3</v>
      </c>
      <c r="CU12" s="115">
        <f t="shared" si="134"/>
        <v>1</v>
      </c>
      <c r="CV12" s="241">
        <f t="shared" si="134"/>
        <v>5</v>
      </c>
      <c r="CW12" s="115">
        <f t="shared" si="134"/>
        <v>4</v>
      </c>
      <c r="CX12" s="115">
        <f t="shared" si="134"/>
        <v>3</v>
      </c>
      <c r="CY12" s="115">
        <f t="shared" si="134"/>
        <v>1</v>
      </c>
      <c r="CZ12" s="115">
        <f t="shared" si="134"/>
        <v>5</v>
      </c>
      <c r="DA12" s="241">
        <f t="shared" si="134"/>
        <v>2</v>
      </c>
      <c r="DB12" s="115">
        <f t="shared" si="134"/>
        <v>3</v>
      </c>
      <c r="DC12" s="115">
        <f t="shared" si="134"/>
        <v>1</v>
      </c>
      <c r="DD12" s="115">
        <f t="shared" si="134"/>
        <v>2</v>
      </c>
      <c r="DE12" s="115">
        <f t="shared" si="134"/>
        <v>5</v>
      </c>
      <c r="DF12" s="241">
        <f t="shared" si="134"/>
        <v>4</v>
      </c>
      <c r="DG12" s="115">
        <f t="shared" si="134"/>
        <v>5</v>
      </c>
      <c r="DH12" s="115">
        <f t="shared" ref="DG12:DK18" si="135">DH$11</f>
        <v>4</v>
      </c>
      <c r="DI12" s="115">
        <f t="shared" si="135"/>
        <v>2</v>
      </c>
      <c r="DJ12" s="115">
        <f t="shared" si="135"/>
        <v>3</v>
      </c>
      <c r="DK12" s="241">
        <f t="shared" si="135"/>
        <v>1</v>
      </c>
      <c r="DM12" s="324">
        <f t="shared" ref="DM12:DY18" si="136">DM$11</f>
        <v>2</v>
      </c>
      <c r="DN12" s="321">
        <f t="shared" si="136"/>
        <v>4</v>
      </c>
      <c r="DO12" s="321">
        <f t="shared" si="136"/>
        <v>3</v>
      </c>
      <c r="DP12" s="241">
        <f t="shared" si="136"/>
        <v>1</v>
      </c>
      <c r="DQ12" s="324">
        <f t="shared" si="136"/>
        <v>4</v>
      </c>
      <c r="DR12" s="321">
        <f t="shared" si="136"/>
        <v>3</v>
      </c>
      <c r="DS12" s="321">
        <f t="shared" si="136"/>
        <v>1</v>
      </c>
      <c r="DT12" s="241">
        <f t="shared" si="136"/>
        <v>2</v>
      </c>
      <c r="DU12" s="324">
        <f t="shared" si="136"/>
        <v>3</v>
      </c>
      <c r="DV12" s="321">
        <f t="shared" si="136"/>
        <v>1</v>
      </c>
      <c r="DW12" s="321">
        <f t="shared" si="136"/>
        <v>2</v>
      </c>
      <c r="DX12" s="241">
        <f t="shared" si="136"/>
        <v>4</v>
      </c>
      <c r="DY12" s="324">
        <f t="shared" si="136"/>
        <v>4</v>
      </c>
      <c r="DZ12" s="321">
        <f t="shared" ref="DY12:EB18" si="137">DZ$11</f>
        <v>2</v>
      </c>
      <c r="EA12" s="321">
        <f t="shared" si="137"/>
        <v>3</v>
      </c>
      <c r="EB12" s="241">
        <f t="shared" si="137"/>
        <v>1</v>
      </c>
      <c r="EC12" s="306"/>
      <c r="ED12" s="66">
        <f>$EE$11*10+EF12</f>
        <v>62</v>
      </c>
      <c r="EF12" s="66">
        <v>2</v>
      </c>
      <c r="EG12" s="66" t="s">
        <v>109</v>
      </c>
      <c r="EH12" s="66">
        <f>EH11+$EE$11</f>
        <v>77</v>
      </c>
      <c r="EJ12" s="87" t="str">
        <f t="shared" si="11"/>
        <v>'Track1'!</v>
      </c>
      <c r="EK12" s="87" t="s">
        <v>447</v>
      </c>
      <c r="EL12" s="87" t="s">
        <v>280</v>
      </c>
      <c r="EM12" s="64" t="str">
        <f t="shared" ca="1" si="12"/>
        <v>-</v>
      </c>
      <c r="EN12" s="64" t="str">
        <f t="shared" ca="1" si="13"/>
        <v>-</v>
      </c>
      <c r="EO12" s="87" t="str">
        <f t="shared" si="14"/>
        <v>'Track1'!</v>
      </c>
      <c r="EP12" s="87" t="s">
        <v>447</v>
      </c>
      <c r="EQ12" s="87" t="s">
        <v>165</v>
      </c>
      <c r="ER12" s="87" t="str">
        <f t="shared" ca="1" si="0"/>
        <v>-</v>
      </c>
      <c r="ES12" s="64" t="str">
        <f t="shared" ca="1" si="15"/>
        <v>-</v>
      </c>
      <c r="EW12" s="65">
        <v>13.1</v>
      </c>
    </row>
    <row r="13" spans="1:153" x14ac:dyDescent="0.35">
      <c r="A13" s="353" t="s">
        <v>350</v>
      </c>
      <c r="B13" s="64" t="s">
        <v>12</v>
      </c>
      <c r="C13" s="64" t="s">
        <v>7</v>
      </c>
      <c r="D13" s="66">
        <v>13</v>
      </c>
      <c r="F13" s="272">
        <v>0.53819444444444442</v>
      </c>
      <c r="G13" s="272">
        <v>0.54166666666666663</v>
      </c>
      <c r="I13" s="115">
        <f t="shared" ref="I13:Y18" si="138">I$11</f>
        <v>6</v>
      </c>
      <c r="J13" s="115">
        <f t="shared" si="138"/>
        <v>2</v>
      </c>
      <c r="K13" s="115">
        <f t="shared" si="138"/>
        <v>4</v>
      </c>
      <c r="L13" s="115">
        <f t="shared" si="138"/>
        <v>8</v>
      </c>
      <c r="M13" s="115">
        <f t="shared" si="138"/>
        <v>3</v>
      </c>
      <c r="N13" s="115">
        <f t="shared" si="138"/>
        <v>1</v>
      </c>
      <c r="O13" s="115">
        <f t="shared" si="138"/>
        <v>5</v>
      </c>
      <c r="P13" s="241">
        <f t="shared" si="138"/>
        <v>7</v>
      </c>
      <c r="Q13" s="115">
        <f t="shared" si="138"/>
        <v>4</v>
      </c>
      <c r="R13" s="115">
        <f t="shared" si="138"/>
        <v>8</v>
      </c>
      <c r="S13" s="115">
        <f t="shared" si="138"/>
        <v>3</v>
      </c>
      <c r="T13" s="115">
        <f t="shared" si="138"/>
        <v>7</v>
      </c>
      <c r="U13" s="115">
        <f t="shared" si="138"/>
        <v>1</v>
      </c>
      <c r="V13" s="115">
        <f t="shared" si="138"/>
        <v>5</v>
      </c>
      <c r="W13" s="115">
        <f t="shared" si="138"/>
        <v>6</v>
      </c>
      <c r="X13" s="241">
        <f t="shared" si="138"/>
        <v>2</v>
      </c>
      <c r="Y13" s="115">
        <f t="shared" si="138"/>
        <v>3</v>
      </c>
      <c r="Z13" s="115">
        <f t="shared" si="128"/>
        <v>1</v>
      </c>
      <c r="AA13" s="115">
        <f t="shared" si="128"/>
        <v>2</v>
      </c>
      <c r="AB13" s="115">
        <f t="shared" si="128"/>
        <v>6</v>
      </c>
      <c r="AC13" s="115">
        <f t="shared" si="128"/>
        <v>5</v>
      </c>
      <c r="AD13" s="115">
        <f t="shared" si="128"/>
        <v>7</v>
      </c>
      <c r="AE13" s="115">
        <f t="shared" si="128"/>
        <v>4</v>
      </c>
      <c r="AF13" s="241">
        <f t="shared" si="128"/>
        <v>8</v>
      </c>
      <c r="AG13" s="115">
        <f t="shared" si="128"/>
        <v>5</v>
      </c>
      <c r="AH13" s="115">
        <f t="shared" si="128"/>
        <v>7</v>
      </c>
      <c r="AI13" s="115">
        <f t="shared" si="129"/>
        <v>6</v>
      </c>
      <c r="AJ13" s="115">
        <f t="shared" si="129"/>
        <v>4</v>
      </c>
      <c r="AK13" s="115">
        <f t="shared" si="129"/>
        <v>2</v>
      </c>
      <c r="AL13" s="115">
        <f t="shared" si="129"/>
        <v>8</v>
      </c>
      <c r="AM13" s="115">
        <f t="shared" si="129"/>
        <v>3</v>
      </c>
      <c r="AN13" s="241">
        <f t="shared" si="129"/>
        <v>1</v>
      </c>
      <c r="AP13" s="115">
        <f t="shared" si="130"/>
        <v>6</v>
      </c>
      <c r="AQ13" s="115">
        <f t="shared" si="130"/>
        <v>2</v>
      </c>
      <c r="AR13" s="115">
        <f t="shared" si="130"/>
        <v>4</v>
      </c>
      <c r="AS13" s="115">
        <f t="shared" si="130"/>
        <v>3</v>
      </c>
      <c r="AT13" s="115">
        <f t="shared" si="130"/>
        <v>1</v>
      </c>
      <c r="AU13" s="115">
        <f t="shared" si="130"/>
        <v>5</v>
      </c>
      <c r="AV13" s="241">
        <f t="shared" si="130"/>
        <v>7</v>
      </c>
      <c r="AW13" s="115">
        <f t="shared" si="130"/>
        <v>4</v>
      </c>
      <c r="AX13" s="115">
        <f t="shared" si="130"/>
        <v>3</v>
      </c>
      <c r="AY13" s="115">
        <f t="shared" si="130"/>
        <v>7</v>
      </c>
      <c r="AZ13" s="115">
        <f t="shared" si="130"/>
        <v>1</v>
      </c>
      <c r="BA13" s="115">
        <f t="shared" si="130"/>
        <v>5</v>
      </c>
      <c r="BB13" s="115">
        <f t="shared" si="130"/>
        <v>6</v>
      </c>
      <c r="BC13" s="241">
        <f t="shared" si="130"/>
        <v>2</v>
      </c>
      <c r="BD13" s="115">
        <f t="shared" si="130"/>
        <v>3</v>
      </c>
      <c r="BE13" s="115">
        <f t="shared" si="130"/>
        <v>1</v>
      </c>
      <c r="BF13" s="115">
        <f t="shared" si="131"/>
        <v>2</v>
      </c>
      <c r="BG13" s="115">
        <f t="shared" si="131"/>
        <v>6</v>
      </c>
      <c r="BH13" s="115">
        <f t="shared" si="131"/>
        <v>5</v>
      </c>
      <c r="BI13" s="115">
        <f t="shared" si="131"/>
        <v>7</v>
      </c>
      <c r="BJ13" s="241">
        <f t="shared" si="131"/>
        <v>4</v>
      </c>
      <c r="BK13" s="115">
        <f t="shared" si="131"/>
        <v>5</v>
      </c>
      <c r="BL13" s="115">
        <f t="shared" si="131"/>
        <v>7</v>
      </c>
      <c r="BM13" s="115">
        <f t="shared" si="131"/>
        <v>6</v>
      </c>
      <c r="BN13" s="115">
        <f t="shared" si="131"/>
        <v>4</v>
      </c>
      <c r="BO13" s="115">
        <f t="shared" si="131"/>
        <v>2</v>
      </c>
      <c r="BP13" s="115">
        <f t="shared" si="131"/>
        <v>3</v>
      </c>
      <c r="BQ13" s="241">
        <f t="shared" si="131"/>
        <v>1</v>
      </c>
      <c r="BS13" s="115">
        <f t="shared" si="132"/>
        <v>6</v>
      </c>
      <c r="BT13" s="115">
        <f t="shared" si="132"/>
        <v>2</v>
      </c>
      <c r="BU13" s="115">
        <f t="shared" si="132"/>
        <v>4</v>
      </c>
      <c r="BV13" s="115">
        <f t="shared" si="132"/>
        <v>3</v>
      </c>
      <c r="BW13" s="115">
        <f t="shared" si="132"/>
        <v>1</v>
      </c>
      <c r="BX13" s="241">
        <f t="shared" si="132"/>
        <v>5</v>
      </c>
      <c r="BY13" s="115">
        <f t="shared" si="132"/>
        <v>4</v>
      </c>
      <c r="BZ13" s="115">
        <f t="shared" si="132"/>
        <v>3</v>
      </c>
      <c r="CA13" s="115">
        <f t="shared" si="132"/>
        <v>1</v>
      </c>
      <c r="CB13" s="115">
        <f t="shared" si="132"/>
        <v>5</v>
      </c>
      <c r="CC13" s="115">
        <f t="shared" si="132"/>
        <v>6</v>
      </c>
      <c r="CD13" s="241">
        <f t="shared" si="132"/>
        <v>2</v>
      </c>
      <c r="CE13" s="115">
        <f t="shared" si="133"/>
        <v>3</v>
      </c>
      <c r="CF13" s="115">
        <f t="shared" si="133"/>
        <v>1</v>
      </c>
      <c r="CG13" s="115">
        <f t="shared" si="133"/>
        <v>2</v>
      </c>
      <c r="CH13" s="115">
        <f t="shared" si="133"/>
        <v>6</v>
      </c>
      <c r="CI13" s="115">
        <f t="shared" si="133"/>
        <v>5</v>
      </c>
      <c r="CJ13" s="241">
        <f t="shared" si="133"/>
        <v>4</v>
      </c>
      <c r="CK13" s="115">
        <f t="shared" si="133"/>
        <v>5</v>
      </c>
      <c r="CL13" s="115">
        <f t="shared" si="133"/>
        <v>6</v>
      </c>
      <c r="CM13" s="115">
        <f t="shared" si="133"/>
        <v>4</v>
      </c>
      <c r="CN13" s="115">
        <f t="shared" si="133"/>
        <v>2</v>
      </c>
      <c r="CO13" s="115">
        <f t="shared" si="133"/>
        <v>3</v>
      </c>
      <c r="CP13" s="241">
        <f t="shared" si="133"/>
        <v>1</v>
      </c>
      <c r="CR13" s="115">
        <f t="shared" si="134"/>
        <v>2</v>
      </c>
      <c r="CS13" s="115">
        <f t="shared" si="134"/>
        <v>4</v>
      </c>
      <c r="CT13" s="115">
        <f t="shared" si="134"/>
        <v>3</v>
      </c>
      <c r="CU13" s="115">
        <f t="shared" si="134"/>
        <v>1</v>
      </c>
      <c r="CV13" s="241">
        <f t="shared" si="134"/>
        <v>5</v>
      </c>
      <c r="CW13" s="115">
        <f t="shared" si="134"/>
        <v>4</v>
      </c>
      <c r="CX13" s="115">
        <f t="shared" si="134"/>
        <v>3</v>
      </c>
      <c r="CY13" s="115">
        <f t="shared" si="134"/>
        <v>1</v>
      </c>
      <c r="CZ13" s="115">
        <f t="shared" si="134"/>
        <v>5</v>
      </c>
      <c r="DA13" s="241">
        <f t="shared" si="134"/>
        <v>2</v>
      </c>
      <c r="DB13" s="115">
        <f t="shared" si="134"/>
        <v>3</v>
      </c>
      <c r="DC13" s="115">
        <f t="shared" si="134"/>
        <v>1</v>
      </c>
      <c r="DD13" s="115">
        <f t="shared" si="134"/>
        <v>2</v>
      </c>
      <c r="DE13" s="115">
        <f t="shared" si="134"/>
        <v>5</v>
      </c>
      <c r="DF13" s="241">
        <f t="shared" si="134"/>
        <v>4</v>
      </c>
      <c r="DG13" s="115">
        <f t="shared" si="135"/>
        <v>5</v>
      </c>
      <c r="DH13" s="115">
        <f t="shared" si="135"/>
        <v>4</v>
      </c>
      <c r="DI13" s="115">
        <f t="shared" si="135"/>
        <v>2</v>
      </c>
      <c r="DJ13" s="115">
        <f t="shared" si="135"/>
        <v>3</v>
      </c>
      <c r="DK13" s="241">
        <f t="shared" si="135"/>
        <v>1</v>
      </c>
      <c r="DM13" s="324">
        <f t="shared" si="136"/>
        <v>2</v>
      </c>
      <c r="DN13" s="321">
        <f t="shared" si="136"/>
        <v>4</v>
      </c>
      <c r="DO13" s="321">
        <f t="shared" si="136"/>
        <v>3</v>
      </c>
      <c r="DP13" s="241">
        <f t="shared" si="136"/>
        <v>1</v>
      </c>
      <c r="DQ13" s="324">
        <f t="shared" si="136"/>
        <v>4</v>
      </c>
      <c r="DR13" s="321">
        <f t="shared" si="136"/>
        <v>3</v>
      </c>
      <c r="DS13" s="321">
        <f t="shared" si="136"/>
        <v>1</v>
      </c>
      <c r="DT13" s="241">
        <f t="shared" si="136"/>
        <v>2</v>
      </c>
      <c r="DU13" s="324">
        <f t="shared" si="136"/>
        <v>3</v>
      </c>
      <c r="DV13" s="321">
        <f t="shared" si="136"/>
        <v>1</v>
      </c>
      <c r="DW13" s="321">
        <f t="shared" si="136"/>
        <v>2</v>
      </c>
      <c r="DX13" s="241">
        <f t="shared" si="136"/>
        <v>4</v>
      </c>
      <c r="DY13" s="324">
        <f t="shared" si="137"/>
        <v>4</v>
      </c>
      <c r="DZ13" s="321">
        <f t="shared" si="137"/>
        <v>2</v>
      </c>
      <c r="EA13" s="321">
        <f t="shared" si="137"/>
        <v>3</v>
      </c>
      <c r="EB13" s="241">
        <f t="shared" si="137"/>
        <v>1</v>
      </c>
      <c r="EC13" s="306"/>
      <c r="ED13" s="66">
        <f>$EE$11*10+EF13</f>
        <v>63</v>
      </c>
      <c r="EF13" s="66">
        <v>3</v>
      </c>
      <c r="EG13" s="66" t="s">
        <v>110</v>
      </c>
      <c r="EH13" s="66">
        <f>EH12+$EE$11</f>
        <v>83</v>
      </c>
      <c r="EJ13" s="87" t="str">
        <f t="shared" si="11"/>
        <v>'Track1'!</v>
      </c>
      <c r="EK13" s="87" t="s">
        <v>447</v>
      </c>
      <c r="EL13" s="87" t="s">
        <v>280</v>
      </c>
      <c r="EM13" s="64" t="str">
        <f t="shared" ca="1" si="12"/>
        <v>-</v>
      </c>
      <c r="EN13" s="64" t="str">
        <f t="shared" ca="1" si="13"/>
        <v>-</v>
      </c>
      <c r="EO13" s="87" t="str">
        <f t="shared" si="14"/>
        <v>'Track1'!</v>
      </c>
      <c r="EP13" s="87" t="s">
        <v>447</v>
      </c>
      <c r="EQ13" s="87" t="s">
        <v>165</v>
      </c>
      <c r="ER13" s="87" t="str">
        <f t="shared" ca="1" si="0"/>
        <v>-</v>
      </c>
      <c r="ES13" s="64" t="str">
        <f t="shared" ca="1" si="15"/>
        <v>-</v>
      </c>
      <c r="EW13" s="65">
        <v>13.2</v>
      </c>
    </row>
    <row r="14" spans="1:153" x14ac:dyDescent="0.35">
      <c r="A14" s="353" t="s">
        <v>351</v>
      </c>
      <c r="B14" s="64" t="s">
        <v>12</v>
      </c>
      <c r="C14" s="64" t="s">
        <v>9</v>
      </c>
      <c r="D14" s="66">
        <v>14</v>
      </c>
      <c r="F14" s="272">
        <v>0.54513888888888895</v>
      </c>
      <c r="G14" s="272">
        <v>0.54861111111111105</v>
      </c>
      <c r="I14" s="115">
        <f t="shared" si="138"/>
        <v>6</v>
      </c>
      <c r="J14" s="115">
        <f t="shared" si="138"/>
        <v>2</v>
      </c>
      <c r="K14" s="115">
        <f t="shared" si="138"/>
        <v>4</v>
      </c>
      <c r="L14" s="115">
        <f t="shared" si="138"/>
        <v>8</v>
      </c>
      <c r="M14" s="115">
        <f t="shared" si="138"/>
        <v>3</v>
      </c>
      <c r="N14" s="115">
        <f t="shared" si="138"/>
        <v>1</v>
      </c>
      <c r="O14" s="115">
        <f t="shared" si="138"/>
        <v>5</v>
      </c>
      <c r="P14" s="241">
        <f t="shared" si="138"/>
        <v>7</v>
      </c>
      <c r="Q14" s="115">
        <f t="shared" si="138"/>
        <v>4</v>
      </c>
      <c r="R14" s="115">
        <f t="shared" si="138"/>
        <v>8</v>
      </c>
      <c r="S14" s="115">
        <f t="shared" si="138"/>
        <v>3</v>
      </c>
      <c r="T14" s="115">
        <f t="shared" si="138"/>
        <v>7</v>
      </c>
      <c r="U14" s="115">
        <f t="shared" si="138"/>
        <v>1</v>
      </c>
      <c r="V14" s="115">
        <f t="shared" si="138"/>
        <v>5</v>
      </c>
      <c r="W14" s="115">
        <f t="shared" si="138"/>
        <v>6</v>
      </c>
      <c r="X14" s="241">
        <f t="shared" si="138"/>
        <v>2</v>
      </c>
      <c r="Y14" s="115">
        <f t="shared" si="128"/>
        <v>3</v>
      </c>
      <c r="Z14" s="115">
        <f t="shared" si="128"/>
        <v>1</v>
      </c>
      <c r="AA14" s="115">
        <f t="shared" si="128"/>
        <v>2</v>
      </c>
      <c r="AB14" s="115">
        <f t="shared" si="128"/>
        <v>6</v>
      </c>
      <c r="AC14" s="115">
        <f t="shared" si="128"/>
        <v>5</v>
      </c>
      <c r="AD14" s="115">
        <f t="shared" si="128"/>
        <v>7</v>
      </c>
      <c r="AE14" s="115">
        <f t="shared" si="128"/>
        <v>4</v>
      </c>
      <c r="AF14" s="241">
        <f t="shared" si="128"/>
        <v>8</v>
      </c>
      <c r="AG14" s="115">
        <f t="shared" si="129"/>
        <v>5</v>
      </c>
      <c r="AH14" s="115">
        <f t="shared" si="129"/>
        <v>7</v>
      </c>
      <c r="AI14" s="115">
        <f t="shared" si="129"/>
        <v>6</v>
      </c>
      <c r="AJ14" s="115">
        <f t="shared" si="129"/>
        <v>4</v>
      </c>
      <c r="AK14" s="115">
        <f t="shared" si="129"/>
        <v>2</v>
      </c>
      <c r="AL14" s="115">
        <f t="shared" si="129"/>
        <v>8</v>
      </c>
      <c r="AM14" s="115">
        <f t="shared" si="129"/>
        <v>3</v>
      </c>
      <c r="AN14" s="241">
        <f t="shared" si="129"/>
        <v>1</v>
      </c>
      <c r="AP14" s="115">
        <f t="shared" si="130"/>
        <v>6</v>
      </c>
      <c r="AQ14" s="115">
        <f t="shared" si="130"/>
        <v>2</v>
      </c>
      <c r="AR14" s="115">
        <f t="shared" si="130"/>
        <v>4</v>
      </c>
      <c r="AS14" s="115">
        <f t="shared" si="130"/>
        <v>3</v>
      </c>
      <c r="AT14" s="115">
        <f t="shared" si="130"/>
        <v>1</v>
      </c>
      <c r="AU14" s="115">
        <f t="shared" si="130"/>
        <v>5</v>
      </c>
      <c r="AV14" s="241">
        <f t="shared" si="130"/>
        <v>7</v>
      </c>
      <c r="AW14" s="115">
        <f t="shared" si="130"/>
        <v>4</v>
      </c>
      <c r="AX14" s="115">
        <f t="shared" si="130"/>
        <v>3</v>
      </c>
      <c r="AY14" s="115">
        <f t="shared" si="130"/>
        <v>7</v>
      </c>
      <c r="AZ14" s="115">
        <f t="shared" si="130"/>
        <v>1</v>
      </c>
      <c r="BA14" s="115">
        <f t="shared" si="130"/>
        <v>5</v>
      </c>
      <c r="BB14" s="115">
        <f t="shared" si="130"/>
        <v>6</v>
      </c>
      <c r="BC14" s="241">
        <f t="shared" si="130"/>
        <v>2</v>
      </c>
      <c r="BD14" s="115">
        <f t="shared" si="131"/>
        <v>3</v>
      </c>
      <c r="BE14" s="115">
        <f t="shared" si="131"/>
        <v>1</v>
      </c>
      <c r="BF14" s="115">
        <f t="shared" si="131"/>
        <v>2</v>
      </c>
      <c r="BG14" s="115">
        <f t="shared" si="131"/>
        <v>6</v>
      </c>
      <c r="BH14" s="115">
        <f t="shared" si="131"/>
        <v>5</v>
      </c>
      <c r="BI14" s="115">
        <f t="shared" si="131"/>
        <v>7</v>
      </c>
      <c r="BJ14" s="241">
        <f t="shared" si="131"/>
        <v>4</v>
      </c>
      <c r="BK14" s="115">
        <f t="shared" si="131"/>
        <v>5</v>
      </c>
      <c r="BL14" s="115">
        <f t="shared" si="131"/>
        <v>7</v>
      </c>
      <c r="BM14" s="115">
        <f t="shared" si="131"/>
        <v>6</v>
      </c>
      <c r="BN14" s="115">
        <f t="shared" si="131"/>
        <v>4</v>
      </c>
      <c r="BO14" s="115">
        <f t="shared" si="131"/>
        <v>2</v>
      </c>
      <c r="BP14" s="115">
        <f t="shared" si="131"/>
        <v>3</v>
      </c>
      <c r="BQ14" s="241">
        <f t="shared" si="131"/>
        <v>1</v>
      </c>
      <c r="BS14" s="115">
        <f t="shared" si="132"/>
        <v>6</v>
      </c>
      <c r="BT14" s="115">
        <f t="shared" si="132"/>
        <v>2</v>
      </c>
      <c r="BU14" s="115">
        <f t="shared" si="132"/>
        <v>4</v>
      </c>
      <c r="BV14" s="115">
        <f t="shared" si="132"/>
        <v>3</v>
      </c>
      <c r="BW14" s="115">
        <f t="shared" si="132"/>
        <v>1</v>
      </c>
      <c r="BX14" s="241">
        <f t="shared" si="132"/>
        <v>5</v>
      </c>
      <c r="BY14" s="115">
        <f t="shared" si="132"/>
        <v>4</v>
      </c>
      <c r="BZ14" s="115">
        <f t="shared" si="132"/>
        <v>3</v>
      </c>
      <c r="CA14" s="115">
        <f t="shared" si="132"/>
        <v>1</v>
      </c>
      <c r="CB14" s="115">
        <f t="shared" si="132"/>
        <v>5</v>
      </c>
      <c r="CC14" s="115">
        <f t="shared" si="132"/>
        <v>6</v>
      </c>
      <c r="CD14" s="241">
        <f t="shared" si="132"/>
        <v>2</v>
      </c>
      <c r="CE14" s="115">
        <f t="shared" si="133"/>
        <v>3</v>
      </c>
      <c r="CF14" s="115">
        <f t="shared" si="133"/>
        <v>1</v>
      </c>
      <c r="CG14" s="115">
        <f t="shared" si="133"/>
        <v>2</v>
      </c>
      <c r="CH14" s="115">
        <f t="shared" si="133"/>
        <v>6</v>
      </c>
      <c r="CI14" s="115">
        <f t="shared" si="133"/>
        <v>5</v>
      </c>
      <c r="CJ14" s="241">
        <f t="shared" si="133"/>
        <v>4</v>
      </c>
      <c r="CK14" s="115">
        <f t="shared" si="133"/>
        <v>5</v>
      </c>
      <c r="CL14" s="115">
        <f t="shared" si="133"/>
        <v>6</v>
      </c>
      <c r="CM14" s="115">
        <f t="shared" si="133"/>
        <v>4</v>
      </c>
      <c r="CN14" s="115">
        <f t="shared" si="133"/>
        <v>2</v>
      </c>
      <c r="CO14" s="115">
        <f t="shared" si="133"/>
        <v>3</v>
      </c>
      <c r="CP14" s="241">
        <f t="shared" si="133"/>
        <v>1</v>
      </c>
      <c r="CR14" s="115">
        <f t="shared" si="134"/>
        <v>2</v>
      </c>
      <c r="CS14" s="115">
        <f t="shared" si="134"/>
        <v>4</v>
      </c>
      <c r="CT14" s="115">
        <f t="shared" si="134"/>
        <v>3</v>
      </c>
      <c r="CU14" s="115">
        <f t="shared" si="134"/>
        <v>1</v>
      </c>
      <c r="CV14" s="241">
        <f t="shared" si="134"/>
        <v>5</v>
      </c>
      <c r="CW14" s="115">
        <f t="shared" si="134"/>
        <v>4</v>
      </c>
      <c r="CX14" s="115">
        <f t="shared" si="134"/>
        <v>3</v>
      </c>
      <c r="CY14" s="115">
        <f t="shared" si="134"/>
        <v>1</v>
      </c>
      <c r="CZ14" s="115">
        <f t="shared" si="134"/>
        <v>5</v>
      </c>
      <c r="DA14" s="241">
        <f t="shared" si="134"/>
        <v>2</v>
      </c>
      <c r="DB14" s="115">
        <f t="shared" si="134"/>
        <v>3</v>
      </c>
      <c r="DC14" s="115">
        <f t="shared" si="134"/>
        <v>1</v>
      </c>
      <c r="DD14" s="115">
        <f t="shared" si="134"/>
        <v>2</v>
      </c>
      <c r="DE14" s="115">
        <f t="shared" si="134"/>
        <v>5</v>
      </c>
      <c r="DF14" s="241">
        <f t="shared" si="134"/>
        <v>4</v>
      </c>
      <c r="DG14" s="115">
        <f t="shared" si="135"/>
        <v>5</v>
      </c>
      <c r="DH14" s="115">
        <f t="shared" si="135"/>
        <v>4</v>
      </c>
      <c r="DI14" s="115">
        <f t="shared" si="135"/>
        <v>2</v>
      </c>
      <c r="DJ14" s="115">
        <f t="shared" si="135"/>
        <v>3</v>
      </c>
      <c r="DK14" s="241">
        <f t="shared" si="135"/>
        <v>1</v>
      </c>
      <c r="DM14" s="324">
        <f t="shared" si="136"/>
        <v>2</v>
      </c>
      <c r="DN14" s="321">
        <f t="shared" si="136"/>
        <v>4</v>
      </c>
      <c r="DO14" s="321">
        <f t="shared" si="136"/>
        <v>3</v>
      </c>
      <c r="DP14" s="241">
        <f t="shared" si="136"/>
        <v>1</v>
      </c>
      <c r="DQ14" s="324">
        <f t="shared" si="136"/>
        <v>4</v>
      </c>
      <c r="DR14" s="321">
        <f t="shared" si="136"/>
        <v>3</v>
      </c>
      <c r="DS14" s="321">
        <f t="shared" si="136"/>
        <v>1</v>
      </c>
      <c r="DT14" s="241">
        <f t="shared" si="136"/>
        <v>2</v>
      </c>
      <c r="DU14" s="324">
        <f t="shared" si="136"/>
        <v>3</v>
      </c>
      <c r="DV14" s="321">
        <f t="shared" si="136"/>
        <v>1</v>
      </c>
      <c r="DW14" s="321">
        <f t="shared" si="136"/>
        <v>2</v>
      </c>
      <c r="DX14" s="241">
        <f t="shared" si="136"/>
        <v>4</v>
      </c>
      <c r="DY14" s="324">
        <f t="shared" si="137"/>
        <v>4</v>
      </c>
      <c r="DZ14" s="321">
        <f t="shared" si="137"/>
        <v>2</v>
      </c>
      <c r="EA14" s="321">
        <f t="shared" si="137"/>
        <v>3</v>
      </c>
      <c r="EB14" s="241">
        <f t="shared" si="137"/>
        <v>1</v>
      </c>
      <c r="EC14" s="306"/>
      <c r="ED14" s="66">
        <f>$EE$11*10+EF14</f>
        <v>64</v>
      </c>
      <c r="EF14" s="66">
        <v>4</v>
      </c>
      <c r="EG14" s="66" t="s">
        <v>111</v>
      </c>
      <c r="EH14" s="66">
        <f>EH13+$EE$11</f>
        <v>89</v>
      </c>
      <c r="EJ14" s="87" t="str">
        <f t="shared" si="11"/>
        <v>'Track1'!</v>
      </c>
      <c r="EK14" s="87" t="s">
        <v>447</v>
      </c>
      <c r="EL14" s="87" t="s">
        <v>280</v>
      </c>
      <c r="EM14" s="64" t="str">
        <f t="shared" ca="1" si="12"/>
        <v>-</v>
      </c>
      <c r="EN14" s="64" t="str">
        <f t="shared" ca="1" si="13"/>
        <v>-</v>
      </c>
      <c r="EO14" s="87" t="str">
        <f t="shared" si="14"/>
        <v>'Track1'!</v>
      </c>
      <c r="EP14" s="87" t="s">
        <v>447</v>
      </c>
      <c r="EQ14" s="87" t="s">
        <v>165</v>
      </c>
      <c r="ER14" s="87" t="str">
        <f t="shared" ca="1" si="0"/>
        <v>-</v>
      </c>
      <c r="ES14" s="64" t="str">
        <f t="shared" ca="1" si="15"/>
        <v>-</v>
      </c>
      <c r="EW14" s="65">
        <v>13.3</v>
      </c>
    </row>
    <row r="15" spans="1:153" x14ac:dyDescent="0.35">
      <c r="A15" s="353" t="s">
        <v>352</v>
      </c>
      <c r="B15" s="64" t="s">
        <v>13</v>
      </c>
      <c r="C15" s="64" t="s">
        <v>4</v>
      </c>
      <c r="D15" s="66">
        <v>15</v>
      </c>
      <c r="E15" s="66">
        <v>34</v>
      </c>
      <c r="F15" s="272">
        <v>0.54861111111111105</v>
      </c>
      <c r="G15" s="272">
        <v>0.55208333333333337</v>
      </c>
      <c r="I15" s="115">
        <f t="shared" si="138"/>
        <v>6</v>
      </c>
      <c r="J15" s="115">
        <f t="shared" si="138"/>
        <v>2</v>
      </c>
      <c r="K15" s="115">
        <f t="shared" si="138"/>
        <v>4</v>
      </c>
      <c r="L15" s="115">
        <f t="shared" si="138"/>
        <v>8</v>
      </c>
      <c r="M15" s="115">
        <f t="shared" si="138"/>
        <v>3</v>
      </c>
      <c r="N15" s="115">
        <f t="shared" si="138"/>
        <v>1</v>
      </c>
      <c r="O15" s="115">
        <f t="shared" si="138"/>
        <v>5</v>
      </c>
      <c r="P15" s="241">
        <f t="shared" si="138"/>
        <v>7</v>
      </c>
      <c r="Q15" s="115">
        <f t="shared" si="138"/>
        <v>4</v>
      </c>
      <c r="R15" s="115">
        <f t="shared" si="138"/>
        <v>8</v>
      </c>
      <c r="S15" s="115">
        <f t="shared" si="138"/>
        <v>3</v>
      </c>
      <c r="T15" s="115">
        <f t="shared" si="138"/>
        <v>7</v>
      </c>
      <c r="U15" s="115">
        <f t="shared" si="138"/>
        <v>1</v>
      </c>
      <c r="V15" s="115">
        <f t="shared" si="138"/>
        <v>5</v>
      </c>
      <c r="W15" s="115">
        <f t="shared" si="138"/>
        <v>6</v>
      </c>
      <c r="X15" s="241">
        <f t="shared" si="138"/>
        <v>2</v>
      </c>
      <c r="Y15" s="115">
        <f t="shared" si="128"/>
        <v>3</v>
      </c>
      <c r="Z15" s="115">
        <f t="shared" si="128"/>
        <v>1</v>
      </c>
      <c r="AA15" s="115">
        <f t="shared" si="128"/>
        <v>2</v>
      </c>
      <c r="AB15" s="115">
        <f t="shared" si="128"/>
        <v>6</v>
      </c>
      <c r="AC15" s="115">
        <f t="shared" si="128"/>
        <v>5</v>
      </c>
      <c r="AD15" s="115">
        <f t="shared" si="128"/>
        <v>7</v>
      </c>
      <c r="AE15" s="115">
        <f t="shared" si="128"/>
        <v>4</v>
      </c>
      <c r="AF15" s="241">
        <f t="shared" si="128"/>
        <v>8</v>
      </c>
      <c r="AG15" s="115">
        <f t="shared" si="129"/>
        <v>5</v>
      </c>
      <c r="AH15" s="115">
        <f t="shared" si="129"/>
        <v>7</v>
      </c>
      <c r="AI15" s="115">
        <f t="shared" si="129"/>
        <v>6</v>
      </c>
      <c r="AJ15" s="115">
        <f t="shared" si="129"/>
        <v>4</v>
      </c>
      <c r="AK15" s="115">
        <f t="shared" si="129"/>
        <v>2</v>
      </c>
      <c r="AL15" s="115">
        <f t="shared" si="129"/>
        <v>8</v>
      </c>
      <c r="AM15" s="115">
        <f t="shared" si="129"/>
        <v>3</v>
      </c>
      <c r="AN15" s="241">
        <f t="shared" si="129"/>
        <v>1</v>
      </c>
      <c r="AP15" s="115">
        <f t="shared" si="130"/>
        <v>6</v>
      </c>
      <c r="AQ15" s="115">
        <f t="shared" si="130"/>
        <v>2</v>
      </c>
      <c r="AR15" s="115">
        <f t="shared" si="130"/>
        <v>4</v>
      </c>
      <c r="AS15" s="115">
        <f t="shared" si="130"/>
        <v>3</v>
      </c>
      <c r="AT15" s="115">
        <f t="shared" si="130"/>
        <v>1</v>
      </c>
      <c r="AU15" s="115">
        <f t="shared" si="130"/>
        <v>5</v>
      </c>
      <c r="AV15" s="241">
        <f t="shared" si="130"/>
        <v>7</v>
      </c>
      <c r="AW15" s="115">
        <f t="shared" si="130"/>
        <v>4</v>
      </c>
      <c r="AX15" s="115">
        <f t="shared" si="130"/>
        <v>3</v>
      </c>
      <c r="AY15" s="115">
        <f t="shared" si="130"/>
        <v>7</v>
      </c>
      <c r="AZ15" s="115">
        <f t="shared" si="130"/>
        <v>1</v>
      </c>
      <c r="BA15" s="115">
        <f t="shared" si="130"/>
        <v>5</v>
      </c>
      <c r="BB15" s="115">
        <f t="shared" si="130"/>
        <v>6</v>
      </c>
      <c r="BC15" s="241">
        <f t="shared" si="130"/>
        <v>2</v>
      </c>
      <c r="BD15" s="115">
        <f t="shared" si="131"/>
        <v>3</v>
      </c>
      <c r="BE15" s="115">
        <f t="shared" si="131"/>
        <v>1</v>
      </c>
      <c r="BF15" s="115">
        <f t="shared" si="131"/>
        <v>2</v>
      </c>
      <c r="BG15" s="115">
        <f t="shared" si="131"/>
        <v>6</v>
      </c>
      <c r="BH15" s="115">
        <f t="shared" si="131"/>
        <v>5</v>
      </c>
      <c r="BI15" s="115">
        <f t="shared" si="131"/>
        <v>7</v>
      </c>
      <c r="BJ15" s="241">
        <f t="shared" si="131"/>
        <v>4</v>
      </c>
      <c r="BK15" s="115">
        <f t="shared" si="131"/>
        <v>5</v>
      </c>
      <c r="BL15" s="115">
        <f t="shared" si="131"/>
        <v>7</v>
      </c>
      <c r="BM15" s="115">
        <f t="shared" si="131"/>
        <v>6</v>
      </c>
      <c r="BN15" s="115">
        <f t="shared" si="131"/>
        <v>4</v>
      </c>
      <c r="BO15" s="115">
        <f t="shared" si="131"/>
        <v>2</v>
      </c>
      <c r="BP15" s="115">
        <f t="shared" si="131"/>
        <v>3</v>
      </c>
      <c r="BQ15" s="241">
        <f t="shared" si="131"/>
        <v>1</v>
      </c>
      <c r="BS15" s="115">
        <f t="shared" si="132"/>
        <v>6</v>
      </c>
      <c r="BT15" s="115">
        <f t="shared" si="132"/>
        <v>2</v>
      </c>
      <c r="BU15" s="115">
        <f t="shared" si="132"/>
        <v>4</v>
      </c>
      <c r="BV15" s="115">
        <f t="shared" si="132"/>
        <v>3</v>
      </c>
      <c r="BW15" s="115">
        <f t="shared" si="132"/>
        <v>1</v>
      </c>
      <c r="BX15" s="241">
        <f t="shared" si="132"/>
        <v>5</v>
      </c>
      <c r="BY15" s="115">
        <f t="shared" si="132"/>
        <v>4</v>
      </c>
      <c r="BZ15" s="115">
        <f t="shared" si="132"/>
        <v>3</v>
      </c>
      <c r="CA15" s="115">
        <f t="shared" si="132"/>
        <v>1</v>
      </c>
      <c r="CB15" s="115">
        <f t="shared" si="132"/>
        <v>5</v>
      </c>
      <c r="CC15" s="115">
        <f t="shared" si="132"/>
        <v>6</v>
      </c>
      <c r="CD15" s="241">
        <f t="shared" si="132"/>
        <v>2</v>
      </c>
      <c r="CE15" s="115">
        <f t="shared" si="133"/>
        <v>3</v>
      </c>
      <c r="CF15" s="115">
        <f t="shared" si="133"/>
        <v>1</v>
      </c>
      <c r="CG15" s="115">
        <f t="shared" si="133"/>
        <v>2</v>
      </c>
      <c r="CH15" s="115">
        <f t="shared" si="133"/>
        <v>6</v>
      </c>
      <c r="CI15" s="115">
        <f t="shared" si="133"/>
        <v>5</v>
      </c>
      <c r="CJ15" s="241">
        <f t="shared" si="133"/>
        <v>4</v>
      </c>
      <c r="CK15" s="115">
        <f t="shared" si="133"/>
        <v>5</v>
      </c>
      <c r="CL15" s="115">
        <f t="shared" si="133"/>
        <v>6</v>
      </c>
      <c r="CM15" s="115">
        <f t="shared" si="133"/>
        <v>4</v>
      </c>
      <c r="CN15" s="115">
        <f t="shared" si="133"/>
        <v>2</v>
      </c>
      <c r="CO15" s="115">
        <f t="shared" si="133"/>
        <v>3</v>
      </c>
      <c r="CP15" s="241">
        <f t="shared" si="133"/>
        <v>1</v>
      </c>
      <c r="CR15" s="115">
        <f t="shared" si="134"/>
        <v>2</v>
      </c>
      <c r="CS15" s="115">
        <f t="shared" si="134"/>
        <v>4</v>
      </c>
      <c r="CT15" s="115">
        <f t="shared" si="134"/>
        <v>3</v>
      </c>
      <c r="CU15" s="115">
        <f t="shared" si="134"/>
        <v>1</v>
      </c>
      <c r="CV15" s="241">
        <f t="shared" si="134"/>
        <v>5</v>
      </c>
      <c r="CW15" s="115">
        <f t="shared" si="134"/>
        <v>4</v>
      </c>
      <c r="CX15" s="115">
        <f t="shared" si="134"/>
        <v>3</v>
      </c>
      <c r="CY15" s="115">
        <f t="shared" si="134"/>
        <v>1</v>
      </c>
      <c r="CZ15" s="115">
        <f t="shared" si="134"/>
        <v>5</v>
      </c>
      <c r="DA15" s="241">
        <f t="shared" si="134"/>
        <v>2</v>
      </c>
      <c r="DB15" s="115">
        <f t="shared" si="134"/>
        <v>3</v>
      </c>
      <c r="DC15" s="115">
        <f t="shared" si="134"/>
        <v>1</v>
      </c>
      <c r="DD15" s="115">
        <f t="shared" si="134"/>
        <v>2</v>
      </c>
      <c r="DE15" s="115">
        <f t="shared" si="134"/>
        <v>5</v>
      </c>
      <c r="DF15" s="241">
        <f t="shared" si="134"/>
        <v>4</v>
      </c>
      <c r="DG15" s="115">
        <f t="shared" si="135"/>
        <v>5</v>
      </c>
      <c r="DH15" s="115">
        <f t="shared" si="135"/>
        <v>4</v>
      </c>
      <c r="DI15" s="115">
        <f t="shared" si="135"/>
        <v>2</v>
      </c>
      <c r="DJ15" s="115">
        <f t="shared" si="135"/>
        <v>3</v>
      </c>
      <c r="DK15" s="241">
        <f t="shared" si="135"/>
        <v>1</v>
      </c>
      <c r="DM15" s="324">
        <f t="shared" si="136"/>
        <v>2</v>
      </c>
      <c r="DN15" s="321">
        <f t="shared" si="136"/>
        <v>4</v>
      </c>
      <c r="DO15" s="321">
        <f t="shared" si="136"/>
        <v>3</v>
      </c>
      <c r="DP15" s="241">
        <f t="shared" si="136"/>
        <v>1</v>
      </c>
      <c r="DQ15" s="324">
        <f t="shared" si="136"/>
        <v>4</v>
      </c>
      <c r="DR15" s="321">
        <f t="shared" si="136"/>
        <v>3</v>
      </c>
      <c r="DS15" s="321">
        <f t="shared" si="136"/>
        <v>1</v>
      </c>
      <c r="DT15" s="241">
        <f t="shared" si="136"/>
        <v>2</v>
      </c>
      <c r="DU15" s="324">
        <f t="shared" si="136"/>
        <v>3</v>
      </c>
      <c r="DV15" s="321">
        <f t="shared" si="136"/>
        <v>1</v>
      </c>
      <c r="DW15" s="321">
        <f t="shared" si="136"/>
        <v>2</v>
      </c>
      <c r="DX15" s="241">
        <f t="shared" si="136"/>
        <v>4</v>
      </c>
      <c r="DY15" s="324">
        <f t="shared" si="137"/>
        <v>4</v>
      </c>
      <c r="DZ15" s="321">
        <f t="shared" si="137"/>
        <v>2</v>
      </c>
      <c r="EA15" s="321">
        <f t="shared" si="137"/>
        <v>3</v>
      </c>
      <c r="EB15" s="241">
        <f t="shared" si="137"/>
        <v>1</v>
      </c>
      <c r="EC15" s="306"/>
      <c r="ED15" s="66">
        <f>$EE$15*10+EF15</f>
        <v>51</v>
      </c>
      <c r="EE15" s="66">
        <v>5</v>
      </c>
      <c r="EF15" s="66">
        <v>1</v>
      </c>
      <c r="EG15" s="66" t="s">
        <v>112</v>
      </c>
      <c r="EH15" s="66">
        <v>96</v>
      </c>
      <c r="EJ15" s="87" t="str">
        <f t="shared" si="11"/>
        <v>'Track1'!</v>
      </c>
      <c r="EK15" s="87" t="s">
        <v>447</v>
      </c>
      <c r="EL15" s="87" t="s">
        <v>280</v>
      </c>
      <c r="EM15" s="64" t="str">
        <f t="shared" ca="1" si="12"/>
        <v>-</v>
      </c>
      <c r="EN15" s="64" t="str">
        <f t="shared" ca="1" si="13"/>
        <v>-</v>
      </c>
      <c r="EO15" s="87" t="str">
        <f t="shared" si="14"/>
        <v>'Track1'!</v>
      </c>
      <c r="EP15" s="87" t="s">
        <v>447</v>
      </c>
      <c r="EQ15" s="87" t="s">
        <v>165</v>
      </c>
      <c r="ER15" s="87" t="str">
        <f t="shared" ca="1" si="0"/>
        <v>-</v>
      </c>
      <c r="ES15" s="64" t="str">
        <f t="shared" ca="1" si="15"/>
        <v>-</v>
      </c>
      <c r="EW15" s="65">
        <v>13.4</v>
      </c>
    </row>
    <row r="16" spans="1:153" x14ac:dyDescent="0.35">
      <c r="A16" s="353" t="s">
        <v>353</v>
      </c>
      <c r="B16" s="64" t="s">
        <v>13</v>
      </c>
      <c r="C16" s="64" t="s">
        <v>6</v>
      </c>
      <c r="D16" s="66">
        <v>16</v>
      </c>
      <c r="E16" s="66">
        <v>84</v>
      </c>
      <c r="F16" s="272">
        <v>0.55555555555555558</v>
      </c>
      <c r="G16" s="272">
        <v>0.55902777777777779</v>
      </c>
      <c r="I16" s="115">
        <f t="shared" si="138"/>
        <v>6</v>
      </c>
      <c r="J16" s="115">
        <f t="shared" si="138"/>
        <v>2</v>
      </c>
      <c r="K16" s="115">
        <f t="shared" si="138"/>
        <v>4</v>
      </c>
      <c r="L16" s="115">
        <f t="shared" si="138"/>
        <v>8</v>
      </c>
      <c r="M16" s="115">
        <f t="shared" si="138"/>
        <v>3</v>
      </c>
      <c r="N16" s="115">
        <f t="shared" si="138"/>
        <v>1</v>
      </c>
      <c r="O16" s="115">
        <f t="shared" si="138"/>
        <v>5</v>
      </c>
      <c r="P16" s="241">
        <f t="shared" si="138"/>
        <v>7</v>
      </c>
      <c r="Q16" s="115">
        <f t="shared" si="138"/>
        <v>4</v>
      </c>
      <c r="R16" s="115">
        <f t="shared" si="138"/>
        <v>8</v>
      </c>
      <c r="S16" s="115">
        <f t="shared" si="138"/>
        <v>3</v>
      </c>
      <c r="T16" s="115">
        <f t="shared" si="138"/>
        <v>7</v>
      </c>
      <c r="U16" s="115">
        <f t="shared" si="138"/>
        <v>1</v>
      </c>
      <c r="V16" s="115">
        <f t="shared" si="138"/>
        <v>5</v>
      </c>
      <c r="W16" s="115">
        <f t="shared" si="138"/>
        <v>6</v>
      </c>
      <c r="X16" s="241">
        <f t="shared" si="138"/>
        <v>2</v>
      </c>
      <c r="Y16" s="115">
        <f t="shared" si="128"/>
        <v>3</v>
      </c>
      <c r="Z16" s="115">
        <f t="shared" si="128"/>
        <v>1</v>
      </c>
      <c r="AA16" s="115">
        <f t="shared" si="128"/>
        <v>2</v>
      </c>
      <c r="AB16" s="115">
        <f t="shared" si="128"/>
        <v>6</v>
      </c>
      <c r="AC16" s="115">
        <f t="shared" si="128"/>
        <v>5</v>
      </c>
      <c r="AD16" s="115">
        <f t="shared" si="128"/>
        <v>7</v>
      </c>
      <c r="AE16" s="115">
        <f t="shared" si="128"/>
        <v>4</v>
      </c>
      <c r="AF16" s="241">
        <f t="shared" si="128"/>
        <v>8</v>
      </c>
      <c r="AG16" s="115">
        <f t="shared" si="129"/>
        <v>5</v>
      </c>
      <c r="AH16" s="115">
        <f t="shared" si="129"/>
        <v>7</v>
      </c>
      <c r="AI16" s="115">
        <f t="shared" si="129"/>
        <v>6</v>
      </c>
      <c r="AJ16" s="115">
        <f t="shared" si="129"/>
        <v>4</v>
      </c>
      <c r="AK16" s="115">
        <f t="shared" si="129"/>
        <v>2</v>
      </c>
      <c r="AL16" s="115">
        <f t="shared" si="129"/>
        <v>8</v>
      </c>
      <c r="AM16" s="115">
        <f t="shared" si="129"/>
        <v>3</v>
      </c>
      <c r="AN16" s="241">
        <f t="shared" si="129"/>
        <v>1</v>
      </c>
      <c r="AP16" s="115">
        <f t="shared" si="130"/>
        <v>6</v>
      </c>
      <c r="AQ16" s="115">
        <f t="shared" si="130"/>
        <v>2</v>
      </c>
      <c r="AR16" s="115">
        <f t="shared" si="130"/>
        <v>4</v>
      </c>
      <c r="AS16" s="115">
        <f t="shared" si="130"/>
        <v>3</v>
      </c>
      <c r="AT16" s="115">
        <f t="shared" si="130"/>
        <v>1</v>
      </c>
      <c r="AU16" s="115">
        <f t="shared" si="130"/>
        <v>5</v>
      </c>
      <c r="AV16" s="241">
        <f t="shared" si="130"/>
        <v>7</v>
      </c>
      <c r="AW16" s="115">
        <f t="shared" si="130"/>
        <v>4</v>
      </c>
      <c r="AX16" s="115">
        <f t="shared" si="130"/>
        <v>3</v>
      </c>
      <c r="AY16" s="115">
        <f t="shared" si="130"/>
        <v>7</v>
      </c>
      <c r="AZ16" s="115">
        <f t="shared" si="130"/>
        <v>1</v>
      </c>
      <c r="BA16" s="115">
        <f t="shared" si="130"/>
        <v>5</v>
      </c>
      <c r="BB16" s="115">
        <f t="shared" si="130"/>
        <v>6</v>
      </c>
      <c r="BC16" s="241">
        <f t="shared" si="130"/>
        <v>2</v>
      </c>
      <c r="BD16" s="115">
        <f t="shared" si="131"/>
        <v>3</v>
      </c>
      <c r="BE16" s="115">
        <f t="shared" si="131"/>
        <v>1</v>
      </c>
      <c r="BF16" s="115">
        <f t="shared" si="131"/>
        <v>2</v>
      </c>
      <c r="BG16" s="115">
        <f t="shared" si="131"/>
        <v>6</v>
      </c>
      <c r="BH16" s="115">
        <f t="shared" si="131"/>
        <v>5</v>
      </c>
      <c r="BI16" s="115">
        <f t="shared" si="131"/>
        <v>7</v>
      </c>
      <c r="BJ16" s="241">
        <f t="shared" si="131"/>
        <v>4</v>
      </c>
      <c r="BK16" s="115">
        <f t="shared" si="131"/>
        <v>5</v>
      </c>
      <c r="BL16" s="115">
        <f t="shared" si="131"/>
        <v>7</v>
      </c>
      <c r="BM16" s="115">
        <f t="shared" si="131"/>
        <v>6</v>
      </c>
      <c r="BN16" s="115">
        <f t="shared" si="131"/>
        <v>4</v>
      </c>
      <c r="BO16" s="115">
        <f t="shared" si="131"/>
        <v>2</v>
      </c>
      <c r="BP16" s="115">
        <f t="shared" si="131"/>
        <v>3</v>
      </c>
      <c r="BQ16" s="241">
        <f t="shared" si="131"/>
        <v>1</v>
      </c>
      <c r="BS16" s="115">
        <f t="shared" si="132"/>
        <v>6</v>
      </c>
      <c r="BT16" s="115">
        <f t="shared" si="132"/>
        <v>2</v>
      </c>
      <c r="BU16" s="115">
        <f t="shared" si="132"/>
        <v>4</v>
      </c>
      <c r="BV16" s="115">
        <f t="shared" si="132"/>
        <v>3</v>
      </c>
      <c r="BW16" s="115">
        <f t="shared" si="132"/>
        <v>1</v>
      </c>
      <c r="BX16" s="241">
        <f t="shared" si="132"/>
        <v>5</v>
      </c>
      <c r="BY16" s="115">
        <f t="shared" si="132"/>
        <v>4</v>
      </c>
      <c r="BZ16" s="115">
        <f t="shared" si="132"/>
        <v>3</v>
      </c>
      <c r="CA16" s="115">
        <f t="shared" si="132"/>
        <v>1</v>
      </c>
      <c r="CB16" s="115">
        <f t="shared" si="132"/>
        <v>5</v>
      </c>
      <c r="CC16" s="115">
        <f t="shared" si="132"/>
        <v>6</v>
      </c>
      <c r="CD16" s="241">
        <f t="shared" si="132"/>
        <v>2</v>
      </c>
      <c r="CE16" s="115">
        <f t="shared" si="133"/>
        <v>3</v>
      </c>
      <c r="CF16" s="115">
        <f t="shared" si="133"/>
        <v>1</v>
      </c>
      <c r="CG16" s="115">
        <f t="shared" si="133"/>
        <v>2</v>
      </c>
      <c r="CH16" s="115">
        <f t="shared" si="133"/>
        <v>6</v>
      </c>
      <c r="CI16" s="115">
        <f t="shared" si="133"/>
        <v>5</v>
      </c>
      <c r="CJ16" s="241">
        <f t="shared" si="133"/>
        <v>4</v>
      </c>
      <c r="CK16" s="115">
        <f t="shared" si="133"/>
        <v>5</v>
      </c>
      <c r="CL16" s="115">
        <f t="shared" si="133"/>
        <v>6</v>
      </c>
      <c r="CM16" s="115">
        <f t="shared" si="133"/>
        <v>4</v>
      </c>
      <c r="CN16" s="115">
        <f t="shared" si="133"/>
        <v>2</v>
      </c>
      <c r="CO16" s="115">
        <f t="shared" si="133"/>
        <v>3</v>
      </c>
      <c r="CP16" s="241">
        <f t="shared" si="133"/>
        <v>1</v>
      </c>
      <c r="CR16" s="115">
        <f t="shared" si="134"/>
        <v>2</v>
      </c>
      <c r="CS16" s="115">
        <f t="shared" si="134"/>
        <v>4</v>
      </c>
      <c r="CT16" s="115">
        <f t="shared" si="134"/>
        <v>3</v>
      </c>
      <c r="CU16" s="115">
        <f t="shared" si="134"/>
        <v>1</v>
      </c>
      <c r="CV16" s="241">
        <f t="shared" si="134"/>
        <v>5</v>
      </c>
      <c r="CW16" s="115">
        <f t="shared" si="134"/>
        <v>4</v>
      </c>
      <c r="CX16" s="115">
        <f t="shared" si="134"/>
        <v>3</v>
      </c>
      <c r="CY16" s="115">
        <f t="shared" si="134"/>
        <v>1</v>
      </c>
      <c r="CZ16" s="115">
        <f t="shared" si="134"/>
        <v>5</v>
      </c>
      <c r="DA16" s="241">
        <f t="shared" si="134"/>
        <v>2</v>
      </c>
      <c r="DB16" s="115">
        <f t="shared" si="134"/>
        <v>3</v>
      </c>
      <c r="DC16" s="115">
        <f t="shared" si="134"/>
        <v>1</v>
      </c>
      <c r="DD16" s="115">
        <f t="shared" si="134"/>
        <v>2</v>
      </c>
      <c r="DE16" s="115">
        <f t="shared" si="134"/>
        <v>5</v>
      </c>
      <c r="DF16" s="241">
        <f t="shared" si="134"/>
        <v>4</v>
      </c>
      <c r="DG16" s="115">
        <f t="shared" si="135"/>
        <v>5</v>
      </c>
      <c r="DH16" s="115">
        <f t="shared" si="135"/>
        <v>4</v>
      </c>
      <c r="DI16" s="115">
        <f t="shared" si="135"/>
        <v>2</v>
      </c>
      <c r="DJ16" s="115">
        <f t="shared" si="135"/>
        <v>3</v>
      </c>
      <c r="DK16" s="241">
        <f t="shared" si="135"/>
        <v>1</v>
      </c>
      <c r="DM16" s="324">
        <f t="shared" si="136"/>
        <v>2</v>
      </c>
      <c r="DN16" s="321">
        <f t="shared" si="136"/>
        <v>4</v>
      </c>
      <c r="DO16" s="321">
        <f t="shared" si="136"/>
        <v>3</v>
      </c>
      <c r="DP16" s="241">
        <f t="shared" si="136"/>
        <v>1</v>
      </c>
      <c r="DQ16" s="324">
        <f t="shared" si="136"/>
        <v>4</v>
      </c>
      <c r="DR16" s="321">
        <f t="shared" si="136"/>
        <v>3</v>
      </c>
      <c r="DS16" s="321">
        <f t="shared" si="136"/>
        <v>1</v>
      </c>
      <c r="DT16" s="241">
        <f t="shared" si="136"/>
        <v>2</v>
      </c>
      <c r="DU16" s="324">
        <f t="shared" si="136"/>
        <v>3</v>
      </c>
      <c r="DV16" s="321">
        <f t="shared" si="136"/>
        <v>1</v>
      </c>
      <c r="DW16" s="321">
        <f t="shared" si="136"/>
        <v>2</v>
      </c>
      <c r="DX16" s="241">
        <f t="shared" si="136"/>
        <v>4</v>
      </c>
      <c r="DY16" s="324">
        <f t="shared" si="137"/>
        <v>4</v>
      </c>
      <c r="DZ16" s="321">
        <f t="shared" si="137"/>
        <v>2</v>
      </c>
      <c r="EA16" s="321">
        <f t="shared" si="137"/>
        <v>3</v>
      </c>
      <c r="EB16" s="241">
        <f t="shared" si="137"/>
        <v>1</v>
      </c>
      <c r="EC16" s="306"/>
      <c r="ED16" s="66">
        <f>$EE$15*10+EF16</f>
        <v>52</v>
      </c>
      <c r="EF16" s="66">
        <v>2</v>
      </c>
      <c r="EG16" s="66" t="s">
        <v>113</v>
      </c>
      <c r="EH16" s="66">
        <f>EH15+$EE$15</f>
        <v>101</v>
      </c>
      <c r="EJ16" s="87" t="str">
        <f t="shared" si="11"/>
        <v>'Track1'!</v>
      </c>
      <c r="EK16" s="87" t="s">
        <v>447</v>
      </c>
      <c r="EL16" s="87" t="s">
        <v>280</v>
      </c>
      <c r="EM16" s="64" t="str">
        <f t="shared" ca="1" si="12"/>
        <v>-</v>
      </c>
      <c r="EN16" s="64" t="str">
        <f t="shared" ca="1" si="13"/>
        <v>-</v>
      </c>
      <c r="EO16" s="87" t="str">
        <f t="shared" si="14"/>
        <v>'Track1'!</v>
      </c>
      <c r="EP16" s="87" t="s">
        <v>447</v>
      </c>
      <c r="EQ16" s="87" t="s">
        <v>165</v>
      </c>
      <c r="ER16" s="87" t="str">
        <f t="shared" ca="1" si="0"/>
        <v>-</v>
      </c>
      <c r="ES16" s="64" t="str">
        <f t="shared" ca="1" si="15"/>
        <v>-</v>
      </c>
      <c r="EW16" s="65">
        <v>13.45</v>
      </c>
    </row>
    <row r="17" spans="1:153" x14ac:dyDescent="0.35">
      <c r="A17" s="353" t="s">
        <v>354</v>
      </c>
      <c r="B17" s="64" t="s">
        <v>13</v>
      </c>
      <c r="C17" s="64" t="s">
        <v>7</v>
      </c>
      <c r="D17" s="66">
        <v>17</v>
      </c>
      <c r="F17" s="272">
        <v>0.55902777777777779</v>
      </c>
      <c r="G17" s="272">
        <v>0.5625</v>
      </c>
      <c r="I17" s="115">
        <f t="shared" si="138"/>
        <v>6</v>
      </c>
      <c r="J17" s="115">
        <f t="shared" si="138"/>
        <v>2</v>
      </c>
      <c r="K17" s="115">
        <f t="shared" si="138"/>
        <v>4</v>
      </c>
      <c r="L17" s="115">
        <f t="shared" si="138"/>
        <v>8</v>
      </c>
      <c r="M17" s="115">
        <f t="shared" si="138"/>
        <v>3</v>
      </c>
      <c r="N17" s="115">
        <f t="shared" si="138"/>
        <v>1</v>
      </c>
      <c r="O17" s="115">
        <f t="shared" si="138"/>
        <v>5</v>
      </c>
      <c r="P17" s="241">
        <f t="shared" si="138"/>
        <v>7</v>
      </c>
      <c r="Q17" s="115">
        <f t="shared" si="138"/>
        <v>4</v>
      </c>
      <c r="R17" s="115">
        <f t="shared" si="138"/>
        <v>8</v>
      </c>
      <c r="S17" s="115">
        <f t="shared" si="138"/>
        <v>3</v>
      </c>
      <c r="T17" s="115">
        <f t="shared" si="138"/>
        <v>7</v>
      </c>
      <c r="U17" s="115">
        <f t="shared" si="138"/>
        <v>1</v>
      </c>
      <c r="V17" s="115">
        <f t="shared" si="138"/>
        <v>5</v>
      </c>
      <c r="W17" s="115">
        <f t="shared" si="138"/>
        <v>6</v>
      </c>
      <c r="X17" s="241">
        <f t="shared" si="138"/>
        <v>2</v>
      </c>
      <c r="Y17" s="115">
        <f t="shared" si="128"/>
        <v>3</v>
      </c>
      <c r="Z17" s="115">
        <f t="shared" si="128"/>
        <v>1</v>
      </c>
      <c r="AA17" s="115">
        <f t="shared" si="128"/>
        <v>2</v>
      </c>
      <c r="AB17" s="115">
        <f t="shared" si="128"/>
        <v>6</v>
      </c>
      <c r="AC17" s="115">
        <f t="shared" si="128"/>
        <v>5</v>
      </c>
      <c r="AD17" s="115">
        <f t="shared" si="128"/>
        <v>7</v>
      </c>
      <c r="AE17" s="115">
        <f t="shared" si="128"/>
        <v>4</v>
      </c>
      <c r="AF17" s="241">
        <f t="shared" si="128"/>
        <v>8</v>
      </c>
      <c r="AG17" s="115">
        <f t="shared" si="129"/>
        <v>5</v>
      </c>
      <c r="AH17" s="115">
        <f t="shared" si="129"/>
        <v>7</v>
      </c>
      <c r="AI17" s="115">
        <f t="shared" si="129"/>
        <v>6</v>
      </c>
      <c r="AJ17" s="115">
        <f t="shared" si="129"/>
        <v>4</v>
      </c>
      <c r="AK17" s="115">
        <f t="shared" si="129"/>
        <v>2</v>
      </c>
      <c r="AL17" s="115">
        <f t="shared" si="129"/>
        <v>8</v>
      </c>
      <c r="AM17" s="115">
        <f t="shared" si="129"/>
        <v>3</v>
      </c>
      <c r="AN17" s="241">
        <f t="shared" si="129"/>
        <v>1</v>
      </c>
      <c r="AP17" s="115">
        <f t="shared" si="130"/>
        <v>6</v>
      </c>
      <c r="AQ17" s="115">
        <f t="shared" si="130"/>
        <v>2</v>
      </c>
      <c r="AR17" s="115">
        <f t="shared" si="130"/>
        <v>4</v>
      </c>
      <c r="AS17" s="115">
        <f t="shared" si="130"/>
        <v>3</v>
      </c>
      <c r="AT17" s="115">
        <f t="shared" si="130"/>
        <v>1</v>
      </c>
      <c r="AU17" s="115">
        <f t="shared" si="130"/>
        <v>5</v>
      </c>
      <c r="AV17" s="241">
        <f t="shared" si="130"/>
        <v>7</v>
      </c>
      <c r="AW17" s="115">
        <f t="shared" si="130"/>
        <v>4</v>
      </c>
      <c r="AX17" s="115">
        <f t="shared" si="130"/>
        <v>3</v>
      </c>
      <c r="AY17" s="115">
        <f t="shared" si="130"/>
        <v>7</v>
      </c>
      <c r="AZ17" s="115">
        <f t="shared" si="130"/>
        <v>1</v>
      </c>
      <c r="BA17" s="115">
        <f t="shared" si="130"/>
        <v>5</v>
      </c>
      <c r="BB17" s="115">
        <f t="shared" si="130"/>
        <v>6</v>
      </c>
      <c r="BC17" s="241">
        <f t="shared" si="130"/>
        <v>2</v>
      </c>
      <c r="BD17" s="115">
        <f t="shared" si="131"/>
        <v>3</v>
      </c>
      <c r="BE17" s="115">
        <f t="shared" si="131"/>
        <v>1</v>
      </c>
      <c r="BF17" s="115">
        <f t="shared" si="131"/>
        <v>2</v>
      </c>
      <c r="BG17" s="115">
        <f t="shared" si="131"/>
        <v>6</v>
      </c>
      <c r="BH17" s="115">
        <f t="shared" si="131"/>
        <v>5</v>
      </c>
      <c r="BI17" s="115">
        <f t="shared" si="131"/>
        <v>7</v>
      </c>
      <c r="BJ17" s="241">
        <f t="shared" si="131"/>
        <v>4</v>
      </c>
      <c r="BK17" s="115">
        <f t="shared" si="131"/>
        <v>5</v>
      </c>
      <c r="BL17" s="115">
        <f t="shared" si="131"/>
        <v>7</v>
      </c>
      <c r="BM17" s="115">
        <f t="shared" si="131"/>
        <v>6</v>
      </c>
      <c r="BN17" s="115">
        <f t="shared" si="131"/>
        <v>4</v>
      </c>
      <c r="BO17" s="115">
        <f t="shared" si="131"/>
        <v>2</v>
      </c>
      <c r="BP17" s="115">
        <f t="shared" si="131"/>
        <v>3</v>
      </c>
      <c r="BQ17" s="241">
        <f t="shared" si="131"/>
        <v>1</v>
      </c>
      <c r="BS17" s="115">
        <f t="shared" si="132"/>
        <v>6</v>
      </c>
      <c r="BT17" s="115">
        <f t="shared" si="132"/>
        <v>2</v>
      </c>
      <c r="BU17" s="115">
        <f t="shared" si="132"/>
        <v>4</v>
      </c>
      <c r="BV17" s="115">
        <f t="shared" si="132"/>
        <v>3</v>
      </c>
      <c r="BW17" s="115">
        <f t="shared" si="132"/>
        <v>1</v>
      </c>
      <c r="BX17" s="241">
        <f t="shared" si="132"/>
        <v>5</v>
      </c>
      <c r="BY17" s="115">
        <f t="shared" si="132"/>
        <v>4</v>
      </c>
      <c r="BZ17" s="115">
        <f t="shared" si="132"/>
        <v>3</v>
      </c>
      <c r="CA17" s="115">
        <f t="shared" si="132"/>
        <v>1</v>
      </c>
      <c r="CB17" s="115">
        <f t="shared" si="132"/>
        <v>5</v>
      </c>
      <c r="CC17" s="115">
        <f t="shared" si="132"/>
        <v>6</v>
      </c>
      <c r="CD17" s="241">
        <f t="shared" si="132"/>
        <v>2</v>
      </c>
      <c r="CE17" s="115">
        <f t="shared" si="133"/>
        <v>3</v>
      </c>
      <c r="CF17" s="115">
        <f t="shared" si="133"/>
        <v>1</v>
      </c>
      <c r="CG17" s="115">
        <f t="shared" si="133"/>
        <v>2</v>
      </c>
      <c r="CH17" s="115">
        <f t="shared" si="133"/>
        <v>6</v>
      </c>
      <c r="CI17" s="115">
        <f t="shared" si="133"/>
        <v>5</v>
      </c>
      <c r="CJ17" s="241">
        <f t="shared" si="133"/>
        <v>4</v>
      </c>
      <c r="CK17" s="115">
        <f t="shared" si="133"/>
        <v>5</v>
      </c>
      <c r="CL17" s="115">
        <f t="shared" si="133"/>
        <v>6</v>
      </c>
      <c r="CM17" s="115">
        <f t="shared" si="133"/>
        <v>4</v>
      </c>
      <c r="CN17" s="115">
        <f t="shared" si="133"/>
        <v>2</v>
      </c>
      <c r="CO17" s="115">
        <f t="shared" si="133"/>
        <v>3</v>
      </c>
      <c r="CP17" s="241">
        <f t="shared" si="133"/>
        <v>1</v>
      </c>
      <c r="CR17" s="115">
        <f t="shared" si="134"/>
        <v>2</v>
      </c>
      <c r="CS17" s="115">
        <f t="shared" si="134"/>
        <v>4</v>
      </c>
      <c r="CT17" s="115">
        <f t="shared" si="134"/>
        <v>3</v>
      </c>
      <c r="CU17" s="115">
        <f t="shared" si="134"/>
        <v>1</v>
      </c>
      <c r="CV17" s="241">
        <f t="shared" si="134"/>
        <v>5</v>
      </c>
      <c r="CW17" s="115">
        <f t="shared" si="134"/>
        <v>4</v>
      </c>
      <c r="CX17" s="115">
        <f t="shared" si="134"/>
        <v>3</v>
      </c>
      <c r="CY17" s="115">
        <f t="shared" si="134"/>
        <v>1</v>
      </c>
      <c r="CZ17" s="115">
        <f t="shared" si="134"/>
        <v>5</v>
      </c>
      <c r="DA17" s="241">
        <f t="shared" si="134"/>
        <v>2</v>
      </c>
      <c r="DB17" s="115">
        <f t="shared" si="134"/>
        <v>3</v>
      </c>
      <c r="DC17" s="115">
        <f t="shared" si="134"/>
        <v>1</v>
      </c>
      <c r="DD17" s="115">
        <f t="shared" si="134"/>
        <v>2</v>
      </c>
      <c r="DE17" s="115">
        <f t="shared" si="134"/>
        <v>5</v>
      </c>
      <c r="DF17" s="241">
        <f t="shared" si="134"/>
        <v>4</v>
      </c>
      <c r="DG17" s="115">
        <f t="shared" si="135"/>
        <v>5</v>
      </c>
      <c r="DH17" s="115">
        <f t="shared" si="135"/>
        <v>4</v>
      </c>
      <c r="DI17" s="115">
        <f t="shared" si="135"/>
        <v>2</v>
      </c>
      <c r="DJ17" s="115">
        <f t="shared" si="135"/>
        <v>3</v>
      </c>
      <c r="DK17" s="241">
        <f t="shared" si="135"/>
        <v>1</v>
      </c>
      <c r="DM17" s="324">
        <f t="shared" si="136"/>
        <v>2</v>
      </c>
      <c r="DN17" s="321">
        <f t="shared" si="136"/>
        <v>4</v>
      </c>
      <c r="DO17" s="321">
        <f t="shared" si="136"/>
        <v>3</v>
      </c>
      <c r="DP17" s="241">
        <f t="shared" si="136"/>
        <v>1</v>
      </c>
      <c r="DQ17" s="324">
        <f t="shared" si="136"/>
        <v>4</v>
      </c>
      <c r="DR17" s="321">
        <f t="shared" si="136"/>
        <v>3</v>
      </c>
      <c r="DS17" s="321">
        <f t="shared" si="136"/>
        <v>1</v>
      </c>
      <c r="DT17" s="241">
        <f t="shared" si="136"/>
        <v>2</v>
      </c>
      <c r="DU17" s="324">
        <f t="shared" si="136"/>
        <v>3</v>
      </c>
      <c r="DV17" s="321">
        <f t="shared" si="136"/>
        <v>1</v>
      </c>
      <c r="DW17" s="321">
        <f t="shared" si="136"/>
        <v>2</v>
      </c>
      <c r="DX17" s="241">
        <f t="shared" si="136"/>
        <v>4</v>
      </c>
      <c r="DY17" s="324">
        <f t="shared" si="137"/>
        <v>4</v>
      </c>
      <c r="DZ17" s="321">
        <f t="shared" si="137"/>
        <v>2</v>
      </c>
      <c r="EA17" s="321">
        <f t="shared" si="137"/>
        <v>3</v>
      </c>
      <c r="EB17" s="241">
        <f t="shared" si="137"/>
        <v>1</v>
      </c>
      <c r="EC17" s="306"/>
      <c r="ED17" s="66">
        <f>$EE$15*10+EF17</f>
        <v>53</v>
      </c>
      <c r="EF17" s="66">
        <v>3</v>
      </c>
      <c r="EG17" s="66" t="s">
        <v>114</v>
      </c>
      <c r="EH17" s="66">
        <f>EH16+$EE$15</f>
        <v>106</v>
      </c>
      <c r="EJ17" s="87" t="str">
        <f t="shared" si="11"/>
        <v>'Track1'!</v>
      </c>
      <c r="EK17" s="87" t="s">
        <v>447</v>
      </c>
      <c r="EL17" s="87" t="s">
        <v>280</v>
      </c>
      <c r="EM17" s="64" t="str">
        <f t="shared" ca="1" si="12"/>
        <v>-</v>
      </c>
      <c r="EN17" s="64" t="str">
        <f t="shared" ca="1" si="13"/>
        <v>-</v>
      </c>
      <c r="EO17" s="87" t="str">
        <f t="shared" si="14"/>
        <v>'Track1'!</v>
      </c>
      <c r="EP17" s="87" t="s">
        <v>447</v>
      </c>
      <c r="EQ17" s="87" t="s">
        <v>165</v>
      </c>
      <c r="ER17" s="87" t="str">
        <f t="shared" ca="1" si="0"/>
        <v>-</v>
      </c>
      <c r="ES17" s="64" t="str">
        <f t="shared" ca="1" si="15"/>
        <v>-</v>
      </c>
      <c r="EW17" s="65">
        <v>13.5</v>
      </c>
    </row>
    <row r="18" spans="1:153" x14ac:dyDescent="0.35">
      <c r="A18" s="353" t="s">
        <v>355</v>
      </c>
      <c r="B18" s="64" t="s">
        <v>13</v>
      </c>
      <c r="C18" s="64" t="s">
        <v>9</v>
      </c>
      <c r="D18" s="66">
        <v>18</v>
      </c>
      <c r="F18" s="272">
        <v>0.56597222222222221</v>
      </c>
      <c r="G18" s="272">
        <v>0.56944444444444442</v>
      </c>
      <c r="I18" s="115">
        <f t="shared" si="138"/>
        <v>6</v>
      </c>
      <c r="J18" s="115">
        <f t="shared" si="138"/>
        <v>2</v>
      </c>
      <c r="K18" s="115">
        <f t="shared" si="138"/>
        <v>4</v>
      </c>
      <c r="L18" s="115">
        <f t="shared" si="138"/>
        <v>8</v>
      </c>
      <c r="M18" s="115">
        <f t="shared" si="138"/>
        <v>3</v>
      </c>
      <c r="N18" s="115">
        <f t="shared" si="138"/>
        <v>1</v>
      </c>
      <c r="O18" s="115">
        <f t="shared" si="138"/>
        <v>5</v>
      </c>
      <c r="P18" s="241">
        <f t="shared" si="138"/>
        <v>7</v>
      </c>
      <c r="Q18" s="115">
        <f t="shared" si="138"/>
        <v>4</v>
      </c>
      <c r="R18" s="115">
        <f t="shared" si="138"/>
        <v>8</v>
      </c>
      <c r="S18" s="115">
        <f t="shared" si="138"/>
        <v>3</v>
      </c>
      <c r="T18" s="115">
        <f t="shared" si="138"/>
        <v>7</v>
      </c>
      <c r="U18" s="115">
        <f t="shared" si="138"/>
        <v>1</v>
      </c>
      <c r="V18" s="115">
        <f t="shared" si="138"/>
        <v>5</v>
      </c>
      <c r="W18" s="115">
        <f t="shared" si="138"/>
        <v>6</v>
      </c>
      <c r="X18" s="241">
        <f t="shared" si="138"/>
        <v>2</v>
      </c>
      <c r="Y18" s="115">
        <f t="shared" si="128"/>
        <v>3</v>
      </c>
      <c r="Z18" s="115">
        <f t="shared" si="128"/>
        <v>1</v>
      </c>
      <c r="AA18" s="115">
        <f t="shared" si="128"/>
        <v>2</v>
      </c>
      <c r="AB18" s="115">
        <f t="shared" si="128"/>
        <v>6</v>
      </c>
      <c r="AC18" s="115">
        <f t="shared" si="128"/>
        <v>5</v>
      </c>
      <c r="AD18" s="115">
        <f t="shared" si="128"/>
        <v>7</v>
      </c>
      <c r="AE18" s="115">
        <f t="shared" si="128"/>
        <v>4</v>
      </c>
      <c r="AF18" s="241">
        <f t="shared" si="128"/>
        <v>8</v>
      </c>
      <c r="AG18" s="115">
        <f t="shared" si="129"/>
        <v>5</v>
      </c>
      <c r="AH18" s="115">
        <f t="shared" si="129"/>
        <v>7</v>
      </c>
      <c r="AI18" s="115">
        <f t="shared" si="129"/>
        <v>6</v>
      </c>
      <c r="AJ18" s="115">
        <f t="shared" si="129"/>
        <v>4</v>
      </c>
      <c r="AK18" s="115">
        <f t="shared" si="129"/>
        <v>2</v>
      </c>
      <c r="AL18" s="115">
        <f t="shared" si="129"/>
        <v>8</v>
      </c>
      <c r="AM18" s="115">
        <f t="shared" si="129"/>
        <v>3</v>
      </c>
      <c r="AN18" s="241">
        <f t="shared" si="129"/>
        <v>1</v>
      </c>
      <c r="AP18" s="115">
        <f t="shared" si="130"/>
        <v>6</v>
      </c>
      <c r="AQ18" s="115">
        <f t="shared" si="130"/>
        <v>2</v>
      </c>
      <c r="AR18" s="115">
        <f t="shared" si="130"/>
        <v>4</v>
      </c>
      <c r="AS18" s="115">
        <f t="shared" si="130"/>
        <v>3</v>
      </c>
      <c r="AT18" s="115">
        <f t="shared" si="130"/>
        <v>1</v>
      </c>
      <c r="AU18" s="115">
        <f t="shared" si="130"/>
        <v>5</v>
      </c>
      <c r="AV18" s="241">
        <f t="shared" si="130"/>
        <v>7</v>
      </c>
      <c r="AW18" s="115">
        <f t="shared" si="130"/>
        <v>4</v>
      </c>
      <c r="AX18" s="115">
        <f t="shared" si="130"/>
        <v>3</v>
      </c>
      <c r="AY18" s="115">
        <f t="shared" si="130"/>
        <v>7</v>
      </c>
      <c r="AZ18" s="115">
        <f t="shared" si="130"/>
        <v>1</v>
      </c>
      <c r="BA18" s="115">
        <f t="shared" si="130"/>
        <v>5</v>
      </c>
      <c r="BB18" s="115">
        <f t="shared" si="130"/>
        <v>6</v>
      </c>
      <c r="BC18" s="241">
        <f t="shared" si="130"/>
        <v>2</v>
      </c>
      <c r="BD18" s="115">
        <f t="shared" si="131"/>
        <v>3</v>
      </c>
      <c r="BE18" s="115">
        <f t="shared" si="131"/>
        <v>1</v>
      </c>
      <c r="BF18" s="115">
        <f t="shared" si="131"/>
        <v>2</v>
      </c>
      <c r="BG18" s="115">
        <f t="shared" si="131"/>
        <v>6</v>
      </c>
      <c r="BH18" s="115">
        <f t="shared" si="131"/>
        <v>5</v>
      </c>
      <c r="BI18" s="115">
        <f t="shared" si="131"/>
        <v>7</v>
      </c>
      <c r="BJ18" s="241">
        <f t="shared" si="131"/>
        <v>4</v>
      </c>
      <c r="BK18" s="115">
        <f t="shared" si="131"/>
        <v>5</v>
      </c>
      <c r="BL18" s="115">
        <f t="shared" si="131"/>
        <v>7</v>
      </c>
      <c r="BM18" s="115">
        <f t="shared" si="131"/>
        <v>6</v>
      </c>
      <c r="BN18" s="115">
        <f t="shared" si="131"/>
        <v>4</v>
      </c>
      <c r="BO18" s="115">
        <f t="shared" si="131"/>
        <v>2</v>
      </c>
      <c r="BP18" s="115">
        <f t="shared" si="131"/>
        <v>3</v>
      </c>
      <c r="BQ18" s="241">
        <f t="shared" si="131"/>
        <v>1</v>
      </c>
      <c r="BS18" s="115">
        <f t="shared" si="132"/>
        <v>6</v>
      </c>
      <c r="BT18" s="115">
        <f t="shared" si="132"/>
        <v>2</v>
      </c>
      <c r="BU18" s="115">
        <f t="shared" si="132"/>
        <v>4</v>
      </c>
      <c r="BV18" s="115">
        <f t="shared" si="132"/>
        <v>3</v>
      </c>
      <c r="BW18" s="115">
        <f t="shared" si="132"/>
        <v>1</v>
      </c>
      <c r="BX18" s="241">
        <f t="shared" si="132"/>
        <v>5</v>
      </c>
      <c r="BY18" s="115">
        <f t="shared" si="132"/>
        <v>4</v>
      </c>
      <c r="BZ18" s="115">
        <f t="shared" si="132"/>
        <v>3</v>
      </c>
      <c r="CA18" s="115">
        <f t="shared" si="132"/>
        <v>1</v>
      </c>
      <c r="CB18" s="115">
        <f t="shared" si="132"/>
        <v>5</v>
      </c>
      <c r="CC18" s="115">
        <f t="shared" si="132"/>
        <v>6</v>
      </c>
      <c r="CD18" s="241">
        <f t="shared" si="132"/>
        <v>2</v>
      </c>
      <c r="CE18" s="115">
        <f t="shared" si="133"/>
        <v>3</v>
      </c>
      <c r="CF18" s="115">
        <f t="shared" si="133"/>
        <v>1</v>
      </c>
      <c r="CG18" s="115">
        <f t="shared" si="133"/>
        <v>2</v>
      </c>
      <c r="CH18" s="115">
        <f t="shared" si="133"/>
        <v>6</v>
      </c>
      <c r="CI18" s="115">
        <f t="shared" si="133"/>
        <v>5</v>
      </c>
      <c r="CJ18" s="241">
        <f t="shared" si="133"/>
        <v>4</v>
      </c>
      <c r="CK18" s="115">
        <f t="shared" si="133"/>
        <v>5</v>
      </c>
      <c r="CL18" s="115">
        <f t="shared" si="133"/>
        <v>6</v>
      </c>
      <c r="CM18" s="115">
        <f t="shared" si="133"/>
        <v>4</v>
      </c>
      <c r="CN18" s="115">
        <f t="shared" si="133"/>
        <v>2</v>
      </c>
      <c r="CO18" s="115">
        <f t="shared" si="133"/>
        <v>3</v>
      </c>
      <c r="CP18" s="241">
        <f t="shared" si="133"/>
        <v>1</v>
      </c>
      <c r="CR18" s="115">
        <f t="shared" si="134"/>
        <v>2</v>
      </c>
      <c r="CS18" s="115">
        <f t="shared" si="134"/>
        <v>4</v>
      </c>
      <c r="CT18" s="115">
        <f t="shared" si="134"/>
        <v>3</v>
      </c>
      <c r="CU18" s="115">
        <f t="shared" si="134"/>
        <v>1</v>
      </c>
      <c r="CV18" s="241">
        <f t="shared" si="134"/>
        <v>5</v>
      </c>
      <c r="CW18" s="115">
        <f t="shared" si="134"/>
        <v>4</v>
      </c>
      <c r="CX18" s="115">
        <f t="shared" si="134"/>
        <v>3</v>
      </c>
      <c r="CY18" s="115">
        <f t="shared" si="134"/>
        <v>1</v>
      </c>
      <c r="CZ18" s="115">
        <f t="shared" si="134"/>
        <v>5</v>
      </c>
      <c r="DA18" s="241">
        <f t="shared" si="134"/>
        <v>2</v>
      </c>
      <c r="DB18" s="115">
        <f t="shared" si="134"/>
        <v>3</v>
      </c>
      <c r="DC18" s="115">
        <f t="shared" si="134"/>
        <v>1</v>
      </c>
      <c r="DD18" s="115">
        <f t="shared" si="134"/>
        <v>2</v>
      </c>
      <c r="DE18" s="115">
        <f t="shared" si="134"/>
        <v>5</v>
      </c>
      <c r="DF18" s="241">
        <f t="shared" si="134"/>
        <v>4</v>
      </c>
      <c r="DG18" s="115">
        <f t="shared" si="135"/>
        <v>5</v>
      </c>
      <c r="DH18" s="115">
        <f t="shared" si="135"/>
        <v>4</v>
      </c>
      <c r="DI18" s="115">
        <f t="shared" si="135"/>
        <v>2</v>
      </c>
      <c r="DJ18" s="115">
        <f t="shared" si="135"/>
        <v>3</v>
      </c>
      <c r="DK18" s="241">
        <f t="shared" si="135"/>
        <v>1</v>
      </c>
      <c r="DM18" s="324">
        <f t="shared" si="136"/>
        <v>2</v>
      </c>
      <c r="DN18" s="321">
        <f t="shared" si="136"/>
        <v>4</v>
      </c>
      <c r="DO18" s="321">
        <f t="shared" si="136"/>
        <v>3</v>
      </c>
      <c r="DP18" s="241">
        <f t="shared" si="136"/>
        <v>1</v>
      </c>
      <c r="DQ18" s="324">
        <f t="shared" si="136"/>
        <v>4</v>
      </c>
      <c r="DR18" s="321">
        <f t="shared" si="136"/>
        <v>3</v>
      </c>
      <c r="DS18" s="321">
        <f t="shared" si="136"/>
        <v>1</v>
      </c>
      <c r="DT18" s="241">
        <f t="shared" si="136"/>
        <v>2</v>
      </c>
      <c r="DU18" s="324">
        <f t="shared" si="136"/>
        <v>3</v>
      </c>
      <c r="DV18" s="321">
        <f t="shared" si="136"/>
        <v>1</v>
      </c>
      <c r="DW18" s="321">
        <f t="shared" si="136"/>
        <v>2</v>
      </c>
      <c r="DX18" s="241">
        <f t="shared" si="136"/>
        <v>4</v>
      </c>
      <c r="DY18" s="324">
        <f t="shared" si="137"/>
        <v>4</v>
      </c>
      <c r="DZ18" s="321">
        <f t="shared" si="137"/>
        <v>2</v>
      </c>
      <c r="EA18" s="321">
        <f t="shared" si="137"/>
        <v>3</v>
      </c>
      <c r="EB18" s="241">
        <f t="shared" si="137"/>
        <v>1</v>
      </c>
      <c r="EC18" s="306"/>
      <c r="ED18" s="66">
        <f>$EE$15*10+EF18</f>
        <v>54</v>
      </c>
      <c r="EF18" s="66">
        <v>4</v>
      </c>
      <c r="EG18" s="66" t="s">
        <v>115</v>
      </c>
      <c r="EH18" s="66">
        <f>EH17+$EE$15</f>
        <v>111</v>
      </c>
      <c r="EJ18" s="87" t="str">
        <f t="shared" si="11"/>
        <v>'Track1'!</v>
      </c>
      <c r="EK18" s="87" t="s">
        <v>447</v>
      </c>
      <c r="EL18" s="87" t="s">
        <v>280</v>
      </c>
      <c r="EM18" s="64" t="str">
        <f t="shared" ca="1" si="12"/>
        <v>-</v>
      </c>
      <c r="EN18" s="64" t="str">
        <f t="shared" ca="1" si="13"/>
        <v>-</v>
      </c>
      <c r="EO18" s="87" t="str">
        <f t="shared" si="14"/>
        <v>'Track1'!</v>
      </c>
      <c r="EP18" s="87" t="s">
        <v>447</v>
      </c>
      <c r="EQ18" s="87" t="s">
        <v>165</v>
      </c>
      <c r="ER18" s="87" t="str">
        <f t="shared" ca="1" si="0"/>
        <v>-</v>
      </c>
      <c r="ES18" s="64" t="str">
        <f t="shared" ca="1" si="15"/>
        <v>-</v>
      </c>
      <c r="EW18" s="65">
        <v>13.55</v>
      </c>
    </row>
    <row r="19" spans="1:153" x14ac:dyDescent="0.35">
      <c r="A19" s="353" t="s">
        <v>40</v>
      </c>
      <c r="B19" s="64" t="s">
        <v>14</v>
      </c>
      <c r="C19" s="64" t="s">
        <v>4</v>
      </c>
      <c r="D19" s="66">
        <v>19</v>
      </c>
      <c r="F19" s="271">
        <v>14</v>
      </c>
      <c r="G19" s="272">
        <v>0.58680555555555558</v>
      </c>
      <c r="H19" s="66" t="s">
        <v>162</v>
      </c>
      <c r="I19" s="113">
        <v>4</v>
      </c>
      <c r="J19" s="113">
        <v>2</v>
      </c>
      <c r="K19" s="113">
        <v>8</v>
      </c>
      <c r="L19" s="113">
        <v>3</v>
      </c>
      <c r="M19" s="113">
        <v>1</v>
      </c>
      <c r="N19" s="113">
        <v>7</v>
      </c>
      <c r="O19" s="113">
        <v>5</v>
      </c>
      <c r="P19" s="240">
        <v>6</v>
      </c>
      <c r="Q19" s="113">
        <v>8</v>
      </c>
      <c r="R19" s="113">
        <v>3</v>
      </c>
      <c r="S19" s="113">
        <v>6</v>
      </c>
      <c r="T19" s="113">
        <v>7</v>
      </c>
      <c r="U19" s="113">
        <v>1</v>
      </c>
      <c r="V19" s="113">
        <v>5</v>
      </c>
      <c r="W19" s="113">
        <v>4</v>
      </c>
      <c r="X19" s="240">
        <v>2</v>
      </c>
      <c r="Y19" s="113">
        <v>1</v>
      </c>
      <c r="Z19" s="113">
        <v>7</v>
      </c>
      <c r="AA19" s="113">
        <v>4</v>
      </c>
      <c r="AB19" s="113">
        <v>2</v>
      </c>
      <c r="AC19" s="113">
        <v>5</v>
      </c>
      <c r="AD19" s="113">
        <v>6</v>
      </c>
      <c r="AE19" s="113">
        <v>8</v>
      </c>
      <c r="AF19" s="240">
        <v>3</v>
      </c>
      <c r="AG19" s="113">
        <v>5</v>
      </c>
      <c r="AH19" s="113">
        <v>6</v>
      </c>
      <c r="AI19" s="113">
        <v>3</v>
      </c>
      <c r="AJ19" s="113">
        <v>2</v>
      </c>
      <c r="AK19" s="113">
        <v>8</v>
      </c>
      <c r="AL19" s="113">
        <v>4</v>
      </c>
      <c r="AM19" s="113">
        <v>1</v>
      </c>
      <c r="AN19" s="240">
        <v>7</v>
      </c>
      <c r="AP19" s="113">
        <v>4</v>
      </c>
      <c r="AQ19" s="113">
        <v>2</v>
      </c>
      <c r="AR19" s="113">
        <v>3</v>
      </c>
      <c r="AS19" s="113">
        <v>1</v>
      </c>
      <c r="AT19" s="113">
        <v>7</v>
      </c>
      <c r="AU19" s="113">
        <v>5</v>
      </c>
      <c r="AV19" s="240">
        <v>6</v>
      </c>
      <c r="AW19" s="113">
        <v>3</v>
      </c>
      <c r="AX19" s="113">
        <v>6</v>
      </c>
      <c r="AY19" s="113">
        <v>7</v>
      </c>
      <c r="AZ19" s="113">
        <v>1</v>
      </c>
      <c r="BA19" s="113">
        <v>5</v>
      </c>
      <c r="BB19" s="113">
        <v>4</v>
      </c>
      <c r="BC19" s="240">
        <v>2</v>
      </c>
      <c r="BD19" s="113">
        <v>1</v>
      </c>
      <c r="BE19" s="113">
        <v>7</v>
      </c>
      <c r="BF19" s="113">
        <v>4</v>
      </c>
      <c r="BG19" s="113">
        <v>2</v>
      </c>
      <c r="BH19" s="113">
        <v>5</v>
      </c>
      <c r="BI19" s="113">
        <v>6</v>
      </c>
      <c r="BJ19" s="240">
        <v>3</v>
      </c>
      <c r="BK19" s="113">
        <v>5</v>
      </c>
      <c r="BL19" s="113">
        <v>6</v>
      </c>
      <c r="BM19" s="113">
        <v>3</v>
      </c>
      <c r="BN19" s="113">
        <v>2</v>
      </c>
      <c r="BO19" s="113">
        <v>4</v>
      </c>
      <c r="BP19" s="113">
        <v>1</v>
      </c>
      <c r="BQ19" s="240">
        <v>7</v>
      </c>
      <c r="BS19" s="113">
        <v>4</v>
      </c>
      <c r="BT19" s="113">
        <v>2</v>
      </c>
      <c r="BU19" s="113">
        <v>3</v>
      </c>
      <c r="BV19" s="113">
        <v>1</v>
      </c>
      <c r="BW19" s="113">
        <v>5</v>
      </c>
      <c r="BX19" s="240">
        <v>6</v>
      </c>
      <c r="BY19" s="113">
        <v>3</v>
      </c>
      <c r="BZ19" s="113">
        <v>6</v>
      </c>
      <c r="CA19" s="113">
        <v>1</v>
      </c>
      <c r="CB19" s="113">
        <v>5</v>
      </c>
      <c r="CC19" s="113">
        <v>4</v>
      </c>
      <c r="CD19" s="240">
        <v>2</v>
      </c>
      <c r="CE19" s="113">
        <v>1</v>
      </c>
      <c r="CF19" s="113">
        <v>4</v>
      </c>
      <c r="CG19" s="113">
        <v>2</v>
      </c>
      <c r="CH19" s="113">
        <v>5</v>
      </c>
      <c r="CI19" s="113">
        <v>6</v>
      </c>
      <c r="CJ19" s="240">
        <v>3</v>
      </c>
      <c r="CK19" s="113">
        <v>5</v>
      </c>
      <c r="CL19" s="113">
        <v>6</v>
      </c>
      <c r="CM19" s="113">
        <v>3</v>
      </c>
      <c r="CN19" s="113">
        <v>2</v>
      </c>
      <c r="CO19" s="113">
        <v>4</v>
      </c>
      <c r="CP19" s="240">
        <v>1</v>
      </c>
      <c r="CR19" s="113">
        <v>4</v>
      </c>
      <c r="CS19" s="113">
        <v>2</v>
      </c>
      <c r="CT19" s="113">
        <v>3</v>
      </c>
      <c r="CU19" s="113">
        <v>1</v>
      </c>
      <c r="CV19" s="240">
        <v>5</v>
      </c>
      <c r="CW19" s="113">
        <v>3</v>
      </c>
      <c r="CX19" s="113">
        <v>1</v>
      </c>
      <c r="CY19" s="113">
        <v>5</v>
      </c>
      <c r="CZ19" s="113">
        <v>4</v>
      </c>
      <c r="DA19" s="240">
        <v>2</v>
      </c>
      <c r="DB19" s="113">
        <v>1</v>
      </c>
      <c r="DC19" s="113">
        <v>4</v>
      </c>
      <c r="DD19" s="113">
        <v>2</v>
      </c>
      <c r="DE19" s="113">
        <v>5</v>
      </c>
      <c r="DF19" s="240">
        <v>3</v>
      </c>
      <c r="DG19" s="113">
        <v>5</v>
      </c>
      <c r="DH19" s="113">
        <v>3</v>
      </c>
      <c r="DI19" s="113">
        <v>2</v>
      </c>
      <c r="DJ19" s="113">
        <v>4</v>
      </c>
      <c r="DK19" s="240">
        <v>1</v>
      </c>
      <c r="DM19" s="323">
        <v>4</v>
      </c>
      <c r="DN19" s="320">
        <v>2</v>
      </c>
      <c r="DO19" s="320">
        <v>3</v>
      </c>
      <c r="DP19" s="240">
        <v>1</v>
      </c>
      <c r="DQ19" s="323">
        <v>3</v>
      </c>
      <c r="DR19" s="320">
        <v>1</v>
      </c>
      <c r="DS19" s="320">
        <v>4</v>
      </c>
      <c r="DT19" s="240">
        <v>2</v>
      </c>
      <c r="DU19" s="323">
        <v>1</v>
      </c>
      <c r="DV19" s="320">
        <v>4</v>
      </c>
      <c r="DW19" s="320">
        <v>2</v>
      </c>
      <c r="DX19" s="240">
        <v>3</v>
      </c>
      <c r="DY19" s="323">
        <v>3</v>
      </c>
      <c r="DZ19" s="320">
        <v>2</v>
      </c>
      <c r="EA19" s="320">
        <v>4</v>
      </c>
      <c r="EB19" s="240">
        <v>1</v>
      </c>
      <c r="EC19" s="306"/>
      <c r="ED19" s="66">
        <f>$EE$19*10+EF19</f>
        <v>41</v>
      </c>
      <c r="EE19" s="66">
        <v>4</v>
      </c>
      <c r="EF19" s="66">
        <v>1</v>
      </c>
      <c r="EG19" s="307" t="s">
        <v>742</v>
      </c>
      <c r="EH19" s="66">
        <v>117</v>
      </c>
      <c r="EJ19" s="87" t="str">
        <f t="shared" si="11"/>
        <v>'Track1'!</v>
      </c>
      <c r="EK19" s="87" t="s">
        <v>447</v>
      </c>
      <c r="EL19" s="87" t="s">
        <v>280</v>
      </c>
      <c r="EM19" s="64" t="str">
        <f t="shared" ca="1" si="12"/>
        <v>-</v>
      </c>
      <c r="EN19" s="64" t="str">
        <f t="shared" ca="1" si="13"/>
        <v>-</v>
      </c>
      <c r="EO19" s="87" t="str">
        <f t="shared" si="14"/>
        <v>'Track1'!</v>
      </c>
      <c r="EP19" s="87" t="s">
        <v>447</v>
      </c>
      <c r="EQ19" s="87" t="s">
        <v>165</v>
      </c>
      <c r="ER19" s="87" t="str">
        <f t="shared" ca="1" si="0"/>
        <v>-</v>
      </c>
      <c r="ES19" s="64" t="str">
        <f t="shared" ca="1" si="15"/>
        <v>-</v>
      </c>
      <c r="EW19" s="65">
        <v>14</v>
      </c>
    </row>
    <row r="20" spans="1:153" x14ac:dyDescent="0.35">
      <c r="A20" s="353" t="s">
        <v>41</v>
      </c>
      <c r="B20" s="64" t="s">
        <v>15</v>
      </c>
      <c r="C20" s="64" t="s">
        <v>4</v>
      </c>
      <c r="D20" s="66">
        <v>20</v>
      </c>
      <c r="F20" s="271">
        <v>14.1</v>
      </c>
      <c r="G20" s="272">
        <v>0.59375</v>
      </c>
      <c r="H20" s="66" t="s">
        <v>162</v>
      </c>
      <c r="I20" s="115">
        <f>I19</f>
        <v>4</v>
      </c>
      <c r="J20" s="115">
        <f t="shared" ref="J20:P20" si="139">J19</f>
        <v>2</v>
      </c>
      <c r="K20" s="115">
        <f t="shared" si="139"/>
        <v>8</v>
      </c>
      <c r="L20" s="115">
        <f t="shared" si="139"/>
        <v>3</v>
      </c>
      <c r="M20" s="115">
        <f t="shared" si="139"/>
        <v>1</v>
      </c>
      <c r="N20" s="115">
        <f t="shared" si="139"/>
        <v>7</v>
      </c>
      <c r="O20" s="115">
        <f t="shared" si="139"/>
        <v>5</v>
      </c>
      <c r="P20" s="241">
        <f t="shared" si="139"/>
        <v>6</v>
      </c>
      <c r="Q20" s="115">
        <f>Q19</f>
        <v>8</v>
      </c>
      <c r="R20" s="115">
        <f t="shared" ref="R20" si="140">R19</f>
        <v>3</v>
      </c>
      <c r="S20" s="115">
        <f t="shared" ref="S20" si="141">S19</f>
        <v>6</v>
      </c>
      <c r="T20" s="115">
        <f t="shared" ref="T20" si="142">T19</f>
        <v>7</v>
      </c>
      <c r="U20" s="115">
        <f t="shared" ref="U20" si="143">U19</f>
        <v>1</v>
      </c>
      <c r="V20" s="115">
        <f t="shared" ref="V20" si="144">V19</f>
        <v>5</v>
      </c>
      <c r="W20" s="115">
        <f t="shared" ref="W20" si="145">W19</f>
        <v>4</v>
      </c>
      <c r="X20" s="241">
        <f t="shared" ref="X20" si="146">X19</f>
        <v>2</v>
      </c>
      <c r="Y20" s="115">
        <f>Y19</f>
        <v>1</v>
      </c>
      <c r="Z20" s="115">
        <f t="shared" ref="Z20" si="147">Z19</f>
        <v>7</v>
      </c>
      <c r="AA20" s="115">
        <f t="shared" ref="AA20" si="148">AA19</f>
        <v>4</v>
      </c>
      <c r="AB20" s="115">
        <f t="shared" ref="AB20" si="149">AB19</f>
        <v>2</v>
      </c>
      <c r="AC20" s="115">
        <f t="shared" ref="AC20" si="150">AC19</f>
        <v>5</v>
      </c>
      <c r="AD20" s="115">
        <f t="shared" ref="AD20" si="151">AD19</f>
        <v>6</v>
      </c>
      <c r="AE20" s="115">
        <f t="shared" ref="AE20" si="152">AE19</f>
        <v>8</v>
      </c>
      <c r="AF20" s="241">
        <f t="shared" ref="AF20" si="153">AF19</f>
        <v>3</v>
      </c>
      <c r="AG20" s="115">
        <f>AG19</f>
        <v>5</v>
      </c>
      <c r="AH20" s="115">
        <f t="shared" ref="AH20" si="154">AH19</f>
        <v>6</v>
      </c>
      <c r="AI20" s="115">
        <f t="shared" ref="AI20" si="155">AI19</f>
        <v>3</v>
      </c>
      <c r="AJ20" s="115">
        <f t="shared" ref="AJ20" si="156">AJ19</f>
        <v>2</v>
      </c>
      <c r="AK20" s="115">
        <f t="shared" ref="AK20" si="157">AK19</f>
        <v>8</v>
      </c>
      <c r="AL20" s="115">
        <f t="shared" ref="AL20" si="158">AL19</f>
        <v>4</v>
      </c>
      <c r="AM20" s="115">
        <f t="shared" ref="AM20" si="159">AM19</f>
        <v>1</v>
      </c>
      <c r="AN20" s="241">
        <f t="shared" ref="AN20" si="160">AN19</f>
        <v>7</v>
      </c>
      <c r="AP20" s="115">
        <f t="shared" ref="AP20" si="161">AP19</f>
        <v>4</v>
      </c>
      <c r="AQ20" s="115">
        <f t="shared" ref="AQ20" si="162">AQ19</f>
        <v>2</v>
      </c>
      <c r="AR20" s="115">
        <f t="shared" ref="AR20" si="163">AR19</f>
        <v>3</v>
      </c>
      <c r="AS20" s="115">
        <f t="shared" ref="AS20" si="164">AS19</f>
        <v>1</v>
      </c>
      <c r="AT20" s="115">
        <f t="shared" ref="AT20" si="165">AT19</f>
        <v>7</v>
      </c>
      <c r="AU20" s="115">
        <f t="shared" ref="AU20" si="166">AU19</f>
        <v>5</v>
      </c>
      <c r="AV20" s="241">
        <f t="shared" ref="AV20" si="167">AV19</f>
        <v>6</v>
      </c>
      <c r="AW20" s="115">
        <f t="shared" ref="AW20" si="168">AW19</f>
        <v>3</v>
      </c>
      <c r="AX20" s="115">
        <f t="shared" ref="AX20" si="169">AX19</f>
        <v>6</v>
      </c>
      <c r="AY20" s="115">
        <f t="shared" ref="AY20" si="170">AY19</f>
        <v>7</v>
      </c>
      <c r="AZ20" s="115">
        <f t="shared" ref="AZ20" si="171">AZ19</f>
        <v>1</v>
      </c>
      <c r="BA20" s="115">
        <f t="shared" ref="BA20" si="172">BA19</f>
        <v>5</v>
      </c>
      <c r="BB20" s="115">
        <f t="shared" ref="BB20" si="173">BB19</f>
        <v>4</v>
      </c>
      <c r="BC20" s="241">
        <f t="shared" ref="BC20" si="174">BC19</f>
        <v>2</v>
      </c>
      <c r="BD20" s="115">
        <f t="shared" ref="BD20" si="175">BD19</f>
        <v>1</v>
      </c>
      <c r="BE20" s="115">
        <f t="shared" ref="BE20" si="176">BE19</f>
        <v>7</v>
      </c>
      <c r="BF20" s="115">
        <f t="shared" ref="BF20" si="177">BF19</f>
        <v>4</v>
      </c>
      <c r="BG20" s="115">
        <f t="shared" ref="BG20" si="178">BG19</f>
        <v>2</v>
      </c>
      <c r="BH20" s="115">
        <f t="shared" ref="BH20" si="179">BH19</f>
        <v>5</v>
      </c>
      <c r="BI20" s="115">
        <f t="shared" ref="BI20" si="180">BI19</f>
        <v>6</v>
      </c>
      <c r="BJ20" s="241">
        <f t="shared" ref="BJ20" si="181">BJ19</f>
        <v>3</v>
      </c>
      <c r="BK20" s="115">
        <f t="shared" ref="BK20" si="182">BK19</f>
        <v>5</v>
      </c>
      <c r="BL20" s="115">
        <f t="shared" ref="BL20" si="183">BL19</f>
        <v>6</v>
      </c>
      <c r="BM20" s="115">
        <f t="shared" ref="BM20" si="184">BM19</f>
        <v>3</v>
      </c>
      <c r="BN20" s="115">
        <f t="shared" ref="BN20" si="185">BN19</f>
        <v>2</v>
      </c>
      <c r="BO20" s="115">
        <f t="shared" ref="BO20" si="186">BO19</f>
        <v>4</v>
      </c>
      <c r="BP20" s="115">
        <f t="shared" ref="BP20" si="187">BP19</f>
        <v>1</v>
      </c>
      <c r="BQ20" s="241">
        <f t="shared" ref="BQ20" si="188">BQ19</f>
        <v>7</v>
      </c>
      <c r="BS20" s="115">
        <f t="shared" ref="BS20" si="189">BS19</f>
        <v>4</v>
      </c>
      <c r="BT20" s="115">
        <f t="shared" ref="BT20" si="190">BT19</f>
        <v>2</v>
      </c>
      <c r="BU20" s="115">
        <f t="shared" ref="BU20" si="191">BU19</f>
        <v>3</v>
      </c>
      <c r="BV20" s="115">
        <f t="shared" ref="BV20" si="192">BV19</f>
        <v>1</v>
      </c>
      <c r="BW20" s="115">
        <f t="shared" ref="BW20" si="193">BW19</f>
        <v>5</v>
      </c>
      <c r="BX20" s="241">
        <f t="shared" ref="BX20" si="194">BX19</f>
        <v>6</v>
      </c>
      <c r="BY20" s="115">
        <f t="shared" ref="BY20" si="195">BY19</f>
        <v>3</v>
      </c>
      <c r="BZ20" s="115">
        <f t="shared" ref="BZ20" si="196">BZ19</f>
        <v>6</v>
      </c>
      <c r="CA20" s="115">
        <f t="shared" ref="CA20" si="197">CA19</f>
        <v>1</v>
      </c>
      <c r="CB20" s="115">
        <f t="shared" ref="CB20" si="198">CB19</f>
        <v>5</v>
      </c>
      <c r="CC20" s="115">
        <f t="shared" ref="CC20" si="199">CC19</f>
        <v>4</v>
      </c>
      <c r="CD20" s="241">
        <f t="shared" ref="CD20" si="200">CD19</f>
        <v>2</v>
      </c>
      <c r="CE20" s="115">
        <f t="shared" ref="CE20" si="201">CE19</f>
        <v>1</v>
      </c>
      <c r="CF20" s="115">
        <f t="shared" ref="CF20" si="202">CF19</f>
        <v>4</v>
      </c>
      <c r="CG20" s="115">
        <f t="shared" ref="CG20" si="203">CG19</f>
        <v>2</v>
      </c>
      <c r="CH20" s="115">
        <f t="shared" ref="CH20" si="204">CH19</f>
        <v>5</v>
      </c>
      <c r="CI20" s="115">
        <f t="shared" ref="CI20" si="205">CI19</f>
        <v>6</v>
      </c>
      <c r="CJ20" s="241">
        <f t="shared" ref="CJ20" si="206">CJ19</f>
        <v>3</v>
      </c>
      <c r="CK20" s="115">
        <f t="shared" ref="CK20" si="207">CK19</f>
        <v>5</v>
      </c>
      <c r="CL20" s="115">
        <f t="shared" ref="CL20" si="208">CL19</f>
        <v>6</v>
      </c>
      <c r="CM20" s="115">
        <f t="shared" ref="CM20" si="209">CM19</f>
        <v>3</v>
      </c>
      <c r="CN20" s="115">
        <f t="shared" ref="CN20" si="210">CN19</f>
        <v>2</v>
      </c>
      <c r="CO20" s="115">
        <f t="shared" ref="CO20" si="211">CO19</f>
        <v>4</v>
      </c>
      <c r="CP20" s="241">
        <f t="shared" ref="CP20" si="212">CP19</f>
        <v>1</v>
      </c>
      <c r="CR20" s="115">
        <f t="shared" ref="CR20" si="213">CR19</f>
        <v>4</v>
      </c>
      <c r="CS20" s="115">
        <f t="shared" ref="CS20" si="214">CS19</f>
        <v>2</v>
      </c>
      <c r="CT20" s="115">
        <f t="shared" ref="CT20" si="215">CT19</f>
        <v>3</v>
      </c>
      <c r="CU20" s="115">
        <f t="shared" ref="CU20" si="216">CU19</f>
        <v>1</v>
      </c>
      <c r="CV20" s="241">
        <f t="shared" ref="CV20" si="217">CV19</f>
        <v>5</v>
      </c>
      <c r="CW20" s="115">
        <f t="shared" ref="CW20" si="218">CW19</f>
        <v>3</v>
      </c>
      <c r="CX20" s="115">
        <f t="shared" ref="CX20" si="219">CX19</f>
        <v>1</v>
      </c>
      <c r="CY20" s="115">
        <f t="shared" ref="CY20" si="220">CY19</f>
        <v>5</v>
      </c>
      <c r="CZ20" s="115">
        <f t="shared" ref="CZ20" si="221">CZ19</f>
        <v>4</v>
      </c>
      <c r="DA20" s="241">
        <f t="shared" ref="DA20" si="222">DA19</f>
        <v>2</v>
      </c>
      <c r="DB20" s="115">
        <f t="shared" ref="DB20" si="223">DB19</f>
        <v>1</v>
      </c>
      <c r="DC20" s="115">
        <f t="shared" ref="DC20" si="224">DC19</f>
        <v>4</v>
      </c>
      <c r="DD20" s="115">
        <f t="shared" ref="DD20" si="225">DD19</f>
        <v>2</v>
      </c>
      <c r="DE20" s="115">
        <f t="shared" ref="DE20" si="226">DE19</f>
        <v>5</v>
      </c>
      <c r="DF20" s="241">
        <f t="shared" ref="DF20" si="227">DF19</f>
        <v>3</v>
      </c>
      <c r="DG20" s="115">
        <f t="shared" ref="DG20" si="228">DG19</f>
        <v>5</v>
      </c>
      <c r="DH20" s="115">
        <f t="shared" ref="DH20" si="229">DH19</f>
        <v>3</v>
      </c>
      <c r="DI20" s="115">
        <f t="shared" ref="DI20" si="230">DI19</f>
        <v>2</v>
      </c>
      <c r="DJ20" s="115">
        <f t="shared" ref="DJ20" si="231">DJ19</f>
        <v>4</v>
      </c>
      <c r="DK20" s="241">
        <f t="shared" ref="DK20" si="232">DK19</f>
        <v>1</v>
      </c>
      <c r="DM20" s="324">
        <f t="shared" ref="DM20:EB20" si="233">DM19</f>
        <v>4</v>
      </c>
      <c r="DN20" s="321">
        <f t="shared" si="233"/>
        <v>2</v>
      </c>
      <c r="DO20" s="321">
        <f t="shared" si="233"/>
        <v>3</v>
      </c>
      <c r="DP20" s="241">
        <f t="shared" si="233"/>
        <v>1</v>
      </c>
      <c r="DQ20" s="324">
        <f t="shared" si="233"/>
        <v>3</v>
      </c>
      <c r="DR20" s="321">
        <f t="shared" si="233"/>
        <v>1</v>
      </c>
      <c r="DS20" s="321">
        <f t="shared" si="233"/>
        <v>4</v>
      </c>
      <c r="DT20" s="241">
        <f t="shared" si="233"/>
        <v>2</v>
      </c>
      <c r="DU20" s="324">
        <f t="shared" si="233"/>
        <v>1</v>
      </c>
      <c r="DV20" s="321">
        <f t="shared" si="233"/>
        <v>4</v>
      </c>
      <c r="DW20" s="321">
        <f t="shared" si="233"/>
        <v>2</v>
      </c>
      <c r="DX20" s="241">
        <f t="shared" si="233"/>
        <v>3</v>
      </c>
      <c r="DY20" s="324">
        <f t="shared" si="233"/>
        <v>3</v>
      </c>
      <c r="DZ20" s="321">
        <f t="shared" si="233"/>
        <v>2</v>
      </c>
      <c r="EA20" s="321">
        <f t="shared" si="233"/>
        <v>4</v>
      </c>
      <c r="EB20" s="241">
        <f t="shared" si="233"/>
        <v>1</v>
      </c>
      <c r="EC20" s="306"/>
      <c r="ED20" s="66">
        <f>$EE$19*10+EF20</f>
        <v>42</v>
      </c>
      <c r="EF20" s="66">
        <v>2</v>
      </c>
      <c r="EG20" s="307" t="s">
        <v>743</v>
      </c>
      <c r="EH20" s="66">
        <f>EH19+$EE$19</f>
        <v>121</v>
      </c>
      <c r="EJ20" s="87" t="str">
        <f t="shared" si="11"/>
        <v>'Track1'!</v>
      </c>
      <c r="EK20" s="87" t="s">
        <v>447</v>
      </c>
      <c r="EL20" s="87" t="s">
        <v>280</v>
      </c>
      <c r="EM20" s="64" t="str">
        <f t="shared" ca="1" si="12"/>
        <v>-</v>
      </c>
      <c r="EN20" s="64" t="str">
        <f t="shared" ca="1" si="13"/>
        <v>-</v>
      </c>
      <c r="EO20" s="87" t="str">
        <f t="shared" si="14"/>
        <v>'Track1'!</v>
      </c>
      <c r="EP20" s="87" t="s">
        <v>447</v>
      </c>
      <c r="EQ20" s="87" t="s">
        <v>165</v>
      </c>
      <c r="ER20" s="87" t="str">
        <f t="shared" ca="1" si="0"/>
        <v>-</v>
      </c>
      <c r="ES20" s="64" t="str">
        <f t="shared" ca="1" si="15"/>
        <v>-</v>
      </c>
      <c r="EW20" s="65">
        <v>14.1</v>
      </c>
    </row>
    <row r="21" spans="1:153" x14ac:dyDescent="0.35">
      <c r="A21" s="353" t="s">
        <v>42</v>
      </c>
      <c r="B21" s="302" t="s">
        <v>14</v>
      </c>
      <c r="C21" s="64" t="s">
        <v>6</v>
      </c>
      <c r="D21" s="66">
        <v>21</v>
      </c>
      <c r="F21" s="272">
        <v>14.15</v>
      </c>
      <c r="G21" s="272">
        <v>0.59722222222222221</v>
      </c>
      <c r="H21" s="66" t="s">
        <v>162</v>
      </c>
      <c r="I21" s="115">
        <f>I19</f>
        <v>4</v>
      </c>
      <c r="J21" s="115">
        <f t="shared" ref="J21:P21" si="234">J19</f>
        <v>2</v>
      </c>
      <c r="K21" s="115">
        <f t="shared" si="234"/>
        <v>8</v>
      </c>
      <c r="L21" s="115">
        <f t="shared" si="234"/>
        <v>3</v>
      </c>
      <c r="M21" s="115">
        <f t="shared" si="234"/>
        <v>1</v>
      </c>
      <c r="N21" s="115">
        <f t="shared" si="234"/>
        <v>7</v>
      </c>
      <c r="O21" s="115">
        <f t="shared" si="234"/>
        <v>5</v>
      </c>
      <c r="P21" s="241">
        <f t="shared" si="234"/>
        <v>6</v>
      </c>
      <c r="Q21" s="115">
        <f>Q19</f>
        <v>8</v>
      </c>
      <c r="R21" s="115">
        <f t="shared" ref="R21:X21" si="235">R19</f>
        <v>3</v>
      </c>
      <c r="S21" s="115">
        <f t="shared" si="235"/>
        <v>6</v>
      </c>
      <c r="T21" s="115">
        <f t="shared" si="235"/>
        <v>7</v>
      </c>
      <c r="U21" s="115">
        <f t="shared" si="235"/>
        <v>1</v>
      </c>
      <c r="V21" s="115">
        <f t="shared" si="235"/>
        <v>5</v>
      </c>
      <c r="W21" s="115">
        <f t="shared" si="235"/>
        <v>4</v>
      </c>
      <c r="X21" s="241">
        <f t="shared" si="235"/>
        <v>2</v>
      </c>
      <c r="Y21" s="115">
        <f>Y19</f>
        <v>1</v>
      </c>
      <c r="Z21" s="115">
        <f t="shared" ref="Z21:AF21" si="236">Z19</f>
        <v>7</v>
      </c>
      <c r="AA21" s="115">
        <f t="shared" si="236"/>
        <v>4</v>
      </c>
      <c r="AB21" s="115">
        <f t="shared" si="236"/>
        <v>2</v>
      </c>
      <c r="AC21" s="115">
        <f t="shared" si="236"/>
        <v>5</v>
      </c>
      <c r="AD21" s="115">
        <f t="shared" si="236"/>
        <v>6</v>
      </c>
      <c r="AE21" s="115">
        <f t="shared" si="236"/>
        <v>8</v>
      </c>
      <c r="AF21" s="241">
        <f t="shared" si="236"/>
        <v>3</v>
      </c>
      <c r="AG21" s="115">
        <f>AG19</f>
        <v>5</v>
      </c>
      <c r="AH21" s="115">
        <f t="shared" ref="AH21:AN21" si="237">AH19</f>
        <v>6</v>
      </c>
      <c r="AI21" s="115">
        <f t="shared" si="237"/>
        <v>3</v>
      </c>
      <c r="AJ21" s="115">
        <f t="shared" si="237"/>
        <v>2</v>
      </c>
      <c r="AK21" s="115">
        <f t="shared" si="237"/>
        <v>8</v>
      </c>
      <c r="AL21" s="115">
        <f t="shared" si="237"/>
        <v>4</v>
      </c>
      <c r="AM21" s="115">
        <f t="shared" si="237"/>
        <v>1</v>
      </c>
      <c r="AN21" s="241">
        <f t="shared" si="237"/>
        <v>7</v>
      </c>
      <c r="AP21" s="115">
        <f t="shared" ref="AP21:BQ21" si="238">AP19</f>
        <v>4</v>
      </c>
      <c r="AQ21" s="115">
        <f t="shared" si="238"/>
        <v>2</v>
      </c>
      <c r="AR21" s="115">
        <f t="shared" si="238"/>
        <v>3</v>
      </c>
      <c r="AS21" s="115">
        <f t="shared" si="238"/>
        <v>1</v>
      </c>
      <c r="AT21" s="115">
        <f t="shared" si="238"/>
        <v>7</v>
      </c>
      <c r="AU21" s="115">
        <f t="shared" si="238"/>
        <v>5</v>
      </c>
      <c r="AV21" s="241">
        <f t="shared" si="238"/>
        <v>6</v>
      </c>
      <c r="AW21" s="115">
        <f t="shared" si="238"/>
        <v>3</v>
      </c>
      <c r="AX21" s="115">
        <f t="shared" si="238"/>
        <v>6</v>
      </c>
      <c r="AY21" s="115">
        <f t="shared" si="238"/>
        <v>7</v>
      </c>
      <c r="AZ21" s="115">
        <f t="shared" si="238"/>
        <v>1</v>
      </c>
      <c r="BA21" s="115">
        <f t="shared" si="238"/>
        <v>5</v>
      </c>
      <c r="BB21" s="115">
        <f t="shared" si="238"/>
        <v>4</v>
      </c>
      <c r="BC21" s="241">
        <f t="shared" si="238"/>
        <v>2</v>
      </c>
      <c r="BD21" s="115">
        <f t="shared" si="238"/>
        <v>1</v>
      </c>
      <c r="BE21" s="115">
        <f t="shared" si="238"/>
        <v>7</v>
      </c>
      <c r="BF21" s="115">
        <f t="shared" si="238"/>
        <v>4</v>
      </c>
      <c r="BG21" s="115">
        <f t="shared" si="238"/>
        <v>2</v>
      </c>
      <c r="BH21" s="115">
        <f t="shared" si="238"/>
        <v>5</v>
      </c>
      <c r="BI21" s="115">
        <f t="shared" si="238"/>
        <v>6</v>
      </c>
      <c r="BJ21" s="241">
        <f t="shared" si="238"/>
        <v>3</v>
      </c>
      <c r="BK21" s="115">
        <f t="shared" si="238"/>
        <v>5</v>
      </c>
      <c r="BL21" s="115">
        <f t="shared" si="238"/>
        <v>6</v>
      </c>
      <c r="BM21" s="115">
        <f t="shared" si="238"/>
        <v>3</v>
      </c>
      <c r="BN21" s="115">
        <f t="shared" si="238"/>
        <v>2</v>
      </c>
      <c r="BO21" s="115">
        <f t="shared" si="238"/>
        <v>4</v>
      </c>
      <c r="BP21" s="115">
        <f t="shared" si="238"/>
        <v>1</v>
      </c>
      <c r="BQ21" s="241">
        <f t="shared" si="238"/>
        <v>7</v>
      </c>
      <c r="BS21" s="115">
        <f t="shared" ref="BS21:CP21" si="239">BS19</f>
        <v>4</v>
      </c>
      <c r="BT21" s="115">
        <f t="shared" si="239"/>
        <v>2</v>
      </c>
      <c r="BU21" s="115">
        <f t="shared" si="239"/>
        <v>3</v>
      </c>
      <c r="BV21" s="115">
        <f t="shared" si="239"/>
        <v>1</v>
      </c>
      <c r="BW21" s="115">
        <f t="shared" si="239"/>
        <v>5</v>
      </c>
      <c r="BX21" s="241">
        <f t="shared" si="239"/>
        <v>6</v>
      </c>
      <c r="BY21" s="115">
        <f t="shared" si="239"/>
        <v>3</v>
      </c>
      <c r="BZ21" s="115">
        <f t="shared" si="239"/>
        <v>6</v>
      </c>
      <c r="CA21" s="115">
        <f t="shared" si="239"/>
        <v>1</v>
      </c>
      <c r="CB21" s="115">
        <f t="shared" si="239"/>
        <v>5</v>
      </c>
      <c r="CC21" s="115">
        <f t="shared" si="239"/>
        <v>4</v>
      </c>
      <c r="CD21" s="241">
        <f t="shared" si="239"/>
        <v>2</v>
      </c>
      <c r="CE21" s="115">
        <f t="shared" si="239"/>
        <v>1</v>
      </c>
      <c r="CF21" s="115">
        <f t="shared" si="239"/>
        <v>4</v>
      </c>
      <c r="CG21" s="115">
        <f t="shared" si="239"/>
        <v>2</v>
      </c>
      <c r="CH21" s="115">
        <f t="shared" si="239"/>
        <v>5</v>
      </c>
      <c r="CI21" s="115">
        <f t="shared" si="239"/>
        <v>6</v>
      </c>
      <c r="CJ21" s="241">
        <f t="shared" si="239"/>
        <v>3</v>
      </c>
      <c r="CK21" s="115">
        <f t="shared" si="239"/>
        <v>5</v>
      </c>
      <c r="CL21" s="115">
        <f t="shared" si="239"/>
        <v>6</v>
      </c>
      <c r="CM21" s="115">
        <f t="shared" si="239"/>
        <v>3</v>
      </c>
      <c r="CN21" s="115">
        <f t="shared" si="239"/>
        <v>2</v>
      </c>
      <c r="CO21" s="115">
        <f t="shared" si="239"/>
        <v>4</v>
      </c>
      <c r="CP21" s="241">
        <f t="shared" si="239"/>
        <v>1</v>
      </c>
      <c r="CR21" s="115">
        <f t="shared" ref="CR21:DK21" si="240">CR19</f>
        <v>4</v>
      </c>
      <c r="CS21" s="115">
        <f t="shared" si="240"/>
        <v>2</v>
      </c>
      <c r="CT21" s="115">
        <f t="shared" si="240"/>
        <v>3</v>
      </c>
      <c r="CU21" s="115">
        <f t="shared" si="240"/>
        <v>1</v>
      </c>
      <c r="CV21" s="241">
        <f t="shared" si="240"/>
        <v>5</v>
      </c>
      <c r="CW21" s="115">
        <f t="shared" si="240"/>
        <v>3</v>
      </c>
      <c r="CX21" s="115">
        <f t="shared" si="240"/>
        <v>1</v>
      </c>
      <c r="CY21" s="115">
        <f t="shared" si="240"/>
        <v>5</v>
      </c>
      <c r="CZ21" s="115">
        <f t="shared" si="240"/>
        <v>4</v>
      </c>
      <c r="DA21" s="241">
        <f t="shared" si="240"/>
        <v>2</v>
      </c>
      <c r="DB21" s="115">
        <f t="shared" si="240"/>
        <v>1</v>
      </c>
      <c r="DC21" s="115">
        <f t="shared" si="240"/>
        <v>4</v>
      </c>
      <c r="DD21" s="115">
        <f t="shared" si="240"/>
        <v>2</v>
      </c>
      <c r="DE21" s="115">
        <f t="shared" si="240"/>
        <v>5</v>
      </c>
      <c r="DF21" s="241">
        <f t="shared" si="240"/>
        <v>3</v>
      </c>
      <c r="DG21" s="115">
        <f t="shared" si="240"/>
        <v>5</v>
      </c>
      <c r="DH21" s="115">
        <f t="shared" si="240"/>
        <v>3</v>
      </c>
      <c r="DI21" s="115">
        <f t="shared" si="240"/>
        <v>2</v>
      </c>
      <c r="DJ21" s="115">
        <f t="shared" si="240"/>
        <v>4</v>
      </c>
      <c r="DK21" s="241">
        <f t="shared" si="240"/>
        <v>1</v>
      </c>
      <c r="DM21" s="324">
        <f t="shared" ref="DM21:EB21" si="241">DM19</f>
        <v>4</v>
      </c>
      <c r="DN21" s="321">
        <f t="shared" si="241"/>
        <v>2</v>
      </c>
      <c r="DO21" s="321">
        <f t="shared" si="241"/>
        <v>3</v>
      </c>
      <c r="DP21" s="241">
        <f t="shared" si="241"/>
        <v>1</v>
      </c>
      <c r="DQ21" s="324">
        <f t="shared" si="241"/>
        <v>3</v>
      </c>
      <c r="DR21" s="321">
        <f t="shared" si="241"/>
        <v>1</v>
      </c>
      <c r="DS21" s="321">
        <f t="shared" si="241"/>
        <v>4</v>
      </c>
      <c r="DT21" s="241">
        <f t="shared" si="241"/>
        <v>2</v>
      </c>
      <c r="DU21" s="324">
        <f t="shared" si="241"/>
        <v>1</v>
      </c>
      <c r="DV21" s="321">
        <f t="shared" si="241"/>
        <v>4</v>
      </c>
      <c r="DW21" s="321">
        <f t="shared" si="241"/>
        <v>2</v>
      </c>
      <c r="DX21" s="241">
        <f t="shared" si="241"/>
        <v>3</v>
      </c>
      <c r="DY21" s="324">
        <f t="shared" si="241"/>
        <v>3</v>
      </c>
      <c r="DZ21" s="321">
        <f t="shared" si="241"/>
        <v>2</v>
      </c>
      <c r="EA21" s="321">
        <f t="shared" si="241"/>
        <v>4</v>
      </c>
      <c r="EB21" s="241">
        <f t="shared" si="241"/>
        <v>1</v>
      </c>
      <c r="EC21" s="306"/>
      <c r="ED21" s="66">
        <f>$EE$19*10+EF21</f>
        <v>43</v>
      </c>
      <c r="EF21" s="66">
        <v>3</v>
      </c>
      <c r="EG21" s="307" t="s">
        <v>744</v>
      </c>
      <c r="EH21" s="66">
        <f>EH20+$EE$19</f>
        <v>125</v>
      </c>
      <c r="EJ21" s="87" t="str">
        <f t="shared" si="11"/>
        <v>'Track1'!</v>
      </c>
      <c r="EK21" s="87" t="s">
        <v>447</v>
      </c>
      <c r="EL21" s="87" t="s">
        <v>280</v>
      </c>
      <c r="EM21" s="64" t="str">
        <f t="shared" ca="1" si="12"/>
        <v>-</v>
      </c>
      <c r="EN21" s="64" t="str">
        <f t="shared" ca="1" si="13"/>
        <v>-</v>
      </c>
      <c r="EO21" s="87" t="str">
        <f t="shared" si="14"/>
        <v>'Track1'!</v>
      </c>
      <c r="EP21" s="87" t="s">
        <v>447</v>
      </c>
      <c r="EQ21" s="87" t="s">
        <v>165</v>
      </c>
      <c r="ER21" s="87" t="str">
        <f t="shared" ca="1" si="0"/>
        <v>-</v>
      </c>
      <c r="ES21" s="64" t="str">
        <f t="shared" ca="1" si="15"/>
        <v>-</v>
      </c>
      <c r="EW21" s="65">
        <v>14.15</v>
      </c>
    </row>
    <row r="22" spans="1:153" x14ac:dyDescent="0.35">
      <c r="A22" s="353" t="s">
        <v>43</v>
      </c>
      <c r="B22" s="64" t="s">
        <v>16</v>
      </c>
      <c r="C22" s="64" t="s">
        <v>7</v>
      </c>
      <c r="D22" s="66">
        <v>22</v>
      </c>
      <c r="F22" s="272">
        <v>14.25</v>
      </c>
      <c r="G22" s="272">
        <v>0.60416666666666663</v>
      </c>
      <c r="H22" s="66" t="s">
        <v>162</v>
      </c>
      <c r="I22" s="115">
        <f>I19</f>
        <v>4</v>
      </c>
      <c r="J22" s="115">
        <f t="shared" ref="J22:P22" si="242">J19</f>
        <v>2</v>
      </c>
      <c r="K22" s="115">
        <f t="shared" si="242"/>
        <v>8</v>
      </c>
      <c r="L22" s="115">
        <f t="shared" si="242"/>
        <v>3</v>
      </c>
      <c r="M22" s="115">
        <f t="shared" si="242"/>
        <v>1</v>
      </c>
      <c r="N22" s="115">
        <f t="shared" si="242"/>
        <v>7</v>
      </c>
      <c r="O22" s="115">
        <f t="shared" si="242"/>
        <v>5</v>
      </c>
      <c r="P22" s="241">
        <f t="shared" si="242"/>
        <v>6</v>
      </c>
      <c r="Q22" s="115">
        <f>Q19</f>
        <v>8</v>
      </c>
      <c r="R22" s="115">
        <f t="shared" ref="R22:X22" si="243">R19</f>
        <v>3</v>
      </c>
      <c r="S22" s="115">
        <f t="shared" si="243"/>
        <v>6</v>
      </c>
      <c r="T22" s="115">
        <f t="shared" si="243"/>
        <v>7</v>
      </c>
      <c r="U22" s="115">
        <f t="shared" si="243"/>
        <v>1</v>
      </c>
      <c r="V22" s="115">
        <f t="shared" si="243"/>
        <v>5</v>
      </c>
      <c r="W22" s="115">
        <f t="shared" si="243"/>
        <v>4</v>
      </c>
      <c r="X22" s="241">
        <f t="shared" si="243"/>
        <v>2</v>
      </c>
      <c r="Y22" s="115">
        <f>Y19</f>
        <v>1</v>
      </c>
      <c r="Z22" s="115">
        <f t="shared" ref="Z22:AF22" si="244">Z19</f>
        <v>7</v>
      </c>
      <c r="AA22" s="115">
        <f t="shared" si="244"/>
        <v>4</v>
      </c>
      <c r="AB22" s="115">
        <f t="shared" si="244"/>
        <v>2</v>
      </c>
      <c r="AC22" s="115">
        <f t="shared" si="244"/>
        <v>5</v>
      </c>
      <c r="AD22" s="115">
        <f t="shared" si="244"/>
        <v>6</v>
      </c>
      <c r="AE22" s="115">
        <f t="shared" si="244"/>
        <v>8</v>
      </c>
      <c r="AF22" s="241">
        <f t="shared" si="244"/>
        <v>3</v>
      </c>
      <c r="AG22" s="115">
        <f>AG19</f>
        <v>5</v>
      </c>
      <c r="AH22" s="115">
        <f t="shared" ref="AH22:AN22" si="245">AH19</f>
        <v>6</v>
      </c>
      <c r="AI22" s="115">
        <f t="shared" si="245"/>
        <v>3</v>
      </c>
      <c r="AJ22" s="115">
        <f t="shared" si="245"/>
        <v>2</v>
      </c>
      <c r="AK22" s="115">
        <f t="shared" si="245"/>
        <v>8</v>
      </c>
      <c r="AL22" s="115">
        <f t="shared" si="245"/>
        <v>4</v>
      </c>
      <c r="AM22" s="115">
        <f t="shared" si="245"/>
        <v>1</v>
      </c>
      <c r="AN22" s="241">
        <f t="shared" si="245"/>
        <v>7</v>
      </c>
      <c r="AP22" s="115">
        <f t="shared" ref="AP22:BQ22" si="246">AP19</f>
        <v>4</v>
      </c>
      <c r="AQ22" s="115">
        <f t="shared" si="246"/>
        <v>2</v>
      </c>
      <c r="AR22" s="115">
        <f t="shared" si="246"/>
        <v>3</v>
      </c>
      <c r="AS22" s="115">
        <f t="shared" si="246"/>
        <v>1</v>
      </c>
      <c r="AT22" s="115">
        <f t="shared" si="246"/>
        <v>7</v>
      </c>
      <c r="AU22" s="115">
        <f t="shared" si="246"/>
        <v>5</v>
      </c>
      <c r="AV22" s="241">
        <f t="shared" si="246"/>
        <v>6</v>
      </c>
      <c r="AW22" s="115">
        <f t="shared" si="246"/>
        <v>3</v>
      </c>
      <c r="AX22" s="115">
        <f t="shared" si="246"/>
        <v>6</v>
      </c>
      <c r="AY22" s="115">
        <f t="shared" si="246"/>
        <v>7</v>
      </c>
      <c r="AZ22" s="115">
        <f t="shared" si="246"/>
        <v>1</v>
      </c>
      <c r="BA22" s="115">
        <f t="shared" si="246"/>
        <v>5</v>
      </c>
      <c r="BB22" s="115">
        <f t="shared" si="246"/>
        <v>4</v>
      </c>
      <c r="BC22" s="241">
        <f t="shared" si="246"/>
        <v>2</v>
      </c>
      <c r="BD22" s="115">
        <f t="shared" si="246"/>
        <v>1</v>
      </c>
      <c r="BE22" s="115">
        <f t="shared" si="246"/>
        <v>7</v>
      </c>
      <c r="BF22" s="115">
        <f t="shared" si="246"/>
        <v>4</v>
      </c>
      <c r="BG22" s="115">
        <f t="shared" si="246"/>
        <v>2</v>
      </c>
      <c r="BH22" s="115">
        <f t="shared" si="246"/>
        <v>5</v>
      </c>
      <c r="BI22" s="115">
        <f t="shared" si="246"/>
        <v>6</v>
      </c>
      <c r="BJ22" s="241">
        <f t="shared" si="246"/>
        <v>3</v>
      </c>
      <c r="BK22" s="115">
        <f t="shared" si="246"/>
        <v>5</v>
      </c>
      <c r="BL22" s="115">
        <f t="shared" si="246"/>
        <v>6</v>
      </c>
      <c r="BM22" s="115">
        <f t="shared" si="246"/>
        <v>3</v>
      </c>
      <c r="BN22" s="115">
        <f t="shared" si="246"/>
        <v>2</v>
      </c>
      <c r="BO22" s="115">
        <f t="shared" si="246"/>
        <v>4</v>
      </c>
      <c r="BP22" s="115">
        <f t="shared" si="246"/>
        <v>1</v>
      </c>
      <c r="BQ22" s="241">
        <f t="shared" si="246"/>
        <v>7</v>
      </c>
      <c r="BS22" s="115">
        <f t="shared" ref="BS22:CP22" si="247">BS19</f>
        <v>4</v>
      </c>
      <c r="BT22" s="115">
        <f t="shared" si="247"/>
        <v>2</v>
      </c>
      <c r="BU22" s="115">
        <f t="shared" si="247"/>
        <v>3</v>
      </c>
      <c r="BV22" s="115">
        <f t="shared" si="247"/>
        <v>1</v>
      </c>
      <c r="BW22" s="115">
        <f t="shared" si="247"/>
        <v>5</v>
      </c>
      <c r="BX22" s="241">
        <f t="shared" si="247"/>
        <v>6</v>
      </c>
      <c r="BY22" s="115">
        <f t="shared" si="247"/>
        <v>3</v>
      </c>
      <c r="BZ22" s="115">
        <f t="shared" si="247"/>
        <v>6</v>
      </c>
      <c r="CA22" s="115">
        <f t="shared" si="247"/>
        <v>1</v>
      </c>
      <c r="CB22" s="115">
        <f t="shared" si="247"/>
        <v>5</v>
      </c>
      <c r="CC22" s="115">
        <f t="shared" si="247"/>
        <v>4</v>
      </c>
      <c r="CD22" s="241">
        <f t="shared" si="247"/>
        <v>2</v>
      </c>
      <c r="CE22" s="115">
        <f t="shared" si="247"/>
        <v>1</v>
      </c>
      <c r="CF22" s="115">
        <f t="shared" si="247"/>
        <v>4</v>
      </c>
      <c r="CG22" s="115">
        <f t="shared" si="247"/>
        <v>2</v>
      </c>
      <c r="CH22" s="115">
        <f t="shared" si="247"/>
        <v>5</v>
      </c>
      <c r="CI22" s="115">
        <f t="shared" si="247"/>
        <v>6</v>
      </c>
      <c r="CJ22" s="241">
        <f t="shared" si="247"/>
        <v>3</v>
      </c>
      <c r="CK22" s="115">
        <f t="shared" si="247"/>
        <v>5</v>
      </c>
      <c r="CL22" s="115">
        <f t="shared" si="247"/>
        <v>6</v>
      </c>
      <c r="CM22" s="115">
        <f t="shared" si="247"/>
        <v>3</v>
      </c>
      <c r="CN22" s="115">
        <f t="shared" si="247"/>
        <v>2</v>
      </c>
      <c r="CO22" s="115">
        <f t="shared" si="247"/>
        <v>4</v>
      </c>
      <c r="CP22" s="241">
        <f t="shared" si="247"/>
        <v>1</v>
      </c>
      <c r="CR22" s="115">
        <f t="shared" ref="CR22:DK22" si="248">CR19</f>
        <v>4</v>
      </c>
      <c r="CS22" s="115">
        <f t="shared" si="248"/>
        <v>2</v>
      </c>
      <c r="CT22" s="115">
        <f t="shared" si="248"/>
        <v>3</v>
      </c>
      <c r="CU22" s="115">
        <f t="shared" si="248"/>
        <v>1</v>
      </c>
      <c r="CV22" s="241">
        <f t="shared" si="248"/>
        <v>5</v>
      </c>
      <c r="CW22" s="115">
        <f t="shared" si="248"/>
        <v>3</v>
      </c>
      <c r="CX22" s="115">
        <f t="shared" si="248"/>
        <v>1</v>
      </c>
      <c r="CY22" s="115">
        <f t="shared" si="248"/>
        <v>5</v>
      </c>
      <c r="CZ22" s="115">
        <f t="shared" si="248"/>
        <v>4</v>
      </c>
      <c r="DA22" s="241">
        <f t="shared" si="248"/>
        <v>2</v>
      </c>
      <c r="DB22" s="115">
        <f t="shared" si="248"/>
        <v>1</v>
      </c>
      <c r="DC22" s="115">
        <f t="shared" si="248"/>
        <v>4</v>
      </c>
      <c r="DD22" s="115">
        <f t="shared" si="248"/>
        <v>2</v>
      </c>
      <c r="DE22" s="115">
        <f t="shared" si="248"/>
        <v>5</v>
      </c>
      <c r="DF22" s="241">
        <f t="shared" si="248"/>
        <v>3</v>
      </c>
      <c r="DG22" s="115">
        <f t="shared" si="248"/>
        <v>5</v>
      </c>
      <c r="DH22" s="115">
        <f t="shared" si="248"/>
        <v>3</v>
      </c>
      <c r="DI22" s="115">
        <f t="shared" si="248"/>
        <v>2</v>
      </c>
      <c r="DJ22" s="115">
        <f t="shared" si="248"/>
        <v>4</v>
      </c>
      <c r="DK22" s="241">
        <f t="shared" si="248"/>
        <v>1</v>
      </c>
      <c r="DM22" s="324">
        <f t="shared" ref="DM22:EB22" si="249">DM19</f>
        <v>4</v>
      </c>
      <c r="DN22" s="321">
        <f t="shared" si="249"/>
        <v>2</v>
      </c>
      <c r="DO22" s="321">
        <f t="shared" si="249"/>
        <v>3</v>
      </c>
      <c r="DP22" s="241">
        <f t="shared" si="249"/>
        <v>1</v>
      </c>
      <c r="DQ22" s="324">
        <f t="shared" si="249"/>
        <v>3</v>
      </c>
      <c r="DR22" s="321">
        <f t="shared" si="249"/>
        <v>1</v>
      </c>
      <c r="DS22" s="321">
        <f t="shared" si="249"/>
        <v>4</v>
      </c>
      <c r="DT22" s="241">
        <f t="shared" si="249"/>
        <v>2</v>
      </c>
      <c r="DU22" s="324">
        <f t="shared" si="249"/>
        <v>1</v>
      </c>
      <c r="DV22" s="321">
        <f t="shared" si="249"/>
        <v>4</v>
      </c>
      <c r="DW22" s="321">
        <f t="shared" si="249"/>
        <v>2</v>
      </c>
      <c r="DX22" s="241">
        <f t="shared" si="249"/>
        <v>3</v>
      </c>
      <c r="DY22" s="324">
        <f t="shared" si="249"/>
        <v>3</v>
      </c>
      <c r="DZ22" s="321">
        <f t="shared" si="249"/>
        <v>2</v>
      </c>
      <c r="EA22" s="321">
        <f t="shared" si="249"/>
        <v>4</v>
      </c>
      <c r="EB22" s="241">
        <f t="shared" si="249"/>
        <v>1</v>
      </c>
      <c r="EC22" s="306"/>
      <c r="ED22" s="66">
        <f>$EE$19*10+EF22</f>
        <v>44</v>
      </c>
      <c r="EF22" s="66">
        <v>4</v>
      </c>
      <c r="EG22" s="307" t="s">
        <v>745</v>
      </c>
      <c r="EH22" s="66">
        <f>EH21+$EE$19</f>
        <v>129</v>
      </c>
      <c r="EJ22" s="87" t="str">
        <f t="shared" si="11"/>
        <v>'Track1'!</v>
      </c>
      <c r="EK22" s="87" t="s">
        <v>447</v>
      </c>
      <c r="EL22" s="87" t="s">
        <v>280</v>
      </c>
      <c r="EM22" s="64" t="str">
        <f t="shared" ca="1" si="12"/>
        <v>-</v>
      </c>
      <c r="EN22" s="64" t="str">
        <f t="shared" ca="1" si="13"/>
        <v>-</v>
      </c>
      <c r="EO22" s="87" t="str">
        <f t="shared" si="14"/>
        <v>'Track1'!</v>
      </c>
      <c r="EP22" s="87" t="s">
        <v>447</v>
      </c>
      <c r="EQ22" s="87" t="s">
        <v>165</v>
      </c>
      <c r="ER22" s="87" t="str">
        <f t="shared" ca="1" si="0"/>
        <v>-</v>
      </c>
      <c r="ES22" s="64" t="str">
        <f t="shared" ca="1" si="15"/>
        <v>-</v>
      </c>
      <c r="EW22" s="65">
        <v>14.2</v>
      </c>
    </row>
    <row r="23" spans="1:153" x14ac:dyDescent="0.35">
      <c r="A23" s="353" t="s">
        <v>44</v>
      </c>
      <c r="B23" s="64" t="s">
        <v>16</v>
      </c>
      <c r="C23" s="64" t="s">
        <v>9</v>
      </c>
      <c r="D23" s="66">
        <v>23</v>
      </c>
      <c r="F23" s="272">
        <v>14.3</v>
      </c>
      <c r="G23" s="272">
        <v>0.60763888888888895</v>
      </c>
      <c r="H23" s="66" t="s">
        <v>162</v>
      </c>
      <c r="I23" s="115">
        <f>I19</f>
        <v>4</v>
      </c>
      <c r="J23" s="115">
        <f t="shared" ref="J23:P23" si="250">J19</f>
        <v>2</v>
      </c>
      <c r="K23" s="115">
        <f t="shared" si="250"/>
        <v>8</v>
      </c>
      <c r="L23" s="115">
        <f t="shared" si="250"/>
        <v>3</v>
      </c>
      <c r="M23" s="115">
        <f t="shared" si="250"/>
        <v>1</v>
      </c>
      <c r="N23" s="115">
        <f t="shared" si="250"/>
        <v>7</v>
      </c>
      <c r="O23" s="115">
        <f t="shared" si="250"/>
        <v>5</v>
      </c>
      <c r="P23" s="241">
        <f t="shared" si="250"/>
        <v>6</v>
      </c>
      <c r="Q23" s="115">
        <f>Q19</f>
        <v>8</v>
      </c>
      <c r="R23" s="115">
        <f t="shared" ref="R23:X23" si="251">R19</f>
        <v>3</v>
      </c>
      <c r="S23" s="115">
        <f t="shared" si="251"/>
        <v>6</v>
      </c>
      <c r="T23" s="115">
        <f t="shared" si="251"/>
        <v>7</v>
      </c>
      <c r="U23" s="115">
        <f t="shared" si="251"/>
        <v>1</v>
      </c>
      <c r="V23" s="115">
        <f t="shared" si="251"/>
        <v>5</v>
      </c>
      <c r="W23" s="115">
        <f t="shared" si="251"/>
        <v>4</v>
      </c>
      <c r="X23" s="241">
        <f t="shared" si="251"/>
        <v>2</v>
      </c>
      <c r="Y23" s="115">
        <f>Y19</f>
        <v>1</v>
      </c>
      <c r="Z23" s="115">
        <f t="shared" ref="Z23:AF23" si="252">Z19</f>
        <v>7</v>
      </c>
      <c r="AA23" s="115">
        <f t="shared" si="252"/>
        <v>4</v>
      </c>
      <c r="AB23" s="115">
        <f t="shared" si="252"/>
        <v>2</v>
      </c>
      <c r="AC23" s="115">
        <f t="shared" si="252"/>
        <v>5</v>
      </c>
      <c r="AD23" s="115">
        <f t="shared" si="252"/>
        <v>6</v>
      </c>
      <c r="AE23" s="115">
        <f t="shared" si="252"/>
        <v>8</v>
      </c>
      <c r="AF23" s="241">
        <f t="shared" si="252"/>
        <v>3</v>
      </c>
      <c r="AG23" s="115">
        <f>AG19</f>
        <v>5</v>
      </c>
      <c r="AH23" s="115">
        <f t="shared" ref="AH23:AN23" si="253">AH19</f>
        <v>6</v>
      </c>
      <c r="AI23" s="115">
        <f t="shared" si="253"/>
        <v>3</v>
      </c>
      <c r="AJ23" s="115">
        <f t="shared" si="253"/>
        <v>2</v>
      </c>
      <c r="AK23" s="115">
        <f t="shared" si="253"/>
        <v>8</v>
      </c>
      <c r="AL23" s="115">
        <f t="shared" si="253"/>
        <v>4</v>
      </c>
      <c r="AM23" s="115">
        <f t="shared" si="253"/>
        <v>1</v>
      </c>
      <c r="AN23" s="241">
        <f t="shared" si="253"/>
        <v>7</v>
      </c>
      <c r="AP23" s="115">
        <f t="shared" ref="AP23:BQ23" si="254">AP19</f>
        <v>4</v>
      </c>
      <c r="AQ23" s="115">
        <f t="shared" si="254"/>
        <v>2</v>
      </c>
      <c r="AR23" s="115">
        <f t="shared" si="254"/>
        <v>3</v>
      </c>
      <c r="AS23" s="115">
        <f t="shared" si="254"/>
        <v>1</v>
      </c>
      <c r="AT23" s="115">
        <f t="shared" si="254"/>
        <v>7</v>
      </c>
      <c r="AU23" s="115">
        <f t="shared" si="254"/>
        <v>5</v>
      </c>
      <c r="AV23" s="241">
        <f t="shared" si="254"/>
        <v>6</v>
      </c>
      <c r="AW23" s="115">
        <f t="shared" si="254"/>
        <v>3</v>
      </c>
      <c r="AX23" s="115">
        <f t="shared" si="254"/>
        <v>6</v>
      </c>
      <c r="AY23" s="115">
        <f t="shared" si="254"/>
        <v>7</v>
      </c>
      <c r="AZ23" s="115">
        <f t="shared" si="254"/>
        <v>1</v>
      </c>
      <c r="BA23" s="115">
        <f t="shared" si="254"/>
        <v>5</v>
      </c>
      <c r="BB23" s="115">
        <f t="shared" si="254"/>
        <v>4</v>
      </c>
      <c r="BC23" s="241">
        <f t="shared" si="254"/>
        <v>2</v>
      </c>
      <c r="BD23" s="115">
        <f t="shared" si="254"/>
        <v>1</v>
      </c>
      <c r="BE23" s="115">
        <f t="shared" si="254"/>
        <v>7</v>
      </c>
      <c r="BF23" s="115">
        <f t="shared" si="254"/>
        <v>4</v>
      </c>
      <c r="BG23" s="115">
        <f t="shared" si="254"/>
        <v>2</v>
      </c>
      <c r="BH23" s="115">
        <f t="shared" si="254"/>
        <v>5</v>
      </c>
      <c r="BI23" s="115">
        <f t="shared" si="254"/>
        <v>6</v>
      </c>
      <c r="BJ23" s="241">
        <f t="shared" si="254"/>
        <v>3</v>
      </c>
      <c r="BK23" s="115">
        <f t="shared" si="254"/>
        <v>5</v>
      </c>
      <c r="BL23" s="115">
        <f t="shared" si="254"/>
        <v>6</v>
      </c>
      <c r="BM23" s="115">
        <f t="shared" si="254"/>
        <v>3</v>
      </c>
      <c r="BN23" s="115">
        <f t="shared" si="254"/>
        <v>2</v>
      </c>
      <c r="BO23" s="115">
        <f t="shared" si="254"/>
        <v>4</v>
      </c>
      <c r="BP23" s="115">
        <f t="shared" si="254"/>
        <v>1</v>
      </c>
      <c r="BQ23" s="241">
        <f t="shared" si="254"/>
        <v>7</v>
      </c>
      <c r="BS23" s="115">
        <f t="shared" ref="BS23:CP23" si="255">BS19</f>
        <v>4</v>
      </c>
      <c r="BT23" s="115">
        <f t="shared" si="255"/>
        <v>2</v>
      </c>
      <c r="BU23" s="115">
        <f t="shared" si="255"/>
        <v>3</v>
      </c>
      <c r="BV23" s="115">
        <f t="shared" si="255"/>
        <v>1</v>
      </c>
      <c r="BW23" s="115">
        <f t="shared" si="255"/>
        <v>5</v>
      </c>
      <c r="BX23" s="241">
        <f t="shared" si="255"/>
        <v>6</v>
      </c>
      <c r="BY23" s="115">
        <f t="shared" si="255"/>
        <v>3</v>
      </c>
      <c r="BZ23" s="115">
        <f t="shared" si="255"/>
        <v>6</v>
      </c>
      <c r="CA23" s="115">
        <f t="shared" si="255"/>
        <v>1</v>
      </c>
      <c r="CB23" s="115">
        <f t="shared" si="255"/>
        <v>5</v>
      </c>
      <c r="CC23" s="115">
        <f t="shared" si="255"/>
        <v>4</v>
      </c>
      <c r="CD23" s="241">
        <f t="shared" si="255"/>
        <v>2</v>
      </c>
      <c r="CE23" s="115">
        <f t="shared" si="255"/>
        <v>1</v>
      </c>
      <c r="CF23" s="115">
        <f t="shared" si="255"/>
        <v>4</v>
      </c>
      <c r="CG23" s="115">
        <f t="shared" si="255"/>
        <v>2</v>
      </c>
      <c r="CH23" s="115">
        <f t="shared" si="255"/>
        <v>5</v>
      </c>
      <c r="CI23" s="115">
        <f t="shared" si="255"/>
        <v>6</v>
      </c>
      <c r="CJ23" s="241">
        <f t="shared" si="255"/>
        <v>3</v>
      </c>
      <c r="CK23" s="115">
        <f t="shared" si="255"/>
        <v>5</v>
      </c>
      <c r="CL23" s="115">
        <f t="shared" si="255"/>
        <v>6</v>
      </c>
      <c r="CM23" s="115">
        <f t="shared" si="255"/>
        <v>3</v>
      </c>
      <c r="CN23" s="115">
        <f t="shared" si="255"/>
        <v>2</v>
      </c>
      <c r="CO23" s="115">
        <f t="shared" si="255"/>
        <v>4</v>
      </c>
      <c r="CP23" s="241">
        <f t="shared" si="255"/>
        <v>1</v>
      </c>
      <c r="CR23" s="115">
        <f t="shared" ref="CR23:DK23" si="256">CR19</f>
        <v>4</v>
      </c>
      <c r="CS23" s="115">
        <f t="shared" si="256"/>
        <v>2</v>
      </c>
      <c r="CT23" s="115">
        <f t="shared" si="256"/>
        <v>3</v>
      </c>
      <c r="CU23" s="115">
        <f t="shared" si="256"/>
        <v>1</v>
      </c>
      <c r="CV23" s="241">
        <f t="shared" si="256"/>
        <v>5</v>
      </c>
      <c r="CW23" s="115">
        <f t="shared" si="256"/>
        <v>3</v>
      </c>
      <c r="CX23" s="115">
        <f t="shared" si="256"/>
        <v>1</v>
      </c>
      <c r="CY23" s="115">
        <f t="shared" si="256"/>
        <v>5</v>
      </c>
      <c r="CZ23" s="115">
        <f t="shared" si="256"/>
        <v>4</v>
      </c>
      <c r="DA23" s="241">
        <f t="shared" si="256"/>
        <v>2</v>
      </c>
      <c r="DB23" s="115">
        <f t="shared" si="256"/>
        <v>1</v>
      </c>
      <c r="DC23" s="115">
        <f t="shared" si="256"/>
        <v>4</v>
      </c>
      <c r="DD23" s="115">
        <f t="shared" si="256"/>
        <v>2</v>
      </c>
      <c r="DE23" s="115">
        <f t="shared" si="256"/>
        <v>5</v>
      </c>
      <c r="DF23" s="241">
        <f t="shared" si="256"/>
        <v>3</v>
      </c>
      <c r="DG23" s="115">
        <f t="shared" si="256"/>
        <v>5</v>
      </c>
      <c r="DH23" s="115">
        <f t="shared" si="256"/>
        <v>3</v>
      </c>
      <c r="DI23" s="115">
        <f t="shared" si="256"/>
        <v>2</v>
      </c>
      <c r="DJ23" s="115">
        <f t="shared" si="256"/>
        <v>4</v>
      </c>
      <c r="DK23" s="241">
        <f t="shared" si="256"/>
        <v>1</v>
      </c>
      <c r="DM23" s="324">
        <f t="shared" ref="DM23:EB23" si="257">DM19</f>
        <v>4</v>
      </c>
      <c r="DN23" s="321">
        <f t="shared" si="257"/>
        <v>2</v>
      </c>
      <c r="DO23" s="321">
        <f t="shared" si="257"/>
        <v>3</v>
      </c>
      <c r="DP23" s="241">
        <f t="shared" si="257"/>
        <v>1</v>
      </c>
      <c r="DQ23" s="324">
        <f t="shared" si="257"/>
        <v>3</v>
      </c>
      <c r="DR23" s="321">
        <f t="shared" si="257"/>
        <v>1</v>
      </c>
      <c r="DS23" s="321">
        <f t="shared" si="257"/>
        <v>4</v>
      </c>
      <c r="DT23" s="241">
        <f t="shared" si="257"/>
        <v>2</v>
      </c>
      <c r="DU23" s="324">
        <f t="shared" si="257"/>
        <v>1</v>
      </c>
      <c r="DV23" s="321">
        <f t="shared" si="257"/>
        <v>4</v>
      </c>
      <c r="DW23" s="321">
        <f t="shared" si="257"/>
        <v>2</v>
      </c>
      <c r="DX23" s="241">
        <f t="shared" si="257"/>
        <v>3</v>
      </c>
      <c r="DY23" s="324">
        <f t="shared" si="257"/>
        <v>3</v>
      </c>
      <c r="DZ23" s="321">
        <f t="shared" si="257"/>
        <v>2</v>
      </c>
      <c r="EA23" s="321">
        <f t="shared" si="257"/>
        <v>4</v>
      </c>
      <c r="EB23" s="241">
        <f t="shared" si="257"/>
        <v>1</v>
      </c>
      <c r="EC23" s="306"/>
      <c r="EJ23" s="87" t="str">
        <f t="shared" si="11"/>
        <v>'Track1'!</v>
      </c>
      <c r="EK23" s="87" t="s">
        <v>447</v>
      </c>
      <c r="EL23" s="87" t="s">
        <v>280</v>
      </c>
      <c r="EM23" s="64" t="str">
        <f t="shared" ca="1" si="12"/>
        <v>-</v>
      </c>
      <c r="EN23" s="64" t="str">
        <f t="shared" ca="1" si="13"/>
        <v>-</v>
      </c>
      <c r="EO23" s="87" t="str">
        <f t="shared" si="14"/>
        <v>'Track1'!</v>
      </c>
      <c r="EP23" s="87" t="s">
        <v>447</v>
      </c>
      <c r="EQ23" s="87" t="s">
        <v>165</v>
      </c>
      <c r="ER23" s="87" t="str">
        <f t="shared" ca="1" si="0"/>
        <v>-</v>
      </c>
      <c r="ES23" s="64" t="str">
        <f t="shared" ca="1" si="15"/>
        <v>-</v>
      </c>
      <c r="EW23" s="65">
        <v>14.25</v>
      </c>
    </row>
    <row r="24" spans="1:153" x14ac:dyDescent="0.35">
      <c r="A24" s="353" t="s">
        <v>45</v>
      </c>
      <c r="B24" s="302" t="s">
        <v>15</v>
      </c>
      <c r="C24" s="64" t="s">
        <v>6</v>
      </c>
      <c r="D24" s="66">
        <v>24</v>
      </c>
      <c r="F24" s="272">
        <v>14.4</v>
      </c>
      <c r="G24" s="272">
        <v>0.61458333333333337</v>
      </c>
      <c r="H24" s="66" t="s">
        <v>162</v>
      </c>
      <c r="I24" s="115">
        <f>I19</f>
        <v>4</v>
      </c>
      <c r="J24" s="115">
        <f t="shared" ref="J24:P24" si="258">J19</f>
        <v>2</v>
      </c>
      <c r="K24" s="115">
        <f t="shared" si="258"/>
        <v>8</v>
      </c>
      <c r="L24" s="115">
        <f t="shared" si="258"/>
        <v>3</v>
      </c>
      <c r="M24" s="115">
        <f t="shared" si="258"/>
        <v>1</v>
      </c>
      <c r="N24" s="115">
        <f t="shared" si="258"/>
        <v>7</v>
      </c>
      <c r="O24" s="115">
        <f t="shared" si="258"/>
        <v>5</v>
      </c>
      <c r="P24" s="241">
        <f t="shared" si="258"/>
        <v>6</v>
      </c>
      <c r="Q24" s="115">
        <f>Q19</f>
        <v>8</v>
      </c>
      <c r="R24" s="115">
        <f t="shared" ref="R24:X24" si="259">R19</f>
        <v>3</v>
      </c>
      <c r="S24" s="115">
        <f t="shared" si="259"/>
        <v>6</v>
      </c>
      <c r="T24" s="115">
        <f t="shared" si="259"/>
        <v>7</v>
      </c>
      <c r="U24" s="115">
        <f t="shared" si="259"/>
        <v>1</v>
      </c>
      <c r="V24" s="115">
        <f t="shared" si="259"/>
        <v>5</v>
      </c>
      <c r="W24" s="115">
        <f t="shared" si="259"/>
        <v>4</v>
      </c>
      <c r="X24" s="241">
        <f t="shared" si="259"/>
        <v>2</v>
      </c>
      <c r="Y24" s="115">
        <f>Y19</f>
        <v>1</v>
      </c>
      <c r="Z24" s="115">
        <f t="shared" ref="Z24:AF24" si="260">Z19</f>
        <v>7</v>
      </c>
      <c r="AA24" s="115">
        <f t="shared" si="260"/>
        <v>4</v>
      </c>
      <c r="AB24" s="115">
        <f t="shared" si="260"/>
        <v>2</v>
      </c>
      <c r="AC24" s="115">
        <f t="shared" si="260"/>
        <v>5</v>
      </c>
      <c r="AD24" s="115">
        <f t="shared" si="260"/>
        <v>6</v>
      </c>
      <c r="AE24" s="115">
        <f t="shared" si="260"/>
        <v>8</v>
      </c>
      <c r="AF24" s="241">
        <f t="shared" si="260"/>
        <v>3</v>
      </c>
      <c r="AG24" s="115">
        <f>AG19</f>
        <v>5</v>
      </c>
      <c r="AH24" s="115">
        <f t="shared" ref="AH24:AN24" si="261">AH19</f>
        <v>6</v>
      </c>
      <c r="AI24" s="115">
        <f t="shared" si="261"/>
        <v>3</v>
      </c>
      <c r="AJ24" s="115">
        <f t="shared" si="261"/>
        <v>2</v>
      </c>
      <c r="AK24" s="115">
        <f t="shared" si="261"/>
        <v>8</v>
      </c>
      <c r="AL24" s="115">
        <f t="shared" si="261"/>
        <v>4</v>
      </c>
      <c r="AM24" s="115">
        <f t="shared" si="261"/>
        <v>1</v>
      </c>
      <c r="AN24" s="241">
        <f t="shared" si="261"/>
        <v>7</v>
      </c>
      <c r="AP24" s="115">
        <f t="shared" ref="AP24:BQ24" si="262">AP19</f>
        <v>4</v>
      </c>
      <c r="AQ24" s="115">
        <f t="shared" si="262"/>
        <v>2</v>
      </c>
      <c r="AR24" s="115">
        <f t="shared" si="262"/>
        <v>3</v>
      </c>
      <c r="AS24" s="115">
        <f t="shared" si="262"/>
        <v>1</v>
      </c>
      <c r="AT24" s="115">
        <f t="shared" si="262"/>
        <v>7</v>
      </c>
      <c r="AU24" s="115">
        <f t="shared" si="262"/>
        <v>5</v>
      </c>
      <c r="AV24" s="241">
        <f t="shared" si="262"/>
        <v>6</v>
      </c>
      <c r="AW24" s="115">
        <f t="shared" si="262"/>
        <v>3</v>
      </c>
      <c r="AX24" s="115">
        <f t="shared" si="262"/>
        <v>6</v>
      </c>
      <c r="AY24" s="115">
        <f t="shared" si="262"/>
        <v>7</v>
      </c>
      <c r="AZ24" s="115">
        <f t="shared" si="262"/>
        <v>1</v>
      </c>
      <c r="BA24" s="115">
        <f t="shared" si="262"/>
        <v>5</v>
      </c>
      <c r="BB24" s="115">
        <f t="shared" si="262"/>
        <v>4</v>
      </c>
      <c r="BC24" s="241">
        <f t="shared" si="262"/>
        <v>2</v>
      </c>
      <c r="BD24" s="115">
        <f t="shared" si="262"/>
        <v>1</v>
      </c>
      <c r="BE24" s="115">
        <f t="shared" si="262"/>
        <v>7</v>
      </c>
      <c r="BF24" s="115">
        <f t="shared" si="262"/>
        <v>4</v>
      </c>
      <c r="BG24" s="115">
        <f t="shared" si="262"/>
        <v>2</v>
      </c>
      <c r="BH24" s="115">
        <f t="shared" si="262"/>
        <v>5</v>
      </c>
      <c r="BI24" s="115">
        <f t="shared" si="262"/>
        <v>6</v>
      </c>
      <c r="BJ24" s="241">
        <f t="shared" si="262"/>
        <v>3</v>
      </c>
      <c r="BK24" s="115">
        <f t="shared" si="262"/>
        <v>5</v>
      </c>
      <c r="BL24" s="115">
        <f t="shared" si="262"/>
        <v>6</v>
      </c>
      <c r="BM24" s="115">
        <f t="shared" si="262"/>
        <v>3</v>
      </c>
      <c r="BN24" s="115">
        <f t="shared" si="262"/>
        <v>2</v>
      </c>
      <c r="BO24" s="115">
        <f t="shared" si="262"/>
        <v>4</v>
      </c>
      <c r="BP24" s="115">
        <f t="shared" si="262"/>
        <v>1</v>
      </c>
      <c r="BQ24" s="241">
        <f t="shared" si="262"/>
        <v>7</v>
      </c>
      <c r="BS24" s="115">
        <f t="shared" ref="BS24:CP24" si="263">BS19</f>
        <v>4</v>
      </c>
      <c r="BT24" s="115">
        <f t="shared" si="263"/>
        <v>2</v>
      </c>
      <c r="BU24" s="115">
        <f t="shared" si="263"/>
        <v>3</v>
      </c>
      <c r="BV24" s="115">
        <f t="shared" si="263"/>
        <v>1</v>
      </c>
      <c r="BW24" s="115">
        <f t="shared" si="263"/>
        <v>5</v>
      </c>
      <c r="BX24" s="241">
        <f t="shared" si="263"/>
        <v>6</v>
      </c>
      <c r="BY24" s="115">
        <f t="shared" si="263"/>
        <v>3</v>
      </c>
      <c r="BZ24" s="115">
        <f t="shared" si="263"/>
        <v>6</v>
      </c>
      <c r="CA24" s="115">
        <f t="shared" si="263"/>
        <v>1</v>
      </c>
      <c r="CB24" s="115">
        <f t="shared" si="263"/>
        <v>5</v>
      </c>
      <c r="CC24" s="115">
        <f t="shared" si="263"/>
        <v>4</v>
      </c>
      <c r="CD24" s="241">
        <f t="shared" si="263"/>
        <v>2</v>
      </c>
      <c r="CE24" s="115">
        <f t="shared" si="263"/>
        <v>1</v>
      </c>
      <c r="CF24" s="115">
        <f t="shared" si="263"/>
        <v>4</v>
      </c>
      <c r="CG24" s="115">
        <f t="shared" si="263"/>
        <v>2</v>
      </c>
      <c r="CH24" s="115">
        <f t="shared" si="263"/>
        <v>5</v>
      </c>
      <c r="CI24" s="115">
        <f t="shared" si="263"/>
        <v>6</v>
      </c>
      <c r="CJ24" s="241">
        <f t="shared" si="263"/>
        <v>3</v>
      </c>
      <c r="CK24" s="115">
        <f t="shared" si="263"/>
        <v>5</v>
      </c>
      <c r="CL24" s="115">
        <f t="shared" si="263"/>
        <v>6</v>
      </c>
      <c r="CM24" s="115">
        <f t="shared" si="263"/>
        <v>3</v>
      </c>
      <c r="CN24" s="115">
        <f t="shared" si="263"/>
        <v>2</v>
      </c>
      <c r="CO24" s="115">
        <f t="shared" si="263"/>
        <v>4</v>
      </c>
      <c r="CP24" s="241">
        <f t="shared" si="263"/>
        <v>1</v>
      </c>
      <c r="CR24" s="115">
        <f t="shared" ref="CR24:DK24" si="264">CR19</f>
        <v>4</v>
      </c>
      <c r="CS24" s="115">
        <f t="shared" si="264"/>
        <v>2</v>
      </c>
      <c r="CT24" s="115">
        <f t="shared" si="264"/>
        <v>3</v>
      </c>
      <c r="CU24" s="115">
        <f t="shared" si="264"/>
        <v>1</v>
      </c>
      <c r="CV24" s="241">
        <f t="shared" si="264"/>
        <v>5</v>
      </c>
      <c r="CW24" s="115">
        <f t="shared" si="264"/>
        <v>3</v>
      </c>
      <c r="CX24" s="115">
        <f t="shared" si="264"/>
        <v>1</v>
      </c>
      <c r="CY24" s="115">
        <f t="shared" si="264"/>
        <v>5</v>
      </c>
      <c r="CZ24" s="115">
        <f t="shared" si="264"/>
        <v>4</v>
      </c>
      <c r="DA24" s="241">
        <f t="shared" si="264"/>
        <v>2</v>
      </c>
      <c r="DB24" s="115">
        <f t="shared" si="264"/>
        <v>1</v>
      </c>
      <c r="DC24" s="115">
        <f t="shared" si="264"/>
        <v>4</v>
      </c>
      <c r="DD24" s="115">
        <f t="shared" si="264"/>
        <v>2</v>
      </c>
      <c r="DE24" s="115">
        <f t="shared" si="264"/>
        <v>5</v>
      </c>
      <c r="DF24" s="241">
        <f t="shared" si="264"/>
        <v>3</v>
      </c>
      <c r="DG24" s="115">
        <f t="shared" si="264"/>
        <v>5</v>
      </c>
      <c r="DH24" s="115">
        <f t="shared" si="264"/>
        <v>3</v>
      </c>
      <c r="DI24" s="115">
        <f t="shared" si="264"/>
        <v>2</v>
      </c>
      <c r="DJ24" s="115">
        <f t="shared" si="264"/>
        <v>4</v>
      </c>
      <c r="DK24" s="241">
        <f t="shared" si="264"/>
        <v>1</v>
      </c>
      <c r="DM24" s="324">
        <f t="shared" ref="DM24:EB24" si="265">DM19</f>
        <v>4</v>
      </c>
      <c r="DN24" s="321">
        <f t="shared" si="265"/>
        <v>2</v>
      </c>
      <c r="DO24" s="321">
        <f t="shared" si="265"/>
        <v>3</v>
      </c>
      <c r="DP24" s="241">
        <f t="shared" si="265"/>
        <v>1</v>
      </c>
      <c r="DQ24" s="324">
        <f t="shared" si="265"/>
        <v>3</v>
      </c>
      <c r="DR24" s="321">
        <f t="shared" si="265"/>
        <v>1</v>
      </c>
      <c r="DS24" s="321">
        <f t="shared" si="265"/>
        <v>4</v>
      </c>
      <c r="DT24" s="241">
        <f t="shared" si="265"/>
        <v>2</v>
      </c>
      <c r="DU24" s="324">
        <f t="shared" si="265"/>
        <v>1</v>
      </c>
      <c r="DV24" s="321">
        <f t="shared" si="265"/>
        <v>4</v>
      </c>
      <c r="DW24" s="321">
        <f t="shared" si="265"/>
        <v>2</v>
      </c>
      <c r="DX24" s="241">
        <f t="shared" si="265"/>
        <v>3</v>
      </c>
      <c r="DY24" s="324">
        <f t="shared" si="265"/>
        <v>3</v>
      </c>
      <c r="DZ24" s="321">
        <f t="shared" si="265"/>
        <v>2</v>
      </c>
      <c r="EA24" s="321">
        <f t="shared" si="265"/>
        <v>4</v>
      </c>
      <c r="EB24" s="241">
        <f t="shared" si="265"/>
        <v>1</v>
      </c>
      <c r="EC24" s="306"/>
      <c r="EJ24" s="87" t="str">
        <f t="shared" si="11"/>
        <v>'Track1'!</v>
      </c>
      <c r="EK24" s="87" t="s">
        <v>447</v>
      </c>
      <c r="EL24" s="87" t="s">
        <v>280</v>
      </c>
      <c r="EM24" s="64" t="str">
        <f t="shared" ca="1" si="12"/>
        <v>-</v>
      </c>
      <c r="EN24" s="64" t="str">
        <f t="shared" ca="1" si="13"/>
        <v>-</v>
      </c>
      <c r="EO24" s="87" t="str">
        <f t="shared" si="14"/>
        <v>'Track1'!</v>
      </c>
      <c r="EP24" s="87" t="s">
        <v>447</v>
      </c>
      <c r="EQ24" s="87" t="s">
        <v>165</v>
      </c>
      <c r="ER24" s="87" t="str">
        <f t="shared" ca="1" si="0"/>
        <v>-</v>
      </c>
      <c r="ES24" s="64" t="str">
        <f t="shared" ca="1" si="15"/>
        <v>-</v>
      </c>
      <c r="EW24" s="65">
        <v>14.3</v>
      </c>
    </row>
    <row r="25" spans="1:153" x14ac:dyDescent="0.35">
      <c r="A25" s="353" t="s">
        <v>46</v>
      </c>
      <c r="B25" s="302" t="s">
        <v>17</v>
      </c>
      <c r="C25" s="64" t="s">
        <v>7</v>
      </c>
      <c r="D25" s="66">
        <v>25</v>
      </c>
      <c r="F25" s="272">
        <v>14.45</v>
      </c>
      <c r="G25" s="272">
        <v>0.61805555555555558</v>
      </c>
      <c r="H25" s="66" t="s">
        <v>162</v>
      </c>
      <c r="I25" s="115">
        <f>I19</f>
        <v>4</v>
      </c>
      <c r="J25" s="115">
        <f t="shared" ref="J25:P25" si="266">J19</f>
        <v>2</v>
      </c>
      <c r="K25" s="115">
        <f t="shared" si="266"/>
        <v>8</v>
      </c>
      <c r="L25" s="115">
        <f t="shared" si="266"/>
        <v>3</v>
      </c>
      <c r="M25" s="115">
        <f t="shared" si="266"/>
        <v>1</v>
      </c>
      <c r="N25" s="115">
        <f t="shared" si="266"/>
        <v>7</v>
      </c>
      <c r="O25" s="115">
        <f t="shared" si="266"/>
        <v>5</v>
      </c>
      <c r="P25" s="241">
        <f t="shared" si="266"/>
        <v>6</v>
      </c>
      <c r="Q25" s="115">
        <f>Q19</f>
        <v>8</v>
      </c>
      <c r="R25" s="115">
        <f t="shared" ref="R25:X25" si="267">R19</f>
        <v>3</v>
      </c>
      <c r="S25" s="115">
        <f t="shared" si="267"/>
        <v>6</v>
      </c>
      <c r="T25" s="115">
        <f t="shared" si="267"/>
        <v>7</v>
      </c>
      <c r="U25" s="115">
        <f t="shared" si="267"/>
        <v>1</v>
      </c>
      <c r="V25" s="115">
        <f t="shared" si="267"/>
        <v>5</v>
      </c>
      <c r="W25" s="115">
        <f t="shared" si="267"/>
        <v>4</v>
      </c>
      <c r="X25" s="241">
        <f t="shared" si="267"/>
        <v>2</v>
      </c>
      <c r="Y25" s="115">
        <f>Y19</f>
        <v>1</v>
      </c>
      <c r="Z25" s="115">
        <f t="shared" ref="Z25:AF25" si="268">Z19</f>
        <v>7</v>
      </c>
      <c r="AA25" s="115">
        <f t="shared" si="268"/>
        <v>4</v>
      </c>
      <c r="AB25" s="115">
        <f t="shared" si="268"/>
        <v>2</v>
      </c>
      <c r="AC25" s="115">
        <f t="shared" si="268"/>
        <v>5</v>
      </c>
      <c r="AD25" s="115">
        <f t="shared" si="268"/>
        <v>6</v>
      </c>
      <c r="AE25" s="115">
        <f t="shared" si="268"/>
        <v>8</v>
      </c>
      <c r="AF25" s="241">
        <f t="shared" si="268"/>
        <v>3</v>
      </c>
      <c r="AG25" s="115">
        <f>AG19</f>
        <v>5</v>
      </c>
      <c r="AH25" s="115">
        <f t="shared" ref="AH25:AN25" si="269">AH19</f>
        <v>6</v>
      </c>
      <c r="AI25" s="115">
        <f t="shared" si="269"/>
        <v>3</v>
      </c>
      <c r="AJ25" s="115">
        <f t="shared" si="269"/>
        <v>2</v>
      </c>
      <c r="AK25" s="115">
        <f t="shared" si="269"/>
        <v>8</v>
      </c>
      <c r="AL25" s="115">
        <f t="shared" si="269"/>
        <v>4</v>
      </c>
      <c r="AM25" s="115">
        <f t="shared" si="269"/>
        <v>1</v>
      </c>
      <c r="AN25" s="241">
        <f t="shared" si="269"/>
        <v>7</v>
      </c>
      <c r="AP25" s="115">
        <f t="shared" ref="AP25:BQ25" si="270">AP19</f>
        <v>4</v>
      </c>
      <c r="AQ25" s="115">
        <f t="shared" si="270"/>
        <v>2</v>
      </c>
      <c r="AR25" s="115">
        <f t="shared" si="270"/>
        <v>3</v>
      </c>
      <c r="AS25" s="115">
        <f t="shared" si="270"/>
        <v>1</v>
      </c>
      <c r="AT25" s="115">
        <f t="shared" si="270"/>
        <v>7</v>
      </c>
      <c r="AU25" s="115">
        <f t="shared" si="270"/>
        <v>5</v>
      </c>
      <c r="AV25" s="241">
        <f t="shared" si="270"/>
        <v>6</v>
      </c>
      <c r="AW25" s="115">
        <f t="shared" si="270"/>
        <v>3</v>
      </c>
      <c r="AX25" s="115">
        <f t="shared" si="270"/>
        <v>6</v>
      </c>
      <c r="AY25" s="115">
        <f t="shared" si="270"/>
        <v>7</v>
      </c>
      <c r="AZ25" s="115">
        <f t="shared" si="270"/>
        <v>1</v>
      </c>
      <c r="BA25" s="115">
        <f t="shared" si="270"/>
        <v>5</v>
      </c>
      <c r="BB25" s="115">
        <f t="shared" si="270"/>
        <v>4</v>
      </c>
      <c r="BC25" s="241">
        <f t="shared" si="270"/>
        <v>2</v>
      </c>
      <c r="BD25" s="115">
        <f t="shared" si="270"/>
        <v>1</v>
      </c>
      <c r="BE25" s="115">
        <f t="shared" si="270"/>
        <v>7</v>
      </c>
      <c r="BF25" s="115">
        <f t="shared" si="270"/>
        <v>4</v>
      </c>
      <c r="BG25" s="115">
        <f t="shared" si="270"/>
        <v>2</v>
      </c>
      <c r="BH25" s="115">
        <f t="shared" si="270"/>
        <v>5</v>
      </c>
      <c r="BI25" s="115">
        <f t="shared" si="270"/>
        <v>6</v>
      </c>
      <c r="BJ25" s="241">
        <f t="shared" si="270"/>
        <v>3</v>
      </c>
      <c r="BK25" s="115">
        <f t="shared" si="270"/>
        <v>5</v>
      </c>
      <c r="BL25" s="115">
        <f t="shared" si="270"/>
        <v>6</v>
      </c>
      <c r="BM25" s="115">
        <f t="shared" si="270"/>
        <v>3</v>
      </c>
      <c r="BN25" s="115">
        <f t="shared" si="270"/>
        <v>2</v>
      </c>
      <c r="BO25" s="115">
        <f t="shared" si="270"/>
        <v>4</v>
      </c>
      <c r="BP25" s="115">
        <f t="shared" si="270"/>
        <v>1</v>
      </c>
      <c r="BQ25" s="241">
        <f t="shared" si="270"/>
        <v>7</v>
      </c>
      <c r="BS25" s="115">
        <f t="shared" ref="BS25:CP25" si="271">BS19</f>
        <v>4</v>
      </c>
      <c r="BT25" s="115">
        <f t="shared" si="271"/>
        <v>2</v>
      </c>
      <c r="BU25" s="115">
        <f t="shared" si="271"/>
        <v>3</v>
      </c>
      <c r="BV25" s="115">
        <f t="shared" si="271"/>
        <v>1</v>
      </c>
      <c r="BW25" s="115">
        <f t="shared" si="271"/>
        <v>5</v>
      </c>
      <c r="BX25" s="241">
        <f t="shared" si="271"/>
        <v>6</v>
      </c>
      <c r="BY25" s="115">
        <f t="shared" si="271"/>
        <v>3</v>
      </c>
      <c r="BZ25" s="115">
        <f t="shared" si="271"/>
        <v>6</v>
      </c>
      <c r="CA25" s="115">
        <f t="shared" si="271"/>
        <v>1</v>
      </c>
      <c r="CB25" s="115">
        <f t="shared" si="271"/>
        <v>5</v>
      </c>
      <c r="CC25" s="115">
        <f t="shared" si="271"/>
        <v>4</v>
      </c>
      <c r="CD25" s="241">
        <f t="shared" si="271"/>
        <v>2</v>
      </c>
      <c r="CE25" s="115">
        <f t="shared" si="271"/>
        <v>1</v>
      </c>
      <c r="CF25" s="115">
        <f t="shared" si="271"/>
        <v>4</v>
      </c>
      <c r="CG25" s="115">
        <f t="shared" si="271"/>
        <v>2</v>
      </c>
      <c r="CH25" s="115">
        <f t="shared" si="271"/>
        <v>5</v>
      </c>
      <c r="CI25" s="115">
        <f t="shared" si="271"/>
        <v>6</v>
      </c>
      <c r="CJ25" s="241">
        <f t="shared" si="271"/>
        <v>3</v>
      </c>
      <c r="CK25" s="115">
        <f t="shared" si="271"/>
        <v>5</v>
      </c>
      <c r="CL25" s="115">
        <f t="shared" si="271"/>
        <v>6</v>
      </c>
      <c r="CM25" s="115">
        <f t="shared" si="271"/>
        <v>3</v>
      </c>
      <c r="CN25" s="115">
        <f t="shared" si="271"/>
        <v>2</v>
      </c>
      <c r="CO25" s="115">
        <f t="shared" si="271"/>
        <v>4</v>
      </c>
      <c r="CP25" s="241">
        <f t="shared" si="271"/>
        <v>1</v>
      </c>
      <c r="CR25" s="115">
        <f t="shared" ref="CR25:DK25" si="272">CR19</f>
        <v>4</v>
      </c>
      <c r="CS25" s="115">
        <f t="shared" si="272"/>
        <v>2</v>
      </c>
      <c r="CT25" s="115">
        <f t="shared" si="272"/>
        <v>3</v>
      </c>
      <c r="CU25" s="115">
        <f t="shared" si="272"/>
        <v>1</v>
      </c>
      <c r="CV25" s="241">
        <f t="shared" si="272"/>
        <v>5</v>
      </c>
      <c r="CW25" s="115">
        <f t="shared" si="272"/>
        <v>3</v>
      </c>
      <c r="CX25" s="115">
        <f t="shared" si="272"/>
        <v>1</v>
      </c>
      <c r="CY25" s="115">
        <f t="shared" si="272"/>
        <v>5</v>
      </c>
      <c r="CZ25" s="115">
        <f t="shared" si="272"/>
        <v>4</v>
      </c>
      <c r="DA25" s="241">
        <f t="shared" si="272"/>
        <v>2</v>
      </c>
      <c r="DB25" s="115">
        <f t="shared" si="272"/>
        <v>1</v>
      </c>
      <c r="DC25" s="115">
        <f t="shared" si="272"/>
        <v>4</v>
      </c>
      <c r="DD25" s="115">
        <f t="shared" si="272"/>
        <v>2</v>
      </c>
      <c r="DE25" s="115">
        <f t="shared" si="272"/>
        <v>5</v>
      </c>
      <c r="DF25" s="241">
        <f t="shared" si="272"/>
        <v>3</v>
      </c>
      <c r="DG25" s="115">
        <f t="shared" si="272"/>
        <v>5</v>
      </c>
      <c r="DH25" s="115">
        <f t="shared" si="272"/>
        <v>3</v>
      </c>
      <c r="DI25" s="115">
        <f t="shared" si="272"/>
        <v>2</v>
      </c>
      <c r="DJ25" s="115">
        <f t="shared" si="272"/>
        <v>4</v>
      </c>
      <c r="DK25" s="241">
        <f t="shared" si="272"/>
        <v>1</v>
      </c>
      <c r="DM25" s="324">
        <f t="shared" ref="DM25:EB25" si="273">DM19</f>
        <v>4</v>
      </c>
      <c r="DN25" s="321">
        <f t="shared" si="273"/>
        <v>2</v>
      </c>
      <c r="DO25" s="321">
        <f t="shared" si="273"/>
        <v>3</v>
      </c>
      <c r="DP25" s="241">
        <f t="shared" si="273"/>
        <v>1</v>
      </c>
      <c r="DQ25" s="324">
        <f t="shared" si="273"/>
        <v>3</v>
      </c>
      <c r="DR25" s="321">
        <f t="shared" si="273"/>
        <v>1</v>
      </c>
      <c r="DS25" s="321">
        <f t="shared" si="273"/>
        <v>4</v>
      </c>
      <c r="DT25" s="241">
        <f t="shared" si="273"/>
        <v>2</v>
      </c>
      <c r="DU25" s="324">
        <f t="shared" si="273"/>
        <v>1</v>
      </c>
      <c r="DV25" s="321">
        <f t="shared" si="273"/>
        <v>4</v>
      </c>
      <c r="DW25" s="321">
        <f t="shared" si="273"/>
        <v>2</v>
      </c>
      <c r="DX25" s="241">
        <f t="shared" si="273"/>
        <v>3</v>
      </c>
      <c r="DY25" s="324">
        <f t="shared" si="273"/>
        <v>3</v>
      </c>
      <c r="DZ25" s="321">
        <f t="shared" si="273"/>
        <v>2</v>
      </c>
      <c r="EA25" s="321">
        <f t="shared" si="273"/>
        <v>4</v>
      </c>
      <c r="EB25" s="241">
        <f t="shared" si="273"/>
        <v>1</v>
      </c>
      <c r="EC25" s="306"/>
      <c r="EJ25" s="87" t="str">
        <f t="shared" si="11"/>
        <v>'Track1'!</v>
      </c>
      <c r="EK25" s="87" t="s">
        <v>447</v>
      </c>
      <c r="EL25" s="87" t="s">
        <v>280</v>
      </c>
      <c r="EM25" s="64" t="str">
        <f t="shared" ca="1" si="12"/>
        <v>-</v>
      </c>
      <c r="EN25" s="64" t="str">
        <f t="shared" ca="1" si="13"/>
        <v>-</v>
      </c>
      <c r="EO25" s="87" t="str">
        <f t="shared" si="14"/>
        <v>'Track1'!</v>
      </c>
      <c r="EP25" s="87" t="s">
        <v>447</v>
      </c>
      <c r="EQ25" s="87" t="s">
        <v>165</v>
      </c>
      <c r="ER25" s="87" t="str">
        <f t="shared" ca="1" si="0"/>
        <v>-</v>
      </c>
      <c r="ES25" s="64" t="str">
        <f t="shared" ca="1" si="15"/>
        <v>-</v>
      </c>
      <c r="EW25" s="65">
        <v>14.4</v>
      </c>
    </row>
    <row r="26" spans="1:153" x14ac:dyDescent="0.35">
      <c r="A26" s="353" t="s">
        <v>47</v>
      </c>
      <c r="B26" s="64" t="s">
        <v>17</v>
      </c>
      <c r="C26" s="64" t="s">
        <v>9</v>
      </c>
      <c r="D26" s="66">
        <v>26</v>
      </c>
      <c r="F26" s="272">
        <v>14.55</v>
      </c>
      <c r="G26" s="272">
        <v>0.625</v>
      </c>
      <c r="H26" s="66" t="s">
        <v>162</v>
      </c>
      <c r="I26" s="115">
        <f>I19</f>
        <v>4</v>
      </c>
      <c r="J26" s="115">
        <f t="shared" ref="J26:P26" si="274">J19</f>
        <v>2</v>
      </c>
      <c r="K26" s="115">
        <f t="shared" si="274"/>
        <v>8</v>
      </c>
      <c r="L26" s="115">
        <f t="shared" si="274"/>
        <v>3</v>
      </c>
      <c r="M26" s="115">
        <f t="shared" si="274"/>
        <v>1</v>
      </c>
      <c r="N26" s="115">
        <f t="shared" si="274"/>
        <v>7</v>
      </c>
      <c r="O26" s="115">
        <f t="shared" si="274"/>
        <v>5</v>
      </c>
      <c r="P26" s="241">
        <f t="shared" si="274"/>
        <v>6</v>
      </c>
      <c r="Q26" s="115">
        <f>Q19</f>
        <v>8</v>
      </c>
      <c r="R26" s="115">
        <f t="shared" ref="R26:X26" si="275">R19</f>
        <v>3</v>
      </c>
      <c r="S26" s="115">
        <f t="shared" si="275"/>
        <v>6</v>
      </c>
      <c r="T26" s="115">
        <f t="shared" si="275"/>
        <v>7</v>
      </c>
      <c r="U26" s="115">
        <f t="shared" si="275"/>
        <v>1</v>
      </c>
      <c r="V26" s="115">
        <f t="shared" si="275"/>
        <v>5</v>
      </c>
      <c r="W26" s="115">
        <f t="shared" si="275"/>
        <v>4</v>
      </c>
      <c r="X26" s="241">
        <f t="shared" si="275"/>
        <v>2</v>
      </c>
      <c r="Y26" s="115">
        <f>Y19</f>
        <v>1</v>
      </c>
      <c r="Z26" s="115">
        <f t="shared" ref="Z26:AF26" si="276">Z19</f>
        <v>7</v>
      </c>
      <c r="AA26" s="115">
        <f t="shared" si="276"/>
        <v>4</v>
      </c>
      <c r="AB26" s="115">
        <f t="shared" si="276"/>
        <v>2</v>
      </c>
      <c r="AC26" s="115">
        <f t="shared" si="276"/>
        <v>5</v>
      </c>
      <c r="AD26" s="115">
        <f t="shared" si="276"/>
        <v>6</v>
      </c>
      <c r="AE26" s="115">
        <f t="shared" si="276"/>
        <v>8</v>
      </c>
      <c r="AF26" s="241">
        <f t="shared" si="276"/>
        <v>3</v>
      </c>
      <c r="AG26" s="115">
        <f>AG19</f>
        <v>5</v>
      </c>
      <c r="AH26" s="115">
        <f t="shared" ref="AH26:AN26" si="277">AH19</f>
        <v>6</v>
      </c>
      <c r="AI26" s="115">
        <f t="shared" si="277"/>
        <v>3</v>
      </c>
      <c r="AJ26" s="115">
        <f t="shared" si="277"/>
        <v>2</v>
      </c>
      <c r="AK26" s="115">
        <f t="shared" si="277"/>
        <v>8</v>
      </c>
      <c r="AL26" s="115">
        <f t="shared" si="277"/>
        <v>4</v>
      </c>
      <c r="AM26" s="115">
        <f t="shared" si="277"/>
        <v>1</v>
      </c>
      <c r="AN26" s="241">
        <f t="shared" si="277"/>
        <v>7</v>
      </c>
      <c r="AP26" s="115">
        <f t="shared" ref="AP26:BQ26" si="278">AP19</f>
        <v>4</v>
      </c>
      <c r="AQ26" s="115">
        <f t="shared" si="278"/>
        <v>2</v>
      </c>
      <c r="AR26" s="115">
        <f t="shared" si="278"/>
        <v>3</v>
      </c>
      <c r="AS26" s="115">
        <f t="shared" si="278"/>
        <v>1</v>
      </c>
      <c r="AT26" s="115">
        <f t="shared" si="278"/>
        <v>7</v>
      </c>
      <c r="AU26" s="115">
        <f t="shared" si="278"/>
        <v>5</v>
      </c>
      <c r="AV26" s="241">
        <f t="shared" si="278"/>
        <v>6</v>
      </c>
      <c r="AW26" s="115">
        <f t="shared" si="278"/>
        <v>3</v>
      </c>
      <c r="AX26" s="115">
        <f t="shared" si="278"/>
        <v>6</v>
      </c>
      <c r="AY26" s="115">
        <f t="shared" si="278"/>
        <v>7</v>
      </c>
      <c r="AZ26" s="115">
        <f t="shared" si="278"/>
        <v>1</v>
      </c>
      <c r="BA26" s="115">
        <f t="shared" si="278"/>
        <v>5</v>
      </c>
      <c r="BB26" s="115">
        <f t="shared" si="278"/>
        <v>4</v>
      </c>
      <c r="BC26" s="241">
        <f t="shared" si="278"/>
        <v>2</v>
      </c>
      <c r="BD26" s="115">
        <f t="shared" si="278"/>
        <v>1</v>
      </c>
      <c r="BE26" s="115">
        <f t="shared" si="278"/>
        <v>7</v>
      </c>
      <c r="BF26" s="115">
        <f t="shared" si="278"/>
        <v>4</v>
      </c>
      <c r="BG26" s="115">
        <f t="shared" si="278"/>
        <v>2</v>
      </c>
      <c r="BH26" s="115">
        <f t="shared" si="278"/>
        <v>5</v>
      </c>
      <c r="BI26" s="115">
        <f t="shared" si="278"/>
        <v>6</v>
      </c>
      <c r="BJ26" s="241">
        <f t="shared" si="278"/>
        <v>3</v>
      </c>
      <c r="BK26" s="115">
        <f t="shared" si="278"/>
        <v>5</v>
      </c>
      <c r="BL26" s="115">
        <f t="shared" si="278"/>
        <v>6</v>
      </c>
      <c r="BM26" s="115">
        <f t="shared" si="278"/>
        <v>3</v>
      </c>
      <c r="BN26" s="115">
        <f t="shared" si="278"/>
        <v>2</v>
      </c>
      <c r="BO26" s="115">
        <f t="shared" si="278"/>
        <v>4</v>
      </c>
      <c r="BP26" s="115">
        <f t="shared" si="278"/>
        <v>1</v>
      </c>
      <c r="BQ26" s="241">
        <f t="shared" si="278"/>
        <v>7</v>
      </c>
      <c r="BS26" s="115">
        <f t="shared" ref="BS26:CP26" si="279">BS19</f>
        <v>4</v>
      </c>
      <c r="BT26" s="115">
        <f t="shared" si="279"/>
        <v>2</v>
      </c>
      <c r="BU26" s="115">
        <f t="shared" si="279"/>
        <v>3</v>
      </c>
      <c r="BV26" s="115">
        <f t="shared" si="279"/>
        <v>1</v>
      </c>
      <c r="BW26" s="115">
        <f t="shared" si="279"/>
        <v>5</v>
      </c>
      <c r="BX26" s="241">
        <f t="shared" si="279"/>
        <v>6</v>
      </c>
      <c r="BY26" s="115">
        <f t="shared" si="279"/>
        <v>3</v>
      </c>
      <c r="BZ26" s="115">
        <f t="shared" si="279"/>
        <v>6</v>
      </c>
      <c r="CA26" s="115">
        <f t="shared" si="279"/>
        <v>1</v>
      </c>
      <c r="CB26" s="115">
        <f t="shared" si="279"/>
        <v>5</v>
      </c>
      <c r="CC26" s="115">
        <f t="shared" si="279"/>
        <v>4</v>
      </c>
      <c r="CD26" s="241">
        <f t="shared" si="279"/>
        <v>2</v>
      </c>
      <c r="CE26" s="115">
        <f t="shared" si="279"/>
        <v>1</v>
      </c>
      <c r="CF26" s="115">
        <f t="shared" si="279"/>
        <v>4</v>
      </c>
      <c r="CG26" s="115">
        <f t="shared" si="279"/>
        <v>2</v>
      </c>
      <c r="CH26" s="115">
        <f t="shared" si="279"/>
        <v>5</v>
      </c>
      <c r="CI26" s="115">
        <f t="shared" si="279"/>
        <v>6</v>
      </c>
      <c r="CJ26" s="241">
        <f t="shared" si="279"/>
        <v>3</v>
      </c>
      <c r="CK26" s="115">
        <f t="shared" si="279"/>
        <v>5</v>
      </c>
      <c r="CL26" s="115">
        <f t="shared" si="279"/>
        <v>6</v>
      </c>
      <c r="CM26" s="115">
        <f t="shared" si="279"/>
        <v>3</v>
      </c>
      <c r="CN26" s="115">
        <f t="shared" si="279"/>
        <v>2</v>
      </c>
      <c r="CO26" s="115">
        <f t="shared" si="279"/>
        <v>4</v>
      </c>
      <c r="CP26" s="241">
        <f t="shared" si="279"/>
        <v>1</v>
      </c>
      <c r="CR26" s="115">
        <f t="shared" ref="CR26:DK26" si="280">CR19</f>
        <v>4</v>
      </c>
      <c r="CS26" s="115">
        <f t="shared" si="280"/>
        <v>2</v>
      </c>
      <c r="CT26" s="115">
        <f t="shared" si="280"/>
        <v>3</v>
      </c>
      <c r="CU26" s="115">
        <f t="shared" si="280"/>
        <v>1</v>
      </c>
      <c r="CV26" s="241">
        <f t="shared" si="280"/>
        <v>5</v>
      </c>
      <c r="CW26" s="115">
        <f t="shared" si="280"/>
        <v>3</v>
      </c>
      <c r="CX26" s="115">
        <f t="shared" si="280"/>
        <v>1</v>
      </c>
      <c r="CY26" s="115">
        <f t="shared" si="280"/>
        <v>5</v>
      </c>
      <c r="CZ26" s="115">
        <f t="shared" si="280"/>
        <v>4</v>
      </c>
      <c r="DA26" s="241">
        <f t="shared" si="280"/>
        <v>2</v>
      </c>
      <c r="DB26" s="115">
        <f t="shared" si="280"/>
        <v>1</v>
      </c>
      <c r="DC26" s="115">
        <f t="shared" si="280"/>
        <v>4</v>
      </c>
      <c r="DD26" s="115">
        <f t="shared" si="280"/>
        <v>2</v>
      </c>
      <c r="DE26" s="115">
        <f t="shared" si="280"/>
        <v>5</v>
      </c>
      <c r="DF26" s="241">
        <f t="shared" si="280"/>
        <v>3</v>
      </c>
      <c r="DG26" s="115">
        <f t="shared" si="280"/>
        <v>5</v>
      </c>
      <c r="DH26" s="115">
        <f t="shared" si="280"/>
        <v>3</v>
      </c>
      <c r="DI26" s="115">
        <f t="shared" si="280"/>
        <v>2</v>
      </c>
      <c r="DJ26" s="115">
        <f t="shared" si="280"/>
        <v>4</v>
      </c>
      <c r="DK26" s="241">
        <f t="shared" si="280"/>
        <v>1</v>
      </c>
      <c r="DM26" s="324">
        <f t="shared" ref="DM26:EB26" si="281">DM19</f>
        <v>4</v>
      </c>
      <c r="DN26" s="321">
        <f t="shared" si="281"/>
        <v>2</v>
      </c>
      <c r="DO26" s="321">
        <f t="shared" si="281"/>
        <v>3</v>
      </c>
      <c r="DP26" s="241">
        <f t="shared" si="281"/>
        <v>1</v>
      </c>
      <c r="DQ26" s="324">
        <f t="shared" si="281"/>
        <v>3</v>
      </c>
      <c r="DR26" s="321">
        <f t="shared" si="281"/>
        <v>1</v>
      </c>
      <c r="DS26" s="321">
        <f t="shared" si="281"/>
        <v>4</v>
      </c>
      <c r="DT26" s="241">
        <f t="shared" si="281"/>
        <v>2</v>
      </c>
      <c r="DU26" s="324">
        <f t="shared" si="281"/>
        <v>1</v>
      </c>
      <c r="DV26" s="321">
        <f t="shared" si="281"/>
        <v>4</v>
      </c>
      <c r="DW26" s="321">
        <f t="shared" si="281"/>
        <v>2</v>
      </c>
      <c r="DX26" s="241">
        <f t="shared" si="281"/>
        <v>3</v>
      </c>
      <c r="DY26" s="324">
        <f t="shared" si="281"/>
        <v>3</v>
      </c>
      <c r="DZ26" s="321">
        <f t="shared" si="281"/>
        <v>2</v>
      </c>
      <c r="EA26" s="321">
        <f t="shared" si="281"/>
        <v>4</v>
      </c>
      <c r="EB26" s="241">
        <f t="shared" si="281"/>
        <v>1</v>
      </c>
      <c r="EC26" s="306"/>
      <c r="EJ26" s="87" t="str">
        <f t="shared" si="11"/>
        <v>'Track1'!</v>
      </c>
      <c r="EK26" s="87" t="s">
        <v>447</v>
      </c>
      <c r="EL26" s="87" t="s">
        <v>280</v>
      </c>
      <c r="EM26" s="64" t="str">
        <f t="shared" ca="1" si="12"/>
        <v>-</v>
      </c>
      <c r="EN26" s="64" t="str">
        <f t="shared" ca="1" si="13"/>
        <v>-</v>
      </c>
      <c r="EO26" s="87" t="str">
        <f t="shared" si="14"/>
        <v>'Track1'!</v>
      </c>
      <c r="EP26" s="87" t="s">
        <v>447</v>
      </c>
      <c r="EQ26" s="87" t="s">
        <v>165</v>
      </c>
      <c r="ER26" s="87" t="str">
        <f t="shared" ca="1" si="0"/>
        <v>-</v>
      </c>
      <c r="ES26" s="64" t="str">
        <f t="shared" ca="1" si="15"/>
        <v>-</v>
      </c>
      <c r="EW26" s="65">
        <v>14.5</v>
      </c>
    </row>
    <row r="27" spans="1:153" x14ac:dyDescent="0.35">
      <c r="A27" s="353" t="s">
        <v>48</v>
      </c>
      <c r="B27" s="64" t="s">
        <v>18</v>
      </c>
      <c r="C27" s="64" t="s">
        <v>7</v>
      </c>
      <c r="D27" s="66">
        <v>27</v>
      </c>
      <c r="F27" s="271">
        <v>15</v>
      </c>
      <c r="G27" s="272">
        <v>0.62847222222222221</v>
      </c>
      <c r="I27" s="113">
        <v>4</v>
      </c>
      <c r="J27" s="113">
        <v>1</v>
      </c>
      <c r="K27" s="113">
        <v>5</v>
      </c>
      <c r="L27" s="113">
        <v>7</v>
      </c>
      <c r="M27" s="113">
        <v>3</v>
      </c>
      <c r="N27" s="113">
        <v>8</v>
      </c>
      <c r="O27" s="113">
        <v>6</v>
      </c>
      <c r="P27" s="240">
        <v>2</v>
      </c>
      <c r="Q27" s="113">
        <v>5</v>
      </c>
      <c r="R27" s="113">
        <v>7</v>
      </c>
      <c r="S27" s="113">
        <v>2</v>
      </c>
      <c r="T27" s="113">
        <v>8</v>
      </c>
      <c r="U27" s="113">
        <v>6</v>
      </c>
      <c r="V27" s="113">
        <v>3</v>
      </c>
      <c r="W27" s="113">
        <v>4</v>
      </c>
      <c r="X27" s="240">
        <v>1</v>
      </c>
      <c r="Y27" s="113">
        <v>3</v>
      </c>
      <c r="Z27" s="113">
        <v>8</v>
      </c>
      <c r="AA27" s="113">
        <v>2</v>
      </c>
      <c r="AB27" s="113">
        <v>6</v>
      </c>
      <c r="AC27" s="113">
        <v>4</v>
      </c>
      <c r="AD27" s="113">
        <v>1</v>
      </c>
      <c r="AE27" s="113">
        <v>5</v>
      </c>
      <c r="AF27" s="240">
        <v>7</v>
      </c>
      <c r="AG27" s="113">
        <v>6</v>
      </c>
      <c r="AH27" s="113">
        <v>2</v>
      </c>
      <c r="AI27" s="113">
        <v>7</v>
      </c>
      <c r="AJ27" s="113">
        <v>1</v>
      </c>
      <c r="AK27" s="113">
        <v>5</v>
      </c>
      <c r="AL27" s="113">
        <v>4</v>
      </c>
      <c r="AM27" s="113">
        <v>3</v>
      </c>
      <c r="AN27" s="240">
        <v>8</v>
      </c>
      <c r="AP27" s="113">
        <v>4</v>
      </c>
      <c r="AQ27" s="113">
        <v>1</v>
      </c>
      <c r="AR27" s="113">
        <v>5</v>
      </c>
      <c r="AS27" s="113">
        <v>7</v>
      </c>
      <c r="AT27" s="113">
        <v>3</v>
      </c>
      <c r="AU27" s="113">
        <v>6</v>
      </c>
      <c r="AV27" s="240">
        <v>2</v>
      </c>
      <c r="AW27" s="113">
        <v>5</v>
      </c>
      <c r="AX27" s="113">
        <v>7</v>
      </c>
      <c r="AY27" s="113">
        <v>2</v>
      </c>
      <c r="AZ27" s="113">
        <v>6</v>
      </c>
      <c r="BA27" s="113">
        <v>3</v>
      </c>
      <c r="BB27" s="113">
        <v>4</v>
      </c>
      <c r="BC27" s="240">
        <v>1</v>
      </c>
      <c r="BD27" s="113">
        <v>3</v>
      </c>
      <c r="BE27" s="113">
        <v>2</v>
      </c>
      <c r="BF27" s="113">
        <v>6</v>
      </c>
      <c r="BG27" s="113">
        <v>4</v>
      </c>
      <c r="BH27" s="113">
        <v>1</v>
      </c>
      <c r="BI27" s="113">
        <v>5</v>
      </c>
      <c r="BJ27" s="240">
        <v>7</v>
      </c>
      <c r="BK27" s="113">
        <v>6</v>
      </c>
      <c r="BL27" s="113">
        <v>2</v>
      </c>
      <c r="BM27" s="113">
        <v>7</v>
      </c>
      <c r="BN27" s="113">
        <v>1</v>
      </c>
      <c r="BO27" s="113">
        <v>5</v>
      </c>
      <c r="BP27" s="113">
        <v>4</v>
      </c>
      <c r="BQ27" s="240">
        <v>3</v>
      </c>
      <c r="BS27" s="113">
        <v>4</v>
      </c>
      <c r="BT27" s="113">
        <v>1</v>
      </c>
      <c r="BU27" s="113">
        <v>5</v>
      </c>
      <c r="BV27" s="113">
        <v>3</v>
      </c>
      <c r="BW27" s="113">
        <v>6</v>
      </c>
      <c r="BX27" s="240">
        <v>2</v>
      </c>
      <c r="BY27" s="113">
        <v>5</v>
      </c>
      <c r="BZ27" s="113">
        <v>2</v>
      </c>
      <c r="CA27" s="113">
        <v>6</v>
      </c>
      <c r="CB27" s="113">
        <v>3</v>
      </c>
      <c r="CC27" s="113">
        <v>4</v>
      </c>
      <c r="CD27" s="240">
        <v>1</v>
      </c>
      <c r="CE27" s="113">
        <v>3</v>
      </c>
      <c r="CF27" s="113">
        <v>2</v>
      </c>
      <c r="CG27" s="113">
        <v>6</v>
      </c>
      <c r="CH27" s="113">
        <v>4</v>
      </c>
      <c r="CI27" s="113">
        <v>1</v>
      </c>
      <c r="CJ27" s="240">
        <v>5</v>
      </c>
      <c r="CK27" s="113">
        <v>6</v>
      </c>
      <c r="CL27" s="113">
        <v>2</v>
      </c>
      <c r="CM27" s="113">
        <v>1</v>
      </c>
      <c r="CN27" s="113">
        <v>5</v>
      </c>
      <c r="CO27" s="113">
        <v>4</v>
      </c>
      <c r="CP27" s="240">
        <v>3</v>
      </c>
      <c r="CR27" s="113">
        <v>4</v>
      </c>
      <c r="CS27" s="113">
        <v>1</v>
      </c>
      <c r="CT27" s="113">
        <v>5</v>
      </c>
      <c r="CU27" s="113">
        <v>3</v>
      </c>
      <c r="CV27" s="240">
        <v>2</v>
      </c>
      <c r="CW27" s="113">
        <v>5</v>
      </c>
      <c r="CX27" s="113">
        <v>2</v>
      </c>
      <c r="CY27" s="113">
        <v>3</v>
      </c>
      <c r="CZ27" s="113">
        <v>4</v>
      </c>
      <c r="DA27" s="240">
        <v>1</v>
      </c>
      <c r="DB27" s="113">
        <v>3</v>
      </c>
      <c r="DC27" s="113">
        <v>2</v>
      </c>
      <c r="DD27" s="113">
        <v>4</v>
      </c>
      <c r="DE27" s="113">
        <v>1</v>
      </c>
      <c r="DF27" s="240">
        <v>5</v>
      </c>
      <c r="DG27" s="113">
        <v>2</v>
      </c>
      <c r="DH27" s="113">
        <v>1</v>
      </c>
      <c r="DI27" s="113">
        <v>5</v>
      </c>
      <c r="DJ27" s="113">
        <v>4</v>
      </c>
      <c r="DK27" s="240">
        <v>3</v>
      </c>
      <c r="DM27" s="323">
        <v>4</v>
      </c>
      <c r="DN27" s="320">
        <v>1</v>
      </c>
      <c r="DO27" s="320">
        <v>3</v>
      </c>
      <c r="DP27" s="240">
        <v>2</v>
      </c>
      <c r="DQ27" s="323">
        <v>2</v>
      </c>
      <c r="DR27" s="320">
        <v>3</v>
      </c>
      <c r="DS27" s="320">
        <v>4</v>
      </c>
      <c r="DT27" s="240">
        <v>1</v>
      </c>
      <c r="DU27" s="323">
        <v>3</v>
      </c>
      <c r="DV27" s="320">
        <v>2</v>
      </c>
      <c r="DW27" s="320">
        <v>4</v>
      </c>
      <c r="DX27" s="240">
        <v>1</v>
      </c>
      <c r="DY27" s="323">
        <v>2</v>
      </c>
      <c r="DZ27" s="320">
        <v>1</v>
      </c>
      <c r="EA27" s="320">
        <v>4</v>
      </c>
      <c r="EB27" s="240">
        <v>3</v>
      </c>
      <c r="EC27" s="306"/>
      <c r="EJ27" s="87" t="str">
        <f t="shared" si="11"/>
        <v>'Track1'!</v>
      </c>
      <c r="EK27" s="87" t="s">
        <v>447</v>
      </c>
      <c r="EL27" s="87" t="s">
        <v>280</v>
      </c>
      <c r="EM27" s="64" t="str">
        <f t="shared" ca="1" si="12"/>
        <v>-</v>
      </c>
      <c r="EN27" s="64" t="str">
        <f t="shared" ca="1" si="13"/>
        <v>-</v>
      </c>
      <c r="EO27" s="87" t="str">
        <f t="shared" si="14"/>
        <v>'Track1'!</v>
      </c>
      <c r="EP27" s="87" t="s">
        <v>447</v>
      </c>
      <c r="EQ27" s="87" t="s">
        <v>165</v>
      </c>
      <c r="ER27" s="87" t="str">
        <f t="shared" ca="1" si="0"/>
        <v>-</v>
      </c>
      <c r="ES27" s="64" t="str">
        <f t="shared" ca="1" si="15"/>
        <v>-</v>
      </c>
      <c r="EW27" s="65">
        <v>15</v>
      </c>
    </row>
    <row r="28" spans="1:153" x14ac:dyDescent="0.35">
      <c r="A28" s="353" t="s">
        <v>356</v>
      </c>
      <c r="B28" s="64" t="s">
        <v>18</v>
      </c>
      <c r="C28" s="64" t="s">
        <v>9</v>
      </c>
      <c r="D28" s="66">
        <v>28</v>
      </c>
      <c r="F28" s="271">
        <v>15.1</v>
      </c>
      <c r="G28" s="272">
        <v>0.63541666666666663</v>
      </c>
      <c r="I28" s="115">
        <f>I$27</f>
        <v>4</v>
      </c>
      <c r="J28" s="115">
        <f t="shared" ref="J28:AH32" si="282">J$27</f>
        <v>1</v>
      </c>
      <c r="K28" s="115">
        <f t="shared" si="282"/>
        <v>5</v>
      </c>
      <c r="L28" s="115">
        <f t="shared" si="282"/>
        <v>7</v>
      </c>
      <c r="M28" s="115">
        <f t="shared" si="282"/>
        <v>3</v>
      </c>
      <c r="N28" s="115">
        <f t="shared" si="282"/>
        <v>8</v>
      </c>
      <c r="O28" s="115">
        <f t="shared" si="282"/>
        <v>6</v>
      </c>
      <c r="P28" s="241">
        <f t="shared" si="282"/>
        <v>2</v>
      </c>
      <c r="Q28" s="115">
        <f>Q$27</f>
        <v>5</v>
      </c>
      <c r="R28" s="115">
        <f t="shared" si="282"/>
        <v>7</v>
      </c>
      <c r="S28" s="115">
        <f t="shared" si="282"/>
        <v>2</v>
      </c>
      <c r="T28" s="115">
        <f t="shared" si="282"/>
        <v>8</v>
      </c>
      <c r="U28" s="115">
        <f t="shared" si="282"/>
        <v>6</v>
      </c>
      <c r="V28" s="115">
        <f t="shared" si="282"/>
        <v>3</v>
      </c>
      <c r="W28" s="115">
        <f t="shared" si="282"/>
        <v>4</v>
      </c>
      <c r="X28" s="241">
        <f t="shared" si="282"/>
        <v>1</v>
      </c>
      <c r="Y28" s="115">
        <f>Y$27</f>
        <v>3</v>
      </c>
      <c r="Z28" s="115">
        <f t="shared" si="282"/>
        <v>8</v>
      </c>
      <c r="AA28" s="115">
        <f t="shared" si="282"/>
        <v>2</v>
      </c>
      <c r="AB28" s="115">
        <f t="shared" si="282"/>
        <v>6</v>
      </c>
      <c r="AC28" s="115">
        <f t="shared" si="282"/>
        <v>4</v>
      </c>
      <c r="AD28" s="115">
        <f t="shared" si="282"/>
        <v>1</v>
      </c>
      <c r="AE28" s="115">
        <f t="shared" si="282"/>
        <v>5</v>
      </c>
      <c r="AF28" s="241">
        <f t="shared" si="282"/>
        <v>7</v>
      </c>
      <c r="AG28" s="115">
        <f>AG$27</f>
        <v>6</v>
      </c>
      <c r="AH28" s="115">
        <f t="shared" si="282"/>
        <v>2</v>
      </c>
      <c r="AI28" s="115">
        <f t="shared" ref="AG28:AN32" si="283">AI$27</f>
        <v>7</v>
      </c>
      <c r="AJ28" s="115">
        <f t="shared" si="283"/>
        <v>1</v>
      </c>
      <c r="AK28" s="115">
        <f t="shared" si="283"/>
        <v>5</v>
      </c>
      <c r="AL28" s="115">
        <f t="shared" si="283"/>
        <v>4</v>
      </c>
      <c r="AM28" s="115">
        <f t="shared" si="283"/>
        <v>3</v>
      </c>
      <c r="AN28" s="241">
        <f t="shared" si="283"/>
        <v>8</v>
      </c>
      <c r="AP28" s="115">
        <f t="shared" ref="AP28:BE32" si="284">AP$27</f>
        <v>4</v>
      </c>
      <c r="AQ28" s="115">
        <f t="shared" si="284"/>
        <v>1</v>
      </c>
      <c r="AR28" s="115">
        <f t="shared" si="284"/>
        <v>5</v>
      </c>
      <c r="AS28" s="115">
        <f t="shared" si="284"/>
        <v>7</v>
      </c>
      <c r="AT28" s="115">
        <f t="shared" si="284"/>
        <v>3</v>
      </c>
      <c r="AU28" s="115">
        <f t="shared" si="284"/>
        <v>6</v>
      </c>
      <c r="AV28" s="241">
        <f t="shared" si="284"/>
        <v>2</v>
      </c>
      <c r="AW28" s="115">
        <f t="shared" si="284"/>
        <v>5</v>
      </c>
      <c r="AX28" s="115">
        <f t="shared" si="284"/>
        <v>7</v>
      </c>
      <c r="AY28" s="115">
        <f t="shared" si="284"/>
        <v>2</v>
      </c>
      <c r="AZ28" s="115">
        <f t="shared" si="284"/>
        <v>6</v>
      </c>
      <c r="BA28" s="115">
        <f t="shared" si="284"/>
        <v>3</v>
      </c>
      <c r="BB28" s="115">
        <f t="shared" si="284"/>
        <v>4</v>
      </c>
      <c r="BC28" s="241">
        <f t="shared" si="284"/>
        <v>1</v>
      </c>
      <c r="BD28" s="115">
        <f t="shared" si="284"/>
        <v>3</v>
      </c>
      <c r="BE28" s="115">
        <f t="shared" si="284"/>
        <v>2</v>
      </c>
      <c r="BF28" s="115">
        <f t="shared" ref="BD28:BQ32" si="285">BF$27</f>
        <v>6</v>
      </c>
      <c r="BG28" s="115">
        <f t="shared" si="285"/>
        <v>4</v>
      </c>
      <c r="BH28" s="115">
        <f t="shared" si="285"/>
        <v>1</v>
      </c>
      <c r="BI28" s="115">
        <f t="shared" si="285"/>
        <v>5</v>
      </c>
      <c r="BJ28" s="241">
        <f t="shared" si="285"/>
        <v>7</v>
      </c>
      <c r="BK28" s="115">
        <f t="shared" si="285"/>
        <v>6</v>
      </c>
      <c r="BL28" s="115">
        <f t="shared" si="285"/>
        <v>2</v>
      </c>
      <c r="BM28" s="115">
        <f t="shared" si="285"/>
        <v>7</v>
      </c>
      <c r="BN28" s="115">
        <f t="shared" si="285"/>
        <v>1</v>
      </c>
      <c r="BO28" s="115">
        <f t="shared" si="285"/>
        <v>5</v>
      </c>
      <c r="BP28" s="115">
        <f t="shared" si="285"/>
        <v>4</v>
      </c>
      <c r="BQ28" s="241">
        <f t="shared" si="285"/>
        <v>3</v>
      </c>
      <c r="BS28" s="115">
        <f t="shared" ref="BS28:CH32" si="286">BS$27</f>
        <v>4</v>
      </c>
      <c r="BT28" s="115">
        <f t="shared" si="286"/>
        <v>1</v>
      </c>
      <c r="BU28" s="115">
        <f t="shared" si="286"/>
        <v>5</v>
      </c>
      <c r="BV28" s="115">
        <f t="shared" si="286"/>
        <v>3</v>
      </c>
      <c r="BW28" s="115">
        <f t="shared" si="286"/>
        <v>6</v>
      </c>
      <c r="BX28" s="241">
        <f t="shared" si="286"/>
        <v>2</v>
      </c>
      <c r="BY28" s="115">
        <f t="shared" si="286"/>
        <v>5</v>
      </c>
      <c r="BZ28" s="115">
        <f t="shared" si="286"/>
        <v>2</v>
      </c>
      <c r="CA28" s="115">
        <f t="shared" si="286"/>
        <v>6</v>
      </c>
      <c r="CB28" s="115">
        <f t="shared" si="286"/>
        <v>3</v>
      </c>
      <c r="CC28" s="115">
        <f t="shared" si="286"/>
        <v>4</v>
      </c>
      <c r="CD28" s="241">
        <f t="shared" si="286"/>
        <v>1</v>
      </c>
      <c r="CE28" s="115">
        <f t="shared" si="286"/>
        <v>3</v>
      </c>
      <c r="CF28" s="115">
        <f t="shared" si="286"/>
        <v>2</v>
      </c>
      <c r="CG28" s="115">
        <f t="shared" si="286"/>
        <v>6</v>
      </c>
      <c r="CH28" s="115">
        <f t="shared" si="286"/>
        <v>4</v>
      </c>
      <c r="CI28" s="115">
        <f t="shared" ref="CE28:CP32" si="287">CI$27</f>
        <v>1</v>
      </c>
      <c r="CJ28" s="241">
        <f t="shared" si="287"/>
        <v>5</v>
      </c>
      <c r="CK28" s="115">
        <f t="shared" si="287"/>
        <v>6</v>
      </c>
      <c r="CL28" s="115">
        <f t="shared" si="287"/>
        <v>2</v>
      </c>
      <c r="CM28" s="115">
        <f t="shared" si="287"/>
        <v>1</v>
      </c>
      <c r="CN28" s="115">
        <f t="shared" si="287"/>
        <v>5</v>
      </c>
      <c r="CO28" s="115">
        <f t="shared" si="287"/>
        <v>4</v>
      </c>
      <c r="CP28" s="241">
        <f t="shared" si="287"/>
        <v>3</v>
      </c>
      <c r="CR28" s="115">
        <f t="shared" ref="CR28:DG32" si="288">CR$27</f>
        <v>4</v>
      </c>
      <c r="CS28" s="115">
        <f t="shared" si="288"/>
        <v>1</v>
      </c>
      <c r="CT28" s="115">
        <f t="shared" si="288"/>
        <v>5</v>
      </c>
      <c r="CU28" s="115">
        <f t="shared" si="288"/>
        <v>3</v>
      </c>
      <c r="CV28" s="241">
        <f t="shared" si="288"/>
        <v>2</v>
      </c>
      <c r="CW28" s="115">
        <f t="shared" si="288"/>
        <v>5</v>
      </c>
      <c r="CX28" s="115">
        <f t="shared" si="288"/>
        <v>2</v>
      </c>
      <c r="CY28" s="115">
        <f t="shared" si="288"/>
        <v>3</v>
      </c>
      <c r="CZ28" s="115">
        <f t="shared" si="288"/>
        <v>4</v>
      </c>
      <c r="DA28" s="241">
        <f t="shared" si="288"/>
        <v>1</v>
      </c>
      <c r="DB28" s="115">
        <f t="shared" si="288"/>
        <v>3</v>
      </c>
      <c r="DC28" s="115">
        <f t="shared" si="288"/>
        <v>2</v>
      </c>
      <c r="DD28" s="115">
        <f t="shared" si="288"/>
        <v>4</v>
      </c>
      <c r="DE28" s="115">
        <f t="shared" si="288"/>
        <v>1</v>
      </c>
      <c r="DF28" s="241">
        <f t="shared" si="288"/>
        <v>5</v>
      </c>
      <c r="DG28" s="115">
        <f t="shared" si="288"/>
        <v>2</v>
      </c>
      <c r="DH28" s="115">
        <f t="shared" ref="DG28:DK32" si="289">DH$27</f>
        <v>1</v>
      </c>
      <c r="DI28" s="115">
        <f t="shared" si="289"/>
        <v>5</v>
      </c>
      <c r="DJ28" s="115">
        <f t="shared" si="289"/>
        <v>4</v>
      </c>
      <c r="DK28" s="241">
        <f t="shared" si="289"/>
        <v>3</v>
      </c>
      <c r="DM28" s="324">
        <f t="shared" ref="DM28:DY32" si="290">DM$27</f>
        <v>4</v>
      </c>
      <c r="DN28" s="321">
        <f t="shared" si="290"/>
        <v>1</v>
      </c>
      <c r="DO28" s="321">
        <f t="shared" si="290"/>
        <v>3</v>
      </c>
      <c r="DP28" s="241">
        <f t="shared" si="290"/>
        <v>2</v>
      </c>
      <c r="DQ28" s="324">
        <f t="shared" si="290"/>
        <v>2</v>
      </c>
      <c r="DR28" s="321">
        <f t="shared" si="290"/>
        <v>3</v>
      </c>
      <c r="DS28" s="321">
        <f t="shared" si="290"/>
        <v>4</v>
      </c>
      <c r="DT28" s="241">
        <f t="shared" si="290"/>
        <v>1</v>
      </c>
      <c r="DU28" s="324">
        <f t="shared" si="290"/>
        <v>3</v>
      </c>
      <c r="DV28" s="321">
        <f t="shared" si="290"/>
        <v>2</v>
      </c>
      <c r="DW28" s="321">
        <f t="shared" si="290"/>
        <v>4</v>
      </c>
      <c r="DX28" s="241">
        <f t="shared" si="290"/>
        <v>1</v>
      </c>
      <c r="DY28" s="324">
        <f t="shared" si="290"/>
        <v>2</v>
      </c>
      <c r="DZ28" s="321">
        <f t="shared" ref="DY28:EB32" si="291">DZ$27</f>
        <v>1</v>
      </c>
      <c r="EA28" s="321">
        <f t="shared" si="291"/>
        <v>4</v>
      </c>
      <c r="EB28" s="241">
        <f t="shared" si="291"/>
        <v>3</v>
      </c>
      <c r="EC28" s="306"/>
      <c r="EJ28" s="87" t="str">
        <f t="shared" si="11"/>
        <v>'Track1'!</v>
      </c>
      <c r="EK28" s="87" t="s">
        <v>447</v>
      </c>
      <c r="EL28" s="87" t="s">
        <v>280</v>
      </c>
      <c r="EM28" s="64" t="str">
        <f t="shared" ca="1" si="12"/>
        <v>-</v>
      </c>
      <c r="EN28" s="64" t="str">
        <f t="shared" ca="1" si="13"/>
        <v>-</v>
      </c>
      <c r="EO28" s="87" t="str">
        <f t="shared" si="14"/>
        <v>'Track1'!</v>
      </c>
      <c r="EP28" s="87" t="s">
        <v>447</v>
      </c>
      <c r="EQ28" s="87" t="s">
        <v>165</v>
      </c>
      <c r="ER28" s="87" t="str">
        <f t="shared" ca="1" si="0"/>
        <v>-</v>
      </c>
      <c r="ES28" s="64" t="str">
        <f t="shared" ca="1" si="15"/>
        <v>-</v>
      </c>
      <c r="EW28" s="65">
        <v>15.1</v>
      </c>
    </row>
    <row r="29" spans="1:153" x14ac:dyDescent="0.35">
      <c r="A29" s="353" t="s">
        <v>256</v>
      </c>
      <c r="B29" s="64" t="s">
        <v>19</v>
      </c>
      <c r="C29" s="64" t="s">
        <v>4</v>
      </c>
      <c r="D29" s="66">
        <v>29</v>
      </c>
      <c r="F29" s="271">
        <v>15.2</v>
      </c>
      <c r="G29" s="272">
        <v>0.64236111111111105</v>
      </c>
      <c r="I29" s="115">
        <f t="shared" ref="I29:Y32" si="292">I$27</f>
        <v>4</v>
      </c>
      <c r="J29" s="115">
        <f t="shared" si="292"/>
        <v>1</v>
      </c>
      <c r="K29" s="115">
        <f t="shared" si="292"/>
        <v>5</v>
      </c>
      <c r="L29" s="115">
        <f t="shared" si="292"/>
        <v>7</v>
      </c>
      <c r="M29" s="115">
        <f t="shared" si="292"/>
        <v>3</v>
      </c>
      <c r="N29" s="115">
        <f t="shared" si="292"/>
        <v>8</v>
      </c>
      <c r="O29" s="115">
        <f t="shared" si="292"/>
        <v>6</v>
      </c>
      <c r="P29" s="241">
        <f t="shared" si="292"/>
        <v>2</v>
      </c>
      <c r="Q29" s="115">
        <f t="shared" si="292"/>
        <v>5</v>
      </c>
      <c r="R29" s="115">
        <f t="shared" si="292"/>
        <v>7</v>
      </c>
      <c r="S29" s="115">
        <f t="shared" si="292"/>
        <v>2</v>
      </c>
      <c r="T29" s="115">
        <f t="shared" si="292"/>
        <v>8</v>
      </c>
      <c r="U29" s="115">
        <f t="shared" si="292"/>
        <v>6</v>
      </c>
      <c r="V29" s="115">
        <f t="shared" si="292"/>
        <v>3</v>
      </c>
      <c r="W29" s="115">
        <f t="shared" si="292"/>
        <v>4</v>
      </c>
      <c r="X29" s="241">
        <f t="shared" si="292"/>
        <v>1</v>
      </c>
      <c r="Y29" s="115">
        <f t="shared" si="292"/>
        <v>3</v>
      </c>
      <c r="Z29" s="115">
        <f t="shared" si="282"/>
        <v>8</v>
      </c>
      <c r="AA29" s="115">
        <f t="shared" si="282"/>
        <v>2</v>
      </c>
      <c r="AB29" s="115">
        <f t="shared" si="282"/>
        <v>6</v>
      </c>
      <c r="AC29" s="115">
        <f t="shared" si="282"/>
        <v>4</v>
      </c>
      <c r="AD29" s="115">
        <f t="shared" si="282"/>
        <v>1</v>
      </c>
      <c r="AE29" s="115">
        <f t="shared" si="282"/>
        <v>5</v>
      </c>
      <c r="AF29" s="241">
        <f t="shared" si="282"/>
        <v>7</v>
      </c>
      <c r="AG29" s="115">
        <f t="shared" si="282"/>
        <v>6</v>
      </c>
      <c r="AH29" s="115">
        <f t="shared" si="282"/>
        <v>2</v>
      </c>
      <c r="AI29" s="115">
        <f t="shared" si="283"/>
        <v>7</v>
      </c>
      <c r="AJ29" s="115">
        <f t="shared" si="283"/>
        <v>1</v>
      </c>
      <c r="AK29" s="115">
        <f t="shared" si="283"/>
        <v>5</v>
      </c>
      <c r="AL29" s="115">
        <f t="shared" si="283"/>
        <v>4</v>
      </c>
      <c r="AM29" s="115">
        <f t="shared" si="283"/>
        <v>3</v>
      </c>
      <c r="AN29" s="241">
        <f t="shared" si="283"/>
        <v>8</v>
      </c>
      <c r="AP29" s="115">
        <f t="shared" si="284"/>
        <v>4</v>
      </c>
      <c r="AQ29" s="115">
        <f t="shared" si="284"/>
        <v>1</v>
      </c>
      <c r="AR29" s="115">
        <f t="shared" si="284"/>
        <v>5</v>
      </c>
      <c r="AS29" s="115">
        <f t="shared" si="284"/>
        <v>7</v>
      </c>
      <c r="AT29" s="115">
        <f t="shared" si="284"/>
        <v>3</v>
      </c>
      <c r="AU29" s="115">
        <f t="shared" si="284"/>
        <v>6</v>
      </c>
      <c r="AV29" s="241">
        <f t="shared" si="284"/>
        <v>2</v>
      </c>
      <c r="AW29" s="115">
        <f t="shared" si="284"/>
        <v>5</v>
      </c>
      <c r="AX29" s="115">
        <f t="shared" si="284"/>
        <v>7</v>
      </c>
      <c r="AY29" s="115">
        <f t="shared" si="284"/>
        <v>2</v>
      </c>
      <c r="AZ29" s="115">
        <f t="shared" si="284"/>
        <v>6</v>
      </c>
      <c r="BA29" s="115">
        <f t="shared" si="284"/>
        <v>3</v>
      </c>
      <c r="BB29" s="115">
        <f t="shared" si="284"/>
        <v>4</v>
      </c>
      <c r="BC29" s="241">
        <f t="shared" si="284"/>
        <v>1</v>
      </c>
      <c r="BD29" s="115">
        <f t="shared" si="284"/>
        <v>3</v>
      </c>
      <c r="BE29" s="115">
        <f t="shared" si="284"/>
        <v>2</v>
      </c>
      <c r="BF29" s="115">
        <f t="shared" si="285"/>
        <v>6</v>
      </c>
      <c r="BG29" s="115">
        <f t="shared" si="285"/>
        <v>4</v>
      </c>
      <c r="BH29" s="115">
        <f t="shared" si="285"/>
        <v>1</v>
      </c>
      <c r="BI29" s="115">
        <f t="shared" si="285"/>
        <v>5</v>
      </c>
      <c r="BJ29" s="241">
        <f t="shared" si="285"/>
        <v>7</v>
      </c>
      <c r="BK29" s="115">
        <f t="shared" si="285"/>
        <v>6</v>
      </c>
      <c r="BL29" s="115">
        <f t="shared" si="285"/>
        <v>2</v>
      </c>
      <c r="BM29" s="115">
        <f t="shared" si="285"/>
        <v>7</v>
      </c>
      <c r="BN29" s="115">
        <f t="shared" si="285"/>
        <v>1</v>
      </c>
      <c r="BO29" s="115">
        <f t="shared" si="285"/>
        <v>5</v>
      </c>
      <c r="BP29" s="115">
        <f t="shared" si="285"/>
        <v>4</v>
      </c>
      <c r="BQ29" s="241">
        <f t="shared" si="285"/>
        <v>3</v>
      </c>
      <c r="BS29" s="115">
        <f t="shared" si="286"/>
        <v>4</v>
      </c>
      <c r="BT29" s="115">
        <f t="shared" si="286"/>
        <v>1</v>
      </c>
      <c r="BU29" s="115">
        <f t="shared" si="286"/>
        <v>5</v>
      </c>
      <c r="BV29" s="115">
        <f t="shared" si="286"/>
        <v>3</v>
      </c>
      <c r="BW29" s="115">
        <f t="shared" si="286"/>
        <v>6</v>
      </c>
      <c r="BX29" s="241">
        <f t="shared" si="286"/>
        <v>2</v>
      </c>
      <c r="BY29" s="115">
        <f t="shared" si="286"/>
        <v>5</v>
      </c>
      <c r="BZ29" s="115">
        <f t="shared" si="286"/>
        <v>2</v>
      </c>
      <c r="CA29" s="115">
        <f t="shared" si="286"/>
        <v>6</v>
      </c>
      <c r="CB29" s="115">
        <f t="shared" si="286"/>
        <v>3</v>
      </c>
      <c r="CC29" s="115">
        <f t="shared" si="286"/>
        <v>4</v>
      </c>
      <c r="CD29" s="241">
        <f t="shared" si="286"/>
        <v>1</v>
      </c>
      <c r="CE29" s="115">
        <f t="shared" si="287"/>
        <v>3</v>
      </c>
      <c r="CF29" s="115">
        <f t="shared" si="287"/>
        <v>2</v>
      </c>
      <c r="CG29" s="115">
        <f t="shared" si="287"/>
        <v>6</v>
      </c>
      <c r="CH29" s="115">
        <f t="shared" si="287"/>
        <v>4</v>
      </c>
      <c r="CI29" s="115">
        <f t="shared" si="287"/>
        <v>1</v>
      </c>
      <c r="CJ29" s="241">
        <f t="shared" si="287"/>
        <v>5</v>
      </c>
      <c r="CK29" s="115">
        <f t="shared" si="287"/>
        <v>6</v>
      </c>
      <c r="CL29" s="115">
        <f t="shared" si="287"/>
        <v>2</v>
      </c>
      <c r="CM29" s="115">
        <f t="shared" si="287"/>
        <v>1</v>
      </c>
      <c r="CN29" s="115">
        <f t="shared" si="287"/>
        <v>5</v>
      </c>
      <c r="CO29" s="115">
        <f t="shared" si="287"/>
        <v>4</v>
      </c>
      <c r="CP29" s="241">
        <f t="shared" si="287"/>
        <v>3</v>
      </c>
      <c r="CR29" s="115">
        <f t="shared" si="288"/>
        <v>4</v>
      </c>
      <c r="CS29" s="115">
        <f t="shared" si="288"/>
        <v>1</v>
      </c>
      <c r="CT29" s="115">
        <f t="shared" si="288"/>
        <v>5</v>
      </c>
      <c r="CU29" s="115">
        <f t="shared" si="288"/>
        <v>3</v>
      </c>
      <c r="CV29" s="241">
        <f t="shared" si="288"/>
        <v>2</v>
      </c>
      <c r="CW29" s="115">
        <f t="shared" si="288"/>
        <v>5</v>
      </c>
      <c r="CX29" s="115">
        <f t="shared" si="288"/>
        <v>2</v>
      </c>
      <c r="CY29" s="115">
        <f t="shared" si="288"/>
        <v>3</v>
      </c>
      <c r="CZ29" s="115">
        <f t="shared" si="288"/>
        <v>4</v>
      </c>
      <c r="DA29" s="241">
        <f t="shared" si="288"/>
        <v>1</v>
      </c>
      <c r="DB29" s="115">
        <f t="shared" si="288"/>
        <v>3</v>
      </c>
      <c r="DC29" s="115">
        <f t="shared" si="288"/>
        <v>2</v>
      </c>
      <c r="DD29" s="115">
        <f t="shared" si="288"/>
        <v>4</v>
      </c>
      <c r="DE29" s="115">
        <f t="shared" si="288"/>
        <v>1</v>
      </c>
      <c r="DF29" s="241">
        <f t="shared" si="288"/>
        <v>5</v>
      </c>
      <c r="DG29" s="115">
        <f t="shared" si="289"/>
        <v>2</v>
      </c>
      <c r="DH29" s="115">
        <f t="shared" si="289"/>
        <v>1</v>
      </c>
      <c r="DI29" s="115">
        <f t="shared" si="289"/>
        <v>5</v>
      </c>
      <c r="DJ29" s="115">
        <f t="shared" si="289"/>
        <v>4</v>
      </c>
      <c r="DK29" s="241">
        <f t="shared" si="289"/>
        <v>3</v>
      </c>
      <c r="DM29" s="324">
        <f t="shared" si="290"/>
        <v>4</v>
      </c>
      <c r="DN29" s="321">
        <f t="shared" si="290"/>
        <v>1</v>
      </c>
      <c r="DO29" s="321">
        <f t="shared" si="290"/>
        <v>3</v>
      </c>
      <c r="DP29" s="241">
        <f t="shared" si="290"/>
        <v>2</v>
      </c>
      <c r="DQ29" s="324">
        <f t="shared" si="290"/>
        <v>2</v>
      </c>
      <c r="DR29" s="321">
        <f t="shared" si="290"/>
        <v>3</v>
      </c>
      <c r="DS29" s="321">
        <f t="shared" si="290"/>
        <v>4</v>
      </c>
      <c r="DT29" s="241">
        <f t="shared" si="290"/>
        <v>1</v>
      </c>
      <c r="DU29" s="324">
        <f t="shared" si="290"/>
        <v>3</v>
      </c>
      <c r="DV29" s="321">
        <f t="shared" si="290"/>
        <v>2</v>
      </c>
      <c r="DW29" s="321">
        <f t="shared" si="290"/>
        <v>4</v>
      </c>
      <c r="DX29" s="241">
        <f t="shared" si="290"/>
        <v>1</v>
      </c>
      <c r="DY29" s="324">
        <f t="shared" si="291"/>
        <v>2</v>
      </c>
      <c r="DZ29" s="321">
        <f t="shared" si="291"/>
        <v>1</v>
      </c>
      <c r="EA29" s="321">
        <f t="shared" si="291"/>
        <v>4</v>
      </c>
      <c r="EB29" s="241">
        <f t="shared" si="291"/>
        <v>3</v>
      </c>
      <c r="EC29" s="306"/>
      <c r="EJ29" s="64" t="str">
        <f>"'Middle D'!"</f>
        <v>'Middle D'!</v>
      </c>
      <c r="EK29" s="87" t="s">
        <v>447</v>
      </c>
      <c r="EL29" s="87" t="s">
        <v>170</v>
      </c>
      <c r="EM29" s="64">
        <f t="shared" ca="1" si="12"/>
        <v>1</v>
      </c>
      <c r="EN29" s="64" t="str">
        <f ca="1">IFERROR(CONCATENATE(EJ29,EL29,EM29+1),"-")</f>
        <v>'Middle D'!E2</v>
      </c>
      <c r="EO29" s="87" t="str">
        <f>"'Track2'!"</f>
        <v>'Track2'!</v>
      </c>
      <c r="EP29" s="87" t="s">
        <v>447</v>
      </c>
      <c r="EQ29" s="87" t="s">
        <v>165</v>
      </c>
      <c r="ER29" s="87" t="str">
        <f t="shared" ca="1" si="0"/>
        <v>-</v>
      </c>
      <c r="ES29" s="64" t="str">
        <f t="shared" ca="1" si="15"/>
        <v>-</v>
      </c>
      <c r="EW29" s="65">
        <v>15.2</v>
      </c>
    </row>
    <row r="30" spans="1:153" x14ac:dyDescent="0.35">
      <c r="A30" s="353" t="s">
        <v>257</v>
      </c>
      <c r="B30" s="302" t="s">
        <v>19</v>
      </c>
      <c r="C30" s="64" t="s">
        <v>6</v>
      </c>
      <c r="D30" s="66">
        <v>30</v>
      </c>
      <c r="F30" s="271">
        <v>15.3</v>
      </c>
      <c r="G30" s="272">
        <v>0.64930555555555558</v>
      </c>
      <c r="I30" s="115">
        <f t="shared" si="292"/>
        <v>4</v>
      </c>
      <c r="J30" s="115">
        <f t="shared" si="292"/>
        <v>1</v>
      </c>
      <c r="K30" s="115">
        <f t="shared" si="292"/>
        <v>5</v>
      </c>
      <c r="L30" s="115">
        <f t="shared" si="292"/>
        <v>7</v>
      </c>
      <c r="M30" s="115">
        <f t="shared" si="292"/>
        <v>3</v>
      </c>
      <c r="N30" s="115">
        <f t="shared" si="292"/>
        <v>8</v>
      </c>
      <c r="O30" s="115">
        <f t="shared" si="292"/>
        <v>6</v>
      </c>
      <c r="P30" s="241">
        <f t="shared" si="292"/>
        <v>2</v>
      </c>
      <c r="Q30" s="115">
        <f t="shared" si="292"/>
        <v>5</v>
      </c>
      <c r="R30" s="115">
        <f t="shared" si="292"/>
        <v>7</v>
      </c>
      <c r="S30" s="115">
        <f t="shared" si="292"/>
        <v>2</v>
      </c>
      <c r="T30" s="115">
        <f t="shared" si="292"/>
        <v>8</v>
      </c>
      <c r="U30" s="115">
        <f t="shared" si="292"/>
        <v>6</v>
      </c>
      <c r="V30" s="115">
        <f t="shared" si="292"/>
        <v>3</v>
      </c>
      <c r="W30" s="115">
        <f t="shared" si="292"/>
        <v>4</v>
      </c>
      <c r="X30" s="241">
        <f t="shared" si="292"/>
        <v>1</v>
      </c>
      <c r="Y30" s="115">
        <f t="shared" si="282"/>
        <v>3</v>
      </c>
      <c r="Z30" s="115">
        <f t="shared" si="282"/>
        <v>8</v>
      </c>
      <c r="AA30" s="115">
        <f t="shared" si="282"/>
        <v>2</v>
      </c>
      <c r="AB30" s="115">
        <f t="shared" si="282"/>
        <v>6</v>
      </c>
      <c r="AC30" s="115">
        <f t="shared" si="282"/>
        <v>4</v>
      </c>
      <c r="AD30" s="115">
        <f t="shared" si="282"/>
        <v>1</v>
      </c>
      <c r="AE30" s="115">
        <f t="shared" si="282"/>
        <v>5</v>
      </c>
      <c r="AF30" s="241">
        <f t="shared" si="282"/>
        <v>7</v>
      </c>
      <c r="AG30" s="115">
        <f t="shared" si="283"/>
        <v>6</v>
      </c>
      <c r="AH30" s="115">
        <f t="shared" si="283"/>
        <v>2</v>
      </c>
      <c r="AI30" s="115">
        <f t="shared" si="283"/>
        <v>7</v>
      </c>
      <c r="AJ30" s="115">
        <f t="shared" si="283"/>
        <v>1</v>
      </c>
      <c r="AK30" s="115">
        <f t="shared" si="283"/>
        <v>5</v>
      </c>
      <c r="AL30" s="115">
        <f t="shared" si="283"/>
        <v>4</v>
      </c>
      <c r="AM30" s="115">
        <f t="shared" si="283"/>
        <v>3</v>
      </c>
      <c r="AN30" s="241">
        <f t="shared" si="283"/>
        <v>8</v>
      </c>
      <c r="AP30" s="115">
        <f t="shared" si="284"/>
        <v>4</v>
      </c>
      <c r="AQ30" s="115">
        <f t="shared" si="284"/>
        <v>1</v>
      </c>
      <c r="AR30" s="115">
        <f t="shared" si="284"/>
        <v>5</v>
      </c>
      <c r="AS30" s="115">
        <f t="shared" si="284"/>
        <v>7</v>
      </c>
      <c r="AT30" s="115">
        <f t="shared" si="284"/>
        <v>3</v>
      </c>
      <c r="AU30" s="115">
        <f t="shared" si="284"/>
        <v>6</v>
      </c>
      <c r="AV30" s="241">
        <f t="shared" si="284"/>
        <v>2</v>
      </c>
      <c r="AW30" s="115">
        <f t="shared" si="284"/>
        <v>5</v>
      </c>
      <c r="AX30" s="115">
        <f t="shared" si="284"/>
        <v>7</v>
      </c>
      <c r="AY30" s="115">
        <f t="shared" si="284"/>
        <v>2</v>
      </c>
      <c r="AZ30" s="115">
        <f t="shared" si="284"/>
        <v>6</v>
      </c>
      <c r="BA30" s="115">
        <f t="shared" si="284"/>
        <v>3</v>
      </c>
      <c r="BB30" s="115">
        <f t="shared" si="284"/>
        <v>4</v>
      </c>
      <c r="BC30" s="241">
        <f t="shared" si="284"/>
        <v>1</v>
      </c>
      <c r="BD30" s="115">
        <f t="shared" si="285"/>
        <v>3</v>
      </c>
      <c r="BE30" s="115">
        <f t="shared" si="285"/>
        <v>2</v>
      </c>
      <c r="BF30" s="115">
        <f t="shared" si="285"/>
        <v>6</v>
      </c>
      <c r="BG30" s="115">
        <f t="shared" si="285"/>
        <v>4</v>
      </c>
      <c r="BH30" s="115">
        <f t="shared" si="285"/>
        <v>1</v>
      </c>
      <c r="BI30" s="115">
        <f t="shared" si="285"/>
        <v>5</v>
      </c>
      <c r="BJ30" s="241">
        <f t="shared" si="285"/>
        <v>7</v>
      </c>
      <c r="BK30" s="115">
        <f t="shared" si="285"/>
        <v>6</v>
      </c>
      <c r="BL30" s="115">
        <f t="shared" si="285"/>
        <v>2</v>
      </c>
      <c r="BM30" s="115">
        <f t="shared" si="285"/>
        <v>7</v>
      </c>
      <c r="BN30" s="115">
        <f t="shared" si="285"/>
        <v>1</v>
      </c>
      <c r="BO30" s="115">
        <f t="shared" si="285"/>
        <v>5</v>
      </c>
      <c r="BP30" s="115">
        <f t="shared" si="285"/>
        <v>4</v>
      </c>
      <c r="BQ30" s="241">
        <f t="shared" si="285"/>
        <v>3</v>
      </c>
      <c r="BS30" s="115">
        <f t="shared" si="286"/>
        <v>4</v>
      </c>
      <c r="BT30" s="115">
        <f t="shared" si="286"/>
        <v>1</v>
      </c>
      <c r="BU30" s="115">
        <f t="shared" si="286"/>
        <v>5</v>
      </c>
      <c r="BV30" s="115">
        <f t="shared" si="286"/>
        <v>3</v>
      </c>
      <c r="BW30" s="115">
        <f t="shared" si="286"/>
        <v>6</v>
      </c>
      <c r="BX30" s="241">
        <f t="shared" si="286"/>
        <v>2</v>
      </c>
      <c r="BY30" s="115">
        <f t="shared" si="286"/>
        <v>5</v>
      </c>
      <c r="BZ30" s="115">
        <f t="shared" si="286"/>
        <v>2</v>
      </c>
      <c r="CA30" s="115">
        <f t="shared" si="286"/>
        <v>6</v>
      </c>
      <c r="CB30" s="115">
        <f t="shared" si="286"/>
        <v>3</v>
      </c>
      <c r="CC30" s="115">
        <f t="shared" si="286"/>
        <v>4</v>
      </c>
      <c r="CD30" s="241">
        <f t="shared" si="286"/>
        <v>1</v>
      </c>
      <c r="CE30" s="115">
        <f t="shared" si="287"/>
        <v>3</v>
      </c>
      <c r="CF30" s="115">
        <f t="shared" si="287"/>
        <v>2</v>
      </c>
      <c r="CG30" s="115">
        <f t="shared" si="287"/>
        <v>6</v>
      </c>
      <c r="CH30" s="115">
        <f t="shared" si="287"/>
        <v>4</v>
      </c>
      <c r="CI30" s="115">
        <f t="shared" si="287"/>
        <v>1</v>
      </c>
      <c r="CJ30" s="241">
        <f t="shared" si="287"/>
        <v>5</v>
      </c>
      <c r="CK30" s="115">
        <f t="shared" si="287"/>
        <v>6</v>
      </c>
      <c r="CL30" s="115">
        <f t="shared" si="287"/>
        <v>2</v>
      </c>
      <c r="CM30" s="115">
        <f t="shared" si="287"/>
        <v>1</v>
      </c>
      <c r="CN30" s="115">
        <f t="shared" si="287"/>
        <v>5</v>
      </c>
      <c r="CO30" s="115">
        <f t="shared" si="287"/>
        <v>4</v>
      </c>
      <c r="CP30" s="241">
        <f t="shared" si="287"/>
        <v>3</v>
      </c>
      <c r="CR30" s="115">
        <f t="shared" si="288"/>
        <v>4</v>
      </c>
      <c r="CS30" s="115">
        <f t="shared" si="288"/>
        <v>1</v>
      </c>
      <c r="CT30" s="115">
        <f t="shared" si="288"/>
        <v>5</v>
      </c>
      <c r="CU30" s="115">
        <f t="shared" si="288"/>
        <v>3</v>
      </c>
      <c r="CV30" s="241">
        <f t="shared" si="288"/>
        <v>2</v>
      </c>
      <c r="CW30" s="115">
        <f t="shared" si="288"/>
        <v>5</v>
      </c>
      <c r="CX30" s="115">
        <f t="shared" si="288"/>
        <v>2</v>
      </c>
      <c r="CY30" s="115">
        <f t="shared" si="288"/>
        <v>3</v>
      </c>
      <c r="CZ30" s="115">
        <f t="shared" si="288"/>
        <v>4</v>
      </c>
      <c r="DA30" s="241">
        <f t="shared" si="288"/>
        <v>1</v>
      </c>
      <c r="DB30" s="115">
        <f t="shared" si="288"/>
        <v>3</v>
      </c>
      <c r="DC30" s="115">
        <f t="shared" si="288"/>
        <v>2</v>
      </c>
      <c r="DD30" s="115">
        <f t="shared" si="288"/>
        <v>4</v>
      </c>
      <c r="DE30" s="115">
        <f t="shared" si="288"/>
        <v>1</v>
      </c>
      <c r="DF30" s="241">
        <f t="shared" si="288"/>
        <v>5</v>
      </c>
      <c r="DG30" s="115">
        <f t="shared" si="289"/>
        <v>2</v>
      </c>
      <c r="DH30" s="115">
        <f t="shared" si="289"/>
        <v>1</v>
      </c>
      <c r="DI30" s="115">
        <f t="shared" si="289"/>
        <v>5</v>
      </c>
      <c r="DJ30" s="115">
        <f t="shared" si="289"/>
        <v>4</v>
      </c>
      <c r="DK30" s="241">
        <f t="shared" si="289"/>
        <v>3</v>
      </c>
      <c r="DM30" s="324">
        <f t="shared" si="290"/>
        <v>4</v>
      </c>
      <c r="DN30" s="321">
        <f t="shared" si="290"/>
        <v>1</v>
      </c>
      <c r="DO30" s="321">
        <f t="shared" si="290"/>
        <v>3</v>
      </c>
      <c r="DP30" s="241">
        <f t="shared" si="290"/>
        <v>2</v>
      </c>
      <c r="DQ30" s="324">
        <f t="shared" si="290"/>
        <v>2</v>
      </c>
      <c r="DR30" s="321">
        <f t="shared" si="290"/>
        <v>3</v>
      </c>
      <c r="DS30" s="321">
        <f t="shared" si="290"/>
        <v>4</v>
      </c>
      <c r="DT30" s="241">
        <f t="shared" si="290"/>
        <v>1</v>
      </c>
      <c r="DU30" s="324">
        <f t="shared" si="290"/>
        <v>3</v>
      </c>
      <c r="DV30" s="321">
        <f t="shared" si="290"/>
        <v>2</v>
      </c>
      <c r="DW30" s="321">
        <f t="shared" si="290"/>
        <v>4</v>
      </c>
      <c r="DX30" s="241">
        <f t="shared" si="290"/>
        <v>1</v>
      </c>
      <c r="DY30" s="324">
        <f t="shared" si="291"/>
        <v>2</v>
      </c>
      <c r="DZ30" s="321">
        <f t="shared" si="291"/>
        <v>1</v>
      </c>
      <c r="EA30" s="321">
        <f t="shared" si="291"/>
        <v>4</v>
      </c>
      <c r="EB30" s="241">
        <f t="shared" si="291"/>
        <v>3</v>
      </c>
      <c r="EC30" s="306"/>
      <c r="EJ30" s="64" t="str">
        <f>"'Middle D'!"</f>
        <v>'Middle D'!</v>
      </c>
      <c r="EK30" s="87" t="s">
        <v>447</v>
      </c>
      <c r="EL30" s="87" t="s">
        <v>170</v>
      </c>
      <c r="EM30" s="64">
        <f t="shared" ca="1" si="12"/>
        <v>37</v>
      </c>
      <c r="EN30" s="64" t="str">
        <f ca="1">IFERROR(CONCATENATE(EJ30,EL30,EM30+1),"-")</f>
        <v>'Middle D'!E38</v>
      </c>
      <c r="EO30" s="87" t="str">
        <f>"'Track2'!"</f>
        <v>'Track2'!</v>
      </c>
      <c r="EP30" s="87" t="s">
        <v>447</v>
      </c>
      <c r="EQ30" s="87" t="s">
        <v>165</v>
      </c>
      <c r="ER30" s="87" t="str">
        <f t="shared" ca="1" si="0"/>
        <v>-</v>
      </c>
      <c r="ES30" s="64" t="str">
        <f t="shared" ca="1" si="15"/>
        <v>-</v>
      </c>
      <c r="EW30" s="65">
        <v>15.3</v>
      </c>
    </row>
    <row r="31" spans="1:153" x14ac:dyDescent="0.35">
      <c r="A31" s="353" t="s">
        <v>258</v>
      </c>
      <c r="B31" s="64" t="s">
        <v>20</v>
      </c>
      <c r="C31" s="64" t="s">
        <v>7</v>
      </c>
      <c r="D31" s="66">
        <v>31</v>
      </c>
      <c r="E31" s="66">
        <v>10</v>
      </c>
      <c r="F31" s="271">
        <v>15.4</v>
      </c>
      <c r="G31" s="272">
        <v>0.65625</v>
      </c>
      <c r="I31" s="115">
        <f t="shared" si="292"/>
        <v>4</v>
      </c>
      <c r="J31" s="115">
        <f t="shared" si="292"/>
        <v>1</v>
      </c>
      <c r="K31" s="115">
        <f t="shared" si="292"/>
        <v>5</v>
      </c>
      <c r="L31" s="115">
        <f t="shared" si="292"/>
        <v>7</v>
      </c>
      <c r="M31" s="115">
        <f t="shared" si="292"/>
        <v>3</v>
      </c>
      <c r="N31" s="115">
        <f t="shared" si="292"/>
        <v>8</v>
      </c>
      <c r="O31" s="115">
        <f t="shared" si="292"/>
        <v>6</v>
      </c>
      <c r="P31" s="241">
        <f t="shared" si="292"/>
        <v>2</v>
      </c>
      <c r="Q31" s="115">
        <f t="shared" si="292"/>
        <v>5</v>
      </c>
      <c r="R31" s="115">
        <f t="shared" si="292"/>
        <v>7</v>
      </c>
      <c r="S31" s="115">
        <f t="shared" si="292"/>
        <v>2</v>
      </c>
      <c r="T31" s="115">
        <f t="shared" si="292"/>
        <v>8</v>
      </c>
      <c r="U31" s="115">
        <f t="shared" si="292"/>
        <v>6</v>
      </c>
      <c r="V31" s="115">
        <f t="shared" si="292"/>
        <v>3</v>
      </c>
      <c r="W31" s="115">
        <f t="shared" si="292"/>
        <v>4</v>
      </c>
      <c r="X31" s="241">
        <f t="shared" si="292"/>
        <v>1</v>
      </c>
      <c r="Y31" s="115">
        <f t="shared" si="282"/>
        <v>3</v>
      </c>
      <c r="Z31" s="115">
        <f t="shared" si="282"/>
        <v>8</v>
      </c>
      <c r="AA31" s="115">
        <f t="shared" si="282"/>
        <v>2</v>
      </c>
      <c r="AB31" s="115">
        <f t="shared" si="282"/>
        <v>6</v>
      </c>
      <c r="AC31" s="115">
        <f t="shared" si="282"/>
        <v>4</v>
      </c>
      <c r="AD31" s="115">
        <f t="shared" si="282"/>
        <v>1</v>
      </c>
      <c r="AE31" s="115">
        <f t="shared" si="282"/>
        <v>5</v>
      </c>
      <c r="AF31" s="241">
        <f t="shared" si="282"/>
        <v>7</v>
      </c>
      <c r="AG31" s="115">
        <f t="shared" si="283"/>
        <v>6</v>
      </c>
      <c r="AH31" s="115">
        <f t="shared" si="283"/>
        <v>2</v>
      </c>
      <c r="AI31" s="115">
        <f t="shared" si="283"/>
        <v>7</v>
      </c>
      <c r="AJ31" s="115">
        <f t="shared" si="283"/>
        <v>1</v>
      </c>
      <c r="AK31" s="115">
        <f t="shared" si="283"/>
        <v>5</v>
      </c>
      <c r="AL31" s="115">
        <f t="shared" si="283"/>
        <v>4</v>
      </c>
      <c r="AM31" s="115">
        <f t="shared" si="283"/>
        <v>3</v>
      </c>
      <c r="AN31" s="241">
        <f t="shared" si="283"/>
        <v>8</v>
      </c>
      <c r="AP31" s="115">
        <f t="shared" si="284"/>
        <v>4</v>
      </c>
      <c r="AQ31" s="115">
        <f t="shared" si="284"/>
        <v>1</v>
      </c>
      <c r="AR31" s="115">
        <f t="shared" si="284"/>
        <v>5</v>
      </c>
      <c r="AS31" s="115">
        <f t="shared" si="284"/>
        <v>7</v>
      </c>
      <c r="AT31" s="115">
        <f t="shared" si="284"/>
        <v>3</v>
      </c>
      <c r="AU31" s="115">
        <f t="shared" si="284"/>
        <v>6</v>
      </c>
      <c r="AV31" s="241">
        <f t="shared" si="284"/>
        <v>2</v>
      </c>
      <c r="AW31" s="115">
        <f t="shared" si="284"/>
        <v>5</v>
      </c>
      <c r="AX31" s="115">
        <f t="shared" si="284"/>
        <v>7</v>
      </c>
      <c r="AY31" s="115">
        <f t="shared" si="284"/>
        <v>2</v>
      </c>
      <c r="AZ31" s="115">
        <f t="shared" si="284"/>
        <v>6</v>
      </c>
      <c r="BA31" s="115">
        <f t="shared" si="284"/>
        <v>3</v>
      </c>
      <c r="BB31" s="115">
        <f t="shared" si="284"/>
        <v>4</v>
      </c>
      <c r="BC31" s="241">
        <f t="shared" si="284"/>
        <v>1</v>
      </c>
      <c r="BD31" s="115">
        <f t="shared" si="285"/>
        <v>3</v>
      </c>
      <c r="BE31" s="115">
        <f t="shared" si="285"/>
        <v>2</v>
      </c>
      <c r="BF31" s="115">
        <f t="shared" si="285"/>
        <v>6</v>
      </c>
      <c r="BG31" s="115">
        <f t="shared" si="285"/>
        <v>4</v>
      </c>
      <c r="BH31" s="115">
        <f t="shared" si="285"/>
        <v>1</v>
      </c>
      <c r="BI31" s="115">
        <f t="shared" si="285"/>
        <v>5</v>
      </c>
      <c r="BJ31" s="241">
        <f t="shared" si="285"/>
        <v>7</v>
      </c>
      <c r="BK31" s="115">
        <f t="shared" si="285"/>
        <v>6</v>
      </c>
      <c r="BL31" s="115">
        <f t="shared" si="285"/>
        <v>2</v>
      </c>
      <c r="BM31" s="115">
        <f t="shared" si="285"/>
        <v>7</v>
      </c>
      <c r="BN31" s="115">
        <f t="shared" si="285"/>
        <v>1</v>
      </c>
      <c r="BO31" s="115">
        <f t="shared" si="285"/>
        <v>5</v>
      </c>
      <c r="BP31" s="115">
        <f t="shared" si="285"/>
        <v>4</v>
      </c>
      <c r="BQ31" s="241">
        <f t="shared" si="285"/>
        <v>3</v>
      </c>
      <c r="BS31" s="115">
        <f t="shared" si="286"/>
        <v>4</v>
      </c>
      <c r="BT31" s="115">
        <f t="shared" si="286"/>
        <v>1</v>
      </c>
      <c r="BU31" s="115">
        <f t="shared" si="286"/>
        <v>5</v>
      </c>
      <c r="BV31" s="115">
        <f t="shared" si="286"/>
        <v>3</v>
      </c>
      <c r="BW31" s="115">
        <f t="shared" si="286"/>
        <v>6</v>
      </c>
      <c r="BX31" s="241">
        <f t="shared" si="286"/>
        <v>2</v>
      </c>
      <c r="BY31" s="115">
        <f t="shared" si="286"/>
        <v>5</v>
      </c>
      <c r="BZ31" s="115">
        <f t="shared" si="286"/>
        <v>2</v>
      </c>
      <c r="CA31" s="115">
        <f t="shared" si="286"/>
        <v>6</v>
      </c>
      <c r="CB31" s="115">
        <f t="shared" si="286"/>
        <v>3</v>
      </c>
      <c r="CC31" s="115">
        <f t="shared" si="286"/>
        <v>4</v>
      </c>
      <c r="CD31" s="241">
        <f t="shared" si="286"/>
        <v>1</v>
      </c>
      <c r="CE31" s="115">
        <f t="shared" si="287"/>
        <v>3</v>
      </c>
      <c r="CF31" s="115">
        <f t="shared" si="287"/>
        <v>2</v>
      </c>
      <c r="CG31" s="115">
        <f t="shared" si="287"/>
        <v>6</v>
      </c>
      <c r="CH31" s="115">
        <f t="shared" si="287"/>
        <v>4</v>
      </c>
      <c r="CI31" s="115">
        <f t="shared" si="287"/>
        <v>1</v>
      </c>
      <c r="CJ31" s="241">
        <f t="shared" si="287"/>
        <v>5</v>
      </c>
      <c r="CK31" s="115">
        <f t="shared" si="287"/>
        <v>6</v>
      </c>
      <c r="CL31" s="115">
        <f t="shared" si="287"/>
        <v>2</v>
      </c>
      <c r="CM31" s="115">
        <f t="shared" si="287"/>
        <v>1</v>
      </c>
      <c r="CN31" s="115">
        <f t="shared" si="287"/>
        <v>5</v>
      </c>
      <c r="CO31" s="115">
        <f t="shared" si="287"/>
        <v>4</v>
      </c>
      <c r="CP31" s="241">
        <f t="shared" si="287"/>
        <v>3</v>
      </c>
      <c r="CR31" s="115">
        <f t="shared" si="288"/>
        <v>4</v>
      </c>
      <c r="CS31" s="115">
        <f t="shared" si="288"/>
        <v>1</v>
      </c>
      <c r="CT31" s="115">
        <f t="shared" si="288"/>
        <v>5</v>
      </c>
      <c r="CU31" s="115">
        <f t="shared" si="288"/>
        <v>3</v>
      </c>
      <c r="CV31" s="241">
        <f t="shared" si="288"/>
        <v>2</v>
      </c>
      <c r="CW31" s="115">
        <f t="shared" si="288"/>
        <v>5</v>
      </c>
      <c r="CX31" s="115">
        <f t="shared" si="288"/>
        <v>2</v>
      </c>
      <c r="CY31" s="115">
        <f t="shared" si="288"/>
        <v>3</v>
      </c>
      <c r="CZ31" s="115">
        <f t="shared" si="288"/>
        <v>4</v>
      </c>
      <c r="DA31" s="241">
        <f t="shared" si="288"/>
        <v>1</v>
      </c>
      <c r="DB31" s="115">
        <f t="shared" si="288"/>
        <v>3</v>
      </c>
      <c r="DC31" s="115">
        <f t="shared" si="288"/>
        <v>2</v>
      </c>
      <c r="DD31" s="115">
        <f t="shared" si="288"/>
        <v>4</v>
      </c>
      <c r="DE31" s="115">
        <f t="shared" si="288"/>
        <v>1</v>
      </c>
      <c r="DF31" s="241">
        <f t="shared" si="288"/>
        <v>5</v>
      </c>
      <c r="DG31" s="115">
        <f t="shared" si="289"/>
        <v>2</v>
      </c>
      <c r="DH31" s="115">
        <f t="shared" si="289"/>
        <v>1</v>
      </c>
      <c r="DI31" s="115">
        <f t="shared" si="289"/>
        <v>5</v>
      </c>
      <c r="DJ31" s="115">
        <f t="shared" si="289"/>
        <v>4</v>
      </c>
      <c r="DK31" s="241">
        <f t="shared" si="289"/>
        <v>3</v>
      </c>
      <c r="DM31" s="324">
        <f t="shared" si="290"/>
        <v>4</v>
      </c>
      <c r="DN31" s="321">
        <f t="shared" si="290"/>
        <v>1</v>
      </c>
      <c r="DO31" s="321">
        <f t="shared" si="290"/>
        <v>3</v>
      </c>
      <c r="DP31" s="241">
        <f t="shared" si="290"/>
        <v>2</v>
      </c>
      <c r="DQ31" s="324">
        <f t="shared" si="290"/>
        <v>2</v>
      </c>
      <c r="DR31" s="321">
        <f t="shared" si="290"/>
        <v>3</v>
      </c>
      <c r="DS31" s="321">
        <f t="shared" si="290"/>
        <v>4</v>
      </c>
      <c r="DT31" s="241">
        <f t="shared" si="290"/>
        <v>1</v>
      </c>
      <c r="DU31" s="324">
        <f t="shared" si="290"/>
        <v>3</v>
      </c>
      <c r="DV31" s="321">
        <f t="shared" si="290"/>
        <v>2</v>
      </c>
      <c r="DW31" s="321">
        <f t="shared" si="290"/>
        <v>4</v>
      </c>
      <c r="DX31" s="241">
        <f t="shared" si="290"/>
        <v>1</v>
      </c>
      <c r="DY31" s="324">
        <f t="shared" si="291"/>
        <v>2</v>
      </c>
      <c r="DZ31" s="321">
        <f t="shared" si="291"/>
        <v>1</v>
      </c>
      <c r="EA31" s="321">
        <f t="shared" si="291"/>
        <v>4</v>
      </c>
      <c r="EB31" s="241">
        <f t="shared" si="291"/>
        <v>3</v>
      </c>
      <c r="EC31" s="306"/>
      <c r="EJ31" s="64" t="str">
        <f>"'Middle D'!"</f>
        <v>'Middle D'!</v>
      </c>
      <c r="EK31" s="87" t="s">
        <v>447</v>
      </c>
      <c r="EL31" s="87" t="s">
        <v>170</v>
      </c>
      <c r="EM31" s="64">
        <f t="shared" ca="1" si="12"/>
        <v>73</v>
      </c>
      <c r="EN31" s="64" t="str">
        <f ca="1">IFERROR(CONCATENATE(EJ31,EL31,EM31+1),"-")</f>
        <v>'Middle D'!E74</v>
      </c>
      <c r="EO31" s="87" t="str">
        <f>"'Track2'!"</f>
        <v>'Track2'!</v>
      </c>
      <c r="EP31" s="87" t="s">
        <v>447</v>
      </c>
      <c r="EQ31" s="87" t="s">
        <v>165</v>
      </c>
      <c r="ER31" s="87" t="str">
        <f t="shared" ca="1" si="0"/>
        <v>-</v>
      </c>
      <c r="ES31" s="64" t="str">
        <f t="shared" ca="1" si="15"/>
        <v>-</v>
      </c>
      <c r="EW31" s="65">
        <v>15.4</v>
      </c>
    </row>
    <row r="32" spans="1:153" x14ac:dyDescent="0.35">
      <c r="A32" s="353" t="s">
        <v>259</v>
      </c>
      <c r="B32" s="64" t="s">
        <v>20</v>
      </c>
      <c r="C32" s="64" t="s">
        <v>9</v>
      </c>
      <c r="D32" s="66">
        <v>32</v>
      </c>
      <c r="E32" s="66">
        <v>60</v>
      </c>
      <c r="F32" s="271">
        <v>15.5</v>
      </c>
      <c r="G32" s="272">
        <v>0.66319444444444442</v>
      </c>
      <c r="I32" s="115">
        <f t="shared" si="292"/>
        <v>4</v>
      </c>
      <c r="J32" s="115">
        <f t="shared" si="292"/>
        <v>1</v>
      </c>
      <c r="K32" s="115">
        <f t="shared" si="292"/>
        <v>5</v>
      </c>
      <c r="L32" s="115">
        <f t="shared" si="292"/>
        <v>7</v>
      </c>
      <c r="M32" s="115">
        <f t="shared" si="292"/>
        <v>3</v>
      </c>
      <c r="N32" s="115">
        <f t="shared" si="292"/>
        <v>8</v>
      </c>
      <c r="O32" s="115">
        <f t="shared" si="292"/>
        <v>6</v>
      </c>
      <c r="P32" s="241">
        <f t="shared" si="292"/>
        <v>2</v>
      </c>
      <c r="Q32" s="115">
        <f t="shared" si="292"/>
        <v>5</v>
      </c>
      <c r="R32" s="115">
        <f t="shared" si="292"/>
        <v>7</v>
      </c>
      <c r="S32" s="115">
        <f t="shared" si="292"/>
        <v>2</v>
      </c>
      <c r="T32" s="115">
        <f t="shared" si="292"/>
        <v>8</v>
      </c>
      <c r="U32" s="115">
        <f t="shared" si="292"/>
        <v>6</v>
      </c>
      <c r="V32" s="115">
        <f t="shared" si="292"/>
        <v>3</v>
      </c>
      <c r="W32" s="115">
        <f t="shared" si="292"/>
        <v>4</v>
      </c>
      <c r="X32" s="241">
        <f t="shared" si="292"/>
        <v>1</v>
      </c>
      <c r="Y32" s="115">
        <f t="shared" si="282"/>
        <v>3</v>
      </c>
      <c r="Z32" s="115">
        <f t="shared" si="282"/>
        <v>8</v>
      </c>
      <c r="AA32" s="115">
        <f t="shared" si="282"/>
        <v>2</v>
      </c>
      <c r="AB32" s="115">
        <f t="shared" si="282"/>
        <v>6</v>
      </c>
      <c r="AC32" s="115">
        <f t="shared" si="282"/>
        <v>4</v>
      </c>
      <c r="AD32" s="115">
        <f t="shared" si="282"/>
        <v>1</v>
      </c>
      <c r="AE32" s="115">
        <f t="shared" si="282"/>
        <v>5</v>
      </c>
      <c r="AF32" s="241">
        <f t="shared" si="282"/>
        <v>7</v>
      </c>
      <c r="AG32" s="115">
        <f t="shared" si="283"/>
        <v>6</v>
      </c>
      <c r="AH32" s="115">
        <f t="shared" si="283"/>
        <v>2</v>
      </c>
      <c r="AI32" s="115">
        <f t="shared" si="283"/>
        <v>7</v>
      </c>
      <c r="AJ32" s="115">
        <f t="shared" si="283"/>
        <v>1</v>
      </c>
      <c r="AK32" s="115">
        <f t="shared" si="283"/>
        <v>5</v>
      </c>
      <c r="AL32" s="115">
        <f t="shared" si="283"/>
        <v>4</v>
      </c>
      <c r="AM32" s="115">
        <f t="shared" si="283"/>
        <v>3</v>
      </c>
      <c r="AN32" s="241">
        <f t="shared" si="283"/>
        <v>8</v>
      </c>
      <c r="AP32" s="115">
        <f t="shared" si="284"/>
        <v>4</v>
      </c>
      <c r="AQ32" s="115">
        <f t="shared" si="284"/>
        <v>1</v>
      </c>
      <c r="AR32" s="115">
        <f t="shared" si="284"/>
        <v>5</v>
      </c>
      <c r="AS32" s="115">
        <f t="shared" si="284"/>
        <v>7</v>
      </c>
      <c r="AT32" s="115">
        <f t="shared" si="284"/>
        <v>3</v>
      </c>
      <c r="AU32" s="115">
        <f t="shared" si="284"/>
        <v>6</v>
      </c>
      <c r="AV32" s="241">
        <f t="shared" si="284"/>
        <v>2</v>
      </c>
      <c r="AW32" s="115">
        <f t="shared" si="284"/>
        <v>5</v>
      </c>
      <c r="AX32" s="115">
        <f t="shared" si="284"/>
        <v>7</v>
      </c>
      <c r="AY32" s="115">
        <f t="shared" si="284"/>
        <v>2</v>
      </c>
      <c r="AZ32" s="115">
        <f t="shared" si="284"/>
        <v>6</v>
      </c>
      <c r="BA32" s="115">
        <f t="shared" si="284"/>
        <v>3</v>
      </c>
      <c r="BB32" s="115">
        <f t="shared" si="284"/>
        <v>4</v>
      </c>
      <c r="BC32" s="241">
        <f t="shared" si="284"/>
        <v>1</v>
      </c>
      <c r="BD32" s="115">
        <f t="shared" si="285"/>
        <v>3</v>
      </c>
      <c r="BE32" s="115">
        <f t="shared" si="285"/>
        <v>2</v>
      </c>
      <c r="BF32" s="115">
        <f t="shared" si="285"/>
        <v>6</v>
      </c>
      <c r="BG32" s="115">
        <f t="shared" si="285"/>
        <v>4</v>
      </c>
      <c r="BH32" s="115">
        <f t="shared" si="285"/>
        <v>1</v>
      </c>
      <c r="BI32" s="115">
        <f t="shared" si="285"/>
        <v>5</v>
      </c>
      <c r="BJ32" s="241">
        <f t="shared" si="285"/>
        <v>7</v>
      </c>
      <c r="BK32" s="115">
        <f t="shared" si="285"/>
        <v>6</v>
      </c>
      <c r="BL32" s="115">
        <f t="shared" si="285"/>
        <v>2</v>
      </c>
      <c r="BM32" s="115">
        <f t="shared" si="285"/>
        <v>7</v>
      </c>
      <c r="BN32" s="115">
        <f t="shared" si="285"/>
        <v>1</v>
      </c>
      <c r="BO32" s="115">
        <f t="shared" si="285"/>
        <v>5</v>
      </c>
      <c r="BP32" s="115">
        <f t="shared" si="285"/>
        <v>4</v>
      </c>
      <c r="BQ32" s="241">
        <f t="shared" si="285"/>
        <v>3</v>
      </c>
      <c r="BS32" s="115">
        <f t="shared" si="286"/>
        <v>4</v>
      </c>
      <c r="BT32" s="115">
        <f t="shared" si="286"/>
        <v>1</v>
      </c>
      <c r="BU32" s="115">
        <f t="shared" si="286"/>
        <v>5</v>
      </c>
      <c r="BV32" s="115">
        <f t="shared" si="286"/>
        <v>3</v>
      </c>
      <c r="BW32" s="115">
        <f t="shared" si="286"/>
        <v>6</v>
      </c>
      <c r="BX32" s="241">
        <f t="shared" si="286"/>
        <v>2</v>
      </c>
      <c r="BY32" s="115">
        <f t="shared" si="286"/>
        <v>5</v>
      </c>
      <c r="BZ32" s="115">
        <f t="shared" si="286"/>
        <v>2</v>
      </c>
      <c r="CA32" s="115">
        <f t="shared" si="286"/>
        <v>6</v>
      </c>
      <c r="CB32" s="115">
        <f t="shared" si="286"/>
        <v>3</v>
      </c>
      <c r="CC32" s="115">
        <f t="shared" si="286"/>
        <v>4</v>
      </c>
      <c r="CD32" s="241">
        <f t="shared" si="286"/>
        <v>1</v>
      </c>
      <c r="CE32" s="115">
        <f t="shared" si="287"/>
        <v>3</v>
      </c>
      <c r="CF32" s="115">
        <f t="shared" si="287"/>
        <v>2</v>
      </c>
      <c r="CG32" s="115">
        <f t="shared" si="287"/>
        <v>6</v>
      </c>
      <c r="CH32" s="115">
        <f t="shared" si="287"/>
        <v>4</v>
      </c>
      <c r="CI32" s="115">
        <f t="shared" si="287"/>
        <v>1</v>
      </c>
      <c r="CJ32" s="241">
        <f t="shared" si="287"/>
        <v>5</v>
      </c>
      <c r="CK32" s="115">
        <f t="shared" si="287"/>
        <v>6</v>
      </c>
      <c r="CL32" s="115">
        <f t="shared" si="287"/>
        <v>2</v>
      </c>
      <c r="CM32" s="115">
        <f t="shared" si="287"/>
        <v>1</v>
      </c>
      <c r="CN32" s="115">
        <f t="shared" si="287"/>
        <v>5</v>
      </c>
      <c r="CO32" s="115">
        <f t="shared" si="287"/>
        <v>4</v>
      </c>
      <c r="CP32" s="241">
        <f t="shared" si="287"/>
        <v>3</v>
      </c>
      <c r="CR32" s="115">
        <f t="shared" si="288"/>
        <v>4</v>
      </c>
      <c r="CS32" s="115">
        <f t="shared" si="288"/>
        <v>1</v>
      </c>
      <c r="CT32" s="115">
        <f t="shared" si="288"/>
        <v>5</v>
      </c>
      <c r="CU32" s="115">
        <f t="shared" si="288"/>
        <v>3</v>
      </c>
      <c r="CV32" s="241">
        <f t="shared" si="288"/>
        <v>2</v>
      </c>
      <c r="CW32" s="115">
        <f t="shared" si="288"/>
        <v>5</v>
      </c>
      <c r="CX32" s="115">
        <f t="shared" si="288"/>
        <v>2</v>
      </c>
      <c r="CY32" s="115">
        <f t="shared" si="288"/>
        <v>3</v>
      </c>
      <c r="CZ32" s="115">
        <f t="shared" si="288"/>
        <v>4</v>
      </c>
      <c r="DA32" s="241">
        <f t="shared" si="288"/>
        <v>1</v>
      </c>
      <c r="DB32" s="115">
        <f t="shared" si="288"/>
        <v>3</v>
      </c>
      <c r="DC32" s="115">
        <f t="shared" si="288"/>
        <v>2</v>
      </c>
      <c r="DD32" s="115">
        <f t="shared" si="288"/>
        <v>4</v>
      </c>
      <c r="DE32" s="115">
        <f t="shared" si="288"/>
        <v>1</v>
      </c>
      <c r="DF32" s="241">
        <f t="shared" si="288"/>
        <v>5</v>
      </c>
      <c r="DG32" s="115">
        <f t="shared" si="289"/>
        <v>2</v>
      </c>
      <c r="DH32" s="115">
        <f t="shared" si="289"/>
        <v>1</v>
      </c>
      <c r="DI32" s="115">
        <f t="shared" si="289"/>
        <v>5</v>
      </c>
      <c r="DJ32" s="115">
        <f t="shared" si="289"/>
        <v>4</v>
      </c>
      <c r="DK32" s="241">
        <f t="shared" si="289"/>
        <v>3</v>
      </c>
      <c r="DM32" s="324">
        <f t="shared" si="290"/>
        <v>4</v>
      </c>
      <c r="DN32" s="321">
        <f t="shared" si="290"/>
        <v>1</v>
      </c>
      <c r="DO32" s="321">
        <f t="shared" si="290"/>
        <v>3</v>
      </c>
      <c r="DP32" s="241">
        <f t="shared" si="290"/>
        <v>2</v>
      </c>
      <c r="DQ32" s="324">
        <f t="shared" si="290"/>
        <v>2</v>
      </c>
      <c r="DR32" s="321">
        <f t="shared" si="290"/>
        <v>3</v>
      </c>
      <c r="DS32" s="321">
        <f t="shared" si="290"/>
        <v>4</v>
      </c>
      <c r="DT32" s="241">
        <f t="shared" si="290"/>
        <v>1</v>
      </c>
      <c r="DU32" s="324">
        <f t="shared" si="290"/>
        <v>3</v>
      </c>
      <c r="DV32" s="321">
        <f t="shared" si="290"/>
        <v>2</v>
      </c>
      <c r="DW32" s="321">
        <f t="shared" si="290"/>
        <v>4</v>
      </c>
      <c r="DX32" s="241">
        <f t="shared" si="290"/>
        <v>1</v>
      </c>
      <c r="DY32" s="324">
        <f t="shared" si="291"/>
        <v>2</v>
      </c>
      <c r="DZ32" s="321">
        <f t="shared" si="291"/>
        <v>1</v>
      </c>
      <c r="EA32" s="321">
        <f t="shared" si="291"/>
        <v>4</v>
      </c>
      <c r="EB32" s="241">
        <f t="shared" si="291"/>
        <v>3</v>
      </c>
      <c r="EC32" s="306"/>
      <c r="EJ32" s="64" t="str">
        <f>"'Middle D'!"</f>
        <v>'Middle D'!</v>
      </c>
      <c r="EK32" s="87" t="s">
        <v>447</v>
      </c>
      <c r="EL32" s="87" t="s">
        <v>170</v>
      </c>
      <c r="EM32" s="64">
        <f t="shared" ca="1" si="12"/>
        <v>109</v>
      </c>
      <c r="EN32" s="64" t="str">
        <f ca="1">IFERROR(CONCATENATE(EJ32,EL32,EM32+1),"-")</f>
        <v>'Middle D'!E110</v>
      </c>
      <c r="EO32" s="87" t="str">
        <f>"'Track2'!"</f>
        <v>'Track2'!</v>
      </c>
      <c r="EP32" s="87" t="s">
        <v>447</v>
      </c>
      <c r="EQ32" s="87" t="s">
        <v>165</v>
      </c>
      <c r="ER32" s="87" t="str">
        <f t="shared" ca="1" si="0"/>
        <v>-</v>
      </c>
      <c r="ES32" s="64" t="str">
        <f t="shared" ca="1" si="15"/>
        <v>-</v>
      </c>
      <c r="EW32" s="65">
        <v>15.5</v>
      </c>
    </row>
    <row r="33" spans="1:153" x14ac:dyDescent="0.35">
      <c r="A33" s="353" t="s">
        <v>262</v>
      </c>
      <c r="B33" s="67" t="s">
        <v>60</v>
      </c>
      <c r="C33" s="64" t="s">
        <v>4</v>
      </c>
      <c r="D33" s="66">
        <v>33</v>
      </c>
      <c r="F33" s="271">
        <v>16</v>
      </c>
      <c r="G33" s="272">
        <v>0.67013888888888884</v>
      </c>
      <c r="I33" s="113">
        <v>7</v>
      </c>
      <c r="J33" s="113">
        <v>6</v>
      </c>
      <c r="K33" s="113">
        <v>3</v>
      </c>
      <c r="L33" s="113">
        <v>1</v>
      </c>
      <c r="M33" s="113">
        <v>5</v>
      </c>
      <c r="N33" s="113">
        <v>8</v>
      </c>
      <c r="O33" s="113">
        <v>4</v>
      </c>
      <c r="P33" s="240">
        <v>2</v>
      </c>
      <c r="Q33" s="113">
        <v>3</v>
      </c>
      <c r="R33" s="113">
        <v>1</v>
      </c>
      <c r="S33" s="113">
        <v>2</v>
      </c>
      <c r="T33" s="113">
        <v>8</v>
      </c>
      <c r="U33" s="113">
        <v>4</v>
      </c>
      <c r="V33" s="113">
        <v>5</v>
      </c>
      <c r="W33" s="113">
        <v>7</v>
      </c>
      <c r="X33" s="240">
        <v>6</v>
      </c>
      <c r="Y33" s="113">
        <v>5</v>
      </c>
      <c r="Z33" s="113">
        <v>8</v>
      </c>
      <c r="AA33" s="113">
        <v>4</v>
      </c>
      <c r="AB33" s="113">
        <v>7</v>
      </c>
      <c r="AC33" s="113">
        <v>2</v>
      </c>
      <c r="AD33" s="113">
        <v>6</v>
      </c>
      <c r="AE33" s="113">
        <v>3</v>
      </c>
      <c r="AF33" s="240">
        <v>1</v>
      </c>
      <c r="AG33" s="113">
        <v>4</v>
      </c>
      <c r="AH33" s="113">
        <v>2</v>
      </c>
      <c r="AI33" s="113">
        <v>7</v>
      </c>
      <c r="AJ33" s="113">
        <v>6</v>
      </c>
      <c r="AK33" s="113">
        <v>3</v>
      </c>
      <c r="AL33" s="113">
        <v>1</v>
      </c>
      <c r="AM33" s="113">
        <v>5</v>
      </c>
      <c r="AN33" s="240">
        <v>8</v>
      </c>
      <c r="AP33" s="113">
        <v>7</v>
      </c>
      <c r="AQ33" s="113">
        <v>6</v>
      </c>
      <c r="AR33" s="113">
        <v>3</v>
      </c>
      <c r="AS33" s="113">
        <v>1</v>
      </c>
      <c r="AT33" s="113">
        <v>5</v>
      </c>
      <c r="AU33" s="113">
        <v>4</v>
      </c>
      <c r="AV33" s="240">
        <v>2</v>
      </c>
      <c r="AW33" s="113">
        <v>3</v>
      </c>
      <c r="AX33" s="113">
        <v>1</v>
      </c>
      <c r="AY33" s="113">
        <v>2</v>
      </c>
      <c r="AZ33" s="113">
        <v>4</v>
      </c>
      <c r="BA33" s="113">
        <v>5</v>
      </c>
      <c r="BB33" s="113">
        <v>7</v>
      </c>
      <c r="BC33" s="240">
        <v>6</v>
      </c>
      <c r="BD33" s="113">
        <v>5</v>
      </c>
      <c r="BE33" s="113">
        <v>4</v>
      </c>
      <c r="BF33" s="113">
        <v>7</v>
      </c>
      <c r="BG33" s="113">
        <v>2</v>
      </c>
      <c r="BH33" s="113">
        <v>6</v>
      </c>
      <c r="BI33" s="113">
        <v>3</v>
      </c>
      <c r="BJ33" s="240">
        <v>1</v>
      </c>
      <c r="BK33" s="113">
        <v>4</v>
      </c>
      <c r="BL33" s="113">
        <v>2</v>
      </c>
      <c r="BM33" s="113">
        <v>7</v>
      </c>
      <c r="BN33" s="113">
        <v>6</v>
      </c>
      <c r="BO33" s="113">
        <v>3</v>
      </c>
      <c r="BP33" s="113">
        <v>1</v>
      </c>
      <c r="BQ33" s="240">
        <v>5</v>
      </c>
      <c r="BS33" s="113">
        <v>6</v>
      </c>
      <c r="BT33" s="113">
        <v>3</v>
      </c>
      <c r="BU33" s="113">
        <v>1</v>
      </c>
      <c r="BV33" s="113">
        <v>5</v>
      </c>
      <c r="BW33" s="113">
        <v>4</v>
      </c>
      <c r="BX33" s="240">
        <v>2</v>
      </c>
      <c r="BY33" s="113">
        <v>3</v>
      </c>
      <c r="BZ33" s="113">
        <v>1</v>
      </c>
      <c r="CA33" s="113">
        <v>2</v>
      </c>
      <c r="CB33" s="113">
        <v>4</v>
      </c>
      <c r="CC33" s="113">
        <v>5</v>
      </c>
      <c r="CD33" s="240">
        <v>6</v>
      </c>
      <c r="CE33" s="113">
        <v>5</v>
      </c>
      <c r="CF33" s="113">
        <v>4</v>
      </c>
      <c r="CG33" s="113">
        <v>2</v>
      </c>
      <c r="CH33" s="113">
        <v>6</v>
      </c>
      <c r="CI33" s="113">
        <v>3</v>
      </c>
      <c r="CJ33" s="240">
        <v>1</v>
      </c>
      <c r="CK33" s="113">
        <v>4</v>
      </c>
      <c r="CL33" s="113">
        <v>2</v>
      </c>
      <c r="CM33" s="113">
        <v>6</v>
      </c>
      <c r="CN33" s="113">
        <v>3</v>
      </c>
      <c r="CO33" s="113">
        <v>1</v>
      </c>
      <c r="CP33" s="240">
        <v>5</v>
      </c>
      <c r="CR33" s="113">
        <v>3</v>
      </c>
      <c r="CS33" s="113">
        <v>1</v>
      </c>
      <c r="CT33" s="113">
        <v>5</v>
      </c>
      <c r="CU33" s="113">
        <v>4</v>
      </c>
      <c r="CV33" s="240">
        <v>2</v>
      </c>
      <c r="CW33" s="113">
        <v>3</v>
      </c>
      <c r="CX33" s="113">
        <v>1</v>
      </c>
      <c r="CY33" s="113">
        <v>2</v>
      </c>
      <c r="CZ33" s="113">
        <v>4</v>
      </c>
      <c r="DA33" s="240">
        <v>5</v>
      </c>
      <c r="DB33" s="113">
        <v>5</v>
      </c>
      <c r="DC33" s="113">
        <v>4</v>
      </c>
      <c r="DD33" s="113">
        <v>2</v>
      </c>
      <c r="DE33" s="113">
        <v>3</v>
      </c>
      <c r="DF33" s="240">
        <v>1</v>
      </c>
      <c r="DG33" s="113">
        <v>4</v>
      </c>
      <c r="DH33" s="113">
        <v>2</v>
      </c>
      <c r="DI33" s="113">
        <v>3</v>
      </c>
      <c r="DJ33" s="113">
        <v>1</v>
      </c>
      <c r="DK33" s="240">
        <v>5</v>
      </c>
      <c r="DM33" s="323">
        <v>3</v>
      </c>
      <c r="DN33" s="320">
        <v>1</v>
      </c>
      <c r="DO33" s="320">
        <v>4</v>
      </c>
      <c r="DP33" s="240">
        <v>2</v>
      </c>
      <c r="DQ33" s="323">
        <v>3</v>
      </c>
      <c r="DR33" s="320">
        <v>1</v>
      </c>
      <c r="DS33" s="320">
        <v>2</v>
      </c>
      <c r="DT33" s="240">
        <v>4</v>
      </c>
      <c r="DU33" s="323">
        <v>4</v>
      </c>
      <c r="DV33" s="320">
        <v>2</v>
      </c>
      <c r="DW33" s="320">
        <v>3</v>
      </c>
      <c r="DX33" s="240">
        <v>1</v>
      </c>
      <c r="DY33" s="323">
        <v>4</v>
      </c>
      <c r="DZ33" s="320">
        <v>2</v>
      </c>
      <c r="EA33" s="320">
        <v>3</v>
      </c>
      <c r="EB33" s="240">
        <v>1</v>
      </c>
      <c r="EC33" s="306"/>
      <c r="EJ33" s="64" t="str">
        <f t="shared" ref="EJ33:EJ38" si="293">"'Relays'!"</f>
        <v>'Relays'!</v>
      </c>
      <c r="EK33" s="87" t="s">
        <v>447</v>
      </c>
      <c r="EL33" s="87" t="s">
        <v>280</v>
      </c>
      <c r="EM33" s="64">
        <f t="shared" ca="1" si="12"/>
        <v>2</v>
      </c>
      <c r="EN33" s="64" t="str">
        <f t="shared" ca="1" si="13"/>
        <v>'Relays'!C4</v>
      </c>
      <c r="EO33" s="64" t="str">
        <f t="shared" ref="EO33:EO38" si="294">"'Relays'!"</f>
        <v>'Relays'!</v>
      </c>
      <c r="EP33" s="87" t="s">
        <v>447</v>
      </c>
      <c r="EQ33" s="87" t="s">
        <v>169</v>
      </c>
      <c r="ER33" s="87">
        <f t="shared" ca="1" si="0"/>
        <v>2</v>
      </c>
      <c r="ES33" s="64" t="str">
        <f t="shared" ca="1" si="15"/>
        <v>'Relays'!M4</v>
      </c>
      <c r="EW33" s="65">
        <v>16</v>
      </c>
    </row>
    <row r="34" spans="1:153" x14ac:dyDescent="0.35">
      <c r="A34" s="353" t="s">
        <v>263</v>
      </c>
      <c r="B34" s="67" t="s">
        <v>60</v>
      </c>
      <c r="C34" s="64" t="s">
        <v>6</v>
      </c>
      <c r="D34" s="66">
        <v>34</v>
      </c>
      <c r="F34" s="271">
        <v>16.05</v>
      </c>
      <c r="G34" s="272">
        <v>0.67361111111111116</v>
      </c>
      <c r="I34" s="115">
        <f>I$33</f>
        <v>7</v>
      </c>
      <c r="J34" s="115">
        <f t="shared" ref="J34:AH36" si="295">J$33</f>
        <v>6</v>
      </c>
      <c r="K34" s="115">
        <f t="shared" si="295"/>
        <v>3</v>
      </c>
      <c r="L34" s="115">
        <f t="shared" si="295"/>
        <v>1</v>
      </c>
      <c r="M34" s="115">
        <f t="shared" si="295"/>
        <v>5</v>
      </c>
      <c r="N34" s="115">
        <f t="shared" si="295"/>
        <v>8</v>
      </c>
      <c r="O34" s="115">
        <f t="shared" si="295"/>
        <v>4</v>
      </c>
      <c r="P34" s="241">
        <f t="shared" si="295"/>
        <v>2</v>
      </c>
      <c r="Q34" s="115">
        <f>Q$33</f>
        <v>3</v>
      </c>
      <c r="R34" s="115">
        <f t="shared" si="295"/>
        <v>1</v>
      </c>
      <c r="S34" s="115">
        <f t="shared" si="295"/>
        <v>2</v>
      </c>
      <c r="T34" s="115">
        <f t="shared" si="295"/>
        <v>8</v>
      </c>
      <c r="U34" s="115">
        <f t="shared" si="295"/>
        <v>4</v>
      </c>
      <c r="V34" s="115">
        <f t="shared" si="295"/>
        <v>5</v>
      </c>
      <c r="W34" s="115">
        <f t="shared" si="295"/>
        <v>7</v>
      </c>
      <c r="X34" s="241">
        <f t="shared" si="295"/>
        <v>6</v>
      </c>
      <c r="Y34" s="115">
        <f>Y$33</f>
        <v>5</v>
      </c>
      <c r="Z34" s="115">
        <f t="shared" si="295"/>
        <v>8</v>
      </c>
      <c r="AA34" s="115">
        <f t="shared" si="295"/>
        <v>4</v>
      </c>
      <c r="AB34" s="115">
        <f t="shared" si="295"/>
        <v>7</v>
      </c>
      <c r="AC34" s="115">
        <f t="shared" si="295"/>
        <v>2</v>
      </c>
      <c r="AD34" s="115">
        <f t="shared" si="295"/>
        <v>6</v>
      </c>
      <c r="AE34" s="115">
        <f t="shared" si="295"/>
        <v>3</v>
      </c>
      <c r="AF34" s="241">
        <f t="shared" si="295"/>
        <v>1</v>
      </c>
      <c r="AG34" s="115">
        <f>AG$33</f>
        <v>4</v>
      </c>
      <c r="AH34" s="115">
        <f t="shared" si="295"/>
        <v>2</v>
      </c>
      <c r="AI34" s="115">
        <f t="shared" ref="AG34:AN36" si="296">AI$33</f>
        <v>7</v>
      </c>
      <c r="AJ34" s="115">
        <f t="shared" si="296"/>
        <v>6</v>
      </c>
      <c r="AK34" s="115">
        <f t="shared" si="296"/>
        <v>3</v>
      </c>
      <c r="AL34" s="115">
        <f t="shared" si="296"/>
        <v>1</v>
      </c>
      <c r="AM34" s="115">
        <f t="shared" si="296"/>
        <v>5</v>
      </c>
      <c r="AN34" s="241">
        <f t="shared" si="296"/>
        <v>8</v>
      </c>
      <c r="AP34" s="115">
        <f t="shared" ref="AP34:BE36" si="297">AP$33</f>
        <v>7</v>
      </c>
      <c r="AQ34" s="115">
        <f t="shared" si="297"/>
        <v>6</v>
      </c>
      <c r="AR34" s="115">
        <f t="shared" si="297"/>
        <v>3</v>
      </c>
      <c r="AS34" s="115">
        <f t="shared" si="297"/>
        <v>1</v>
      </c>
      <c r="AT34" s="115">
        <f t="shared" si="297"/>
        <v>5</v>
      </c>
      <c r="AU34" s="115">
        <f t="shared" si="297"/>
        <v>4</v>
      </c>
      <c r="AV34" s="241">
        <f t="shared" si="297"/>
        <v>2</v>
      </c>
      <c r="AW34" s="115">
        <f t="shared" si="297"/>
        <v>3</v>
      </c>
      <c r="AX34" s="115">
        <f t="shared" si="297"/>
        <v>1</v>
      </c>
      <c r="AY34" s="115">
        <f t="shared" si="297"/>
        <v>2</v>
      </c>
      <c r="AZ34" s="115">
        <f t="shared" si="297"/>
        <v>4</v>
      </c>
      <c r="BA34" s="115">
        <f t="shared" si="297"/>
        <v>5</v>
      </c>
      <c r="BB34" s="115">
        <f t="shared" si="297"/>
        <v>7</v>
      </c>
      <c r="BC34" s="241">
        <f t="shared" si="297"/>
        <v>6</v>
      </c>
      <c r="BD34" s="115">
        <f t="shared" si="297"/>
        <v>5</v>
      </c>
      <c r="BE34" s="115">
        <f t="shared" si="297"/>
        <v>4</v>
      </c>
      <c r="BF34" s="115">
        <f t="shared" ref="BD34:BQ36" si="298">BF$33</f>
        <v>7</v>
      </c>
      <c r="BG34" s="115">
        <f t="shared" si="298"/>
        <v>2</v>
      </c>
      <c r="BH34" s="115">
        <f t="shared" si="298"/>
        <v>6</v>
      </c>
      <c r="BI34" s="115">
        <f t="shared" si="298"/>
        <v>3</v>
      </c>
      <c r="BJ34" s="241">
        <f t="shared" si="298"/>
        <v>1</v>
      </c>
      <c r="BK34" s="115">
        <f t="shared" si="298"/>
        <v>4</v>
      </c>
      <c r="BL34" s="115">
        <f t="shared" si="298"/>
        <v>2</v>
      </c>
      <c r="BM34" s="115">
        <f t="shared" si="298"/>
        <v>7</v>
      </c>
      <c r="BN34" s="115">
        <f t="shared" si="298"/>
        <v>6</v>
      </c>
      <c r="BO34" s="115">
        <f t="shared" si="298"/>
        <v>3</v>
      </c>
      <c r="BP34" s="115">
        <f t="shared" si="298"/>
        <v>1</v>
      </c>
      <c r="BQ34" s="241">
        <f t="shared" si="298"/>
        <v>5</v>
      </c>
      <c r="BS34" s="115">
        <f t="shared" ref="BS34:CH36" si="299">BS$33</f>
        <v>6</v>
      </c>
      <c r="BT34" s="115">
        <f t="shared" si="299"/>
        <v>3</v>
      </c>
      <c r="BU34" s="115">
        <f t="shared" si="299"/>
        <v>1</v>
      </c>
      <c r="BV34" s="115">
        <f t="shared" si="299"/>
        <v>5</v>
      </c>
      <c r="BW34" s="115">
        <f t="shared" si="299"/>
        <v>4</v>
      </c>
      <c r="BX34" s="241">
        <f t="shared" si="299"/>
        <v>2</v>
      </c>
      <c r="BY34" s="115">
        <f t="shared" si="299"/>
        <v>3</v>
      </c>
      <c r="BZ34" s="115">
        <f t="shared" si="299"/>
        <v>1</v>
      </c>
      <c r="CA34" s="115">
        <f t="shared" si="299"/>
        <v>2</v>
      </c>
      <c r="CB34" s="115">
        <f t="shared" si="299"/>
        <v>4</v>
      </c>
      <c r="CC34" s="115">
        <f t="shared" si="299"/>
        <v>5</v>
      </c>
      <c r="CD34" s="241">
        <f t="shared" si="299"/>
        <v>6</v>
      </c>
      <c r="CE34" s="115">
        <f t="shared" si="299"/>
        <v>5</v>
      </c>
      <c r="CF34" s="115">
        <f t="shared" si="299"/>
        <v>4</v>
      </c>
      <c r="CG34" s="115">
        <f t="shared" si="299"/>
        <v>2</v>
      </c>
      <c r="CH34" s="115">
        <f t="shared" si="299"/>
        <v>6</v>
      </c>
      <c r="CI34" s="115">
        <f t="shared" ref="CE34:CP36" si="300">CI$33</f>
        <v>3</v>
      </c>
      <c r="CJ34" s="241">
        <f t="shared" si="300"/>
        <v>1</v>
      </c>
      <c r="CK34" s="115">
        <f t="shared" si="300"/>
        <v>4</v>
      </c>
      <c r="CL34" s="115">
        <f t="shared" si="300"/>
        <v>2</v>
      </c>
      <c r="CM34" s="115">
        <f t="shared" si="300"/>
        <v>6</v>
      </c>
      <c r="CN34" s="115">
        <f t="shared" si="300"/>
        <v>3</v>
      </c>
      <c r="CO34" s="115">
        <f t="shared" si="300"/>
        <v>1</v>
      </c>
      <c r="CP34" s="241">
        <f t="shared" si="300"/>
        <v>5</v>
      </c>
      <c r="CR34" s="115">
        <f t="shared" ref="CR34:DG36" si="301">CR$33</f>
        <v>3</v>
      </c>
      <c r="CS34" s="115">
        <f t="shared" si="301"/>
        <v>1</v>
      </c>
      <c r="CT34" s="115">
        <f t="shared" si="301"/>
        <v>5</v>
      </c>
      <c r="CU34" s="115">
        <f t="shared" si="301"/>
        <v>4</v>
      </c>
      <c r="CV34" s="241">
        <f t="shared" si="301"/>
        <v>2</v>
      </c>
      <c r="CW34" s="115">
        <f t="shared" si="301"/>
        <v>3</v>
      </c>
      <c r="CX34" s="115">
        <f t="shared" si="301"/>
        <v>1</v>
      </c>
      <c r="CY34" s="115">
        <f t="shared" si="301"/>
        <v>2</v>
      </c>
      <c r="CZ34" s="115">
        <f t="shared" si="301"/>
        <v>4</v>
      </c>
      <c r="DA34" s="241">
        <f t="shared" si="301"/>
        <v>5</v>
      </c>
      <c r="DB34" s="115">
        <f t="shared" si="301"/>
        <v>5</v>
      </c>
      <c r="DC34" s="115">
        <f t="shared" si="301"/>
        <v>4</v>
      </c>
      <c r="DD34" s="115">
        <f t="shared" si="301"/>
        <v>2</v>
      </c>
      <c r="DE34" s="115">
        <f t="shared" si="301"/>
        <v>3</v>
      </c>
      <c r="DF34" s="241">
        <f t="shared" si="301"/>
        <v>1</v>
      </c>
      <c r="DG34" s="115">
        <f t="shared" si="301"/>
        <v>4</v>
      </c>
      <c r="DH34" s="115">
        <f t="shared" ref="DG34:DK36" si="302">DH$33</f>
        <v>2</v>
      </c>
      <c r="DI34" s="115">
        <f t="shared" si="302"/>
        <v>3</v>
      </c>
      <c r="DJ34" s="115">
        <f t="shared" si="302"/>
        <v>1</v>
      </c>
      <c r="DK34" s="241">
        <f t="shared" si="302"/>
        <v>5</v>
      </c>
      <c r="DM34" s="324">
        <f t="shared" ref="DM34:DY36" si="303">DM$33</f>
        <v>3</v>
      </c>
      <c r="DN34" s="321">
        <f t="shared" si="303"/>
        <v>1</v>
      </c>
      <c r="DO34" s="321">
        <f t="shared" si="303"/>
        <v>4</v>
      </c>
      <c r="DP34" s="241">
        <f t="shared" si="303"/>
        <v>2</v>
      </c>
      <c r="DQ34" s="324">
        <f t="shared" si="303"/>
        <v>3</v>
      </c>
      <c r="DR34" s="321">
        <f t="shared" si="303"/>
        <v>1</v>
      </c>
      <c r="DS34" s="321">
        <f t="shared" si="303"/>
        <v>2</v>
      </c>
      <c r="DT34" s="241">
        <f t="shared" si="303"/>
        <v>4</v>
      </c>
      <c r="DU34" s="324">
        <f t="shared" si="303"/>
        <v>4</v>
      </c>
      <c r="DV34" s="321">
        <f t="shared" si="303"/>
        <v>2</v>
      </c>
      <c r="DW34" s="321">
        <f t="shared" si="303"/>
        <v>3</v>
      </c>
      <c r="DX34" s="241">
        <f t="shared" si="303"/>
        <v>1</v>
      </c>
      <c r="DY34" s="324">
        <f t="shared" si="303"/>
        <v>4</v>
      </c>
      <c r="DZ34" s="321">
        <f t="shared" ref="DY34:EB36" si="304">DZ$33</f>
        <v>2</v>
      </c>
      <c r="EA34" s="321">
        <f t="shared" si="304"/>
        <v>3</v>
      </c>
      <c r="EB34" s="241">
        <f t="shared" si="304"/>
        <v>1</v>
      </c>
      <c r="EC34" s="306"/>
      <c r="EJ34" s="64" t="str">
        <f t="shared" si="293"/>
        <v>'Relays'!</v>
      </c>
      <c r="EK34" s="87" t="s">
        <v>447</v>
      </c>
      <c r="EL34" s="87" t="s">
        <v>280</v>
      </c>
      <c r="EM34" s="64">
        <f t="shared" ca="1" si="12"/>
        <v>13</v>
      </c>
      <c r="EN34" s="64" t="str">
        <f t="shared" ca="1" si="13"/>
        <v>'Relays'!C15</v>
      </c>
      <c r="EO34" s="64" t="str">
        <f t="shared" si="294"/>
        <v>'Relays'!</v>
      </c>
      <c r="EP34" s="87" t="s">
        <v>447</v>
      </c>
      <c r="EQ34" s="87" t="s">
        <v>169</v>
      </c>
      <c r="ER34" s="87">
        <f t="shared" ca="1" si="0"/>
        <v>13</v>
      </c>
      <c r="ES34" s="64" t="str">
        <f t="shared" ca="1" si="15"/>
        <v>'Relays'!M15</v>
      </c>
      <c r="EW34" s="65">
        <v>16.05</v>
      </c>
    </row>
    <row r="35" spans="1:153" x14ac:dyDescent="0.35">
      <c r="A35" s="353" t="s">
        <v>264</v>
      </c>
      <c r="B35" s="67" t="s">
        <v>60</v>
      </c>
      <c r="C35" s="64" t="s">
        <v>7</v>
      </c>
      <c r="D35" s="66">
        <v>35</v>
      </c>
      <c r="F35" s="271">
        <v>16.100000000000001</v>
      </c>
      <c r="G35" s="272">
        <v>0.67708333333333337</v>
      </c>
      <c r="I35" s="115">
        <f t="shared" ref="I35:Y36" si="305">I$33</f>
        <v>7</v>
      </c>
      <c r="J35" s="115">
        <f t="shared" si="305"/>
        <v>6</v>
      </c>
      <c r="K35" s="115">
        <f t="shared" si="305"/>
        <v>3</v>
      </c>
      <c r="L35" s="115">
        <f t="shared" si="305"/>
        <v>1</v>
      </c>
      <c r="M35" s="115">
        <f t="shared" si="305"/>
        <v>5</v>
      </c>
      <c r="N35" s="115">
        <f t="shared" si="305"/>
        <v>8</v>
      </c>
      <c r="O35" s="115">
        <f t="shared" si="305"/>
        <v>4</v>
      </c>
      <c r="P35" s="241">
        <f t="shared" si="305"/>
        <v>2</v>
      </c>
      <c r="Q35" s="115">
        <f t="shared" si="305"/>
        <v>3</v>
      </c>
      <c r="R35" s="115">
        <f t="shared" si="305"/>
        <v>1</v>
      </c>
      <c r="S35" s="115">
        <f t="shared" si="305"/>
        <v>2</v>
      </c>
      <c r="T35" s="115">
        <f t="shared" si="305"/>
        <v>8</v>
      </c>
      <c r="U35" s="115">
        <f t="shared" si="305"/>
        <v>4</v>
      </c>
      <c r="V35" s="115">
        <f t="shared" si="305"/>
        <v>5</v>
      </c>
      <c r="W35" s="115">
        <f t="shared" si="305"/>
        <v>7</v>
      </c>
      <c r="X35" s="241">
        <f t="shared" si="305"/>
        <v>6</v>
      </c>
      <c r="Y35" s="115">
        <f t="shared" si="305"/>
        <v>5</v>
      </c>
      <c r="Z35" s="115">
        <f t="shared" si="295"/>
        <v>8</v>
      </c>
      <c r="AA35" s="115">
        <f t="shared" si="295"/>
        <v>4</v>
      </c>
      <c r="AB35" s="115">
        <f t="shared" si="295"/>
        <v>7</v>
      </c>
      <c r="AC35" s="115">
        <f t="shared" si="295"/>
        <v>2</v>
      </c>
      <c r="AD35" s="115">
        <f t="shared" si="295"/>
        <v>6</v>
      </c>
      <c r="AE35" s="115">
        <f t="shared" si="295"/>
        <v>3</v>
      </c>
      <c r="AF35" s="241">
        <f t="shared" si="295"/>
        <v>1</v>
      </c>
      <c r="AG35" s="115">
        <f t="shared" si="295"/>
        <v>4</v>
      </c>
      <c r="AH35" s="115">
        <f t="shared" si="295"/>
        <v>2</v>
      </c>
      <c r="AI35" s="115">
        <f t="shared" si="296"/>
        <v>7</v>
      </c>
      <c r="AJ35" s="115">
        <f t="shared" si="296"/>
        <v>6</v>
      </c>
      <c r="AK35" s="115">
        <f t="shared" si="296"/>
        <v>3</v>
      </c>
      <c r="AL35" s="115">
        <f t="shared" si="296"/>
        <v>1</v>
      </c>
      <c r="AM35" s="115">
        <f t="shared" si="296"/>
        <v>5</v>
      </c>
      <c r="AN35" s="241">
        <f t="shared" si="296"/>
        <v>8</v>
      </c>
      <c r="AP35" s="115">
        <f t="shared" si="297"/>
        <v>7</v>
      </c>
      <c r="AQ35" s="115">
        <f t="shared" si="297"/>
        <v>6</v>
      </c>
      <c r="AR35" s="115">
        <f t="shared" si="297"/>
        <v>3</v>
      </c>
      <c r="AS35" s="115">
        <f t="shared" si="297"/>
        <v>1</v>
      </c>
      <c r="AT35" s="115">
        <f t="shared" si="297"/>
        <v>5</v>
      </c>
      <c r="AU35" s="115">
        <f t="shared" si="297"/>
        <v>4</v>
      </c>
      <c r="AV35" s="241">
        <f t="shared" si="297"/>
        <v>2</v>
      </c>
      <c r="AW35" s="115">
        <f t="shared" si="297"/>
        <v>3</v>
      </c>
      <c r="AX35" s="115">
        <f t="shared" si="297"/>
        <v>1</v>
      </c>
      <c r="AY35" s="115">
        <f t="shared" si="297"/>
        <v>2</v>
      </c>
      <c r="AZ35" s="115">
        <f t="shared" si="297"/>
        <v>4</v>
      </c>
      <c r="BA35" s="115">
        <f t="shared" si="297"/>
        <v>5</v>
      </c>
      <c r="BB35" s="115">
        <f t="shared" si="297"/>
        <v>7</v>
      </c>
      <c r="BC35" s="241">
        <f t="shared" si="297"/>
        <v>6</v>
      </c>
      <c r="BD35" s="115">
        <f t="shared" si="297"/>
        <v>5</v>
      </c>
      <c r="BE35" s="115">
        <f t="shared" si="297"/>
        <v>4</v>
      </c>
      <c r="BF35" s="115">
        <f t="shared" si="298"/>
        <v>7</v>
      </c>
      <c r="BG35" s="115">
        <f t="shared" si="298"/>
        <v>2</v>
      </c>
      <c r="BH35" s="115">
        <f t="shared" si="298"/>
        <v>6</v>
      </c>
      <c r="BI35" s="115">
        <f t="shared" si="298"/>
        <v>3</v>
      </c>
      <c r="BJ35" s="241">
        <f t="shared" si="298"/>
        <v>1</v>
      </c>
      <c r="BK35" s="115">
        <f t="shared" si="298"/>
        <v>4</v>
      </c>
      <c r="BL35" s="115">
        <f t="shared" si="298"/>
        <v>2</v>
      </c>
      <c r="BM35" s="115">
        <f t="shared" si="298"/>
        <v>7</v>
      </c>
      <c r="BN35" s="115">
        <f t="shared" si="298"/>
        <v>6</v>
      </c>
      <c r="BO35" s="115">
        <f t="shared" si="298"/>
        <v>3</v>
      </c>
      <c r="BP35" s="115">
        <f t="shared" si="298"/>
        <v>1</v>
      </c>
      <c r="BQ35" s="241">
        <f t="shared" si="298"/>
        <v>5</v>
      </c>
      <c r="BS35" s="115">
        <f t="shared" si="299"/>
        <v>6</v>
      </c>
      <c r="BT35" s="115">
        <f t="shared" si="299"/>
        <v>3</v>
      </c>
      <c r="BU35" s="115">
        <f t="shared" si="299"/>
        <v>1</v>
      </c>
      <c r="BV35" s="115">
        <f t="shared" si="299"/>
        <v>5</v>
      </c>
      <c r="BW35" s="115">
        <f t="shared" si="299"/>
        <v>4</v>
      </c>
      <c r="BX35" s="241">
        <f t="shared" si="299"/>
        <v>2</v>
      </c>
      <c r="BY35" s="115">
        <f t="shared" si="299"/>
        <v>3</v>
      </c>
      <c r="BZ35" s="115">
        <f t="shared" si="299"/>
        <v>1</v>
      </c>
      <c r="CA35" s="115">
        <f t="shared" si="299"/>
        <v>2</v>
      </c>
      <c r="CB35" s="115">
        <f t="shared" si="299"/>
        <v>4</v>
      </c>
      <c r="CC35" s="115">
        <f t="shared" si="299"/>
        <v>5</v>
      </c>
      <c r="CD35" s="241">
        <f t="shared" si="299"/>
        <v>6</v>
      </c>
      <c r="CE35" s="115">
        <f t="shared" si="300"/>
        <v>5</v>
      </c>
      <c r="CF35" s="115">
        <f t="shared" si="300"/>
        <v>4</v>
      </c>
      <c r="CG35" s="115">
        <f t="shared" si="300"/>
        <v>2</v>
      </c>
      <c r="CH35" s="115">
        <f t="shared" si="300"/>
        <v>6</v>
      </c>
      <c r="CI35" s="115">
        <f t="shared" si="300"/>
        <v>3</v>
      </c>
      <c r="CJ35" s="241">
        <f t="shared" si="300"/>
        <v>1</v>
      </c>
      <c r="CK35" s="115">
        <f t="shared" si="300"/>
        <v>4</v>
      </c>
      <c r="CL35" s="115">
        <f t="shared" si="300"/>
        <v>2</v>
      </c>
      <c r="CM35" s="115">
        <f t="shared" si="300"/>
        <v>6</v>
      </c>
      <c r="CN35" s="115">
        <f t="shared" si="300"/>
        <v>3</v>
      </c>
      <c r="CO35" s="115">
        <f t="shared" si="300"/>
        <v>1</v>
      </c>
      <c r="CP35" s="241">
        <f t="shared" si="300"/>
        <v>5</v>
      </c>
      <c r="CR35" s="115">
        <f t="shared" si="301"/>
        <v>3</v>
      </c>
      <c r="CS35" s="115">
        <f t="shared" si="301"/>
        <v>1</v>
      </c>
      <c r="CT35" s="115">
        <f t="shared" si="301"/>
        <v>5</v>
      </c>
      <c r="CU35" s="115">
        <f t="shared" si="301"/>
        <v>4</v>
      </c>
      <c r="CV35" s="241">
        <f t="shared" si="301"/>
        <v>2</v>
      </c>
      <c r="CW35" s="115">
        <f t="shared" si="301"/>
        <v>3</v>
      </c>
      <c r="CX35" s="115">
        <f t="shared" si="301"/>
        <v>1</v>
      </c>
      <c r="CY35" s="115">
        <f t="shared" si="301"/>
        <v>2</v>
      </c>
      <c r="CZ35" s="115">
        <f t="shared" si="301"/>
        <v>4</v>
      </c>
      <c r="DA35" s="241">
        <f t="shared" si="301"/>
        <v>5</v>
      </c>
      <c r="DB35" s="115">
        <f t="shared" si="301"/>
        <v>5</v>
      </c>
      <c r="DC35" s="115">
        <f t="shared" si="301"/>
        <v>4</v>
      </c>
      <c r="DD35" s="115">
        <f t="shared" si="301"/>
        <v>2</v>
      </c>
      <c r="DE35" s="115">
        <f t="shared" si="301"/>
        <v>3</v>
      </c>
      <c r="DF35" s="241">
        <f t="shared" si="301"/>
        <v>1</v>
      </c>
      <c r="DG35" s="115">
        <f t="shared" si="302"/>
        <v>4</v>
      </c>
      <c r="DH35" s="115">
        <f t="shared" si="302"/>
        <v>2</v>
      </c>
      <c r="DI35" s="115">
        <f t="shared" si="302"/>
        <v>3</v>
      </c>
      <c r="DJ35" s="115">
        <f t="shared" si="302"/>
        <v>1</v>
      </c>
      <c r="DK35" s="241">
        <f t="shared" si="302"/>
        <v>5</v>
      </c>
      <c r="DM35" s="324">
        <f t="shared" si="303"/>
        <v>3</v>
      </c>
      <c r="DN35" s="321">
        <f t="shared" si="303"/>
        <v>1</v>
      </c>
      <c r="DO35" s="321">
        <f t="shared" si="303"/>
        <v>4</v>
      </c>
      <c r="DP35" s="241">
        <f t="shared" si="303"/>
        <v>2</v>
      </c>
      <c r="DQ35" s="324">
        <f t="shared" si="303"/>
        <v>3</v>
      </c>
      <c r="DR35" s="321">
        <f t="shared" si="303"/>
        <v>1</v>
      </c>
      <c r="DS35" s="321">
        <f t="shared" si="303"/>
        <v>2</v>
      </c>
      <c r="DT35" s="241">
        <f t="shared" si="303"/>
        <v>4</v>
      </c>
      <c r="DU35" s="324">
        <f t="shared" si="303"/>
        <v>4</v>
      </c>
      <c r="DV35" s="321">
        <f t="shared" si="303"/>
        <v>2</v>
      </c>
      <c r="DW35" s="321">
        <f t="shared" si="303"/>
        <v>3</v>
      </c>
      <c r="DX35" s="241">
        <f t="shared" si="303"/>
        <v>1</v>
      </c>
      <c r="DY35" s="324">
        <f t="shared" si="304"/>
        <v>4</v>
      </c>
      <c r="DZ35" s="321">
        <f t="shared" si="304"/>
        <v>2</v>
      </c>
      <c r="EA35" s="321">
        <f t="shared" si="304"/>
        <v>3</v>
      </c>
      <c r="EB35" s="241">
        <f t="shared" si="304"/>
        <v>1</v>
      </c>
      <c r="EC35" s="306"/>
      <c r="EJ35" s="64" t="str">
        <f t="shared" si="293"/>
        <v>'Relays'!</v>
      </c>
      <c r="EK35" s="87" t="s">
        <v>447</v>
      </c>
      <c r="EL35" s="87" t="s">
        <v>280</v>
      </c>
      <c r="EM35" s="64">
        <f t="shared" ref="EM35:EM60" ca="1" si="306">IFERROR(MATCH(A35,INDIRECT(CONCATENATE(EJ35,EK35)),0),"-")</f>
        <v>24</v>
      </c>
      <c r="EN35" s="64" t="str">
        <f t="shared" ca="1" si="13"/>
        <v>'Relays'!C26</v>
      </c>
      <c r="EO35" s="64" t="str">
        <f t="shared" si="294"/>
        <v>'Relays'!</v>
      </c>
      <c r="EP35" s="87" t="s">
        <v>447</v>
      </c>
      <c r="EQ35" s="87" t="s">
        <v>169</v>
      </c>
      <c r="ER35" s="87">
        <f t="shared" ref="ER35:ER60" ca="1" si="307">IFERROR(MATCH(A35,INDIRECT(CONCATENATE(EO35,EP35)),0),"-")</f>
        <v>24</v>
      </c>
      <c r="ES35" s="64" t="str">
        <f t="shared" ca="1" si="15"/>
        <v>'Relays'!M26</v>
      </c>
      <c r="EW35" s="65">
        <v>16.100000000000001</v>
      </c>
    </row>
    <row r="36" spans="1:153" x14ac:dyDescent="0.35">
      <c r="A36" s="353" t="s">
        <v>265</v>
      </c>
      <c r="B36" s="67" t="s">
        <v>60</v>
      </c>
      <c r="C36" s="64" t="s">
        <v>9</v>
      </c>
      <c r="D36" s="66">
        <v>36</v>
      </c>
      <c r="F36" s="271">
        <v>16.149999999999999</v>
      </c>
      <c r="G36" s="272">
        <v>0.68055555555555547</v>
      </c>
      <c r="I36" s="115">
        <f t="shared" si="305"/>
        <v>7</v>
      </c>
      <c r="J36" s="115">
        <f t="shared" si="305"/>
        <v>6</v>
      </c>
      <c r="K36" s="115">
        <f t="shared" si="305"/>
        <v>3</v>
      </c>
      <c r="L36" s="115">
        <f t="shared" si="305"/>
        <v>1</v>
      </c>
      <c r="M36" s="115">
        <f t="shared" si="305"/>
        <v>5</v>
      </c>
      <c r="N36" s="115">
        <f t="shared" si="305"/>
        <v>8</v>
      </c>
      <c r="O36" s="115">
        <f t="shared" si="305"/>
        <v>4</v>
      </c>
      <c r="P36" s="241">
        <f t="shared" si="305"/>
        <v>2</v>
      </c>
      <c r="Q36" s="115">
        <f t="shared" si="305"/>
        <v>3</v>
      </c>
      <c r="R36" s="115">
        <f t="shared" si="305"/>
        <v>1</v>
      </c>
      <c r="S36" s="115">
        <f t="shared" si="305"/>
        <v>2</v>
      </c>
      <c r="T36" s="115">
        <f t="shared" si="305"/>
        <v>8</v>
      </c>
      <c r="U36" s="115">
        <f t="shared" si="305"/>
        <v>4</v>
      </c>
      <c r="V36" s="115">
        <f t="shared" si="305"/>
        <v>5</v>
      </c>
      <c r="W36" s="115">
        <f t="shared" si="305"/>
        <v>7</v>
      </c>
      <c r="X36" s="241">
        <f t="shared" si="305"/>
        <v>6</v>
      </c>
      <c r="Y36" s="115">
        <f t="shared" si="295"/>
        <v>5</v>
      </c>
      <c r="Z36" s="115">
        <f t="shared" si="295"/>
        <v>8</v>
      </c>
      <c r="AA36" s="115">
        <f t="shared" si="295"/>
        <v>4</v>
      </c>
      <c r="AB36" s="115">
        <f t="shared" si="295"/>
        <v>7</v>
      </c>
      <c r="AC36" s="115">
        <f t="shared" si="295"/>
        <v>2</v>
      </c>
      <c r="AD36" s="115">
        <f t="shared" si="295"/>
        <v>6</v>
      </c>
      <c r="AE36" s="115">
        <f t="shared" si="295"/>
        <v>3</v>
      </c>
      <c r="AF36" s="241">
        <f t="shared" si="295"/>
        <v>1</v>
      </c>
      <c r="AG36" s="115">
        <f t="shared" si="296"/>
        <v>4</v>
      </c>
      <c r="AH36" s="115">
        <f t="shared" si="296"/>
        <v>2</v>
      </c>
      <c r="AI36" s="115">
        <f t="shared" si="296"/>
        <v>7</v>
      </c>
      <c r="AJ36" s="115">
        <f t="shared" si="296"/>
        <v>6</v>
      </c>
      <c r="AK36" s="115">
        <f t="shared" si="296"/>
        <v>3</v>
      </c>
      <c r="AL36" s="115">
        <f t="shared" si="296"/>
        <v>1</v>
      </c>
      <c r="AM36" s="115">
        <f t="shared" si="296"/>
        <v>5</v>
      </c>
      <c r="AN36" s="241">
        <f t="shared" si="296"/>
        <v>8</v>
      </c>
      <c r="AP36" s="115">
        <f t="shared" si="297"/>
        <v>7</v>
      </c>
      <c r="AQ36" s="115">
        <f t="shared" si="297"/>
        <v>6</v>
      </c>
      <c r="AR36" s="115">
        <f t="shared" si="297"/>
        <v>3</v>
      </c>
      <c r="AS36" s="115">
        <f t="shared" si="297"/>
        <v>1</v>
      </c>
      <c r="AT36" s="115">
        <f t="shared" si="297"/>
        <v>5</v>
      </c>
      <c r="AU36" s="115">
        <f t="shared" si="297"/>
        <v>4</v>
      </c>
      <c r="AV36" s="241">
        <f t="shared" si="297"/>
        <v>2</v>
      </c>
      <c r="AW36" s="115">
        <f t="shared" si="297"/>
        <v>3</v>
      </c>
      <c r="AX36" s="115">
        <f t="shared" si="297"/>
        <v>1</v>
      </c>
      <c r="AY36" s="115">
        <f t="shared" si="297"/>
        <v>2</v>
      </c>
      <c r="AZ36" s="115">
        <f t="shared" si="297"/>
        <v>4</v>
      </c>
      <c r="BA36" s="115">
        <f t="shared" si="297"/>
        <v>5</v>
      </c>
      <c r="BB36" s="115">
        <f t="shared" si="297"/>
        <v>7</v>
      </c>
      <c r="BC36" s="241">
        <f t="shared" si="297"/>
        <v>6</v>
      </c>
      <c r="BD36" s="115">
        <f t="shared" si="298"/>
        <v>5</v>
      </c>
      <c r="BE36" s="115">
        <f t="shared" si="298"/>
        <v>4</v>
      </c>
      <c r="BF36" s="115">
        <f t="shared" si="298"/>
        <v>7</v>
      </c>
      <c r="BG36" s="115">
        <f t="shared" si="298"/>
        <v>2</v>
      </c>
      <c r="BH36" s="115">
        <f t="shared" si="298"/>
        <v>6</v>
      </c>
      <c r="BI36" s="115">
        <f t="shared" si="298"/>
        <v>3</v>
      </c>
      <c r="BJ36" s="241">
        <f t="shared" si="298"/>
        <v>1</v>
      </c>
      <c r="BK36" s="115">
        <f t="shared" si="298"/>
        <v>4</v>
      </c>
      <c r="BL36" s="115">
        <f t="shared" si="298"/>
        <v>2</v>
      </c>
      <c r="BM36" s="115">
        <f t="shared" si="298"/>
        <v>7</v>
      </c>
      <c r="BN36" s="115">
        <f t="shared" si="298"/>
        <v>6</v>
      </c>
      <c r="BO36" s="115">
        <f t="shared" si="298"/>
        <v>3</v>
      </c>
      <c r="BP36" s="115">
        <f t="shared" si="298"/>
        <v>1</v>
      </c>
      <c r="BQ36" s="241">
        <f t="shared" si="298"/>
        <v>5</v>
      </c>
      <c r="BS36" s="115">
        <f t="shared" si="299"/>
        <v>6</v>
      </c>
      <c r="BT36" s="115">
        <f t="shared" si="299"/>
        <v>3</v>
      </c>
      <c r="BU36" s="115">
        <f t="shared" si="299"/>
        <v>1</v>
      </c>
      <c r="BV36" s="115">
        <f t="shared" si="299"/>
        <v>5</v>
      </c>
      <c r="BW36" s="115">
        <f t="shared" si="299"/>
        <v>4</v>
      </c>
      <c r="BX36" s="241">
        <f t="shared" si="299"/>
        <v>2</v>
      </c>
      <c r="BY36" s="115">
        <f t="shared" si="299"/>
        <v>3</v>
      </c>
      <c r="BZ36" s="115">
        <f t="shared" si="299"/>
        <v>1</v>
      </c>
      <c r="CA36" s="115">
        <f t="shared" si="299"/>
        <v>2</v>
      </c>
      <c r="CB36" s="115">
        <f t="shared" si="299"/>
        <v>4</v>
      </c>
      <c r="CC36" s="115">
        <f t="shared" si="299"/>
        <v>5</v>
      </c>
      <c r="CD36" s="241">
        <f t="shared" si="299"/>
        <v>6</v>
      </c>
      <c r="CE36" s="115">
        <f t="shared" si="300"/>
        <v>5</v>
      </c>
      <c r="CF36" s="115">
        <f t="shared" si="300"/>
        <v>4</v>
      </c>
      <c r="CG36" s="115">
        <f t="shared" si="300"/>
        <v>2</v>
      </c>
      <c r="CH36" s="115">
        <f t="shared" si="300"/>
        <v>6</v>
      </c>
      <c r="CI36" s="115">
        <f t="shared" si="300"/>
        <v>3</v>
      </c>
      <c r="CJ36" s="241">
        <f t="shared" si="300"/>
        <v>1</v>
      </c>
      <c r="CK36" s="115">
        <f t="shared" si="300"/>
        <v>4</v>
      </c>
      <c r="CL36" s="115">
        <f t="shared" si="300"/>
        <v>2</v>
      </c>
      <c r="CM36" s="115">
        <f t="shared" si="300"/>
        <v>6</v>
      </c>
      <c r="CN36" s="115">
        <f t="shared" si="300"/>
        <v>3</v>
      </c>
      <c r="CO36" s="115">
        <f t="shared" si="300"/>
        <v>1</v>
      </c>
      <c r="CP36" s="241">
        <f t="shared" si="300"/>
        <v>5</v>
      </c>
      <c r="CR36" s="115">
        <f t="shared" si="301"/>
        <v>3</v>
      </c>
      <c r="CS36" s="115">
        <f t="shared" si="301"/>
        <v>1</v>
      </c>
      <c r="CT36" s="115">
        <f t="shared" si="301"/>
        <v>5</v>
      </c>
      <c r="CU36" s="115">
        <f t="shared" si="301"/>
        <v>4</v>
      </c>
      <c r="CV36" s="241">
        <f t="shared" si="301"/>
        <v>2</v>
      </c>
      <c r="CW36" s="115">
        <f t="shared" si="301"/>
        <v>3</v>
      </c>
      <c r="CX36" s="115">
        <f t="shared" si="301"/>
        <v>1</v>
      </c>
      <c r="CY36" s="115">
        <f t="shared" si="301"/>
        <v>2</v>
      </c>
      <c r="CZ36" s="115">
        <f t="shared" si="301"/>
        <v>4</v>
      </c>
      <c r="DA36" s="241">
        <f t="shared" si="301"/>
        <v>5</v>
      </c>
      <c r="DB36" s="115">
        <f t="shared" si="301"/>
        <v>5</v>
      </c>
      <c r="DC36" s="115">
        <f t="shared" si="301"/>
        <v>4</v>
      </c>
      <c r="DD36" s="115">
        <f t="shared" si="301"/>
        <v>2</v>
      </c>
      <c r="DE36" s="115">
        <f t="shared" si="301"/>
        <v>3</v>
      </c>
      <c r="DF36" s="241">
        <f t="shared" si="301"/>
        <v>1</v>
      </c>
      <c r="DG36" s="115">
        <f t="shared" si="302"/>
        <v>4</v>
      </c>
      <c r="DH36" s="115">
        <f t="shared" si="302"/>
        <v>2</v>
      </c>
      <c r="DI36" s="115">
        <f t="shared" si="302"/>
        <v>3</v>
      </c>
      <c r="DJ36" s="115">
        <f t="shared" si="302"/>
        <v>1</v>
      </c>
      <c r="DK36" s="241">
        <f t="shared" si="302"/>
        <v>5</v>
      </c>
      <c r="DM36" s="324">
        <f t="shared" si="303"/>
        <v>3</v>
      </c>
      <c r="DN36" s="321">
        <f t="shared" si="303"/>
        <v>1</v>
      </c>
      <c r="DO36" s="321">
        <f t="shared" si="303"/>
        <v>4</v>
      </c>
      <c r="DP36" s="241">
        <f t="shared" si="303"/>
        <v>2</v>
      </c>
      <c r="DQ36" s="324">
        <f t="shared" si="303"/>
        <v>3</v>
      </c>
      <c r="DR36" s="321">
        <f t="shared" si="303"/>
        <v>1</v>
      </c>
      <c r="DS36" s="321">
        <f t="shared" si="303"/>
        <v>2</v>
      </c>
      <c r="DT36" s="241">
        <f t="shared" si="303"/>
        <v>4</v>
      </c>
      <c r="DU36" s="324">
        <f t="shared" si="303"/>
        <v>4</v>
      </c>
      <c r="DV36" s="321">
        <f t="shared" si="303"/>
        <v>2</v>
      </c>
      <c r="DW36" s="321">
        <f t="shared" si="303"/>
        <v>3</v>
      </c>
      <c r="DX36" s="241">
        <f t="shared" si="303"/>
        <v>1</v>
      </c>
      <c r="DY36" s="324">
        <f t="shared" si="304"/>
        <v>4</v>
      </c>
      <c r="DZ36" s="321">
        <f t="shared" si="304"/>
        <v>2</v>
      </c>
      <c r="EA36" s="321">
        <f t="shared" si="304"/>
        <v>3</v>
      </c>
      <c r="EB36" s="241">
        <f t="shared" si="304"/>
        <v>1</v>
      </c>
      <c r="EC36" s="306"/>
      <c r="EJ36" s="64" t="str">
        <f t="shared" si="293"/>
        <v>'Relays'!</v>
      </c>
      <c r="EK36" s="87" t="s">
        <v>447</v>
      </c>
      <c r="EL36" s="87" t="s">
        <v>280</v>
      </c>
      <c r="EM36" s="64">
        <f t="shared" ca="1" si="306"/>
        <v>35</v>
      </c>
      <c r="EN36" s="64" t="str">
        <f t="shared" ca="1" si="13"/>
        <v>'Relays'!C37</v>
      </c>
      <c r="EO36" s="64" t="str">
        <f t="shared" si="294"/>
        <v>'Relays'!</v>
      </c>
      <c r="EP36" s="87" t="s">
        <v>447</v>
      </c>
      <c r="EQ36" s="87" t="s">
        <v>169</v>
      </c>
      <c r="ER36" s="87">
        <f t="shared" ca="1" si="307"/>
        <v>35</v>
      </c>
      <c r="ES36" s="64" t="str">
        <f t="shared" ca="1" si="15"/>
        <v>'Relays'!M37</v>
      </c>
      <c r="EW36" s="65">
        <v>16.149999999999999</v>
      </c>
    </row>
    <row r="37" spans="1:153" x14ac:dyDescent="0.35">
      <c r="A37" s="353" t="s">
        <v>260</v>
      </c>
      <c r="B37" s="64" t="s">
        <v>61</v>
      </c>
      <c r="C37" s="64" t="s">
        <v>7</v>
      </c>
      <c r="D37" s="66">
        <v>37</v>
      </c>
      <c r="F37" s="271">
        <v>16.2</v>
      </c>
      <c r="G37" s="272">
        <v>0.68402777777777779</v>
      </c>
      <c r="I37" s="113">
        <v>2</v>
      </c>
      <c r="J37" s="113">
        <v>6</v>
      </c>
      <c r="K37" s="113">
        <v>1</v>
      </c>
      <c r="L37" s="113">
        <v>7</v>
      </c>
      <c r="M37" s="113">
        <v>8</v>
      </c>
      <c r="N37" s="113">
        <v>3</v>
      </c>
      <c r="O37" s="113">
        <v>5</v>
      </c>
      <c r="P37" s="240">
        <v>4</v>
      </c>
      <c r="Q37" s="113">
        <v>5</v>
      </c>
      <c r="R37" s="113">
        <v>7</v>
      </c>
      <c r="S37" s="113">
        <v>8</v>
      </c>
      <c r="T37" s="113">
        <v>3</v>
      </c>
      <c r="U37" s="113">
        <v>1</v>
      </c>
      <c r="V37" s="113">
        <v>4</v>
      </c>
      <c r="W37" s="113">
        <v>2</v>
      </c>
      <c r="X37" s="240">
        <v>6</v>
      </c>
      <c r="Y37" s="113">
        <v>8</v>
      </c>
      <c r="Z37" s="113">
        <v>3</v>
      </c>
      <c r="AA37" s="113">
        <v>6</v>
      </c>
      <c r="AB37" s="113">
        <v>2</v>
      </c>
      <c r="AC37" s="113">
        <v>4</v>
      </c>
      <c r="AD37" s="113">
        <v>1</v>
      </c>
      <c r="AE37" s="113">
        <v>5</v>
      </c>
      <c r="AF37" s="240">
        <v>7</v>
      </c>
      <c r="AG37" s="113">
        <v>1</v>
      </c>
      <c r="AH37" s="113">
        <v>4</v>
      </c>
      <c r="AI37" s="113">
        <v>2</v>
      </c>
      <c r="AJ37" s="113">
        <v>5</v>
      </c>
      <c r="AK37" s="113">
        <v>6</v>
      </c>
      <c r="AL37" s="113">
        <v>7</v>
      </c>
      <c r="AM37" s="113">
        <v>8</v>
      </c>
      <c r="AN37" s="240">
        <v>3</v>
      </c>
      <c r="AP37" s="113">
        <v>2</v>
      </c>
      <c r="AQ37" s="113">
        <v>6</v>
      </c>
      <c r="AR37" s="113">
        <v>1</v>
      </c>
      <c r="AS37" s="113">
        <v>7</v>
      </c>
      <c r="AT37" s="113">
        <v>3</v>
      </c>
      <c r="AU37" s="113">
        <v>5</v>
      </c>
      <c r="AV37" s="240">
        <v>4</v>
      </c>
      <c r="AW37" s="113">
        <v>5</v>
      </c>
      <c r="AX37" s="113">
        <v>7</v>
      </c>
      <c r="AY37" s="113">
        <v>3</v>
      </c>
      <c r="AZ37" s="113">
        <v>1</v>
      </c>
      <c r="BA37" s="113">
        <v>4</v>
      </c>
      <c r="BB37" s="113">
        <v>2</v>
      </c>
      <c r="BC37" s="240">
        <v>6</v>
      </c>
      <c r="BD37" s="113">
        <v>3</v>
      </c>
      <c r="BE37" s="113">
        <v>6</v>
      </c>
      <c r="BF37" s="113">
        <v>2</v>
      </c>
      <c r="BG37" s="113">
        <v>4</v>
      </c>
      <c r="BH37" s="113">
        <v>1</v>
      </c>
      <c r="BI37" s="113">
        <v>5</v>
      </c>
      <c r="BJ37" s="240">
        <v>7</v>
      </c>
      <c r="BK37" s="113">
        <v>1</v>
      </c>
      <c r="BL37" s="113">
        <v>4</v>
      </c>
      <c r="BM37" s="113">
        <v>2</v>
      </c>
      <c r="BN37" s="113">
        <v>5</v>
      </c>
      <c r="BO37" s="113">
        <v>6</v>
      </c>
      <c r="BP37" s="113">
        <v>7</v>
      </c>
      <c r="BQ37" s="240">
        <v>3</v>
      </c>
      <c r="BS37" s="113">
        <v>2</v>
      </c>
      <c r="BT37" s="113">
        <v>6</v>
      </c>
      <c r="BU37" s="113">
        <v>1</v>
      </c>
      <c r="BV37" s="113">
        <v>3</v>
      </c>
      <c r="BW37" s="113">
        <v>5</v>
      </c>
      <c r="BX37" s="240">
        <v>4</v>
      </c>
      <c r="BY37" s="113">
        <v>5</v>
      </c>
      <c r="BZ37" s="113">
        <v>3</v>
      </c>
      <c r="CA37" s="113">
        <v>1</v>
      </c>
      <c r="CB37" s="113">
        <v>4</v>
      </c>
      <c r="CC37" s="113">
        <v>2</v>
      </c>
      <c r="CD37" s="240">
        <v>6</v>
      </c>
      <c r="CE37" s="113">
        <v>3</v>
      </c>
      <c r="CF37" s="113">
        <v>6</v>
      </c>
      <c r="CG37" s="113">
        <v>2</v>
      </c>
      <c r="CH37" s="113">
        <v>4</v>
      </c>
      <c r="CI37" s="113">
        <v>1</v>
      </c>
      <c r="CJ37" s="240">
        <v>5</v>
      </c>
      <c r="CK37" s="113">
        <v>1</v>
      </c>
      <c r="CL37" s="113">
        <v>4</v>
      </c>
      <c r="CM37" s="113">
        <v>2</v>
      </c>
      <c r="CN37" s="113">
        <v>5</v>
      </c>
      <c r="CO37" s="113">
        <v>6</v>
      </c>
      <c r="CP37" s="240">
        <v>3</v>
      </c>
      <c r="CR37" s="113">
        <v>2</v>
      </c>
      <c r="CS37" s="113">
        <v>1</v>
      </c>
      <c r="CT37" s="113">
        <v>3</v>
      </c>
      <c r="CU37" s="113">
        <v>5</v>
      </c>
      <c r="CV37" s="240">
        <v>4</v>
      </c>
      <c r="CW37" s="113">
        <v>5</v>
      </c>
      <c r="CX37" s="113">
        <v>3</v>
      </c>
      <c r="CY37" s="113">
        <v>1</v>
      </c>
      <c r="CZ37" s="113">
        <v>4</v>
      </c>
      <c r="DA37" s="240">
        <v>2</v>
      </c>
      <c r="DB37" s="113">
        <v>3</v>
      </c>
      <c r="DC37" s="113">
        <v>2</v>
      </c>
      <c r="DD37" s="113">
        <v>4</v>
      </c>
      <c r="DE37" s="113">
        <v>1</v>
      </c>
      <c r="DF37" s="240">
        <v>5</v>
      </c>
      <c r="DG37" s="113">
        <v>1</v>
      </c>
      <c r="DH37" s="113">
        <v>4</v>
      </c>
      <c r="DI37" s="113">
        <v>2</v>
      </c>
      <c r="DJ37" s="113">
        <v>5</v>
      </c>
      <c r="DK37" s="240">
        <v>3</v>
      </c>
      <c r="DM37" s="323">
        <v>2</v>
      </c>
      <c r="DN37" s="320">
        <v>1</v>
      </c>
      <c r="DO37" s="320">
        <v>3</v>
      </c>
      <c r="DP37" s="240">
        <v>4</v>
      </c>
      <c r="DQ37" s="323">
        <v>3</v>
      </c>
      <c r="DR37" s="320">
        <v>1</v>
      </c>
      <c r="DS37" s="320">
        <v>4</v>
      </c>
      <c r="DT37" s="240">
        <v>2</v>
      </c>
      <c r="DU37" s="323">
        <v>3</v>
      </c>
      <c r="DV37" s="320">
        <v>2</v>
      </c>
      <c r="DW37" s="320">
        <v>4</v>
      </c>
      <c r="DX37" s="240">
        <v>1</v>
      </c>
      <c r="DY37" s="323">
        <v>1</v>
      </c>
      <c r="DZ37" s="320">
        <v>4</v>
      </c>
      <c r="EA37" s="320">
        <v>2</v>
      </c>
      <c r="EB37" s="240">
        <v>3</v>
      </c>
      <c r="EC37" s="306"/>
      <c r="EJ37" s="64" t="str">
        <f t="shared" si="293"/>
        <v>'Relays'!</v>
      </c>
      <c r="EK37" s="87" t="s">
        <v>447</v>
      </c>
      <c r="EL37" s="87" t="s">
        <v>280</v>
      </c>
      <c r="EM37" s="64">
        <f t="shared" ca="1" si="306"/>
        <v>46</v>
      </c>
      <c r="EN37" s="64" t="str">
        <f t="shared" ca="1" si="13"/>
        <v>'Relays'!C48</v>
      </c>
      <c r="EO37" s="64" t="str">
        <f t="shared" si="294"/>
        <v>'Relays'!</v>
      </c>
      <c r="EP37" s="87" t="s">
        <v>447</v>
      </c>
      <c r="EQ37" s="87" t="s">
        <v>169</v>
      </c>
      <c r="ER37" s="87">
        <f t="shared" ca="1" si="307"/>
        <v>46</v>
      </c>
      <c r="ES37" s="64" t="str">
        <f t="shared" ca="1" si="15"/>
        <v>'Relays'!M48</v>
      </c>
      <c r="EW37" s="65">
        <v>16.2</v>
      </c>
    </row>
    <row r="38" spans="1:153" x14ac:dyDescent="0.35">
      <c r="A38" s="353" t="s">
        <v>261</v>
      </c>
      <c r="B38" s="64" t="s">
        <v>61</v>
      </c>
      <c r="C38" s="64" t="s">
        <v>9</v>
      </c>
      <c r="D38" s="66">
        <v>38</v>
      </c>
      <c r="F38" s="271">
        <v>16.25</v>
      </c>
      <c r="G38" s="272">
        <v>0.6875</v>
      </c>
      <c r="I38" s="115">
        <f>I37</f>
        <v>2</v>
      </c>
      <c r="J38" s="115">
        <f t="shared" ref="J38:P38" si="308">J37</f>
        <v>6</v>
      </c>
      <c r="K38" s="115">
        <f t="shared" si="308"/>
        <v>1</v>
      </c>
      <c r="L38" s="115">
        <f t="shared" si="308"/>
        <v>7</v>
      </c>
      <c r="M38" s="115">
        <f t="shared" si="308"/>
        <v>8</v>
      </c>
      <c r="N38" s="115">
        <f t="shared" si="308"/>
        <v>3</v>
      </c>
      <c r="O38" s="115">
        <f t="shared" si="308"/>
        <v>5</v>
      </c>
      <c r="P38" s="241">
        <f t="shared" si="308"/>
        <v>4</v>
      </c>
      <c r="Q38" s="115">
        <f>Q37</f>
        <v>5</v>
      </c>
      <c r="R38" s="115">
        <f t="shared" ref="R38" si="309">R37</f>
        <v>7</v>
      </c>
      <c r="S38" s="115">
        <f t="shared" ref="S38" si="310">S37</f>
        <v>8</v>
      </c>
      <c r="T38" s="115">
        <f t="shared" ref="T38" si="311">T37</f>
        <v>3</v>
      </c>
      <c r="U38" s="115">
        <f t="shared" ref="U38" si="312">U37</f>
        <v>1</v>
      </c>
      <c r="V38" s="115">
        <f t="shared" ref="V38" si="313">V37</f>
        <v>4</v>
      </c>
      <c r="W38" s="115">
        <f t="shared" ref="W38" si="314">W37</f>
        <v>2</v>
      </c>
      <c r="X38" s="241">
        <f t="shared" ref="X38" si="315">X37</f>
        <v>6</v>
      </c>
      <c r="Y38" s="115">
        <f>Y37</f>
        <v>8</v>
      </c>
      <c r="Z38" s="115">
        <f t="shared" ref="Z38" si="316">Z37</f>
        <v>3</v>
      </c>
      <c r="AA38" s="115">
        <f t="shared" ref="AA38" si="317">AA37</f>
        <v>6</v>
      </c>
      <c r="AB38" s="115">
        <f t="shared" ref="AB38" si="318">AB37</f>
        <v>2</v>
      </c>
      <c r="AC38" s="115">
        <f t="shared" ref="AC38" si="319">AC37</f>
        <v>4</v>
      </c>
      <c r="AD38" s="115">
        <f t="shared" ref="AD38" si="320">AD37</f>
        <v>1</v>
      </c>
      <c r="AE38" s="115">
        <f t="shared" ref="AE38" si="321">AE37</f>
        <v>5</v>
      </c>
      <c r="AF38" s="241">
        <f t="shared" ref="AF38" si="322">AF37</f>
        <v>7</v>
      </c>
      <c r="AG38" s="115">
        <f>AG37</f>
        <v>1</v>
      </c>
      <c r="AH38" s="115">
        <f t="shared" ref="AH38" si="323">AH37</f>
        <v>4</v>
      </c>
      <c r="AI38" s="115">
        <f t="shared" ref="AI38" si="324">AI37</f>
        <v>2</v>
      </c>
      <c r="AJ38" s="115">
        <f t="shared" ref="AJ38" si="325">AJ37</f>
        <v>5</v>
      </c>
      <c r="AK38" s="115">
        <f t="shared" ref="AK38" si="326">AK37</f>
        <v>6</v>
      </c>
      <c r="AL38" s="115">
        <f t="shared" ref="AL38" si="327">AL37</f>
        <v>7</v>
      </c>
      <c r="AM38" s="115">
        <f t="shared" ref="AM38" si="328">AM37</f>
        <v>8</v>
      </c>
      <c r="AN38" s="241">
        <f t="shared" ref="AN38" si="329">AN37</f>
        <v>3</v>
      </c>
      <c r="AP38" s="115">
        <f t="shared" ref="AP38" si="330">AP37</f>
        <v>2</v>
      </c>
      <c r="AQ38" s="115">
        <f t="shared" ref="AQ38" si="331">AQ37</f>
        <v>6</v>
      </c>
      <c r="AR38" s="115">
        <f t="shared" ref="AR38" si="332">AR37</f>
        <v>1</v>
      </c>
      <c r="AS38" s="115">
        <f t="shared" ref="AS38" si="333">AS37</f>
        <v>7</v>
      </c>
      <c r="AT38" s="115">
        <f t="shared" ref="AT38" si="334">AT37</f>
        <v>3</v>
      </c>
      <c r="AU38" s="115">
        <f t="shared" ref="AU38" si="335">AU37</f>
        <v>5</v>
      </c>
      <c r="AV38" s="241">
        <f t="shared" ref="AV38" si="336">AV37</f>
        <v>4</v>
      </c>
      <c r="AW38" s="115">
        <f t="shared" ref="AW38" si="337">AW37</f>
        <v>5</v>
      </c>
      <c r="AX38" s="115">
        <f t="shared" ref="AX38" si="338">AX37</f>
        <v>7</v>
      </c>
      <c r="AY38" s="115">
        <f t="shared" ref="AY38" si="339">AY37</f>
        <v>3</v>
      </c>
      <c r="AZ38" s="115">
        <f t="shared" ref="AZ38" si="340">AZ37</f>
        <v>1</v>
      </c>
      <c r="BA38" s="115">
        <f t="shared" ref="BA38" si="341">BA37</f>
        <v>4</v>
      </c>
      <c r="BB38" s="115">
        <f t="shared" ref="BB38" si="342">BB37</f>
        <v>2</v>
      </c>
      <c r="BC38" s="241">
        <f t="shared" ref="BC38" si="343">BC37</f>
        <v>6</v>
      </c>
      <c r="BD38" s="115">
        <f t="shared" ref="BD38" si="344">BD37</f>
        <v>3</v>
      </c>
      <c r="BE38" s="115">
        <f t="shared" ref="BE38" si="345">BE37</f>
        <v>6</v>
      </c>
      <c r="BF38" s="115">
        <f t="shared" ref="BF38" si="346">BF37</f>
        <v>2</v>
      </c>
      <c r="BG38" s="115">
        <f t="shared" ref="BG38" si="347">BG37</f>
        <v>4</v>
      </c>
      <c r="BH38" s="115">
        <f t="shared" ref="BH38" si="348">BH37</f>
        <v>1</v>
      </c>
      <c r="BI38" s="115">
        <f t="shared" ref="BI38" si="349">BI37</f>
        <v>5</v>
      </c>
      <c r="BJ38" s="241">
        <f t="shared" ref="BJ38" si="350">BJ37</f>
        <v>7</v>
      </c>
      <c r="BK38" s="115">
        <f t="shared" ref="BK38" si="351">BK37</f>
        <v>1</v>
      </c>
      <c r="BL38" s="115">
        <f t="shared" ref="BL38" si="352">BL37</f>
        <v>4</v>
      </c>
      <c r="BM38" s="115">
        <f t="shared" ref="BM38" si="353">BM37</f>
        <v>2</v>
      </c>
      <c r="BN38" s="115">
        <f t="shared" ref="BN38" si="354">BN37</f>
        <v>5</v>
      </c>
      <c r="BO38" s="115">
        <f t="shared" ref="BO38" si="355">BO37</f>
        <v>6</v>
      </c>
      <c r="BP38" s="115">
        <f t="shared" ref="BP38" si="356">BP37</f>
        <v>7</v>
      </c>
      <c r="BQ38" s="241">
        <f t="shared" ref="BQ38" si="357">BQ37</f>
        <v>3</v>
      </c>
      <c r="BS38" s="115">
        <f t="shared" ref="BS38" si="358">BS37</f>
        <v>2</v>
      </c>
      <c r="BT38" s="115">
        <f t="shared" ref="BT38" si="359">BT37</f>
        <v>6</v>
      </c>
      <c r="BU38" s="115">
        <f t="shared" ref="BU38" si="360">BU37</f>
        <v>1</v>
      </c>
      <c r="BV38" s="115">
        <f t="shared" ref="BV38" si="361">BV37</f>
        <v>3</v>
      </c>
      <c r="BW38" s="115">
        <f t="shared" ref="BW38" si="362">BW37</f>
        <v>5</v>
      </c>
      <c r="BX38" s="241">
        <f t="shared" ref="BX38" si="363">BX37</f>
        <v>4</v>
      </c>
      <c r="BY38" s="115">
        <f t="shared" ref="BY38" si="364">BY37</f>
        <v>5</v>
      </c>
      <c r="BZ38" s="115">
        <f t="shared" ref="BZ38" si="365">BZ37</f>
        <v>3</v>
      </c>
      <c r="CA38" s="115">
        <f t="shared" ref="CA38" si="366">CA37</f>
        <v>1</v>
      </c>
      <c r="CB38" s="115">
        <f t="shared" ref="CB38" si="367">CB37</f>
        <v>4</v>
      </c>
      <c r="CC38" s="115">
        <f t="shared" ref="CC38" si="368">CC37</f>
        <v>2</v>
      </c>
      <c r="CD38" s="241">
        <f t="shared" ref="CD38" si="369">CD37</f>
        <v>6</v>
      </c>
      <c r="CE38" s="115">
        <f t="shared" ref="CE38" si="370">CE37</f>
        <v>3</v>
      </c>
      <c r="CF38" s="115">
        <f t="shared" ref="CF38" si="371">CF37</f>
        <v>6</v>
      </c>
      <c r="CG38" s="115">
        <f t="shared" ref="CG38" si="372">CG37</f>
        <v>2</v>
      </c>
      <c r="CH38" s="115">
        <f t="shared" ref="CH38" si="373">CH37</f>
        <v>4</v>
      </c>
      <c r="CI38" s="115">
        <f t="shared" ref="CI38" si="374">CI37</f>
        <v>1</v>
      </c>
      <c r="CJ38" s="241">
        <f t="shared" ref="CJ38" si="375">CJ37</f>
        <v>5</v>
      </c>
      <c r="CK38" s="115">
        <f t="shared" ref="CK38" si="376">CK37</f>
        <v>1</v>
      </c>
      <c r="CL38" s="115">
        <f t="shared" ref="CL38" si="377">CL37</f>
        <v>4</v>
      </c>
      <c r="CM38" s="115">
        <f t="shared" ref="CM38" si="378">CM37</f>
        <v>2</v>
      </c>
      <c r="CN38" s="115">
        <f t="shared" ref="CN38" si="379">CN37</f>
        <v>5</v>
      </c>
      <c r="CO38" s="115">
        <f t="shared" ref="CO38" si="380">CO37</f>
        <v>6</v>
      </c>
      <c r="CP38" s="241">
        <f t="shared" ref="CP38" si="381">CP37</f>
        <v>3</v>
      </c>
      <c r="CR38" s="115">
        <f t="shared" ref="CR38" si="382">CR37</f>
        <v>2</v>
      </c>
      <c r="CS38" s="115">
        <f t="shared" ref="CS38" si="383">CS37</f>
        <v>1</v>
      </c>
      <c r="CT38" s="115">
        <f t="shared" ref="CT38" si="384">CT37</f>
        <v>3</v>
      </c>
      <c r="CU38" s="115">
        <f t="shared" ref="CU38" si="385">CU37</f>
        <v>5</v>
      </c>
      <c r="CV38" s="241">
        <f t="shared" ref="CV38" si="386">CV37</f>
        <v>4</v>
      </c>
      <c r="CW38" s="115">
        <f t="shared" ref="CW38" si="387">CW37</f>
        <v>5</v>
      </c>
      <c r="CX38" s="115">
        <f t="shared" ref="CX38" si="388">CX37</f>
        <v>3</v>
      </c>
      <c r="CY38" s="115">
        <f t="shared" ref="CY38" si="389">CY37</f>
        <v>1</v>
      </c>
      <c r="CZ38" s="115">
        <f t="shared" ref="CZ38" si="390">CZ37</f>
        <v>4</v>
      </c>
      <c r="DA38" s="241">
        <f t="shared" ref="DA38" si="391">DA37</f>
        <v>2</v>
      </c>
      <c r="DB38" s="115">
        <f t="shared" ref="DB38" si="392">DB37</f>
        <v>3</v>
      </c>
      <c r="DC38" s="115">
        <f t="shared" ref="DC38" si="393">DC37</f>
        <v>2</v>
      </c>
      <c r="DD38" s="115">
        <f t="shared" ref="DD38" si="394">DD37</f>
        <v>4</v>
      </c>
      <c r="DE38" s="115">
        <f t="shared" ref="DE38" si="395">DE37</f>
        <v>1</v>
      </c>
      <c r="DF38" s="241">
        <f t="shared" ref="DF38" si="396">DF37</f>
        <v>5</v>
      </c>
      <c r="DG38" s="115">
        <f t="shared" ref="DG38" si="397">DG37</f>
        <v>1</v>
      </c>
      <c r="DH38" s="115">
        <f t="shared" ref="DH38" si="398">DH37</f>
        <v>4</v>
      </c>
      <c r="DI38" s="115">
        <f t="shared" ref="DI38" si="399">DI37</f>
        <v>2</v>
      </c>
      <c r="DJ38" s="115">
        <f t="shared" ref="DJ38" si="400">DJ37</f>
        <v>5</v>
      </c>
      <c r="DK38" s="241">
        <f t="shared" ref="DK38" si="401">DK37</f>
        <v>3</v>
      </c>
      <c r="DM38" s="324">
        <f t="shared" ref="DM38:EB38" si="402">DM37</f>
        <v>2</v>
      </c>
      <c r="DN38" s="321">
        <f t="shared" si="402"/>
        <v>1</v>
      </c>
      <c r="DO38" s="321">
        <f t="shared" si="402"/>
        <v>3</v>
      </c>
      <c r="DP38" s="241">
        <f t="shared" si="402"/>
        <v>4</v>
      </c>
      <c r="DQ38" s="324">
        <f t="shared" si="402"/>
        <v>3</v>
      </c>
      <c r="DR38" s="321">
        <f t="shared" si="402"/>
        <v>1</v>
      </c>
      <c r="DS38" s="321">
        <f t="shared" si="402"/>
        <v>4</v>
      </c>
      <c r="DT38" s="241">
        <f t="shared" si="402"/>
        <v>2</v>
      </c>
      <c r="DU38" s="324">
        <f t="shared" si="402"/>
        <v>3</v>
      </c>
      <c r="DV38" s="321">
        <f t="shared" si="402"/>
        <v>2</v>
      </c>
      <c r="DW38" s="321">
        <f t="shared" si="402"/>
        <v>4</v>
      </c>
      <c r="DX38" s="241">
        <f t="shared" si="402"/>
        <v>1</v>
      </c>
      <c r="DY38" s="324">
        <f t="shared" si="402"/>
        <v>1</v>
      </c>
      <c r="DZ38" s="321">
        <f t="shared" si="402"/>
        <v>4</v>
      </c>
      <c r="EA38" s="321">
        <f t="shared" si="402"/>
        <v>2</v>
      </c>
      <c r="EB38" s="241">
        <f t="shared" si="402"/>
        <v>3</v>
      </c>
      <c r="EC38" s="306"/>
      <c r="EJ38" s="64" t="str">
        <f t="shared" si="293"/>
        <v>'Relays'!</v>
      </c>
      <c r="EK38" s="87" t="s">
        <v>447</v>
      </c>
      <c r="EL38" s="87" t="s">
        <v>280</v>
      </c>
      <c r="EM38" s="64">
        <f t="shared" ca="1" si="306"/>
        <v>57</v>
      </c>
      <c r="EN38" s="64" t="str">
        <f t="shared" ca="1" si="13"/>
        <v>'Relays'!C59</v>
      </c>
      <c r="EO38" s="64" t="str">
        <f t="shared" si="294"/>
        <v>'Relays'!</v>
      </c>
      <c r="EP38" s="87" t="s">
        <v>447</v>
      </c>
      <c r="EQ38" s="87" t="s">
        <v>169</v>
      </c>
      <c r="ER38" s="87">
        <f t="shared" ca="1" si="307"/>
        <v>57</v>
      </c>
      <c r="ES38" s="64" t="str">
        <f t="shared" ca="1" si="15"/>
        <v>'Relays'!M59</v>
      </c>
      <c r="EW38" s="65">
        <v>16.25</v>
      </c>
    </row>
    <row r="39" spans="1:153" x14ac:dyDescent="0.35">
      <c r="A39" s="353" t="s">
        <v>178</v>
      </c>
      <c r="B39" s="64" t="s">
        <v>21</v>
      </c>
      <c r="C39" s="64" t="s">
        <v>9</v>
      </c>
      <c r="D39" s="66">
        <v>39</v>
      </c>
      <c r="E39" s="66">
        <v>66</v>
      </c>
      <c r="F39" s="271" t="s">
        <v>735</v>
      </c>
      <c r="G39" s="272">
        <v>0.46875</v>
      </c>
      <c r="I39" s="115">
        <f t="shared" ref="I39:Y40" si="403">I$3</f>
        <v>5</v>
      </c>
      <c r="J39" s="115">
        <f t="shared" si="403"/>
        <v>7</v>
      </c>
      <c r="K39" s="115">
        <f t="shared" si="403"/>
        <v>8</v>
      </c>
      <c r="L39" s="115">
        <f t="shared" si="403"/>
        <v>6</v>
      </c>
      <c r="M39" s="115">
        <f t="shared" si="403"/>
        <v>4</v>
      </c>
      <c r="N39" s="115">
        <f t="shared" si="403"/>
        <v>2</v>
      </c>
      <c r="O39" s="115">
        <f t="shared" si="403"/>
        <v>1</v>
      </c>
      <c r="P39" s="241">
        <f t="shared" si="403"/>
        <v>3</v>
      </c>
      <c r="Q39" s="115">
        <f t="shared" si="403"/>
        <v>8</v>
      </c>
      <c r="R39" s="115">
        <f t="shared" si="403"/>
        <v>6</v>
      </c>
      <c r="S39" s="115">
        <f t="shared" si="403"/>
        <v>3</v>
      </c>
      <c r="T39" s="115">
        <f t="shared" si="403"/>
        <v>1</v>
      </c>
      <c r="U39" s="115">
        <f t="shared" si="403"/>
        <v>2</v>
      </c>
      <c r="V39" s="115">
        <f t="shared" si="403"/>
        <v>4</v>
      </c>
      <c r="W39" s="115">
        <f t="shared" si="403"/>
        <v>5</v>
      </c>
      <c r="X39" s="241">
        <f t="shared" si="403"/>
        <v>7</v>
      </c>
      <c r="Y39" s="115">
        <f t="shared" si="403"/>
        <v>4</v>
      </c>
      <c r="Z39" s="115">
        <f t="shared" ref="Y39:AN40" si="404">Z$3</f>
        <v>2</v>
      </c>
      <c r="AA39" s="115">
        <f t="shared" si="404"/>
        <v>1</v>
      </c>
      <c r="AB39" s="115">
        <f t="shared" si="404"/>
        <v>5</v>
      </c>
      <c r="AC39" s="115">
        <f t="shared" si="404"/>
        <v>3</v>
      </c>
      <c r="AD39" s="115">
        <f t="shared" si="404"/>
        <v>7</v>
      </c>
      <c r="AE39" s="115">
        <f t="shared" si="404"/>
        <v>8</v>
      </c>
      <c r="AF39" s="241">
        <f t="shared" si="404"/>
        <v>6</v>
      </c>
      <c r="AG39" s="115">
        <f t="shared" si="404"/>
        <v>1</v>
      </c>
      <c r="AH39" s="115">
        <f t="shared" si="404"/>
        <v>3</v>
      </c>
      <c r="AI39" s="115">
        <f t="shared" si="404"/>
        <v>5</v>
      </c>
      <c r="AJ39" s="115">
        <f t="shared" si="404"/>
        <v>8</v>
      </c>
      <c r="AK39" s="115">
        <f t="shared" si="404"/>
        <v>7</v>
      </c>
      <c r="AL39" s="115">
        <f t="shared" si="404"/>
        <v>6</v>
      </c>
      <c r="AM39" s="115">
        <f t="shared" si="404"/>
        <v>4</v>
      </c>
      <c r="AN39" s="241">
        <f t="shared" si="404"/>
        <v>2</v>
      </c>
      <c r="AP39" s="115">
        <f t="shared" ref="AP39:BE40" si="405">AP$3</f>
        <v>5</v>
      </c>
      <c r="AQ39" s="115">
        <f t="shared" si="405"/>
        <v>7</v>
      </c>
      <c r="AR39" s="115">
        <f t="shared" si="405"/>
        <v>6</v>
      </c>
      <c r="AS39" s="115">
        <f t="shared" si="405"/>
        <v>4</v>
      </c>
      <c r="AT39" s="115">
        <f t="shared" si="405"/>
        <v>2</v>
      </c>
      <c r="AU39" s="115">
        <f t="shared" si="405"/>
        <v>1</v>
      </c>
      <c r="AV39" s="241">
        <f t="shared" si="405"/>
        <v>3</v>
      </c>
      <c r="AW39" s="115">
        <f t="shared" si="405"/>
        <v>6</v>
      </c>
      <c r="AX39" s="115">
        <f t="shared" si="405"/>
        <v>3</v>
      </c>
      <c r="AY39" s="115">
        <f t="shared" si="405"/>
        <v>1</v>
      </c>
      <c r="AZ39" s="115">
        <f t="shared" si="405"/>
        <v>2</v>
      </c>
      <c r="BA39" s="115">
        <f t="shared" si="405"/>
        <v>4</v>
      </c>
      <c r="BB39" s="115">
        <f t="shared" si="405"/>
        <v>5</v>
      </c>
      <c r="BC39" s="241">
        <f t="shared" si="405"/>
        <v>7</v>
      </c>
      <c r="BD39" s="115">
        <f t="shared" si="405"/>
        <v>4</v>
      </c>
      <c r="BE39" s="115">
        <f t="shared" si="405"/>
        <v>2</v>
      </c>
      <c r="BF39" s="115">
        <f t="shared" ref="BD39:BQ40" si="406">BF$3</f>
        <v>1</v>
      </c>
      <c r="BG39" s="115">
        <f t="shared" si="406"/>
        <v>5</v>
      </c>
      <c r="BH39" s="115">
        <f t="shared" si="406"/>
        <v>3</v>
      </c>
      <c r="BI39" s="115">
        <f t="shared" si="406"/>
        <v>7</v>
      </c>
      <c r="BJ39" s="241">
        <f t="shared" si="406"/>
        <v>6</v>
      </c>
      <c r="BK39" s="115">
        <f t="shared" si="406"/>
        <v>1</v>
      </c>
      <c r="BL39" s="115">
        <f t="shared" si="406"/>
        <v>3</v>
      </c>
      <c r="BM39" s="115">
        <f t="shared" si="406"/>
        <v>5</v>
      </c>
      <c r="BN39" s="115">
        <f t="shared" si="406"/>
        <v>7</v>
      </c>
      <c r="BO39" s="115">
        <f t="shared" si="406"/>
        <v>6</v>
      </c>
      <c r="BP39" s="115">
        <f t="shared" si="406"/>
        <v>4</v>
      </c>
      <c r="BQ39" s="241">
        <f t="shared" si="406"/>
        <v>2</v>
      </c>
      <c r="BS39" s="115">
        <f t="shared" ref="BS39:CH40" si="407">BS$3</f>
        <v>5</v>
      </c>
      <c r="BT39" s="115">
        <f t="shared" si="407"/>
        <v>6</v>
      </c>
      <c r="BU39" s="115">
        <f t="shared" si="407"/>
        <v>4</v>
      </c>
      <c r="BV39" s="115">
        <f t="shared" si="407"/>
        <v>2</v>
      </c>
      <c r="BW39" s="115">
        <f t="shared" si="407"/>
        <v>1</v>
      </c>
      <c r="BX39" s="241">
        <f t="shared" si="407"/>
        <v>3</v>
      </c>
      <c r="BY39" s="115">
        <f t="shared" si="407"/>
        <v>6</v>
      </c>
      <c r="BZ39" s="115">
        <f t="shared" si="407"/>
        <v>3</v>
      </c>
      <c r="CA39" s="115">
        <f t="shared" si="407"/>
        <v>1</v>
      </c>
      <c r="CB39" s="115">
        <f t="shared" si="407"/>
        <v>2</v>
      </c>
      <c r="CC39" s="115">
        <f t="shared" si="407"/>
        <v>4</v>
      </c>
      <c r="CD39" s="241">
        <f t="shared" si="407"/>
        <v>5</v>
      </c>
      <c r="CE39" s="115">
        <f t="shared" si="407"/>
        <v>4</v>
      </c>
      <c r="CF39" s="115">
        <f t="shared" si="407"/>
        <v>2</v>
      </c>
      <c r="CG39" s="115">
        <f t="shared" si="407"/>
        <v>1</v>
      </c>
      <c r="CH39" s="115">
        <f t="shared" si="407"/>
        <v>5</v>
      </c>
      <c r="CI39" s="115">
        <f t="shared" ref="CE39:CJ40" si="408">CI$3</f>
        <v>3</v>
      </c>
      <c r="CJ39" s="241">
        <f t="shared" si="408"/>
        <v>6</v>
      </c>
      <c r="CK39" s="115">
        <f t="shared" ref="CK39:CP40" si="409">CK$3</f>
        <v>1</v>
      </c>
      <c r="CL39" s="115">
        <f t="shared" si="409"/>
        <v>3</v>
      </c>
      <c r="CM39" s="115">
        <f t="shared" si="409"/>
        <v>5</v>
      </c>
      <c r="CN39" s="115">
        <f t="shared" si="409"/>
        <v>6</v>
      </c>
      <c r="CO39" s="115">
        <f t="shared" si="409"/>
        <v>4</v>
      </c>
      <c r="CP39" s="241">
        <f t="shared" si="409"/>
        <v>2</v>
      </c>
      <c r="CR39" s="115">
        <f t="shared" ref="CR39:DG40" si="410">CR$3</f>
        <v>5</v>
      </c>
      <c r="CS39" s="115">
        <f t="shared" si="410"/>
        <v>4</v>
      </c>
      <c r="CT39" s="115">
        <f t="shared" si="410"/>
        <v>2</v>
      </c>
      <c r="CU39" s="115">
        <f t="shared" si="410"/>
        <v>1</v>
      </c>
      <c r="CV39" s="241">
        <f t="shared" si="410"/>
        <v>3</v>
      </c>
      <c r="CW39" s="115">
        <f t="shared" si="410"/>
        <v>3</v>
      </c>
      <c r="CX39" s="115">
        <f t="shared" si="410"/>
        <v>1</v>
      </c>
      <c r="CY39" s="115">
        <f t="shared" si="410"/>
        <v>2</v>
      </c>
      <c r="CZ39" s="115">
        <f t="shared" si="410"/>
        <v>4</v>
      </c>
      <c r="DA39" s="241">
        <f t="shared" si="410"/>
        <v>5</v>
      </c>
      <c r="DB39" s="115">
        <f t="shared" si="410"/>
        <v>4</v>
      </c>
      <c r="DC39" s="115">
        <f t="shared" si="410"/>
        <v>2</v>
      </c>
      <c r="DD39" s="115">
        <f t="shared" si="410"/>
        <v>1</v>
      </c>
      <c r="DE39" s="115">
        <f t="shared" si="410"/>
        <v>5</v>
      </c>
      <c r="DF39" s="241">
        <f t="shared" si="410"/>
        <v>3</v>
      </c>
      <c r="DG39" s="115">
        <f t="shared" si="410"/>
        <v>1</v>
      </c>
      <c r="DH39" s="115">
        <f t="shared" ref="DG39:DK40" si="411">DH$3</f>
        <v>3</v>
      </c>
      <c r="DI39" s="115">
        <f t="shared" si="411"/>
        <v>5</v>
      </c>
      <c r="DJ39" s="115">
        <f t="shared" si="411"/>
        <v>4</v>
      </c>
      <c r="DK39" s="241">
        <f t="shared" si="411"/>
        <v>2</v>
      </c>
      <c r="DM39" s="324">
        <f t="shared" ref="DM39:DY40" si="412">DM$3</f>
        <v>4</v>
      </c>
      <c r="DN39" s="321">
        <f t="shared" si="412"/>
        <v>2</v>
      </c>
      <c r="DO39" s="321">
        <f t="shared" si="412"/>
        <v>1</v>
      </c>
      <c r="DP39" s="241">
        <f t="shared" si="412"/>
        <v>3</v>
      </c>
      <c r="DQ39" s="324">
        <f t="shared" si="412"/>
        <v>3</v>
      </c>
      <c r="DR39" s="321">
        <f t="shared" si="412"/>
        <v>1</v>
      </c>
      <c r="DS39" s="321">
        <f t="shared" si="412"/>
        <v>2</v>
      </c>
      <c r="DT39" s="241">
        <f t="shared" si="412"/>
        <v>4</v>
      </c>
      <c r="DU39" s="324">
        <f t="shared" si="412"/>
        <v>4</v>
      </c>
      <c r="DV39" s="321">
        <f t="shared" si="412"/>
        <v>2</v>
      </c>
      <c r="DW39" s="321">
        <f t="shared" si="412"/>
        <v>1</v>
      </c>
      <c r="DX39" s="241">
        <f t="shared" si="412"/>
        <v>3</v>
      </c>
      <c r="DY39" s="324">
        <f t="shared" si="412"/>
        <v>1</v>
      </c>
      <c r="DZ39" s="321">
        <f t="shared" ref="DY39:EB40" si="413">DZ$3</f>
        <v>3</v>
      </c>
      <c r="EA39" s="321">
        <f t="shared" si="413"/>
        <v>4</v>
      </c>
      <c r="EB39" s="241">
        <f t="shared" si="413"/>
        <v>2</v>
      </c>
      <c r="EC39" s="306"/>
      <c r="EJ39" s="64" t="str">
        <f>"'Distance Input'!"</f>
        <v>'Distance Input'!</v>
      </c>
      <c r="EK39" s="87" t="s">
        <v>447</v>
      </c>
      <c r="EL39" s="87" t="s">
        <v>280</v>
      </c>
      <c r="EM39" s="64">
        <f t="shared" ca="1" si="306"/>
        <v>2</v>
      </c>
      <c r="EN39" s="64" t="str">
        <f t="shared" ca="1" si="13"/>
        <v>'Distance Input'!C4</v>
      </c>
      <c r="EO39" s="64" t="str">
        <f>"'Field'!"</f>
        <v>'Field'!</v>
      </c>
      <c r="EP39" s="87" t="s">
        <v>447</v>
      </c>
      <c r="EQ39" s="87" t="s">
        <v>165</v>
      </c>
      <c r="ER39" s="87" t="str">
        <f t="shared" ca="1" si="307"/>
        <v>-</v>
      </c>
      <c r="ES39" s="64" t="str">
        <f t="shared" ca="1" si="15"/>
        <v>-</v>
      </c>
      <c r="ET39" s="64" t="s">
        <v>455</v>
      </c>
      <c r="EW39" s="65">
        <v>11.3</v>
      </c>
    </row>
    <row r="40" spans="1:153" x14ac:dyDescent="0.35">
      <c r="A40" s="353" t="s">
        <v>179</v>
      </c>
      <c r="B40" s="64" t="s">
        <v>21</v>
      </c>
      <c r="C40" s="64" t="s">
        <v>7</v>
      </c>
      <c r="D40" s="66">
        <v>40</v>
      </c>
      <c r="E40" s="66">
        <v>16</v>
      </c>
      <c r="F40" s="272">
        <v>0.4861111111111111</v>
      </c>
      <c r="G40" s="272">
        <v>0.46875</v>
      </c>
      <c r="I40" s="115">
        <f t="shared" si="403"/>
        <v>5</v>
      </c>
      <c r="J40" s="115">
        <f t="shared" si="403"/>
        <v>7</v>
      </c>
      <c r="K40" s="115">
        <f t="shared" si="403"/>
        <v>8</v>
      </c>
      <c r="L40" s="115">
        <f t="shared" si="403"/>
        <v>6</v>
      </c>
      <c r="M40" s="115">
        <f t="shared" si="403"/>
        <v>4</v>
      </c>
      <c r="N40" s="115">
        <f t="shared" si="403"/>
        <v>2</v>
      </c>
      <c r="O40" s="115">
        <f t="shared" si="403"/>
        <v>1</v>
      </c>
      <c r="P40" s="241">
        <f t="shared" si="403"/>
        <v>3</v>
      </c>
      <c r="Q40" s="115">
        <f t="shared" si="403"/>
        <v>8</v>
      </c>
      <c r="R40" s="115">
        <f t="shared" si="403"/>
        <v>6</v>
      </c>
      <c r="S40" s="115">
        <f t="shared" si="403"/>
        <v>3</v>
      </c>
      <c r="T40" s="115">
        <f t="shared" si="403"/>
        <v>1</v>
      </c>
      <c r="U40" s="115">
        <f t="shared" si="403"/>
        <v>2</v>
      </c>
      <c r="V40" s="115">
        <f t="shared" si="403"/>
        <v>4</v>
      </c>
      <c r="W40" s="115">
        <f t="shared" si="403"/>
        <v>5</v>
      </c>
      <c r="X40" s="241">
        <f t="shared" si="403"/>
        <v>7</v>
      </c>
      <c r="Y40" s="115">
        <f t="shared" si="404"/>
        <v>4</v>
      </c>
      <c r="Z40" s="115">
        <f t="shared" si="404"/>
        <v>2</v>
      </c>
      <c r="AA40" s="115">
        <f t="shared" si="404"/>
        <v>1</v>
      </c>
      <c r="AB40" s="115">
        <f t="shared" si="404"/>
        <v>5</v>
      </c>
      <c r="AC40" s="115">
        <f t="shared" si="404"/>
        <v>3</v>
      </c>
      <c r="AD40" s="115">
        <f t="shared" si="404"/>
        <v>7</v>
      </c>
      <c r="AE40" s="115">
        <f t="shared" si="404"/>
        <v>8</v>
      </c>
      <c r="AF40" s="241">
        <f t="shared" si="404"/>
        <v>6</v>
      </c>
      <c r="AG40" s="115">
        <f t="shared" si="404"/>
        <v>1</v>
      </c>
      <c r="AH40" s="115">
        <f t="shared" si="404"/>
        <v>3</v>
      </c>
      <c r="AI40" s="115">
        <f t="shared" si="404"/>
        <v>5</v>
      </c>
      <c r="AJ40" s="115">
        <f t="shared" si="404"/>
        <v>8</v>
      </c>
      <c r="AK40" s="115">
        <f t="shared" si="404"/>
        <v>7</v>
      </c>
      <c r="AL40" s="115">
        <f t="shared" si="404"/>
        <v>6</v>
      </c>
      <c r="AM40" s="115">
        <f t="shared" si="404"/>
        <v>4</v>
      </c>
      <c r="AN40" s="241">
        <f t="shared" si="404"/>
        <v>2</v>
      </c>
      <c r="AP40" s="115">
        <f t="shared" si="405"/>
        <v>5</v>
      </c>
      <c r="AQ40" s="115">
        <f t="shared" si="405"/>
        <v>7</v>
      </c>
      <c r="AR40" s="115">
        <f t="shared" si="405"/>
        <v>6</v>
      </c>
      <c r="AS40" s="115">
        <f t="shared" si="405"/>
        <v>4</v>
      </c>
      <c r="AT40" s="115">
        <f t="shared" si="405"/>
        <v>2</v>
      </c>
      <c r="AU40" s="115">
        <f t="shared" si="405"/>
        <v>1</v>
      </c>
      <c r="AV40" s="241">
        <f t="shared" si="405"/>
        <v>3</v>
      </c>
      <c r="AW40" s="115">
        <f t="shared" si="405"/>
        <v>6</v>
      </c>
      <c r="AX40" s="115">
        <f t="shared" si="405"/>
        <v>3</v>
      </c>
      <c r="AY40" s="115">
        <f t="shared" si="405"/>
        <v>1</v>
      </c>
      <c r="AZ40" s="115">
        <f t="shared" si="405"/>
        <v>2</v>
      </c>
      <c r="BA40" s="115">
        <f t="shared" si="405"/>
        <v>4</v>
      </c>
      <c r="BB40" s="115">
        <f t="shared" si="405"/>
        <v>5</v>
      </c>
      <c r="BC40" s="241">
        <f t="shared" si="405"/>
        <v>7</v>
      </c>
      <c r="BD40" s="115">
        <f t="shared" si="406"/>
        <v>4</v>
      </c>
      <c r="BE40" s="115">
        <f t="shared" si="406"/>
        <v>2</v>
      </c>
      <c r="BF40" s="115">
        <f t="shared" si="406"/>
        <v>1</v>
      </c>
      <c r="BG40" s="115">
        <f t="shared" si="406"/>
        <v>5</v>
      </c>
      <c r="BH40" s="115">
        <f t="shared" si="406"/>
        <v>3</v>
      </c>
      <c r="BI40" s="115">
        <f t="shared" si="406"/>
        <v>7</v>
      </c>
      <c r="BJ40" s="241">
        <f t="shared" si="406"/>
        <v>6</v>
      </c>
      <c r="BK40" s="115">
        <f t="shared" si="406"/>
        <v>1</v>
      </c>
      <c r="BL40" s="115">
        <f t="shared" si="406"/>
        <v>3</v>
      </c>
      <c r="BM40" s="115">
        <f t="shared" si="406"/>
        <v>5</v>
      </c>
      <c r="BN40" s="115">
        <f t="shared" si="406"/>
        <v>7</v>
      </c>
      <c r="BO40" s="115">
        <f t="shared" si="406"/>
        <v>6</v>
      </c>
      <c r="BP40" s="115">
        <f t="shared" si="406"/>
        <v>4</v>
      </c>
      <c r="BQ40" s="241">
        <f t="shared" si="406"/>
        <v>2</v>
      </c>
      <c r="BS40" s="115">
        <f t="shared" si="407"/>
        <v>5</v>
      </c>
      <c r="BT40" s="115">
        <f t="shared" si="407"/>
        <v>6</v>
      </c>
      <c r="BU40" s="115">
        <f t="shared" si="407"/>
        <v>4</v>
      </c>
      <c r="BV40" s="115">
        <f t="shared" si="407"/>
        <v>2</v>
      </c>
      <c r="BW40" s="115">
        <f t="shared" si="407"/>
        <v>1</v>
      </c>
      <c r="BX40" s="241">
        <f t="shared" si="407"/>
        <v>3</v>
      </c>
      <c r="BY40" s="115">
        <f t="shared" si="407"/>
        <v>6</v>
      </c>
      <c r="BZ40" s="115">
        <f t="shared" si="407"/>
        <v>3</v>
      </c>
      <c r="CA40" s="115">
        <f t="shared" si="407"/>
        <v>1</v>
      </c>
      <c r="CB40" s="115">
        <f t="shared" si="407"/>
        <v>2</v>
      </c>
      <c r="CC40" s="115">
        <f t="shared" si="407"/>
        <v>4</v>
      </c>
      <c r="CD40" s="241">
        <f t="shared" si="407"/>
        <v>5</v>
      </c>
      <c r="CE40" s="115">
        <f t="shared" si="408"/>
        <v>4</v>
      </c>
      <c r="CF40" s="115">
        <f t="shared" si="408"/>
        <v>2</v>
      </c>
      <c r="CG40" s="115">
        <f t="shared" si="408"/>
        <v>1</v>
      </c>
      <c r="CH40" s="115">
        <f t="shared" si="408"/>
        <v>5</v>
      </c>
      <c r="CI40" s="115">
        <f t="shared" si="408"/>
        <v>3</v>
      </c>
      <c r="CJ40" s="241">
        <f t="shared" si="408"/>
        <v>6</v>
      </c>
      <c r="CK40" s="115">
        <f t="shared" si="409"/>
        <v>1</v>
      </c>
      <c r="CL40" s="115">
        <f t="shared" si="409"/>
        <v>3</v>
      </c>
      <c r="CM40" s="115">
        <f t="shared" si="409"/>
        <v>5</v>
      </c>
      <c r="CN40" s="115">
        <f t="shared" si="409"/>
        <v>6</v>
      </c>
      <c r="CO40" s="115">
        <f t="shared" si="409"/>
        <v>4</v>
      </c>
      <c r="CP40" s="241">
        <f t="shared" si="409"/>
        <v>2</v>
      </c>
      <c r="CR40" s="115">
        <f t="shared" si="410"/>
        <v>5</v>
      </c>
      <c r="CS40" s="115">
        <f t="shared" si="410"/>
        <v>4</v>
      </c>
      <c r="CT40" s="115">
        <f t="shared" si="410"/>
        <v>2</v>
      </c>
      <c r="CU40" s="115">
        <f t="shared" si="410"/>
        <v>1</v>
      </c>
      <c r="CV40" s="241">
        <f t="shared" si="410"/>
        <v>3</v>
      </c>
      <c r="CW40" s="115">
        <f t="shared" si="410"/>
        <v>3</v>
      </c>
      <c r="CX40" s="115">
        <f t="shared" si="410"/>
        <v>1</v>
      </c>
      <c r="CY40" s="115">
        <f t="shared" si="410"/>
        <v>2</v>
      </c>
      <c r="CZ40" s="115">
        <f t="shared" si="410"/>
        <v>4</v>
      </c>
      <c r="DA40" s="241">
        <f t="shared" si="410"/>
        <v>5</v>
      </c>
      <c r="DB40" s="115">
        <f t="shared" si="410"/>
        <v>4</v>
      </c>
      <c r="DC40" s="115">
        <f t="shared" si="410"/>
        <v>2</v>
      </c>
      <c r="DD40" s="115">
        <f t="shared" si="410"/>
        <v>1</v>
      </c>
      <c r="DE40" s="115">
        <f t="shared" si="410"/>
        <v>5</v>
      </c>
      <c r="DF40" s="241">
        <f t="shared" si="410"/>
        <v>3</v>
      </c>
      <c r="DG40" s="115">
        <f t="shared" si="411"/>
        <v>1</v>
      </c>
      <c r="DH40" s="115">
        <f t="shared" si="411"/>
        <v>3</v>
      </c>
      <c r="DI40" s="115">
        <f t="shared" si="411"/>
        <v>5</v>
      </c>
      <c r="DJ40" s="115">
        <f t="shared" si="411"/>
        <v>4</v>
      </c>
      <c r="DK40" s="241">
        <f t="shared" si="411"/>
        <v>2</v>
      </c>
      <c r="DM40" s="324">
        <f t="shared" si="412"/>
        <v>4</v>
      </c>
      <c r="DN40" s="321">
        <f t="shared" si="412"/>
        <v>2</v>
      </c>
      <c r="DO40" s="321">
        <f t="shared" si="412"/>
        <v>1</v>
      </c>
      <c r="DP40" s="241">
        <f t="shared" si="412"/>
        <v>3</v>
      </c>
      <c r="DQ40" s="324">
        <f t="shared" si="412"/>
        <v>3</v>
      </c>
      <c r="DR40" s="321">
        <f t="shared" si="412"/>
        <v>1</v>
      </c>
      <c r="DS40" s="321">
        <f t="shared" si="412"/>
        <v>2</v>
      </c>
      <c r="DT40" s="241">
        <f t="shared" si="412"/>
        <v>4</v>
      </c>
      <c r="DU40" s="324">
        <f t="shared" si="412"/>
        <v>4</v>
      </c>
      <c r="DV40" s="321">
        <f t="shared" si="412"/>
        <v>2</v>
      </c>
      <c r="DW40" s="321">
        <f t="shared" si="412"/>
        <v>1</v>
      </c>
      <c r="DX40" s="241">
        <f t="shared" si="412"/>
        <v>3</v>
      </c>
      <c r="DY40" s="324">
        <f t="shared" si="413"/>
        <v>1</v>
      </c>
      <c r="DZ40" s="321">
        <f t="shared" si="413"/>
        <v>3</v>
      </c>
      <c r="EA40" s="321">
        <f t="shared" si="413"/>
        <v>4</v>
      </c>
      <c r="EB40" s="241">
        <f t="shared" si="413"/>
        <v>2</v>
      </c>
      <c r="EC40" s="306"/>
      <c r="EJ40" s="64" t="str">
        <f t="shared" ref="EJ40:EJ45" si="414">"'Distance Input'!"</f>
        <v>'Distance Input'!</v>
      </c>
      <c r="EK40" s="87" t="s">
        <v>448</v>
      </c>
      <c r="EL40" s="87" t="s">
        <v>166</v>
      </c>
      <c r="EM40" s="64">
        <f t="shared" ca="1" si="306"/>
        <v>2</v>
      </c>
      <c r="EN40" s="64" t="str">
        <f t="shared" ca="1" si="13"/>
        <v>'Distance Input'!J4</v>
      </c>
      <c r="EO40" s="64" t="str">
        <f t="shared" ref="EO40:EO60" si="415">"'Field'!"</f>
        <v>'Field'!</v>
      </c>
      <c r="EP40" s="87" t="s">
        <v>447</v>
      </c>
      <c r="EQ40" s="87" t="s">
        <v>165</v>
      </c>
      <c r="ER40" s="87" t="str">
        <f t="shared" ca="1" si="307"/>
        <v>-</v>
      </c>
      <c r="ES40" s="64" t="str">
        <f t="shared" ca="1" si="15"/>
        <v>-</v>
      </c>
      <c r="ET40" s="64" t="s">
        <v>457</v>
      </c>
      <c r="EW40" s="65">
        <v>11.3</v>
      </c>
    </row>
    <row r="41" spans="1:153" x14ac:dyDescent="0.35">
      <c r="A41" s="353" t="s">
        <v>244</v>
      </c>
      <c r="B41" s="64" t="s">
        <v>22</v>
      </c>
      <c r="C41" s="64" t="s">
        <v>6</v>
      </c>
      <c r="D41" s="66">
        <v>41</v>
      </c>
      <c r="F41" s="272">
        <v>0.64583333333333337</v>
      </c>
      <c r="G41" s="272">
        <v>0.47916666666666669</v>
      </c>
      <c r="I41" s="115">
        <f>I19</f>
        <v>4</v>
      </c>
      <c r="J41" s="115">
        <f t="shared" ref="J41:P41" si="416">J19</f>
        <v>2</v>
      </c>
      <c r="K41" s="115">
        <f t="shared" si="416"/>
        <v>8</v>
      </c>
      <c r="L41" s="115">
        <f t="shared" si="416"/>
        <v>3</v>
      </c>
      <c r="M41" s="115">
        <f t="shared" si="416"/>
        <v>1</v>
      </c>
      <c r="N41" s="115">
        <f t="shared" si="416"/>
        <v>7</v>
      </c>
      <c r="O41" s="115">
        <f t="shared" si="416"/>
        <v>5</v>
      </c>
      <c r="P41" s="241">
        <f t="shared" si="416"/>
        <v>6</v>
      </c>
      <c r="Q41" s="115">
        <f>Q19</f>
        <v>8</v>
      </c>
      <c r="R41" s="115">
        <f t="shared" ref="R41:X41" si="417">R19</f>
        <v>3</v>
      </c>
      <c r="S41" s="115">
        <f t="shared" si="417"/>
        <v>6</v>
      </c>
      <c r="T41" s="115">
        <f t="shared" si="417"/>
        <v>7</v>
      </c>
      <c r="U41" s="115">
        <f t="shared" si="417"/>
        <v>1</v>
      </c>
      <c r="V41" s="115">
        <f t="shared" si="417"/>
        <v>5</v>
      </c>
      <c r="W41" s="115">
        <f t="shared" si="417"/>
        <v>4</v>
      </c>
      <c r="X41" s="241">
        <f t="shared" si="417"/>
        <v>2</v>
      </c>
      <c r="Y41" s="115">
        <f>Y19</f>
        <v>1</v>
      </c>
      <c r="Z41" s="115">
        <f t="shared" ref="Z41:AF41" si="418">Z19</f>
        <v>7</v>
      </c>
      <c r="AA41" s="115">
        <f t="shared" si="418"/>
        <v>4</v>
      </c>
      <c r="AB41" s="115">
        <f t="shared" si="418"/>
        <v>2</v>
      </c>
      <c r="AC41" s="115">
        <f t="shared" si="418"/>
        <v>5</v>
      </c>
      <c r="AD41" s="115">
        <f t="shared" si="418"/>
        <v>6</v>
      </c>
      <c r="AE41" s="115">
        <f t="shared" si="418"/>
        <v>8</v>
      </c>
      <c r="AF41" s="241">
        <f t="shared" si="418"/>
        <v>3</v>
      </c>
      <c r="AG41" s="115">
        <f>AG19</f>
        <v>5</v>
      </c>
      <c r="AH41" s="115">
        <f t="shared" ref="AH41:AN41" si="419">AH19</f>
        <v>6</v>
      </c>
      <c r="AI41" s="115">
        <f t="shared" si="419"/>
        <v>3</v>
      </c>
      <c r="AJ41" s="115">
        <f t="shared" si="419"/>
        <v>2</v>
      </c>
      <c r="AK41" s="115">
        <f t="shared" si="419"/>
        <v>8</v>
      </c>
      <c r="AL41" s="115">
        <f t="shared" si="419"/>
        <v>4</v>
      </c>
      <c r="AM41" s="115">
        <f t="shared" si="419"/>
        <v>1</v>
      </c>
      <c r="AN41" s="241">
        <f t="shared" si="419"/>
        <v>7</v>
      </c>
      <c r="AP41" s="115">
        <f t="shared" ref="AP41:BQ41" si="420">AP19</f>
        <v>4</v>
      </c>
      <c r="AQ41" s="115">
        <f t="shared" si="420"/>
        <v>2</v>
      </c>
      <c r="AR41" s="115">
        <f t="shared" si="420"/>
        <v>3</v>
      </c>
      <c r="AS41" s="115">
        <f t="shared" si="420"/>
        <v>1</v>
      </c>
      <c r="AT41" s="115">
        <f t="shared" si="420"/>
        <v>7</v>
      </c>
      <c r="AU41" s="115">
        <f t="shared" si="420"/>
        <v>5</v>
      </c>
      <c r="AV41" s="241">
        <f t="shared" si="420"/>
        <v>6</v>
      </c>
      <c r="AW41" s="115">
        <f t="shared" si="420"/>
        <v>3</v>
      </c>
      <c r="AX41" s="115">
        <f t="shared" si="420"/>
        <v>6</v>
      </c>
      <c r="AY41" s="115">
        <f t="shared" si="420"/>
        <v>7</v>
      </c>
      <c r="AZ41" s="115">
        <f t="shared" si="420"/>
        <v>1</v>
      </c>
      <c r="BA41" s="115">
        <f t="shared" si="420"/>
        <v>5</v>
      </c>
      <c r="BB41" s="115">
        <f t="shared" si="420"/>
        <v>4</v>
      </c>
      <c r="BC41" s="241">
        <f t="shared" si="420"/>
        <v>2</v>
      </c>
      <c r="BD41" s="115">
        <f t="shared" si="420"/>
        <v>1</v>
      </c>
      <c r="BE41" s="115">
        <f t="shared" si="420"/>
        <v>7</v>
      </c>
      <c r="BF41" s="115">
        <f t="shared" si="420"/>
        <v>4</v>
      </c>
      <c r="BG41" s="115">
        <f t="shared" si="420"/>
        <v>2</v>
      </c>
      <c r="BH41" s="115">
        <f t="shared" si="420"/>
        <v>5</v>
      </c>
      <c r="BI41" s="115">
        <f t="shared" si="420"/>
        <v>6</v>
      </c>
      <c r="BJ41" s="241">
        <f t="shared" si="420"/>
        <v>3</v>
      </c>
      <c r="BK41" s="115">
        <f t="shared" si="420"/>
        <v>5</v>
      </c>
      <c r="BL41" s="115">
        <f t="shared" si="420"/>
        <v>6</v>
      </c>
      <c r="BM41" s="115">
        <f t="shared" si="420"/>
        <v>3</v>
      </c>
      <c r="BN41" s="115">
        <f t="shared" si="420"/>
        <v>2</v>
      </c>
      <c r="BO41" s="115">
        <f t="shared" si="420"/>
        <v>4</v>
      </c>
      <c r="BP41" s="115">
        <f t="shared" si="420"/>
        <v>1</v>
      </c>
      <c r="BQ41" s="241">
        <f t="shared" si="420"/>
        <v>7</v>
      </c>
      <c r="BS41" s="115">
        <f t="shared" ref="BS41:CJ41" si="421">BS19</f>
        <v>4</v>
      </c>
      <c r="BT41" s="115">
        <f t="shared" si="421"/>
        <v>2</v>
      </c>
      <c r="BU41" s="115">
        <f t="shared" si="421"/>
        <v>3</v>
      </c>
      <c r="BV41" s="115">
        <f t="shared" si="421"/>
        <v>1</v>
      </c>
      <c r="BW41" s="115">
        <f t="shared" si="421"/>
        <v>5</v>
      </c>
      <c r="BX41" s="241">
        <f t="shared" si="421"/>
        <v>6</v>
      </c>
      <c r="BY41" s="115">
        <f t="shared" si="421"/>
        <v>3</v>
      </c>
      <c r="BZ41" s="115">
        <f t="shared" si="421"/>
        <v>6</v>
      </c>
      <c r="CA41" s="115">
        <f t="shared" si="421"/>
        <v>1</v>
      </c>
      <c r="CB41" s="115">
        <f t="shared" si="421"/>
        <v>5</v>
      </c>
      <c r="CC41" s="115">
        <f t="shared" si="421"/>
        <v>4</v>
      </c>
      <c r="CD41" s="241">
        <f t="shared" si="421"/>
        <v>2</v>
      </c>
      <c r="CE41" s="115">
        <f t="shared" si="421"/>
        <v>1</v>
      </c>
      <c r="CF41" s="115">
        <f t="shared" si="421"/>
        <v>4</v>
      </c>
      <c r="CG41" s="115">
        <f t="shared" si="421"/>
        <v>2</v>
      </c>
      <c r="CH41" s="115">
        <f t="shared" si="421"/>
        <v>5</v>
      </c>
      <c r="CI41" s="115">
        <f t="shared" si="421"/>
        <v>6</v>
      </c>
      <c r="CJ41" s="241">
        <f t="shared" si="421"/>
        <v>3</v>
      </c>
      <c r="CK41" s="115">
        <f t="shared" ref="CK41:CP41" si="422">CK19</f>
        <v>5</v>
      </c>
      <c r="CL41" s="115">
        <f t="shared" si="422"/>
        <v>6</v>
      </c>
      <c r="CM41" s="115">
        <f t="shared" si="422"/>
        <v>3</v>
      </c>
      <c r="CN41" s="115">
        <f t="shared" si="422"/>
        <v>2</v>
      </c>
      <c r="CO41" s="115">
        <f t="shared" si="422"/>
        <v>4</v>
      </c>
      <c r="CP41" s="241">
        <f t="shared" si="422"/>
        <v>1</v>
      </c>
      <c r="CR41" s="115">
        <f t="shared" ref="CR41:DK41" si="423">CR19</f>
        <v>4</v>
      </c>
      <c r="CS41" s="115">
        <f t="shared" si="423"/>
        <v>2</v>
      </c>
      <c r="CT41" s="115">
        <f t="shared" si="423"/>
        <v>3</v>
      </c>
      <c r="CU41" s="115">
        <f t="shared" si="423"/>
        <v>1</v>
      </c>
      <c r="CV41" s="241">
        <f t="shared" si="423"/>
        <v>5</v>
      </c>
      <c r="CW41" s="115">
        <f t="shared" si="423"/>
        <v>3</v>
      </c>
      <c r="CX41" s="115">
        <f t="shared" si="423"/>
        <v>1</v>
      </c>
      <c r="CY41" s="115">
        <f t="shared" si="423"/>
        <v>5</v>
      </c>
      <c r="CZ41" s="115">
        <f t="shared" si="423"/>
        <v>4</v>
      </c>
      <c r="DA41" s="241">
        <f t="shared" si="423"/>
        <v>2</v>
      </c>
      <c r="DB41" s="115">
        <f t="shared" si="423"/>
        <v>1</v>
      </c>
      <c r="DC41" s="115">
        <f t="shared" si="423"/>
        <v>4</v>
      </c>
      <c r="DD41" s="115">
        <f t="shared" si="423"/>
        <v>2</v>
      </c>
      <c r="DE41" s="115">
        <f t="shared" si="423"/>
        <v>5</v>
      </c>
      <c r="DF41" s="241">
        <f t="shared" si="423"/>
        <v>3</v>
      </c>
      <c r="DG41" s="115">
        <f t="shared" si="423"/>
        <v>5</v>
      </c>
      <c r="DH41" s="115">
        <f t="shared" si="423"/>
        <v>3</v>
      </c>
      <c r="DI41" s="115">
        <f t="shared" si="423"/>
        <v>2</v>
      </c>
      <c r="DJ41" s="115">
        <f t="shared" si="423"/>
        <v>4</v>
      </c>
      <c r="DK41" s="241">
        <f t="shared" si="423"/>
        <v>1</v>
      </c>
      <c r="DM41" s="324">
        <f t="shared" ref="DM41:EB41" si="424">DM19</f>
        <v>4</v>
      </c>
      <c r="DN41" s="321">
        <f t="shared" si="424"/>
        <v>2</v>
      </c>
      <c r="DO41" s="321">
        <f t="shared" si="424"/>
        <v>3</v>
      </c>
      <c r="DP41" s="241">
        <f t="shared" si="424"/>
        <v>1</v>
      </c>
      <c r="DQ41" s="324">
        <f t="shared" si="424"/>
        <v>3</v>
      </c>
      <c r="DR41" s="321">
        <f t="shared" si="424"/>
        <v>1</v>
      </c>
      <c r="DS41" s="321">
        <f t="shared" si="424"/>
        <v>4</v>
      </c>
      <c r="DT41" s="241">
        <f t="shared" si="424"/>
        <v>2</v>
      </c>
      <c r="DU41" s="324">
        <f t="shared" si="424"/>
        <v>1</v>
      </c>
      <c r="DV41" s="321">
        <f t="shared" si="424"/>
        <v>4</v>
      </c>
      <c r="DW41" s="321">
        <f t="shared" si="424"/>
        <v>2</v>
      </c>
      <c r="DX41" s="241">
        <f t="shared" si="424"/>
        <v>3</v>
      </c>
      <c r="DY41" s="324">
        <f t="shared" si="424"/>
        <v>3</v>
      </c>
      <c r="DZ41" s="321">
        <f t="shared" si="424"/>
        <v>2</v>
      </c>
      <c r="EA41" s="321">
        <f t="shared" si="424"/>
        <v>4</v>
      </c>
      <c r="EB41" s="241">
        <f t="shared" si="424"/>
        <v>1</v>
      </c>
      <c r="EC41" s="306"/>
      <c r="EJ41" s="64" t="str">
        <f t="shared" si="414"/>
        <v>'Distance Input'!</v>
      </c>
      <c r="EK41" s="87" t="s">
        <v>449</v>
      </c>
      <c r="EL41" s="87" t="s">
        <v>101</v>
      </c>
      <c r="EM41" s="64">
        <f t="shared" ca="1" si="306"/>
        <v>2</v>
      </c>
      <c r="EN41" s="64" t="str">
        <f t="shared" ca="1" si="13"/>
        <v>'Distance Input'!Q4</v>
      </c>
      <c r="EO41" s="64" t="str">
        <f t="shared" si="415"/>
        <v>'Field'!</v>
      </c>
      <c r="EP41" s="87" t="s">
        <v>447</v>
      </c>
      <c r="EQ41" s="87" t="s">
        <v>165</v>
      </c>
      <c r="ER41" s="87" t="str">
        <f t="shared" ca="1" si="307"/>
        <v>-</v>
      </c>
      <c r="ES41" s="64" t="str">
        <f t="shared" ca="1" si="15"/>
        <v>-</v>
      </c>
      <c r="ET41" s="64" t="s">
        <v>473</v>
      </c>
      <c r="EW41" s="65">
        <v>11.3</v>
      </c>
    </row>
    <row r="42" spans="1:153" x14ac:dyDescent="0.35">
      <c r="A42" s="353" t="s">
        <v>180</v>
      </c>
      <c r="B42" s="64" t="s">
        <v>23</v>
      </c>
      <c r="C42" s="64" t="s">
        <v>7</v>
      </c>
      <c r="D42" s="66">
        <v>42</v>
      </c>
      <c r="F42" s="272">
        <v>0.64583333333333337</v>
      </c>
      <c r="G42" s="272">
        <v>0.48958333333333331</v>
      </c>
      <c r="I42" s="237">
        <v>1</v>
      </c>
      <c r="J42" s="237">
        <v>2</v>
      </c>
      <c r="K42" s="237">
        <v>6</v>
      </c>
      <c r="L42" s="237">
        <v>7</v>
      </c>
      <c r="M42" s="237">
        <v>3</v>
      </c>
      <c r="N42" s="237">
        <v>8</v>
      </c>
      <c r="O42" s="237">
        <v>4</v>
      </c>
      <c r="P42" s="242">
        <v>5</v>
      </c>
      <c r="Q42" s="237">
        <v>6</v>
      </c>
      <c r="R42" s="237">
        <v>7</v>
      </c>
      <c r="S42" s="237">
        <v>4</v>
      </c>
      <c r="T42" s="237">
        <v>8</v>
      </c>
      <c r="U42" s="237">
        <v>5</v>
      </c>
      <c r="V42" s="237">
        <v>3</v>
      </c>
      <c r="W42" s="237">
        <v>1</v>
      </c>
      <c r="X42" s="242">
        <v>2</v>
      </c>
      <c r="Y42" s="237">
        <v>3</v>
      </c>
      <c r="Z42" s="237">
        <v>8</v>
      </c>
      <c r="AA42" s="237">
        <v>5</v>
      </c>
      <c r="AB42" s="237">
        <v>4</v>
      </c>
      <c r="AC42" s="237">
        <v>1</v>
      </c>
      <c r="AD42" s="237">
        <v>2</v>
      </c>
      <c r="AE42" s="237">
        <v>6</v>
      </c>
      <c r="AF42" s="242">
        <v>7</v>
      </c>
      <c r="AG42" s="237">
        <v>4</v>
      </c>
      <c r="AH42" s="237">
        <v>5</v>
      </c>
      <c r="AI42" s="237">
        <v>2</v>
      </c>
      <c r="AJ42" s="237">
        <v>6</v>
      </c>
      <c r="AK42" s="237">
        <v>7</v>
      </c>
      <c r="AL42" s="237">
        <v>1</v>
      </c>
      <c r="AM42" s="237">
        <v>3</v>
      </c>
      <c r="AN42" s="242">
        <v>8</v>
      </c>
      <c r="AP42" s="237">
        <v>1</v>
      </c>
      <c r="AQ42" s="237">
        <v>2</v>
      </c>
      <c r="AR42" s="237">
        <v>6</v>
      </c>
      <c r="AS42" s="237">
        <v>7</v>
      </c>
      <c r="AT42" s="237">
        <v>3</v>
      </c>
      <c r="AU42" s="237">
        <v>4</v>
      </c>
      <c r="AV42" s="242">
        <v>5</v>
      </c>
      <c r="AW42" s="237">
        <v>6</v>
      </c>
      <c r="AX42" s="237">
        <v>7</v>
      </c>
      <c r="AY42" s="237">
        <v>4</v>
      </c>
      <c r="AZ42" s="237">
        <v>5</v>
      </c>
      <c r="BA42" s="237">
        <v>3</v>
      </c>
      <c r="BB42" s="237">
        <v>1</v>
      </c>
      <c r="BC42" s="242">
        <v>2</v>
      </c>
      <c r="BD42" s="237">
        <v>3</v>
      </c>
      <c r="BE42" s="237">
        <v>5</v>
      </c>
      <c r="BF42" s="237">
        <v>4</v>
      </c>
      <c r="BG42" s="237">
        <v>1</v>
      </c>
      <c r="BH42" s="237">
        <v>2</v>
      </c>
      <c r="BI42" s="237">
        <v>6</v>
      </c>
      <c r="BJ42" s="242">
        <v>7</v>
      </c>
      <c r="BK42" s="237">
        <v>4</v>
      </c>
      <c r="BL42" s="237">
        <v>5</v>
      </c>
      <c r="BM42" s="237">
        <v>2</v>
      </c>
      <c r="BN42" s="237">
        <v>6</v>
      </c>
      <c r="BO42" s="237">
        <v>7</v>
      </c>
      <c r="BP42" s="237">
        <v>1</v>
      </c>
      <c r="BQ42" s="242">
        <v>3</v>
      </c>
      <c r="BS42" s="237">
        <v>1</v>
      </c>
      <c r="BT42" s="237">
        <v>2</v>
      </c>
      <c r="BU42" s="237">
        <v>6</v>
      </c>
      <c r="BV42" s="237">
        <v>3</v>
      </c>
      <c r="BW42" s="237">
        <v>4</v>
      </c>
      <c r="BX42" s="242">
        <v>5</v>
      </c>
      <c r="BY42" s="237">
        <v>6</v>
      </c>
      <c r="BZ42" s="237">
        <v>4</v>
      </c>
      <c r="CA42" s="237">
        <v>5</v>
      </c>
      <c r="CB42" s="237">
        <v>3</v>
      </c>
      <c r="CC42" s="237">
        <v>1</v>
      </c>
      <c r="CD42" s="242">
        <v>2</v>
      </c>
      <c r="CE42" s="237">
        <v>3</v>
      </c>
      <c r="CF42" s="237">
        <v>5</v>
      </c>
      <c r="CG42" s="237">
        <v>4</v>
      </c>
      <c r="CH42" s="237">
        <v>1</v>
      </c>
      <c r="CI42" s="237">
        <v>2</v>
      </c>
      <c r="CJ42" s="242">
        <v>6</v>
      </c>
      <c r="CK42" s="237">
        <v>4</v>
      </c>
      <c r="CL42" s="237">
        <v>5</v>
      </c>
      <c r="CM42" s="237">
        <v>2</v>
      </c>
      <c r="CN42" s="237">
        <v>6</v>
      </c>
      <c r="CO42" s="237">
        <v>1</v>
      </c>
      <c r="CP42" s="242">
        <v>3</v>
      </c>
      <c r="CR42" s="237">
        <v>1</v>
      </c>
      <c r="CS42" s="237">
        <v>2</v>
      </c>
      <c r="CT42" s="237">
        <v>3</v>
      </c>
      <c r="CU42" s="237">
        <v>4</v>
      </c>
      <c r="CV42" s="242">
        <v>5</v>
      </c>
      <c r="CW42" s="237">
        <v>4</v>
      </c>
      <c r="CX42" s="237">
        <v>5</v>
      </c>
      <c r="CY42" s="237">
        <v>3</v>
      </c>
      <c r="CZ42" s="237">
        <v>1</v>
      </c>
      <c r="DA42" s="242">
        <v>2</v>
      </c>
      <c r="DB42" s="237">
        <v>3</v>
      </c>
      <c r="DC42" s="237">
        <v>5</v>
      </c>
      <c r="DD42" s="237">
        <v>4</v>
      </c>
      <c r="DE42" s="237">
        <v>1</v>
      </c>
      <c r="DF42" s="242">
        <v>2</v>
      </c>
      <c r="DG42" s="237">
        <v>4</v>
      </c>
      <c r="DH42" s="237">
        <v>5</v>
      </c>
      <c r="DI42" s="237">
        <v>2</v>
      </c>
      <c r="DJ42" s="237">
        <v>1</v>
      </c>
      <c r="DK42" s="242">
        <v>3</v>
      </c>
      <c r="DM42" s="325">
        <v>1</v>
      </c>
      <c r="DN42" s="322">
        <v>2</v>
      </c>
      <c r="DO42" s="322">
        <v>3</v>
      </c>
      <c r="DP42" s="242">
        <v>4</v>
      </c>
      <c r="DQ42" s="325">
        <v>4</v>
      </c>
      <c r="DR42" s="322">
        <v>3</v>
      </c>
      <c r="DS42" s="322">
        <v>1</v>
      </c>
      <c r="DT42" s="242">
        <v>2</v>
      </c>
      <c r="DU42" s="325">
        <v>3</v>
      </c>
      <c r="DV42" s="322">
        <v>4</v>
      </c>
      <c r="DW42" s="322">
        <v>1</v>
      </c>
      <c r="DX42" s="242">
        <v>2</v>
      </c>
      <c r="DY42" s="325">
        <v>4</v>
      </c>
      <c r="DZ42" s="322">
        <v>2</v>
      </c>
      <c r="EA42" s="322">
        <v>1</v>
      </c>
      <c r="EB42" s="242">
        <v>3</v>
      </c>
      <c r="EC42" s="306"/>
      <c r="EJ42" s="64" t="str">
        <f>"'Height Input'!"</f>
        <v>'Height Input'!</v>
      </c>
      <c r="EK42" s="87" t="s">
        <v>452</v>
      </c>
      <c r="EL42" s="87" t="s">
        <v>280</v>
      </c>
      <c r="EM42" s="64">
        <f t="shared" ca="1" si="306"/>
        <v>2</v>
      </c>
      <c r="EN42" s="64" t="str">
        <f t="shared" ca="1" si="13"/>
        <v>'Height Input'!C4</v>
      </c>
      <c r="EO42" s="64" t="str">
        <f t="shared" si="415"/>
        <v>'Field'!</v>
      </c>
      <c r="EP42" s="87" t="s">
        <v>447</v>
      </c>
      <c r="EQ42" s="87" t="s">
        <v>165</v>
      </c>
      <c r="ER42" s="87" t="str">
        <f t="shared" ca="1" si="307"/>
        <v>-</v>
      </c>
      <c r="ES42" s="64" t="str">
        <f t="shared" ca="1" si="15"/>
        <v>-</v>
      </c>
      <c r="ET42" s="64" t="s">
        <v>459</v>
      </c>
      <c r="EW42" s="65">
        <v>11.45</v>
      </c>
    </row>
    <row r="43" spans="1:153" x14ac:dyDescent="0.35">
      <c r="A43" s="353" t="s">
        <v>183</v>
      </c>
      <c r="B43" s="64" t="s">
        <v>24</v>
      </c>
      <c r="C43" s="64" t="s">
        <v>4</v>
      </c>
      <c r="D43" s="66">
        <v>43</v>
      </c>
      <c r="E43" s="66">
        <v>43</v>
      </c>
      <c r="F43" s="272">
        <v>0.54166666666666663</v>
      </c>
      <c r="G43" s="272">
        <v>0.48958333333333331</v>
      </c>
      <c r="I43" s="115">
        <f>I$27</f>
        <v>4</v>
      </c>
      <c r="J43" s="115">
        <f t="shared" ref="J43:BU43" si="425">J$27</f>
        <v>1</v>
      </c>
      <c r="K43" s="115">
        <f t="shared" si="425"/>
        <v>5</v>
      </c>
      <c r="L43" s="115">
        <f t="shared" si="425"/>
        <v>7</v>
      </c>
      <c r="M43" s="115">
        <f t="shared" si="425"/>
        <v>3</v>
      </c>
      <c r="N43" s="115">
        <f t="shared" si="425"/>
        <v>8</v>
      </c>
      <c r="O43" s="115">
        <f t="shared" si="425"/>
        <v>6</v>
      </c>
      <c r="P43" s="241">
        <f t="shared" si="425"/>
        <v>2</v>
      </c>
      <c r="Q43" s="115">
        <f>Q$27</f>
        <v>5</v>
      </c>
      <c r="R43" s="115">
        <f t="shared" si="425"/>
        <v>7</v>
      </c>
      <c r="S43" s="115">
        <f t="shared" si="425"/>
        <v>2</v>
      </c>
      <c r="T43" s="115">
        <f t="shared" si="425"/>
        <v>8</v>
      </c>
      <c r="U43" s="115">
        <f t="shared" si="425"/>
        <v>6</v>
      </c>
      <c r="V43" s="115">
        <f t="shared" si="425"/>
        <v>3</v>
      </c>
      <c r="W43" s="115">
        <f t="shared" si="425"/>
        <v>4</v>
      </c>
      <c r="X43" s="241">
        <f t="shared" si="425"/>
        <v>1</v>
      </c>
      <c r="Y43" s="115">
        <f>Y$27</f>
        <v>3</v>
      </c>
      <c r="Z43" s="115">
        <f t="shared" si="425"/>
        <v>8</v>
      </c>
      <c r="AA43" s="115">
        <f t="shared" si="425"/>
        <v>2</v>
      </c>
      <c r="AB43" s="115">
        <f t="shared" si="425"/>
        <v>6</v>
      </c>
      <c r="AC43" s="115">
        <f t="shared" si="425"/>
        <v>4</v>
      </c>
      <c r="AD43" s="115">
        <f t="shared" si="425"/>
        <v>1</v>
      </c>
      <c r="AE43" s="115">
        <f t="shared" si="425"/>
        <v>5</v>
      </c>
      <c r="AF43" s="241">
        <f t="shared" si="425"/>
        <v>7</v>
      </c>
      <c r="AG43" s="115">
        <f>AG$27</f>
        <v>6</v>
      </c>
      <c r="AH43" s="115">
        <f t="shared" si="425"/>
        <v>2</v>
      </c>
      <c r="AI43" s="115">
        <f t="shared" si="425"/>
        <v>7</v>
      </c>
      <c r="AJ43" s="115">
        <f t="shared" si="425"/>
        <v>1</v>
      </c>
      <c r="AK43" s="115">
        <f t="shared" si="425"/>
        <v>5</v>
      </c>
      <c r="AL43" s="115">
        <f t="shared" si="425"/>
        <v>4</v>
      </c>
      <c r="AM43" s="115">
        <f t="shared" si="425"/>
        <v>3</v>
      </c>
      <c r="AN43" s="241">
        <f t="shared" si="425"/>
        <v>8</v>
      </c>
      <c r="AP43" s="115">
        <f t="shared" si="425"/>
        <v>4</v>
      </c>
      <c r="AQ43" s="115">
        <f t="shared" si="425"/>
        <v>1</v>
      </c>
      <c r="AR43" s="115">
        <f t="shared" si="425"/>
        <v>5</v>
      </c>
      <c r="AS43" s="115">
        <f t="shared" si="425"/>
        <v>7</v>
      </c>
      <c r="AT43" s="115">
        <f t="shared" si="425"/>
        <v>3</v>
      </c>
      <c r="AU43" s="115">
        <f t="shared" si="425"/>
        <v>6</v>
      </c>
      <c r="AV43" s="241">
        <f t="shared" si="425"/>
        <v>2</v>
      </c>
      <c r="AW43" s="115">
        <f t="shared" si="425"/>
        <v>5</v>
      </c>
      <c r="AX43" s="115">
        <f t="shared" si="425"/>
        <v>7</v>
      </c>
      <c r="AY43" s="115">
        <f t="shared" si="425"/>
        <v>2</v>
      </c>
      <c r="AZ43" s="115">
        <f t="shared" si="425"/>
        <v>6</v>
      </c>
      <c r="BA43" s="115">
        <f t="shared" si="425"/>
        <v>3</v>
      </c>
      <c r="BB43" s="115">
        <f t="shared" si="425"/>
        <v>4</v>
      </c>
      <c r="BC43" s="241">
        <f t="shared" si="425"/>
        <v>1</v>
      </c>
      <c r="BD43" s="115">
        <f t="shared" si="425"/>
        <v>3</v>
      </c>
      <c r="BE43" s="115">
        <f t="shared" si="425"/>
        <v>2</v>
      </c>
      <c r="BF43" s="115">
        <f t="shared" si="425"/>
        <v>6</v>
      </c>
      <c r="BG43" s="115">
        <f t="shared" si="425"/>
        <v>4</v>
      </c>
      <c r="BH43" s="115">
        <f t="shared" si="425"/>
        <v>1</v>
      </c>
      <c r="BI43" s="115">
        <f t="shared" si="425"/>
        <v>5</v>
      </c>
      <c r="BJ43" s="241">
        <f t="shared" si="425"/>
        <v>7</v>
      </c>
      <c r="BK43" s="115">
        <f t="shared" si="425"/>
        <v>6</v>
      </c>
      <c r="BL43" s="115">
        <f t="shared" si="425"/>
        <v>2</v>
      </c>
      <c r="BM43" s="115">
        <f t="shared" si="425"/>
        <v>7</v>
      </c>
      <c r="BN43" s="115">
        <f t="shared" si="425"/>
        <v>1</v>
      </c>
      <c r="BO43" s="115">
        <f t="shared" si="425"/>
        <v>5</v>
      </c>
      <c r="BP43" s="115">
        <f t="shared" si="425"/>
        <v>4</v>
      </c>
      <c r="BQ43" s="241">
        <f t="shared" si="425"/>
        <v>3</v>
      </c>
      <c r="BS43" s="115">
        <f t="shared" si="425"/>
        <v>4</v>
      </c>
      <c r="BT43" s="115">
        <f t="shared" si="425"/>
        <v>1</v>
      </c>
      <c r="BU43" s="115">
        <f t="shared" si="425"/>
        <v>5</v>
      </c>
      <c r="BV43" s="115">
        <f t="shared" ref="BV43:CJ43" si="426">BV$27</f>
        <v>3</v>
      </c>
      <c r="BW43" s="115">
        <f t="shared" si="426"/>
        <v>6</v>
      </c>
      <c r="BX43" s="241">
        <f t="shared" si="426"/>
        <v>2</v>
      </c>
      <c r="BY43" s="115">
        <f t="shared" si="426"/>
        <v>5</v>
      </c>
      <c r="BZ43" s="115">
        <f t="shared" si="426"/>
        <v>2</v>
      </c>
      <c r="CA43" s="115">
        <f t="shared" si="426"/>
        <v>6</v>
      </c>
      <c r="CB43" s="115">
        <f t="shared" si="426"/>
        <v>3</v>
      </c>
      <c r="CC43" s="115">
        <f t="shared" si="426"/>
        <v>4</v>
      </c>
      <c r="CD43" s="241">
        <f t="shared" si="426"/>
        <v>1</v>
      </c>
      <c r="CE43" s="115">
        <f t="shared" si="426"/>
        <v>3</v>
      </c>
      <c r="CF43" s="115">
        <f t="shared" si="426"/>
        <v>2</v>
      </c>
      <c r="CG43" s="115">
        <f t="shared" si="426"/>
        <v>6</v>
      </c>
      <c r="CH43" s="115">
        <f t="shared" si="426"/>
        <v>4</v>
      </c>
      <c r="CI43" s="115">
        <f t="shared" si="426"/>
        <v>1</v>
      </c>
      <c r="CJ43" s="241">
        <f t="shared" si="426"/>
        <v>5</v>
      </c>
      <c r="CK43" s="115">
        <f t="shared" ref="CK43:CP43" si="427">CK$27</f>
        <v>6</v>
      </c>
      <c r="CL43" s="115">
        <f t="shared" si="427"/>
        <v>2</v>
      </c>
      <c r="CM43" s="115">
        <f t="shared" si="427"/>
        <v>1</v>
      </c>
      <c r="CN43" s="115">
        <f t="shared" si="427"/>
        <v>5</v>
      </c>
      <c r="CO43" s="115">
        <f t="shared" si="427"/>
        <v>4</v>
      </c>
      <c r="CP43" s="241">
        <f t="shared" si="427"/>
        <v>3</v>
      </c>
      <c r="CR43" s="115">
        <f t="shared" ref="CR43:EB43" si="428">CR$27</f>
        <v>4</v>
      </c>
      <c r="CS43" s="115">
        <f t="shared" si="428"/>
        <v>1</v>
      </c>
      <c r="CT43" s="115">
        <f t="shared" si="428"/>
        <v>5</v>
      </c>
      <c r="CU43" s="115">
        <f t="shared" si="428"/>
        <v>3</v>
      </c>
      <c r="CV43" s="241">
        <f t="shared" si="428"/>
        <v>2</v>
      </c>
      <c r="CW43" s="115">
        <f t="shared" si="428"/>
        <v>5</v>
      </c>
      <c r="CX43" s="115">
        <f t="shared" si="428"/>
        <v>2</v>
      </c>
      <c r="CY43" s="115">
        <f t="shared" si="428"/>
        <v>3</v>
      </c>
      <c r="CZ43" s="115">
        <f t="shared" si="428"/>
        <v>4</v>
      </c>
      <c r="DA43" s="241">
        <f t="shared" si="428"/>
        <v>1</v>
      </c>
      <c r="DB43" s="115">
        <f t="shared" si="428"/>
        <v>3</v>
      </c>
      <c r="DC43" s="115">
        <f t="shared" si="428"/>
        <v>2</v>
      </c>
      <c r="DD43" s="115">
        <f t="shared" si="428"/>
        <v>4</v>
      </c>
      <c r="DE43" s="115">
        <f t="shared" si="428"/>
        <v>1</v>
      </c>
      <c r="DF43" s="241">
        <f t="shared" si="428"/>
        <v>5</v>
      </c>
      <c r="DG43" s="115">
        <f t="shared" si="428"/>
        <v>2</v>
      </c>
      <c r="DH43" s="115">
        <f t="shared" si="428"/>
        <v>1</v>
      </c>
      <c r="DI43" s="115">
        <f t="shared" si="428"/>
        <v>5</v>
      </c>
      <c r="DJ43" s="115">
        <f t="shared" si="428"/>
        <v>4</v>
      </c>
      <c r="DK43" s="241">
        <f t="shared" si="428"/>
        <v>3</v>
      </c>
      <c r="DM43" s="324">
        <f t="shared" si="428"/>
        <v>4</v>
      </c>
      <c r="DN43" s="321">
        <f t="shared" si="428"/>
        <v>1</v>
      </c>
      <c r="DO43" s="321">
        <f t="shared" si="428"/>
        <v>3</v>
      </c>
      <c r="DP43" s="241">
        <f t="shared" si="428"/>
        <v>2</v>
      </c>
      <c r="DQ43" s="324">
        <f t="shared" si="428"/>
        <v>2</v>
      </c>
      <c r="DR43" s="321">
        <f t="shared" si="428"/>
        <v>3</v>
      </c>
      <c r="DS43" s="321">
        <f t="shared" si="428"/>
        <v>4</v>
      </c>
      <c r="DT43" s="241">
        <f t="shared" si="428"/>
        <v>1</v>
      </c>
      <c r="DU43" s="324">
        <f t="shared" si="428"/>
        <v>3</v>
      </c>
      <c r="DV43" s="321">
        <f t="shared" si="428"/>
        <v>2</v>
      </c>
      <c r="DW43" s="321">
        <f t="shared" si="428"/>
        <v>4</v>
      </c>
      <c r="DX43" s="241">
        <f t="shared" si="428"/>
        <v>1</v>
      </c>
      <c r="DY43" s="324">
        <f t="shared" si="428"/>
        <v>2</v>
      </c>
      <c r="DZ43" s="321">
        <f t="shared" si="428"/>
        <v>1</v>
      </c>
      <c r="EA43" s="321">
        <f t="shared" si="428"/>
        <v>4</v>
      </c>
      <c r="EB43" s="241">
        <f t="shared" si="428"/>
        <v>3</v>
      </c>
      <c r="EC43" s="306"/>
      <c r="EJ43" s="64" t="str">
        <f t="shared" si="414"/>
        <v>'Distance Input'!</v>
      </c>
      <c r="EK43" s="87" t="s">
        <v>447</v>
      </c>
      <c r="EL43" s="87" t="s">
        <v>280</v>
      </c>
      <c r="EM43" s="64">
        <f t="shared" ca="1" si="306"/>
        <v>21</v>
      </c>
      <c r="EN43" s="64" t="str">
        <f t="shared" ca="1" si="13"/>
        <v>'Distance Input'!C23</v>
      </c>
      <c r="EO43" s="64" t="str">
        <f t="shared" si="415"/>
        <v>'Field'!</v>
      </c>
      <c r="EP43" s="87" t="s">
        <v>447</v>
      </c>
      <c r="EQ43" s="87" t="s">
        <v>165</v>
      </c>
      <c r="ER43" s="87" t="str">
        <f t="shared" ca="1" si="307"/>
        <v>-</v>
      </c>
      <c r="ES43" s="64" t="str">
        <f t="shared" ca="1" si="15"/>
        <v>-</v>
      </c>
      <c r="ET43" s="64" t="s">
        <v>458</v>
      </c>
      <c r="EW43" s="65">
        <v>11.45</v>
      </c>
    </row>
    <row r="44" spans="1:153" x14ac:dyDescent="0.35">
      <c r="A44" s="353" t="s">
        <v>184</v>
      </c>
      <c r="B44" s="64" t="s">
        <v>25</v>
      </c>
      <c r="C44" s="64" t="s">
        <v>9</v>
      </c>
      <c r="D44" s="66">
        <v>44</v>
      </c>
      <c r="F44" s="272">
        <v>0.51388888888888895</v>
      </c>
      <c r="G44" s="272">
        <v>0.51041666666666663</v>
      </c>
      <c r="I44" s="115">
        <f>I$11</f>
        <v>6</v>
      </c>
      <c r="J44" s="115">
        <f t="shared" ref="J44:BU44" si="429">J$11</f>
        <v>2</v>
      </c>
      <c r="K44" s="115">
        <f t="shared" si="429"/>
        <v>4</v>
      </c>
      <c r="L44" s="115">
        <f t="shared" si="429"/>
        <v>8</v>
      </c>
      <c r="M44" s="115">
        <f t="shared" si="429"/>
        <v>3</v>
      </c>
      <c r="N44" s="115">
        <f t="shared" si="429"/>
        <v>1</v>
      </c>
      <c r="O44" s="115">
        <f t="shared" si="429"/>
        <v>5</v>
      </c>
      <c r="P44" s="241">
        <f t="shared" si="429"/>
        <v>7</v>
      </c>
      <c r="Q44" s="115">
        <f>Q$11</f>
        <v>4</v>
      </c>
      <c r="R44" s="115">
        <f t="shared" si="429"/>
        <v>8</v>
      </c>
      <c r="S44" s="115">
        <f t="shared" si="429"/>
        <v>3</v>
      </c>
      <c r="T44" s="115">
        <f t="shared" si="429"/>
        <v>7</v>
      </c>
      <c r="U44" s="115">
        <f t="shared" si="429"/>
        <v>1</v>
      </c>
      <c r="V44" s="115">
        <f t="shared" si="429"/>
        <v>5</v>
      </c>
      <c r="W44" s="115">
        <f t="shared" si="429"/>
        <v>6</v>
      </c>
      <c r="X44" s="241">
        <f t="shared" si="429"/>
        <v>2</v>
      </c>
      <c r="Y44" s="115">
        <f>Y$11</f>
        <v>3</v>
      </c>
      <c r="Z44" s="115">
        <f t="shared" si="429"/>
        <v>1</v>
      </c>
      <c r="AA44" s="115">
        <f t="shared" si="429"/>
        <v>2</v>
      </c>
      <c r="AB44" s="115">
        <f t="shared" si="429"/>
        <v>6</v>
      </c>
      <c r="AC44" s="115">
        <f t="shared" si="429"/>
        <v>5</v>
      </c>
      <c r="AD44" s="115">
        <f t="shared" si="429"/>
        <v>7</v>
      </c>
      <c r="AE44" s="115">
        <f t="shared" si="429"/>
        <v>4</v>
      </c>
      <c r="AF44" s="241">
        <f t="shared" si="429"/>
        <v>8</v>
      </c>
      <c r="AG44" s="115">
        <f>AG$11</f>
        <v>5</v>
      </c>
      <c r="AH44" s="115">
        <f t="shared" si="429"/>
        <v>7</v>
      </c>
      <c r="AI44" s="115">
        <f t="shared" si="429"/>
        <v>6</v>
      </c>
      <c r="AJ44" s="115">
        <f t="shared" si="429"/>
        <v>4</v>
      </c>
      <c r="AK44" s="115">
        <f t="shared" si="429"/>
        <v>2</v>
      </c>
      <c r="AL44" s="115">
        <f t="shared" si="429"/>
        <v>8</v>
      </c>
      <c r="AM44" s="115">
        <f t="shared" si="429"/>
        <v>3</v>
      </c>
      <c r="AN44" s="241">
        <f t="shared" si="429"/>
        <v>1</v>
      </c>
      <c r="AP44" s="115">
        <f t="shared" si="429"/>
        <v>6</v>
      </c>
      <c r="AQ44" s="115">
        <f t="shared" si="429"/>
        <v>2</v>
      </c>
      <c r="AR44" s="115">
        <f t="shared" si="429"/>
        <v>4</v>
      </c>
      <c r="AS44" s="115">
        <f t="shared" si="429"/>
        <v>3</v>
      </c>
      <c r="AT44" s="115">
        <f t="shared" si="429"/>
        <v>1</v>
      </c>
      <c r="AU44" s="115">
        <f t="shared" si="429"/>
        <v>5</v>
      </c>
      <c r="AV44" s="241">
        <f t="shared" si="429"/>
        <v>7</v>
      </c>
      <c r="AW44" s="115">
        <f t="shared" si="429"/>
        <v>4</v>
      </c>
      <c r="AX44" s="115">
        <f t="shared" si="429"/>
        <v>3</v>
      </c>
      <c r="AY44" s="115">
        <f t="shared" si="429"/>
        <v>7</v>
      </c>
      <c r="AZ44" s="115">
        <f t="shared" si="429"/>
        <v>1</v>
      </c>
      <c r="BA44" s="115">
        <f t="shared" si="429"/>
        <v>5</v>
      </c>
      <c r="BB44" s="115">
        <f t="shared" si="429"/>
        <v>6</v>
      </c>
      <c r="BC44" s="241">
        <f t="shared" si="429"/>
        <v>2</v>
      </c>
      <c r="BD44" s="115">
        <f t="shared" si="429"/>
        <v>3</v>
      </c>
      <c r="BE44" s="115">
        <f t="shared" si="429"/>
        <v>1</v>
      </c>
      <c r="BF44" s="115">
        <f t="shared" si="429"/>
        <v>2</v>
      </c>
      <c r="BG44" s="115">
        <f t="shared" si="429"/>
        <v>6</v>
      </c>
      <c r="BH44" s="115">
        <f t="shared" si="429"/>
        <v>5</v>
      </c>
      <c r="BI44" s="115">
        <f t="shared" si="429"/>
        <v>7</v>
      </c>
      <c r="BJ44" s="241">
        <f t="shared" si="429"/>
        <v>4</v>
      </c>
      <c r="BK44" s="115">
        <f t="shared" si="429"/>
        <v>5</v>
      </c>
      <c r="BL44" s="115">
        <f t="shared" si="429"/>
        <v>7</v>
      </c>
      <c r="BM44" s="115">
        <f t="shared" si="429"/>
        <v>6</v>
      </c>
      <c r="BN44" s="115">
        <f t="shared" si="429"/>
        <v>4</v>
      </c>
      <c r="BO44" s="115">
        <f t="shared" si="429"/>
        <v>2</v>
      </c>
      <c r="BP44" s="115">
        <f t="shared" si="429"/>
        <v>3</v>
      </c>
      <c r="BQ44" s="241">
        <f t="shared" si="429"/>
        <v>1</v>
      </c>
      <c r="BS44" s="115">
        <f t="shared" si="429"/>
        <v>6</v>
      </c>
      <c r="BT44" s="115">
        <f t="shared" si="429"/>
        <v>2</v>
      </c>
      <c r="BU44" s="115">
        <f t="shared" si="429"/>
        <v>4</v>
      </c>
      <c r="BV44" s="115">
        <f t="shared" ref="BV44:CJ44" si="430">BV$11</f>
        <v>3</v>
      </c>
      <c r="BW44" s="115">
        <f t="shared" si="430"/>
        <v>1</v>
      </c>
      <c r="BX44" s="241">
        <f t="shared" si="430"/>
        <v>5</v>
      </c>
      <c r="BY44" s="115">
        <f t="shared" si="430"/>
        <v>4</v>
      </c>
      <c r="BZ44" s="115">
        <f t="shared" si="430"/>
        <v>3</v>
      </c>
      <c r="CA44" s="115">
        <f t="shared" si="430"/>
        <v>1</v>
      </c>
      <c r="CB44" s="115">
        <f t="shared" si="430"/>
        <v>5</v>
      </c>
      <c r="CC44" s="115">
        <f t="shared" si="430"/>
        <v>6</v>
      </c>
      <c r="CD44" s="241">
        <f t="shared" si="430"/>
        <v>2</v>
      </c>
      <c r="CE44" s="115">
        <f t="shared" si="430"/>
        <v>3</v>
      </c>
      <c r="CF44" s="115">
        <f t="shared" si="430"/>
        <v>1</v>
      </c>
      <c r="CG44" s="115">
        <f t="shared" si="430"/>
        <v>2</v>
      </c>
      <c r="CH44" s="115">
        <f t="shared" si="430"/>
        <v>6</v>
      </c>
      <c r="CI44" s="115">
        <f t="shared" si="430"/>
        <v>5</v>
      </c>
      <c r="CJ44" s="241">
        <f t="shared" si="430"/>
        <v>4</v>
      </c>
      <c r="CK44" s="115">
        <f t="shared" ref="CK44:CP44" si="431">CK$11</f>
        <v>5</v>
      </c>
      <c r="CL44" s="115">
        <f t="shared" si="431"/>
        <v>6</v>
      </c>
      <c r="CM44" s="115">
        <f t="shared" si="431"/>
        <v>4</v>
      </c>
      <c r="CN44" s="115">
        <f t="shared" si="431"/>
        <v>2</v>
      </c>
      <c r="CO44" s="115">
        <f t="shared" si="431"/>
        <v>3</v>
      </c>
      <c r="CP44" s="241">
        <f t="shared" si="431"/>
        <v>1</v>
      </c>
      <c r="CR44" s="115">
        <f t="shared" ref="CR44:EB44" si="432">CR$11</f>
        <v>2</v>
      </c>
      <c r="CS44" s="115">
        <f t="shared" si="432"/>
        <v>4</v>
      </c>
      <c r="CT44" s="115">
        <f t="shared" si="432"/>
        <v>3</v>
      </c>
      <c r="CU44" s="115">
        <f t="shared" si="432"/>
        <v>1</v>
      </c>
      <c r="CV44" s="241">
        <f t="shared" si="432"/>
        <v>5</v>
      </c>
      <c r="CW44" s="115">
        <f t="shared" si="432"/>
        <v>4</v>
      </c>
      <c r="CX44" s="115">
        <f t="shared" si="432"/>
        <v>3</v>
      </c>
      <c r="CY44" s="115">
        <f t="shared" si="432"/>
        <v>1</v>
      </c>
      <c r="CZ44" s="115">
        <f t="shared" si="432"/>
        <v>5</v>
      </c>
      <c r="DA44" s="241">
        <f t="shared" si="432"/>
        <v>2</v>
      </c>
      <c r="DB44" s="115">
        <f t="shared" si="432"/>
        <v>3</v>
      </c>
      <c r="DC44" s="115">
        <f t="shared" si="432"/>
        <v>1</v>
      </c>
      <c r="DD44" s="115">
        <f t="shared" si="432"/>
        <v>2</v>
      </c>
      <c r="DE44" s="115">
        <f t="shared" si="432"/>
        <v>5</v>
      </c>
      <c r="DF44" s="241">
        <f t="shared" si="432"/>
        <v>4</v>
      </c>
      <c r="DG44" s="115">
        <f t="shared" si="432"/>
        <v>5</v>
      </c>
      <c r="DH44" s="115">
        <f t="shared" si="432"/>
        <v>4</v>
      </c>
      <c r="DI44" s="115">
        <f t="shared" si="432"/>
        <v>2</v>
      </c>
      <c r="DJ44" s="115">
        <f t="shared" si="432"/>
        <v>3</v>
      </c>
      <c r="DK44" s="241">
        <f t="shared" si="432"/>
        <v>1</v>
      </c>
      <c r="DM44" s="324">
        <f t="shared" si="432"/>
        <v>2</v>
      </c>
      <c r="DN44" s="321">
        <f t="shared" si="432"/>
        <v>4</v>
      </c>
      <c r="DO44" s="321">
        <f t="shared" si="432"/>
        <v>3</v>
      </c>
      <c r="DP44" s="241">
        <f t="shared" si="432"/>
        <v>1</v>
      </c>
      <c r="DQ44" s="324">
        <f t="shared" si="432"/>
        <v>4</v>
      </c>
      <c r="DR44" s="321">
        <f t="shared" si="432"/>
        <v>3</v>
      </c>
      <c r="DS44" s="321">
        <f t="shared" si="432"/>
        <v>1</v>
      </c>
      <c r="DT44" s="241">
        <f t="shared" si="432"/>
        <v>2</v>
      </c>
      <c r="DU44" s="324">
        <f t="shared" si="432"/>
        <v>3</v>
      </c>
      <c r="DV44" s="321">
        <f t="shared" si="432"/>
        <v>1</v>
      </c>
      <c r="DW44" s="321">
        <f t="shared" si="432"/>
        <v>2</v>
      </c>
      <c r="DX44" s="241">
        <f t="shared" si="432"/>
        <v>4</v>
      </c>
      <c r="DY44" s="324">
        <f t="shared" si="432"/>
        <v>4</v>
      </c>
      <c r="DZ44" s="321">
        <f t="shared" si="432"/>
        <v>2</v>
      </c>
      <c r="EA44" s="321">
        <f t="shared" si="432"/>
        <v>3</v>
      </c>
      <c r="EB44" s="241">
        <f t="shared" si="432"/>
        <v>1</v>
      </c>
      <c r="EC44" s="306"/>
      <c r="EJ44" s="64" t="str">
        <f t="shared" si="414"/>
        <v>'Distance Input'!</v>
      </c>
      <c r="EK44" s="87" t="s">
        <v>448</v>
      </c>
      <c r="EL44" s="87" t="s">
        <v>166</v>
      </c>
      <c r="EM44" s="64">
        <f t="shared" ca="1" si="306"/>
        <v>21</v>
      </c>
      <c r="EN44" s="64" t="str">
        <f t="shared" ca="1" si="13"/>
        <v>'Distance Input'!J23</v>
      </c>
      <c r="EO44" s="64" t="str">
        <f t="shared" si="415"/>
        <v>'Field'!</v>
      </c>
      <c r="EP44" s="87" t="s">
        <v>447</v>
      </c>
      <c r="EQ44" s="87" t="s">
        <v>165</v>
      </c>
      <c r="ER44" s="87" t="str">
        <f t="shared" ca="1" si="307"/>
        <v>-</v>
      </c>
      <c r="ES44" s="64" t="str">
        <f t="shared" ca="1" si="15"/>
        <v>-</v>
      </c>
      <c r="ET44" s="64" t="s">
        <v>460</v>
      </c>
      <c r="EW44" s="65">
        <v>12.3</v>
      </c>
    </row>
    <row r="45" spans="1:153" x14ac:dyDescent="0.35">
      <c r="A45" s="353" t="s">
        <v>245</v>
      </c>
      <c r="B45" s="64" t="s">
        <v>22</v>
      </c>
      <c r="C45" s="64" t="s">
        <v>7</v>
      </c>
      <c r="D45" s="66">
        <v>45</v>
      </c>
      <c r="E45" s="66">
        <v>19</v>
      </c>
      <c r="F45" s="272">
        <v>0.46875</v>
      </c>
      <c r="G45" s="272">
        <v>0.54166666666666663</v>
      </c>
      <c r="I45" s="115">
        <f>I19</f>
        <v>4</v>
      </c>
      <c r="J45" s="115">
        <f t="shared" ref="J45:P45" si="433">J19</f>
        <v>2</v>
      </c>
      <c r="K45" s="115">
        <f t="shared" si="433"/>
        <v>8</v>
      </c>
      <c r="L45" s="115">
        <f t="shared" si="433"/>
        <v>3</v>
      </c>
      <c r="M45" s="115">
        <f t="shared" si="433"/>
        <v>1</v>
      </c>
      <c r="N45" s="115">
        <f t="shared" si="433"/>
        <v>7</v>
      </c>
      <c r="O45" s="115">
        <f t="shared" si="433"/>
        <v>5</v>
      </c>
      <c r="P45" s="241">
        <f t="shared" si="433"/>
        <v>6</v>
      </c>
      <c r="Q45" s="115">
        <f>Q19</f>
        <v>8</v>
      </c>
      <c r="R45" s="115">
        <f t="shared" ref="R45:X45" si="434">R19</f>
        <v>3</v>
      </c>
      <c r="S45" s="115">
        <f t="shared" si="434"/>
        <v>6</v>
      </c>
      <c r="T45" s="115">
        <f t="shared" si="434"/>
        <v>7</v>
      </c>
      <c r="U45" s="115">
        <f t="shared" si="434"/>
        <v>1</v>
      </c>
      <c r="V45" s="115">
        <f t="shared" si="434"/>
        <v>5</v>
      </c>
      <c r="W45" s="115">
        <f t="shared" si="434"/>
        <v>4</v>
      </c>
      <c r="X45" s="241">
        <f t="shared" si="434"/>
        <v>2</v>
      </c>
      <c r="Y45" s="115">
        <f>Y19</f>
        <v>1</v>
      </c>
      <c r="Z45" s="115">
        <f t="shared" ref="Z45:AF45" si="435">Z19</f>
        <v>7</v>
      </c>
      <c r="AA45" s="115">
        <f t="shared" si="435"/>
        <v>4</v>
      </c>
      <c r="AB45" s="115">
        <f t="shared" si="435"/>
        <v>2</v>
      </c>
      <c r="AC45" s="115">
        <f t="shared" si="435"/>
        <v>5</v>
      </c>
      <c r="AD45" s="115">
        <f t="shared" si="435"/>
        <v>6</v>
      </c>
      <c r="AE45" s="115">
        <f t="shared" si="435"/>
        <v>8</v>
      </c>
      <c r="AF45" s="241">
        <f t="shared" si="435"/>
        <v>3</v>
      </c>
      <c r="AG45" s="115">
        <f>AG19</f>
        <v>5</v>
      </c>
      <c r="AH45" s="115">
        <f t="shared" ref="AH45:AN45" si="436">AH19</f>
        <v>6</v>
      </c>
      <c r="AI45" s="115">
        <f t="shared" si="436"/>
        <v>3</v>
      </c>
      <c r="AJ45" s="115">
        <f t="shared" si="436"/>
        <v>2</v>
      </c>
      <c r="AK45" s="115">
        <f t="shared" si="436"/>
        <v>8</v>
      </c>
      <c r="AL45" s="115">
        <f t="shared" si="436"/>
        <v>4</v>
      </c>
      <c r="AM45" s="115">
        <f t="shared" si="436"/>
        <v>1</v>
      </c>
      <c r="AN45" s="241">
        <f t="shared" si="436"/>
        <v>7</v>
      </c>
      <c r="AP45" s="115">
        <f t="shared" ref="AP45:BQ45" si="437">AP19</f>
        <v>4</v>
      </c>
      <c r="AQ45" s="115">
        <f t="shared" si="437"/>
        <v>2</v>
      </c>
      <c r="AR45" s="115">
        <f t="shared" si="437"/>
        <v>3</v>
      </c>
      <c r="AS45" s="115">
        <f t="shared" si="437"/>
        <v>1</v>
      </c>
      <c r="AT45" s="115">
        <f t="shared" si="437"/>
        <v>7</v>
      </c>
      <c r="AU45" s="115">
        <f t="shared" si="437"/>
        <v>5</v>
      </c>
      <c r="AV45" s="241">
        <f t="shared" si="437"/>
        <v>6</v>
      </c>
      <c r="AW45" s="115">
        <f t="shared" si="437"/>
        <v>3</v>
      </c>
      <c r="AX45" s="115">
        <f t="shared" si="437"/>
        <v>6</v>
      </c>
      <c r="AY45" s="115">
        <f t="shared" si="437"/>
        <v>7</v>
      </c>
      <c r="AZ45" s="115">
        <f t="shared" si="437"/>
        <v>1</v>
      </c>
      <c r="BA45" s="115">
        <f t="shared" si="437"/>
        <v>5</v>
      </c>
      <c r="BB45" s="115">
        <f t="shared" si="437"/>
        <v>4</v>
      </c>
      <c r="BC45" s="241">
        <f t="shared" si="437"/>
        <v>2</v>
      </c>
      <c r="BD45" s="115">
        <f t="shared" si="437"/>
        <v>1</v>
      </c>
      <c r="BE45" s="115">
        <f t="shared" si="437"/>
        <v>7</v>
      </c>
      <c r="BF45" s="115">
        <f t="shared" si="437"/>
        <v>4</v>
      </c>
      <c r="BG45" s="115">
        <f t="shared" si="437"/>
        <v>2</v>
      </c>
      <c r="BH45" s="115">
        <f t="shared" si="437"/>
        <v>5</v>
      </c>
      <c r="BI45" s="115">
        <f t="shared" si="437"/>
        <v>6</v>
      </c>
      <c r="BJ45" s="241">
        <f t="shared" si="437"/>
        <v>3</v>
      </c>
      <c r="BK45" s="115">
        <f t="shared" si="437"/>
        <v>5</v>
      </c>
      <c r="BL45" s="115">
        <f t="shared" si="437"/>
        <v>6</v>
      </c>
      <c r="BM45" s="115">
        <f t="shared" si="437"/>
        <v>3</v>
      </c>
      <c r="BN45" s="115">
        <f t="shared" si="437"/>
        <v>2</v>
      </c>
      <c r="BO45" s="115">
        <f t="shared" si="437"/>
        <v>4</v>
      </c>
      <c r="BP45" s="115">
        <f t="shared" si="437"/>
        <v>1</v>
      </c>
      <c r="BQ45" s="241">
        <f t="shared" si="437"/>
        <v>7</v>
      </c>
      <c r="BS45" s="115">
        <f t="shared" ref="BS45:CJ45" si="438">BS19</f>
        <v>4</v>
      </c>
      <c r="BT45" s="115">
        <f t="shared" si="438"/>
        <v>2</v>
      </c>
      <c r="BU45" s="115">
        <f t="shared" si="438"/>
        <v>3</v>
      </c>
      <c r="BV45" s="115">
        <f t="shared" si="438"/>
        <v>1</v>
      </c>
      <c r="BW45" s="115">
        <f t="shared" si="438"/>
        <v>5</v>
      </c>
      <c r="BX45" s="241">
        <f t="shared" si="438"/>
        <v>6</v>
      </c>
      <c r="BY45" s="115">
        <f t="shared" si="438"/>
        <v>3</v>
      </c>
      <c r="BZ45" s="115">
        <f t="shared" si="438"/>
        <v>6</v>
      </c>
      <c r="CA45" s="115">
        <f t="shared" si="438"/>
        <v>1</v>
      </c>
      <c r="CB45" s="115">
        <f t="shared" si="438"/>
        <v>5</v>
      </c>
      <c r="CC45" s="115">
        <f t="shared" si="438"/>
        <v>4</v>
      </c>
      <c r="CD45" s="241">
        <f t="shared" si="438"/>
        <v>2</v>
      </c>
      <c r="CE45" s="115">
        <f t="shared" si="438"/>
        <v>1</v>
      </c>
      <c r="CF45" s="115">
        <f t="shared" si="438"/>
        <v>4</v>
      </c>
      <c r="CG45" s="115">
        <f t="shared" si="438"/>
        <v>2</v>
      </c>
      <c r="CH45" s="115">
        <f t="shared" si="438"/>
        <v>5</v>
      </c>
      <c r="CI45" s="115">
        <f t="shared" si="438"/>
        <v>6</v>
      </c>
      <c r="CJ45" s="241">
        <f t="shared" si="438"/>
        <v>3</v>
      </c>
      <c r="CK45" s="115">
        <f t="shared" ref="CK45:CP45" si="439">CK19</f>
        <v>5</v>
      </c>
      <c r="CL45" s="115">
        <f t="shared" si="439"/>
        <v>6</v>
      </c>
      <c r="CM45" s="115">
        <f t="shared" si="439"/>
        <v>3</v>
      </c>
      <c r="CN45" s="115">
        <f t="shared" si="439"/>
        <v>2</v>
      </c>
      <c r="CO45" s="115">
        <f t="shared" si="439"/>
        <v>4</v>
      </c>
      <c r="CP45" s="241">
        <f t="shared" si="439"/>
        <v>1</v>
      </c>
      <c r="CR45" s="115">
        <f t="shared" ref="CR45:DK45" si="440">CR19</f>
        <v>4</v>
      </c>
      <c r="CS45" s="115">
        <f t="shared" si="440"/>
        <v>2</v>
      </c>
      <c r="CT45" s="115">
        <f t="shared" si="440"/>
        <v>3</v>
      </c>
      <c r="CU45" s="115">
        <f t="shared" si="440"/>
        <v>1</v>
      </c>
      <c r="CV45" s="241">
        <f t="shared" si="440"/>
        <v>5</v>
      </c>
      <c r="CW45" s="115">
        <f t="shared" si="440"/>
        <v>3</v>
      </c>
      <c r="CX45" s="115">
        <f t="shared" si="440"/>
        <v>1</v>
      </c>
      <c r="CY45" s="115">
        <f t="shared" si="440"/>
        <v>5</v>
      </c>
      <c r="CZ45" s="115">
        <f t="shared" si="440"/>
        <v>4</v>
      </c>
      <c r="DA45" s="241">
        <f t="shared" si="440"/>
        <v>2</v>
      </c>
      <c r="DB45" s="115">
        <f t="shared" si="440"/>
        <v>1</v>
      </c>
      <c r="DC45" s="115">
        <f t="shared" si="440"/>
        <v>4</v>
      </c>
      <c r="DD45" s="115">
        <f t="shared" si="440"/>
        <v>2</v>
      </c>
      <c r="DE45" s="115">
        <f t="shared" si="440"/>
        <v>5</v>
      </c>
      <c r="DF45" s="241">
        <f t="shared" si="440"/>
        <v>3</v>
      </c>
      <c r="DG45" s="115">
        <f t="shared" si="440"/>
        <v>5</v>
      </c>
      <c r="DH45" s="115">
        <f t="shared" si="440"/>
        <v>3</v>
      </c>
      <c r="DI45" s="115">
        <f t="shared" si="440"/>
        <v>2</v>
      </c>
      <c r="DJ45" s="115">
        <f t="shared" si="440"/>
        <v>4</v>
      </c>
      <c r="DK45" s="241">
        <f t="shared" si="440"/>
        <v>1</v>
      </c>
      <c r="DM45" s="324">
        <f t="shared" ref="DM45:EB45" si="441">DM19</f>
        <v>4</v>
      </c>
      <c r="DN45" s="321">
        <f t="shared" si="441"/>
        <v>2</v>
      </c>
      <c r="DO45" s="321">
        <f t="shared" si="441"/>
        <v>3</v>
      </c>
      <c r="DP45" s="241">
        <f t="shared" si="441"/>
        <v>1</v>
      </c>
      <c r="DQ45" s="324">
        <f t="shared" si="441"/>
        <v>3</v>
      </c>
      <c r="DR45" s="321">
        <f t="shared" si="441"/>
        <v>1</v>
      </c>
      <c r="DS45" s="321">
        <f t="shared" si="441"/>
        <v>4</v>
      </c>
      <c r="DT45" s="241">
        <f t="shared" si="441"/>
        <v>2</v>
      </c>
      <c r="DU45" s="324">
        <f t="shared" si="441"/>
        <v>1</v>
      </c>
      <c r="DV45" s="321">
        <f t="shared" si="441"/>
        <v>4</v>
      </c>
      <c r="DW45" s="321">
        <f t="shared" si="441"/>
        <v>2</v>
      </c>
      <c r="DX45" s="241">
        <f t="shared" si="441"/>
        <v>3</v>
      </c>
      <c r="DY45" s="324">
        <f t="shared" si="441"/>
        <v>3</v>
      </c>
      <c r="DZ45" s="321">
        <f t="shared" si="441"/>
        <v>2</v>
      </c>
      <c r="EA45" s="321">
        <f t="shared" si="441"/>
        <v>4</v>
      </c>
      <c r="EB45" s="241">
        <f t="shared" si="441"/>
        <v>1</v>
      </c>
      <c r="EC45" s="306"/>
      <c r="EJ45" s="64" t="str">
        <f t="shared" si="414"/>
        <v>'Distance Input'!</v>
      </c>
      <c r="EK45" s="87" t="s">
        <v>449</v>
      </c>
      <c r="EL45" s="87" t="s">
        <v>101</v>
      </c>
      <c r="EM45" s="64">
        <f t="shared" ca="1" si="306"/>
        <v>21</v>
      </c>
      <c r="EN45" s="64" t="str">
        <f t="shared" ca="1" si="13"/>
        <v>'Distance Input'!Q23</v>
      </c>
      <c r="EO45" s="64" t="str">
        <f t="shared" si="415"/>
        <v>'Field'!</v>
      </c>
      <c r="EP45" s="87" t="s">
        <v>447</v>
      </c>
      <c r="EQ45" s="87" t="s">
        <v>165</v>
      </c>
      <c r="ER45" s="87" t="str">
        <f t="shared" ca="1" si="307"/>
        <v>-</v>
      </c>
      <c r="ES45" s="64" t="str">
        <f t="shared" ca="1" si="15"/>
        <v>-</v>
      </c>
      <c r="ET45" s="64" t="s">
        <v>474</v>
      </c>
      <c r="EW45" s="65">
        <v>13</v>
      </c>
    </row>
    <row r="46" spans="1:153" x14ac:dyDescent="0.35">
      <c r="A46" s="353" t="s">
        <v>181</v>
      </c>
      <c r="B46" s="64" t="s">
        <v>23</v>
      </c>
      <c r="C46" s="64" t="s">
        <v>6</v>
      </c>
      <c r="D46" s="66">
        <v>46</v>
      </c>
      <c r="E46" s="66">
        <v>96</v>
      </c>
      <c r="F46" s="272">
        <v>0.54166666666666663</v>
      </c>
      <c r="G46" s="272">
        <v>0.54166666666666663</v>
      </c>
      <c r="I46" s="115">
        <f>I$42</f>
        <v>1</v>
      </c>
      <c r="J46" s="115">
        <f t="shared" ref="J46:Z47" si="442">J$42</f>
        <v>2</v>
      </c>
      <c r="K46" s="115">
        <f t="shared" si="442"/>
        <v>6</v>
      </c>
      <c r="L46" s="115">
        <f t="shared" si="442"/>
        <v>7</v>
      </c>
      <c r="M46" s="115">
        <f t="shared" si="442"/>
        <v>3</v>
      </c>
      <c r="N46" s="115">
        <f t="shared" si="442"/>
        <v>8</v>
      </c>
      <c r="O46" s="115">
        <f t="shared" si="442"/>
        <v>4</v>
      </c>
      <c r="P46" s="241">
        <f t="shared" si="442"/>
        <v>5</v>
      </c>
      <c r="Q46" s="115">
        <f>Q$42</f>
        <v>6</v>
      </c>
      <c r="R46" s="115">
        <f t="shared" si="442"/>
        <v>7</v>
      </c>
      <c r="S46" s="115">
        <f t="shared" si="442"/>
        <v>4</v>
      </c>
      <c r="T46" s="115">
        <f t="shared" si="442"/>
        <v>8</v>
      </c>
      <c r="U46" s="115">
        <f t="shared" si="442"/>
        <v>5</v>
      </c>
      <c r="V46" s="115">
        <f t="shared" si="442"/>
        <v>3</v>
      </c>
      <c r="W46" s="115">
        <f t="shared" si="442"/>
        <v>1</v>
      </c>
      <c r="X46" s="241">
        <f t="shared" si="442"/>
        <v>2</v>
      </c>
      <c r="Y46" s="115">
        <f>Y$42</f>
        <v>3</v>
      </c>
      <c r="Z46" s="115">
        <f t="shared" si="442"/>
        <v>8</v>
      </c>
      <c r="AA46" s="115">
        <f t="shared" ref="Z46:AF47" si="443">AA$42</f>
        <v>5</v>
      </c>
      <c r="AB46" s="115">
        <f t="shared" si="443"/>
        <v>4</v>
      </c>
      <c r="AC46" s="115">
        <f t="shared" si="443"/>
        <v>1</v>
      </c>
      <c r="AD46" s="115">
        <f t="shared" si="443"/>
        <v>2</v>
      </c>
      <c r="AE46" s="115">
        <f t="shared" si="443"/>
        <v>6</v>
      </c>
      <c r="AF46" s="241">
        <f t="shared" si="443"/>
        <v>7</v>
      </c>
      <c r="AG46" s="115">
        <f>AG$42</f>
        <v>4</v>
      </c>
      <c r="AH46" s="115">
        <f t="shared" ref="AH46:AN47" si="444">AH$42</f>
        <v>5</v>
      </c>
      <c r="AI46" s="115">
        <f t="shared" si="444"/>
        <v>2</v>
      </c>
      <c r="AJ46" s="115">
        <f t="shared" si="444"/>
        <v>6</v>
      </c>
      <c r="AK46" s="115">
        <f t="shared" si="444"/>
        <v>7</v>
      </c>
      <c r="AL46" s="115">
        <f t="shared" si="444"/>
        <v>1</v>
      </c>
      <c r="AM46" s="115">
        <f t="shared" si="444"/>
        <v>3</v>
      </c>
      <c r="AN46" s="241">
        <f t="shared" si="444"/>
        <v>8</v>
      </c>
      <c r="AP46" s="115">
        <f t="shared" ref="AP46:BE47" si="445">AP$42</f>
        <v>1</v>
      </c>
      <c r="AQ46" s="115">
        <f t="shared" si="445"/>
        <v>2</v>
      </c>
      <c r="AR46" s="115">
        <f t="shared" si="445"/>
        <v>6</v>
      </c>
      <c r="AS46" s="115">
        <f t="shared" si="445"/>
        <v>7</v>
      </c>
      <c r="AT46" s="115">
        <f t="shared" si="445"/>
        <v>3</v>
      </c>
      <c r="AU46" s="115">
        <f t="shared" si="445"/>
        <v>4</v>
      </c>
      <c r="AV46" s="241">
        <f t="shared" si="445"/>
        <v>5</v>
      </c>
      <c r="AW46" s="115">
        <f t="shared" si="445"/>
        <v>6</v>
      </c>
      <c r="AX46" s="115">
        <f t="shared" si="445"/>
        <v>7</v>
      </c>
      <c r="AY46" s="115">
        <f t="shared" si="445"/>
        <v>4</v>
      </c>
      <c r="AZ46" s="115">
        <f t="shared" si="445"/>
        <v>5</v>
      </c>
      <c r="BA46" s="115">
        <f t="shared" si="445"/>
        <v>3</v>
      </c>
      <c r="BB46" s="115">
        <f t="shared" si="445"/>
        <v>1</v>
      </c>
      <c r="BC46" s="241">
        <f t="shared" si="445"/>
        <v>2</v>
      </c>
      <c r="BD46" s="115">
        <f t="shared" si="445"/>
        <v>3</v>
      </c>
      <c r="BE46" s="115">
        <f t="shared" si="445"/>
        <v>5</v>
      </c>
      <c r="BF46" s="115">
        <f t="shared" ref="BD46:BQ47" si="446">BF$42</f>
        <v>4</v>
      </c>
      <c r="BG46" s="115">
        <f t="shared" si="446"/>
        <v>1</v>
      </c>
      <c r="BH46" s="115">
        <f t="shared" si="446"/>
        <v>2</v>
      </c>
      <c r="BI46" s="115">
        <f t="shared" si="446"/>
        <v>6</v>
      </c>
      <c r="BJ46" s="241">
        <f t="shared" si="446"/>
        <v>7</v>
      </c>
      <c r="BK46" s="115">
        <f t="shared" si="446"/>
        <v>4</v>
      </c>
      <c r="BL46" s="115">
        <f t="shared" si="446"/>
        <v>5</v>
      </c>
      <c r="BM46" s="115">
        <f t="shared" si="446"/>
        <v>2</v>
      </c>
      <c r="BN46" s="115">
        <f t="shared" si="446"/>
        <v>6</v>
      </c>
      <c r="BO46" s="115">
        <f t="shared" si="446"/>
        <v>7</v>
      </c>
      <c r="BP46" s="115">
        <f t="shared" si="446"/>
        <v>1</v>
      </c>
      <c r="BQ46" s="241">
        <f t="shared" si="446"/>
        <v>3</v>
      </c>
      <c r="BS46" s="115">
        <f t="shared" ref="BS46:CH47" si="447">BS$42</f>
        <v>1</v>
      </c>
      <c r="BT46" s="115">
        <f t="shared" si="447"/>
        <v>2</v>
      </c>
      <c r="BU46" s="115">
        <f t="shared" si="447"/>
        <v>6</v>
      </c>
      <c r="BV46" s="115">
        <f t="shared" si="447"/>
        <v>3</v>
      </c>
      <c r="BW46" s="115">
        <f t="shared" si="447"/>
        <v>4</v>
      </c>
      <c r="BX46" s="241">
        <f t="shared" si="447"/>
        <v>5</v>
      </c>
      <c r="BY46" s="115">
        <f t="shared" si="447"/>
        <v>6</v>
      </c>
      <c r="BZ46" s="115">
        <f t="shared" si="447"/>
        <v>4</v>
      </c>
      <c r="CA46" s="115">
        <f t="shared" si="447"/>
        <v>5</v>
      </c>
      <c r="CB46" s="115">
        <f t="shared" si="447"/>
        <v>3</v>
      </c>
      <c r="CC46" s="115">
        <f t="shared" si="447"/>
        <v>1</v>
      </c>
      <c r="CD46" s="241">
        <f t="shared" si="447"/>
        <v>2</v>
      </c>
      <c r="CE46" s="115">
        <f t="shared" si="447"/>
        <v>3</v>
      </c>
      <c r="CF46" s="115">
        <f t="shared" si="447"/>
        <v>5</v>
      </c>
      <c r="CG46" s="115">
        <f t="shared" si="447"/>
        <v>4</v>
      </c>
      <c r="CH46" s="115">
        <f t="shared" si="447"/>
        <v>1</v>
      </c>
      <c r="CI46" s="115">
        <f t="shared" ref="CE46:CJ47" si="448">CI$42</f>
        <v>2</v>
      </c>
      <c r="CJ46" s="241">
        <f t="shared" si="448"/>
        <v>6</v>
      </c>
      <c r="CK46" s="115">
        <f t="shared" ref="CK46:CP47" si="449">CK$42</f>
        <v>4</v>
      </c>
      <c r="CL46" s="115">
        <f t="shared" si="449"/>
        <v>5</v>
      </c>
      <c r="CM46" s="115">
        <f t="shared" si="449"/>
        <v>2</v>
      </c>
      <c r="CN46" s="115">
        <f t="shared" si="449"/>
        <v>6</v>
      </c>
      <c r="CO46" s="115">
        <f t="shared" si="449"/>
        <v>1</v>
      </c>
      <c r="CP46" s="241">
        <f t="shared" si="449"/>
        <v>3</v>
      </c>
      <c r="CR46" s="115">
        <f t="shared" ref="CR46:DG47" si="450">CR$42</f>
        <v>1</v>
      </c>
      <c r="CS46" s="115">
        <f t="shared" si="450"/>
        <v>2</v>
      </c>
      <c r="CT46" s="115">
        <f t="shared" si="450"/>
        <v>3</v>
      </c>
      <c r="CU46" s="115">
        <f t="shared" si="450"/>
        <v>4</v>
      </c>
      <c r="CV46" s="241">
        <f t="shared" si="450"/>
        <v>5</v>
      </c>
      <c r="CW46" s="115">
        <f t="shared" si="450"/>
        <v>4</v>
      </c>
      <c r="CX46" s="115">
        <f t="shared" si="450"/>
        <v>5</v>
      </c>
      <c r="CY46" s="115">
        <f t="shared" si="450"/>
        <v>3</v>
      </c>
      <c r="CZ46" s="115">
        <f t="shared" si="450"/>
        <v>1</v>
      </c>
      <c r="DA46" s="241">
        <f t="shared" si="450"/>
        <v>2</v>
      </c>
      <c r="DB46" s="115">
        <f t="shared" si="450"/>
        <v>3</v>
      </c>
      <c r="DC46" s="115">
        <f t="shared" si="450"/>
        <v>5</v>
      </c>
      <c r="DD46" s="115">
        <f t="shared" si="450"/>
        <v>4</v>
      </c>
      <c r="DE46" s="115">
        <f t="shared" si="450"/>
        <v>1</v>
      </c>
      <c r="DF46" s="241">
        <f t="shared" si="450"/>
        <v>2</v>
      </c>
      <c r="DG46" s="115">
        <f t="shared" si="450"/>
        <v>4</v>
      </c>
      <c r="DH46" s="115">
        <f t="shared" ref="DG46:DK47" si="451">DH$42</f>
        <v>5</v>
      </c>
      <c r="DI46" s="115">
        <f t="shared" si="451"/>
        <v>2</v>
      </c>
      <c r="DJ46" s="115">
        <f t="shared" si="451"/>
        <v>1</v>
      </c>
      <c r="DK46" s="241">
        <f t="shared" si="451"/>
        <v>3</v>
      </c>
      <c r="DM46" s="324">
        <f t="shared" ref="DM46:DY47" si="452">DM$42</f>
        <v>1</v>
      </c>
      <c r="DN46" s="321">
        <f t="shared" si="452"/>
        <v>2</v>
      </c>
      <c r="DO46" s="321">
        <f t="shared" si="452"/>
        <v>3</v>
      </c>
      <c r="DP46" s="241">
        <f t="shared" si="452"/>
        <v>4</v>
      </c>
      <c r="DQ46" s="324">
        <f t="shared" si="452"/>
        <v>4</v>
      </c>
      <c r="DR46" s="321">
        <f t="shared" si="452"/>
        <v>3</v>
      </c>
      <c r="DS46" s="321">
        <f t="shared" si="452"/>
        <v>1</v>
      </c>
      <c r="DT46" s="241">
        <f t="shared" si="452"/>
        <v>2</v>
      </c>
      <c r="DU46" s="324">
        <f t="shared" si="452"/>
        <v>3</v>
      </c>
      <c r="DV46" s="321">
        <f t="shared" si="452"/>
        <v>4</v>
      </c>
      <c r="DW46" s="321">
        <f t="shared" si="452"/>
        <v>1</v>
      </c>
      <c r="DX46" s="241">
        <f t="shared" si="452"/>
        <v>2</v>
      </c>
      <c r="DY46" s="324">
        <f t="shared" si="452"/>
        <v>4</v>
      </c>
      <c r="DZ46" s="321">
        <f t="shared" ref="DY46:EB47" si="453">DZ$42</f>
        <v>2</v>
      </c>
      <c r="EA46" s="321">
        <f t="shared" si="453"/>
        <v>1</v>
      </c>
      <c r="EB46" s="241">
        <f t="shared" si="453"/>
        <v>3</v>
      </c>
      <c r="EC46" s="306"/>
      <c r="EJ46" s="64" t="str">
        <f>"'Height Input'!"</f>
        <v>'Height Input'!</v>
      </c>
      <c r="EK46" s="87" t="s">
        <v>450</v>
      </c>
      <c r="EL46" s="87" t="s">
        <v>167</v>
      </c>
      <c r="EM46" s="64">
        <f t="shared" ca="1" si="306"/>
        <v>2</v>
      </c>
      <c r="EN46" s="64" t="str">
        <f t="shared" ca="1" si="13"/>
        <v>'Height Input'!K4</v>
      </c>
      <c r="EO46" s="64" t="str">
        <f t="shared" si="415"/>
        <v>'Field'!</v>
      </c>
      <c r="EP46" s="87" t="s">
        <v>447</v>
      </c>
      <c r="EQ46" s="87" t="s">
        <v>165</v>
      </c>
      <c r="ER46" s="87" t="str">
        <f t="shared" ca="1" si="307"/>
        <v>-</v>
      </c>
      <c r="ES46" s="64" t="str">
        <f t="shared" ca="1" si="15"/>
        <v>-</v>
      </c>
      <c r="ET46" s="64" t="s">
        <v>463</v>
      </c>
      <c r="EW46" s="65">
        <v>13</v>
      </c>
    </row>
    <row r="47" spans="1:153" x14ac:dyDescent="0.35">
      <c r="A47" s="353" t="s">
        <v>185</v>
      </c>
      <c r="B47" s="64" t="s">
        <v>23</v>
      </c>
      <c r="C47" s="64" t="s">
        <v>4</v>
      </c>
      <c r="D47" s="66">
        <v>47</v>
      </c>
      <c r="E47" s="66">
        <v>46</v>
      </c>
      <c r="F47" s="272">
        <v>0.48958333333333331</v>
      </c>
      <c r="G47" s="272">
        <v>0.54166666666666663</v>
      </c>
      <c r="I47" s="115">
        <f>I$42</f>
        <v>1</v>
      </c>
      <c r="J47" s="115">
        <f t="shared" si="442"/>
        <v>2</v>
      </c>
      <c r="K47" s="115">
        <f t="shared" si="442"/>
        <v>6</v>
      </c>
      <c r="L47" s="115">
        <f t="shared" si="442"/>
        <v>7</v>
      </c>
      <c r="M47" s="115">
        <f t="shared" si="442"/>
        <v>3</v>
      </c>
      <c r="N47" s="115">
        <f t="shared" si="442"/>
        <v>8</v>
      </c>
      <c r="O47" s="115">
        <f t="shared" si="442"/>
        <v>4</v>
      </c>
      <c r="P47" s="241">
        <f t="shared" si="442"/>
        <v>5</v>
      </c>
      <c r="Q47" s="115">
        <f>Q$42</f>
        <v>6</v>
      </c>
      <c r="R47" s="115">
        <f t="shared" si="442"/>
        <v>7</v>
      </c>
      <c r="S47" s="115">
        <f t="shared" si="442"/>
        <v>4</v>
      </c>
      <c r="T47" s="115">
        <f t="shared" si="442"/>
        <v>8</v>
      </c>
      <c r="U47" s="115">
        <f t="shared" si="442"/>
        <v>5</v>
      </c>
      <c r="V47" s="115">
        <f t="shared" si="442"/>
        <v>3</v>
      </c>
      <c r="W47" s="115">
        <f t="shared" si="442"/>
        <v>1</v>
      </c>
      <c r="X47" s="241">
        <f t="shared" si="442"/>
        <v>2</v>
      </c>
      <c r="Y47" s="115">
        <f>Y$42</f>
        <v>3</v>
      </c>
      <c r="Z47" s="115">
        <f t="shared" si="443"/>
        <v>8</v>
      </c>
      <c r="AA47" s="115">
        <f t="shared" si="443"/>
        <v>5</v>
      </c>
      <c r="AB47" s="115">
        <f t="shared" si="443"/>
        <v>4</v>
      </c>
      <c r="AC47" s="115">
        <f t="shared" si="443"/>
        <v>1</v>
      </c>
      <c r="AD47" s="115">
        <f t="shared" si="443"/>
        <v>2</v>
      </c>
      <c r="AE47" s="115">
        <f t="shared" si="443"/>
        <v>6</v>
      </c>
      <c r="AF47" s="241">
        <f t="shared" si="443"/>
        <v>7</v>
      </c>
      <c r="AG47" s="115">
        <f>AG$42</f>
        <v>4</v>
      </c>
      <c r="AH47" s="115">
        <f t="shared" si="444"/>
        <v>5</v>
      </c>
      <c r="AI47" s="115">
        <f t="shared" si="444"/>
        <v>2</v>
      </c>
      <c r="AJ47" s="115">
        <f t="shared" si="444"/>
        <v>6</v>
      </c>
      <c r="AK47" s="115">
        <f t="shared" si="444"/>
        <v>7</v>
      </c>
      <c r="AL47" s="115">
        <f t="shared" si="444"/>
        <v>1</v>
      </c>
      <c r="AM47" s="115">
        <f t="shared" si="444"/>
        <v>3</v>
      </c>
      <c r="AN47" s="241">
        <f t="shared" si="444"/>
        <v>8</v>
      </c>
      <c r="AP47" s="115">
        <f t="shared" si="445"/>
        <v>1</v>
      </c>
      <c r="AQ47" s="115">
        <f t="shared" si="445"/>
        <v>2</v>
      </c>
      <c r="AR47" s="115">
        <f t="shared" si="445"/>
        <v>6</v>
      </c>
      <c r="AS47" s="115">
        <f t="shared" si="445"/>
        <v>7</v>
      </c>
      <c r="AT47" s="115">
        <f t="shared" si="445"/>
        <v>3</v>
      </c>
      <c r="AU47" s="115">
        <f t="shared" si="445"/>
        <v>4</v>
      </c>
      <c r="AV47" s="241">
        <f t="shared" si="445"/>
        <v>5</v>
      </c>
      <c r="AW47" s="115">
        <f t="shared" si="445"/>
        <v>6</v>
      </c>
      <c r="AX47" s="115">
        <f t="shared" si="445"/>
        <v>7</v>
      </c>
      <c r="AY47" s="115">
        <f t="shared" si="445"/>
        <v>4</v>
      </c>
      <c r="AZ47" s="115">
        <f t="shared" si="445"/>
        <v>5</v>
      </c>
      <c r="BA47" s="115">
        <f t="shared" si="445"/>
        <v>3</v>
      </c>
      <c r="BB47" s="115">
        <f t="shared" si="445"/>
        <v>1</v>
      </c>
      <c r="BC47" s="241">
        <f t="shared" si="445"/>
        <v>2</v>
      </c>
      <c r="BD47" s="115">
        <f t="shared" si="446"/>
        <v>3</v>
      </c>
      <c r="BE47" s="115">
        <f t="shared" si="446"/>
        <v>5</v>
      </c>
      <c r="BF47" s="115">
        <f t="shared" si="446"/>
        <v>4</v>
      </c>
      <c r="BG47" s="115">
        <f t="shared" si="446"/>
        <v>1</v>
      </c>
      <c r="BH47" s="115">
        <f t="shared" si="446"/>
        <v>2</v>
      </c>
      <c r="BI47" s="115">
        <f t="shared" si="446"/>
        <v>6</v>
      </c>
      <c r="BJ47" s="241">
        <f t="shared" si="446"/>
        <v>7</v>
      </c>
      <c r="BK47" s="115">
        <f t="shared" si="446"/>
        <v>4</v>
      </c>
      <c r="BL47" s="115">
        <f t="shared" si="446"/>
        <v>5</v>
      </c>
      <c r="BM47" s="115">
        <f t="shared" si="446"/>
        <v>2</v>
      </c>
      <c r="BN47" s="115">
        <f t="shared" si="446"/>
        <v>6</v>
      </c>
      <c r="BO47" s="115">
        <f t="shared" si="446"/>
        <v>7</v>
      </c>
      <c r="BP47" s="115">
        <f t="shared" si="446"/>
        <v>1</v>
      </c>
      <c r="BQ47" s="241">
        <f t="shared" si="446"/>
        <v>3</v>
      </c>
      <c r="BS47" s="115">
        <f t="shared" si="447"/>
        <v>1</v>
      </c>
      <c r="BT47" s="115">
        <f t="shared" si="447"/>
        <v>2</v>
      </c>
      <c r="BU47" s="115">
        <f t="shared" si="447"/>
        <v>6</v>
      </c>
      <c r="BV47" s="115">
        <f t="shared" si="447"/>
        <v>3</v>
      </c>
      <c r="BW47" s="115">
        <f t="shared" si="447"/>
        <v>4</v>
      </c>
      <c r="BX47" s="241">
        <f t="shared" si="447"/>
        <v>5</v>
      </c>
      <c r="BY47" s="115">
        <f t="shared" si="447"/>
        <v>6</v>
      </c>
      <c r="BZ47" s="115">
        <f t="shared" si="447"/>
        <v>4</v>
      </c>
      <c r="CA47" s="115">
        <f t="shared" si="447"/>
        <v>5</v>
      </c>
      <c r="CB47" s="115">
        <f t="shared" si="447"/>
        <v>3</v>
      </c>
      <c r="CC47" s="115">
        <f t="shared" si="447"/>
        <v>1</v>
      </c>
      <c r="CD47" s="241">
        <f t="shared" si="447"/>
        <v>2</v>
      </c>
      <c r="CE47" s="115">
        <f t="shared" si="448"/>
        <v>3</v>
      </c>
      <c r="CF47" s="115">
        <f t="shared" si="448"/>
        <v>5</v>
      </c>
      <c r="CG47" s="115">
        <f t="shared" si="448"/>
        <v>4</v>
      </c>
      <c r="CH47" s="115">
        <f t="shared" si="448"/>
        <v>1</v>
      </c>
      <c r="CI47" s="115">
        <f t="shared" si="448"/>
        <v>2</v>
      </c>
      <c r="CJ47" s="241">
        <f t="shared" si="448"/>
        <v>6</v>
      </c>
      <c r="CK47" s="115">
        <f t="shared" si="449"/>
        <v>4</v>
      </c>
      <c r="CL47" s="115">
        <f t="shared" si="449"/>
        <v>5</v>
      </c>
      <c r="CM47" s="115">
        <f t="shared" si="449"/>
        <v>2</v>
      </c>
      <c r="CN47" s="115">
        <f t="shared" si="449"/>
        <v>6</v>
      </c>
      <c r="CO47" s="115">
        <f t="shared" si="449"/>
        <v>1</v>
      </c>
      <c r="CP47" s="241">
        <f t="shared" si="449"/>
        <v>3</v>
      </c>
      <c r="CR47" s="115">
        <f t="shared" si="450"/>
        <v>1</v>
      </c>
      <c r="CS47" s="115">
        <f t="shared" si="450"/>
        <v>2</v>
      </c>
      <c r="CT47" s="115">
        <f t="shared" si="450"/>
        <v>3</v>
      </c>
      <c r="CU47" s="115">
        <f t="shared" si="450"/>
        <v>4</v>
      </c>
      <c r="CV47" s="241">
        <f t="shared" si="450"/>
        <v>5</v>
      </c>
      <c r="CW47" s="115">
        <f t="shared" si="450"/>
        <v>4</v>
      </c>
      <c r="CX47" s="115">
        <f t="shared" si="450"/>
        <v>5</v>
      </c>
      <c r="CY47" s="115">
        <f t="shared" si="450"/>
        <v>3</v>
      </c>
      <c r="CZ47" s="115">
        <f t="shared" si="450"/>
        <v>1</v>
      </c>
      <c r="DA47" s="241">
        <f t="shared" si="450"/>
        <v>2</v>
      </c>
      <c r="DB47" s="115">
        <f t="shared" si="450"/>
        <v>3</v>
      </c>
      <c r="DC47" s="115">
        <f t="shared" si="450"/>
        <v>5</v>
      </c>
      <c r="DD47" s="115">
        <f t="shared" si="450"/>
        <v>4</v>
      </c>
      <c r="DE47" s="115">
        <f t="shared" si="450"/>
        <v>1</v>
      </c>
      <c r="DF47" s="241">
        <f t="shared" si="450"/>
        <v>2</v>
      </c>
      <c r="DG47" s="115">
        <f t="shared" si="451"/>
        <v>4</v>
      </c>
      <c r="DH47" s="115">
        <f t="shared" si="451"/>
        <v>5</v>
      </c>
      <c r="DI47" s="115">
        <f t="shared" si="451"/>
        <v>2</v>
      </c>
      <c r="DJ47" s="115">
        <f t="shared" si="451"/>
        <v>1</v>
      </c>
      <c r="DK47" s="241">
        <f t="shared" si="451"/>
        <v>3</v>
      </c>
      <c r="DM47" s="324">
        <f t="shared" si="452"/>
        <v>1</v>
      </c>
      <c r="DN47" s="321">
        <f t="shared" si="452"/>
        <v>2</v>
      </c>
      <c r="DO47" s="321">
        <f t="shared" si="452"/>
        <v>3</v>
      </c>
      <c r="DP47" s="241">
        <f t="shared" si="452"/>
        <v>4</v>
      </c>
      <c r="DQ47" s="324">
        <f t="shared" si="452"/>
        <v>4</v>
      </c>
      <c r="DR47" s="321">
        <f t="shared" si="452"/>
        <v>3</v>
      </c>
      <c r="DS47" s="321">
        <f t="shared" si="452"/>
        <v>1</v>
      </c>
      <c r="DT47" s="241">
        <f t="shared" si="452"/>
        <v>2</v>
      </c>
      <c r="DU47" s="324">
        <f t="shared" si="452"/>
        <v>3</v>
      </c>
      <c r="DV47" s="321">
        <f t="shared" si="452"/>
        <v>4</v>
      </c>
      <c r="DW47" s="321">
        <f t="shared" si="452"/>
        <v>1</v>
      </c>
      <c r="DX47" s="241">
        <f t="shared" si="452"/>
        <v>2</v>
      </c>
      <c r="DY47" s="324">
        <f t="shared" si="453"/>
        <v>4</v>
      </c>
      <c r="DZ47" s="321">
        <f t="shared" si="453"/>
        <v>2</v>
      </c>
      <c r="EA47" s="321">
        <f t="shared" si="453"/>
        <v>1</v>
      </c>
      <c r="EB47" s="241">
        <f t="shared" si="453"/>
        <v>3</v>
      </c>
      <c r="EC47" s="306"/>
      <c r="EJ47" s="64" t="str">
        <f>"'Height Input'!"</f>
        <v>'Height Input'!</v>
      </c>
      <c r="EK47" s="87" t="s">
        <v>451</v>
      </c>
      <c r="EL47" s="87" t="s">
        <v>281</v>
      </c>
      <c r="EM47" s="64">
        <f t="shared" ca="1" si="306"/>
        <v>2</v>
      </c>
      <c r="EN47" s="64" t="str">
        <f t="shared" ca="1" si="13"/>
        <v>'Height Input'!S4</v>
      </c>
      <c r="EO47" s="64" t="str">
        <f t="shared" si="415"/>
        <v>'Field'!</v>
      </c>
      <c r="EP47" s="87" t="s">
        <v>447</v>
      </c>
      <c r="EQ47" s="87" t="s">
        <v>165</v>
      </c>
      <c r="ER47" s="87" t="str">
        <f t="shared" ca="1" si="307"/>
        <v>-</v>
      </c>
      <c r="ES47" s="64" t="str">
        <f t="shared" ca="1" si="15"/>
        <v>-</v>
      </c>
      <c r="ET47" s="64" t="s">
        <v>464</v>
      </c>
      <c r="EW47" s="65">
        <v>13</v>
      </c>
    </row>
    <row r="48" spans="1:153" x14ac:dyDescent="0.35">
      <c r="A48" s="353" t="s">
        <v>186</v>
      </c>
      <c r="B48" s="64" t="s">
        <v>27</v>
      </c>
      <c r="C48" s="64" t="s">
        <v>9</v>
      </c>
      <c r="D48" s="66">
        <v>48</v>
      </c>
      <c r="F48" s="272">
        <v>0.52083333333333337</v>
      </c>
      <c r="G48" s="272">
        <v>0.54166666666666663</v>
      </c>
      <c r="I48" s="115">
        <f>I7</f>
        <v>3</v>
      </c>
      <c r="J48" s="115">
        <f t="shared" ref="J48:P48" si="454">J7</f>
        <v>8</v>
      </c>
      <c r="K48" s="115">
        <f t="shared" si="454"/>
        <v>2</v>
      </c>
      <c r="L48" s="115">
        <f t="shared" si="454"/>
        <v>6</v>
      </c>
      <c r="M48" s="115">
        <f t="shared" si="454"/>
        <v>1</v>
      </c>
      <c r="N48" s="115">
        <f t="shared" si="454"/>
        <v>5</v>
      </c>
      <c r="O48" s="115">
        <f t="shared" si="454"/>
        <v>4</v>
      </c>
      <c r="P48" s="241">
        <f t="shared" si="454"/>
        <v>7</v>
      </c>
      <c r="Q48" s="115">
        <f>Q7</f>
        <v>2</v>
      </c>
      <c r="R48" s="115">
        <f t="shared" ref="R48:X48" si="455">R7</f>
        <v>6</v>
      </c>
      <c r="S48" s="115">
        <f t="shared" si="455"/>
        <v>7</v>
      </c>
      <c r="T48" s="115">
        <f t="shared" si="455"/>
        <v>5</v>
      </c>
      <c r="U48" s="115">
        <f t="shared" si="455"/>
        <v>1</v>
      </c>
      <c r="V48" s="115">
        <f t="shared" si="455"/>
        <v>4</v>
      </c>
      <c r="W48" s="115">
        <f t="shared" si="455"/>
        <v>3</v>
      </c>
      <c r="X48" s="241">
        <f t="shared" si="455"/>
        <v>8</v>
      </c>
      <c r="Y48" s="115">
        <f>Y7</f>
        <v>1</v>
      </c>
      <c r="Z48" s="115">
        <f t="shared" ref="Z48:AF48" si="456">Z7</f>
        <v>5</v>
      </c>
      <c r="AA48" s="115">
        <f t="shared" si="456"/>
        <v>3</v>
      </c>
      <c r="AB48" s="115">
        <f t="shared" si="456"/>
        <v>7</v>
      </c>
      <c r="AC48" s="115">
        <f t="shared" si="456"/>
        <v>4</v>
      </c>
      <c r="AD48" s="115">
        <f t="shared" si="456"/>
        <v>8</v>
      </c>
      <c r="AE48" s="115">
        <f t="shared" si="456"/>
        <v>2</v>
      </c>
      <c r="AF48" s="241">
        <f t="shared" si="456"/>
        <v>6</v>
      </c>
      <c r="AG48" s="115">
        <f>AG7</f>
        <v>4</v>
      </c>
      <c r="AH48" s="115">
        <f t="shared" ref="AH48:AN48" si="457">AH7</f>
        <v>7</v>
      </c>
      <c r="AI48" s="115">
        <f t="shared" si="457"/>
        <v>2</v>
      </c>
      <c r="AJ48" s="115">
        <f t="shared" si="457"/>
        <v>8</v>
      </c>
      <c r="AK48" s="115">
        <f t="shared" si="457"/>
        <v>3</v>
      </c>
      <c r="AL48" s="115">
        <f t="shared" si="457"/>
        <v>6</v>
      </c>
      <c r="AM48" s="115">
        <f t="shared" si="457"/>
        <v>1</v>
      </c>
      <c r="AN48" s="241">
        <f t="shared" si="457"/>
        <v>5</v>
      </c>
      <c r="AP48" s="115">
        <f t="shared" ref="AP48:BQ48" si="458">AP7</f>
        <v>3</v>
      </c>
      <c r="AQ48" s="115">
        <f t="shared" si="458"/>
        <v>2</v>
      </c>
      <c r="AR48" s="115">
        <f t="shared" si="458"/>
        <v>6</v>
      </c>
      <c r="AS48" s="115">
        <f t="shared" si="458"/>
        <v>1</v>
      </c>
      <c r="AT48" s="115">
        <f t="shared" si="458"/>
        <v>5</v>
      </c>
      <c r="AU48" s="115">
        <f t="shared" si="458"/>
        <v>4</v>
      </c>
      <c r="AV48" s="241">
        <f t="shared" si="458"/>
        <v>7</v>
      </c>
      <c r="AW48" s="115">
        <f t="shared" si="458"/>
        <v>2</v>
      </c>
      <c r="AX48" s="115">
        <f t="shared" si="458"/>
        <v>6</v>
      </c>
      <c r="AY48" s="115">
        <f t="shared" si="458"/>
        <v>7</v>
      </c>
      <c r="AZ48" s="115">
        <f t="shared" si="458"/>
        <v>5</v>
      </c>
      <c r="BA48" s="115">
        <f t="shared" si="458"/>
        <v>1</v>
      </c>
      <c r="BB48" s="115">
        <f t="shared" si="458"/>
        <v>4</v>
      </c>
      <c r="BC48" s="241">
        <f t="shared" si="458"/>
        <v>3</v>
      </c>
      <c r="BD48" s="115">
        <f t="shared" si="458"/>
        <v>1</v>
      </c>
      <c r="BE48" s="115">
        <f t="shared" si="458"/>
        <v>5</v>
      </c>
      <c r="BF48" s="115">
        <f t="shared" si="458"/>
        <v>3</v>
      </c>
      <c r="BG48" s="115">
        <f t="shared" si="458"/>
        <v>7</v>
      </c>
      <c r="BH48" s="115">
        <f t="shared" si="458"/>
        <v>4</v>
      </c>
      <c r="BI48" s="115">
        <f t="shared" si="458"/>
        <v>2</v>
      </c>
      <c r="BJ48" s="241">
        <f t="shared" si="458"/>
        <v>6</v>
      </c>
      <c r="BK48" s="115">
        <f t="shared" si="458"/>
        <v>4</v>
      </c>
      <c r="BL48" s="115">
        <f t="shared" si="458"/>
        <v>7</v>
      </c>
      <c r="BM48" s="115">
        <f t="shared" si="458"/>
        <v>2</v>
      </c>
      <c r="BN48" s="115">
        <f t="shared" si="458"/>
        <v>3</v>
      </c>
      <c r="BO48" s="115">
        <f t="shared" si="458"/>
        <v>6</v>
      </c>
      <c r="BP48" s="115">
        <f t="shared" si="458"/>
        <v>1</v>
      </c>
      <c r="BQ48" s="241">
        <f t="shared" si="458"/>
        <v>5</v>
      </c>
      <c r="BS48" s="115">
        <f t="shared" ref="BS48:CJ48" si="459">BS7</f>
        <v>3</v>
      </c>
      <c r="BT48" s="115">
        <f t="shared" si="459"/>
        <v>2</v>
      </c>
      <c r="BU48" s="115">
        <f t="shared" si="459"/>
        <v>6</v>
      </c>
      <c r="BV48" s="115">
        <f t="shared" si="459"/>
        <v>1</v>
      </c>
      <c r="BW48" s="115">
        <f t="shared" si="459"/>
        <v>5</v>
      </c>
      <c r="BX48" s="241">
        <f t="shared" si="459"/>
        <v>4</v>
      </c>
      <c r="BY48" s="115">
        <f t="shared" si="459"/>
        <v>2</v>
      </c>
      <c r="BZ48" s="115">
        <f t="shared" si="459"/>
        <v>6</v>
      </c>
      <c r="CA48" s="115">
        <f t="shared" si="459"/>
        <v>5</v>
      </c>
      <c r="CB48" s="115">
        <f t="shared" si="459"/>
        <v>1</v>
      </c>
      <c r="CC48" s="115">
        <f t="shared" si="459"/>
        <v>4</v>
      </c>
      <c r="CD48" s="241">
        <f t="shared" si="459"/>
        <v>3</v>
      </c>
      <c r="CE48" s="115">
        <f t="shared" si="459"/>
        <v>1</v>
      </c>
      <c r="CF48" s="115">
        <f t="shared" si="459"/>
        <v>5</v>
      </c>
      <c r="CG48" s="115">
        <f t="shared" si="459"/>
        <v>3</v>
      </c>
      <c r="CH48" s="115">
        <f t="shared" si="459"/>
        <v>4</v>
      </c>
      <c r="CI48" s="115">
        <f t="shared" si="459"/>
        <v>2</v>
      </c>
      <c r="CJ48" s="241">
        <f t="shared" si="459"/>
        <v>6</v>
      </c>
      <c r="CK48" s="115">
        <f t="shared" ref="CK48:CP48" si="460">CK7</f>
        <v>4</v>
      </c>
      <c r="CL48" s="115">
        <f t="shared" si="460"/>
        <v>2</v>
      </c>
      <c r="CM48" s="115">
        <f t="shared" si="460"/>
        <v>3</v>
      </c>
      <c r="CN48" s="115">
        <f t="shared" si="460"/>
        <v>6</v>
      </c>
      <c r="CO48" s="115">
        <f t="shared" si="460"/>
        <v>1</v>
      </c>
      <c r="CP48" s="241">
        <f t="shared" si="460"/>
        <v>5</v>
      </c>
      <c r="CR48" s="115">
        <f t="shared" ref="CR48:DK48" si="461">CR7</f>
        <v>3</v>
      </c>
      <c r="CS48" s="115">
        <f t="shared" si="461"/>
        <v>2</v>
      </c>
      <c r="CT48" s="115">
        <f t="shared" si="461"/>
        <v>1</v>
      </c>
      <c r="CU48" s="115">
        <f t="shared" si="461"/>
        <v>5</v>
      </c>
      <c r="CV48" s="241">
        <f t="shared" si="461"/>
        <v>4</v>
      </c>
      <c r="CW48" s="115">
        <f t="shared" si="461"/>
        <v>2</v>
      </c>
      <c r="CX48" s="115">
        <f t="shared" si="461"/>
        <v>5</v>
      </c>
      <c r="CY48" s="115">
        <f t="shared" si="461"/>
        <v>1</v>
      </c>
      <c r="CZ48" s="115">
        <f t="shared" si="461"/>
        <v>4</v>
      </c>
      <c r="DA48" s="241">
        <f t="shared" si="461"/>
        <v>3</v>
      </c>
      <c r="DB48" s="115">
        <f t="shared" si="461"/>
        <v>1</v>
      </c>
      <c r="DC48" s="115">
        <f t="shared" si="461"/>
        <v>5</v>
      </c>
      <c r="DD48" s="115">
        <f t="shared" si="461"/>
        <v>3</v>
      </c>
      <c r="DE48" s="115">
        <f t="shared" si="461"/>
        <v>4</v>
      </c>
      <c r="DF48" s="241">
        <f t="shared" si="461"/>
        <v>2</v>
      </c>
      <c r="DG48" s="115">
        <f t="shared" si="461"/>
        <v>4</v>
      </c>
      <c r="DH48" s="115">
        <f t="shared" si="461"/>
        <v>2</v>
      </c>
      <c r="DI48" s="115">
        <f t="shared" si="461"/>
        <v>3</v>
      </c>
      <c r="DJ48" s="115">
        <f t="shared" si="461"/>
        <v>1</v>
      </c>
      <c r="DK48" s="241">
        <f t="shared" si="461"/>
        <v>5</v>
      </c>
      <c r="DM48" s="324">
        <f t="shared" ref="DM48:EB48" si="462">DM7</f>
        <v>3</v>
      </c>
      <c r="DN48" s="321">
        <f t="shared" si="462"/>
        <v>2</v>
      </c>
      <c r="DO48" s="321">
        <f t="shared" si="462"/>
        <v>1</v>
      </c>
      <c r="DP48" s="241">
        <f t="shared" si="462"/>
        <v>4</v>
      </c>
      <c r="DQ48" s="324">
        <f t="shared" si="462"/>
        <v>2</v>
      </c>
      <c r="DR48" s="321">
        <f t="shared" si="462"/>
        <v>1</v>
      </c>
      <c r="DS48" s="321">
        <f t="shared" si="462"/>
        <v>4</v>
      </c>
      <c r="DT48" s="241">
        <f t="shared" si="462"/>
        <v>3</v>
      </c>
      <c r="DU48" s="324">
        <f t="shared" si="462"/>
        <v>1</v>
      </c>
      <c r="DV48" s="321">
        <f t="shared" si="462"/>
        <v>3</v>
      </c>
      <c r="DW48" s="321">
        <f t="shared" si="462"/>
        <v>4</v>
      </c>
      <c r="DX48" s="241">
        <f t="shared" si="462"/>
        <v>2</v>
      </c>
      <c r="DY48" s="324">
        <f t="shared" si="462"/>
        <v>4</v>
      </c>
      <c r="DZ48" s="321">
        <f t="shared" si="462"/>
        <v>2</v>
      </c>
      <c r="EA48" s="321">
        <f t="shared" si="462"/>
        <v>3</v>
      </c>
      <c r="EB48" s="241">
        <f t="shared" si="462"/>
        <v>1</v>
      </c>
      <c r="EC48" s="306"/>
      <c r="EJ48" s="64" t="str">
        <f>"'Height Input'!"</f>
        <v>'Height Input'!</v>
      </c>
      <c r="EK48" s="87" t="s">
        <v>447</v>
      </c>
      <c r="EL48" s="87" t="s">
        <v>280</v>
      </c>
      <c r="EM48" s="64">
        <f t="shared" ca="1" si="306"/>
        <v>21</v>
      </c>
      <c r="EN48" s="64" t="str">
        <f t="shared" ca="1" si="13"/>
        <v>'Height Input'!C23</v>
      </c>
      <c r="EO48" s="64" t="str">
        <f t="shared" si="415"/>
        <v>'Field'!</v>
      </c>
      <c r="EP48" s="87" t="s">
        <v>447</v>
      </c>
      <c r="EQ48" s="87" t="s">
        <v>165</v>
      </c>
      <c r="ER48" s="87" t="str">
        <f t="shared" ca="1" si="307"/>
        <v>-</v>
      </c>
      <c r="ES48" s="64" t="str">
        <f t="shared" ca="1" si="15"/>
        <v>-</v>
      </c>
      <c r="ET48" s="64" t="s">
        <v>465</v>
      </c>
      <c r="EW48" s="65">
        <v>13</v>
      </c>
    </row>
    <row r="49" spans="1:153" x14ac:dyDescent="0.35">
      <c r="A49" s="353" t="s">
        <v>187</v>
      </c>
      <c r="B49" s="64" t="s">
        <v>27</v>
      </c>
      <c r="C49" s="64" t="s">
        <v>7</v>
      </c>
      <c r="D49" s="66">
        <v>49</v>
      </c>
      <c r="F49" s="272">
        <v>0.52083333333333337</v>
      </c>
      <c r="G49" s="272">
        <v>0.54166666666666663</v>
      </c>
      <c r="I49" s="115">
        <f>I7</f>
        <v>3</v>
      </c>
      <c r="J49" s="115">
        <f t="shared" ref="J49:P49" si="463">J7</f>
        <v>8</v>
      </c>
      <c r="K49" s="115">
        <f t="shared" si="463"/>
        <v>2</v>
      </c>
      <c r="L49" s="115">
        <f t="shared" si="463"/>
        <v>6</v>
      </c>
      <c r="M49" s="115">
        <f t="shared" si="463"/>
        <v>1</v>
      </c>
      <c r="N49" s="115">
        <f t="shared" si="463"/>
        <v>5</v>
      </c>
      <c r="O49" s="115">
        <f t="shared" si="463"/>
        <v>4</v>
      </c>
      <c r="P49" s="241">
        <f t="shared" si="463"/>
        <v>7</v>
      </c>
      <c r="Q49" s="115">
        <f>Q7</f>
        <v>2</v>
      </c>
      <c r="R49" s="115">
        <f t="shared" ref="R49:X49" si="464">R7</f>
        <v>6</v>
      </c>
      <c r="S49" s="115">
        <f t="shared" si="464"/>
        <v>7</v>
      </c>
      <c r="T49" s="115">
        <f t="shared" si="464"/>
        <v>5</v>
      </c>
      <c r="U49" s="115">
        <f t="shared" si="464"/>
        <v>1</v>
      </c>
      <c r="V49" s="115">
        <f t="shared" si="464"/>
        <v>4</v>
      </c>
      <c r="W49" s="115">
        <f t="shared" si="464"/>
        <v>3</v>
      </c>
      <c r="X49" s="241">
        <f t="shared" si="464"/>
        <v>8</v>
      </c>
      <c r="Y49" s="115">
        <f>Y7</f>
        <v>1</v>
      </c>
      <c r="Z49" s="115">
        <f t="shared" ref="Z49:AF49" si="465">Z7</f>
        <v>5</v>
      </c>
      <c r="AA49" s="115">
        <f t="shared" si="465"/>
        <v>3</v>
      </c>
      <c r="AB49" s="115">
        <f t="shared" si="465"/>
        <v>7</v>
      </c>
      <c r="AC49" s="115">
        <f t="shared" si="465"/>
        <v>4</v>
      </c>
      <c r="AD49" s="115">
        <f t="shared" si="465"/>
        <v>8</v>
      </c>
      <c r="AE49" s="115">
        <f t="shared" si="465"/>
        <v>2</v>
      </c>
      <c r="AF49" s="241">
        <f t="shared" si="465"/>
        <v>6</v>
      </c>
      <c r="AG49" s="115">
        <f>AG7</f>
        <v>4</v>
      </c>
      <c r="AH49" s="115">
        <f t="shared" ref="AH49:AN49" si="466">AH7</f>
        <v>7</v>
      </c>
      <c r="AI49" s="115">
        <f t="shared" si="466"/>
        <v>2</v>
      </c>
      <c r="AJ49" s="115">
        <f t="shared" si="466"/>
        <v>8</v>
      </c>
      <c r="AK49" s="115">
        <f t="shared" si="466"/>
        <v>3</v>
      </c>
      <c r="AL49" s="115">
        <f t="shared" si="466"/>
        <v>6</v>
      </c>
      <c r="AM49" s="115">
        <f t="shared" si="466"/>
        <v>1</v>
      </c>
      <c r="AN49" s="241">
        <f t="shared" si="466"/>
        <v>5</v>
      </c>
      <c r="AP49" s="115">
        <f t="shared" ref="AP49:BQ49" si="467">AP7</f>
        <v>3</v>
      </c>
      <c r="AQ49" s="115">
        <f t="shared" si="467"/>
        <v>2</v>
      </c>
      <c r="AR49" s="115">
        <f t="shared" si="467"/>
        <v>6</v>
      </c>
      <c r="AS49" s="115">
        <f t="shared" si="467"/>
        <v>1</v>
      </c>
      <c r="AT49" s="115">
        <f t="shared" si="467"/>
        <v>5</v>
      </c>
      <c r="AU49" s="115">
        <f t="shared" si="467"/>
        <v>4</v>
      </c>
      <c r="AV49" s="241">
        <f t="shared" si="467"/>
        <v>7</v>
      </c>
      <c r="AW49" s="115">
        <f t="shared" si="467"/>
        <v>2</v>
      </c>
      <c r="AX49" s="115">
        <f t="shared" si="467"/>
        <v>6</v>
      </c>
      <c r="AY49" s="115">
        <f t="shared" si="467"/>
        <v>7</v>
      </c>
      <c r="AZ49" s="115">
        <f t="shared" si="467"/>
        <v>5</v>
      </c>
      <c r="BA49" s="115">
        <f t="shared" si="467"/>
        <v>1</v>
      </c>
      <c r="BB49" s="115">
        <f t="shared" si="467"/>
        <v>4</v>
      </c>
      <c r="BC49" s="241">
        <f t="shared" si="467"/>
        <v>3</v>
      </c>
      <c r="BD49" s="115">
        <f t="shared" si="467"/>
        <v>1</v>
      </c>
      <c r="BE49" s="115">
        <f t="shared" si="467"/>
        <v>5</v>
      </c>
      <c r="BF49" s="115">
        <f t="shared" si="467"/>
        <v>3</v>
      </c>
      <c r="BG49" s="115">
        <f t="shared" si="467"/>
        <v>7</v>
      </c>
      <c r="BH49" s="115">
        <f t="shared" si="467"/>
        <v>4</v>
      </c>
      <c r="BI49" s="115">
        <f t="shared" si="467"/>
        <v>2</v>
      </c>
      <c r="BJ49" s="241">
        <f t="shared" si="467"/>
        <v>6</v>
      </c>
      <c r="BK49" s="115">
        <f t="shared" si="467"/>
        <v>4</v>
      </c>
      <c r="BL49" s="115">
        <f t="shared" si="467"/>
        <v>7</v>
      </c>
      <c r="BM49" s="115">
        <f t="shared" si="467"/>
        <v>2</v>
      </c>
      <c r="BN49" s="115">
        <f t="shared" si="467"/>
        <v>3</v>
      </c>
      <c r="BO49" s="115">
        <f t="shared" si="467"/>
        <v>6</v>
      </c>
      <c r="BP49" s="115">
        <f t="shared" si="467"/>
        <v>1</v>
      </c>
      <c r="BQ49" s="241">
        <f t="shared" si="467"/>
        <v>5</v>
      </c>
      <c r="BS49" s="115">
        <f t="shared" ref="BS49:CJ49" si="468">BS7</f>
        <v>3</v>
      </c>
      <c r="BT49" s="115">
        <f t="shared" si="468"/>
        <v>2</v>
      </c>
      <c r="BU49" s="115">
        <f t="shared" si="468"/>
        <v>6</v>
      </c>
      <c r="BV49" s="115">
        <f t="shared" si="468"/>
        <v>1</v>
      </c>
      <c r="BW49" s="115">
        <f t="shared" si="468"/>
        <v>5</v>
      </c>
      <c r="BX49" s="241">
        <f t="shared" si="468"/>
        <v>4</v>
      </c>
      <c r="BY49" s="115">
        <f t="shared" si="468"/>
        <v>2</v>
      </c>
      <c r="BZ49" s="115">
        <f t="shared" si="468"/>
        <v>6</v>
      </c>
      <c r="CA49" s="115">
        <f t="shared" si="468"/>
        <v>5</v>
      </c>
      <c r="CB49" s="115">
        <f t="shared" si="468"/>
        <v>1</v>
      </c>
      <c r="CC49" s="115">
        <f t="shared" si="468"/>
        <v>4</v>
      </c>
      <c r="CD49" s="241">
        <f t="shared" si="468"/>
        <v>3</v>
      </c>
      <c r="CE49" s="115">
        <f t="shared" si="468"/>
        <v>1</v>
      </c>
      <c r="CF49" s="115">
        <f t="shared" si="468"/>
        <v>5</v>
      </c>
      <c r="CG49" s="115">
        <f t="shared" si="468"/>
        <v>3</v>
      </c>
      <c r="CH49" s="115">
        <f t="shared" si="468"/>
        <v>4</v>
      </c>
      <c r="CI49" s="115">
        <f t="shared" si="468"/>
        <v>2</v>
      </c>
      <c r="CJ49" s="241">
        <f t="shared" si="468"/>
        <v>6</v>
      </c>
      <c r="CK49" s="115">
        <f t="shared" ref="CK49:CP49" si="469">CK7</f>
        <v>4</v>
      </c>
      <c r="CL49" s="115">
        <f t="shared" si="469"/>
        <v>2</v>
      </c>
      <c r="CM49" s="115">
        <f t="shared" si="469"/>
        <v>3</v>
      </c>
      <c r="CN49" s="115">
        <f t="shared" si="469"/>
        <v>6</v>
      </c>
      <c r="CO49" s="115">
        <f t="shared" si="469"/>
        <v>1</v>
      </c>
      <c r="CP49" s="241">
        <f t="shared" si="469"/>
        <v>5</v>
      </c>
      <c r="CR49" s="115">
        <f t="shared" ref="CR49:DK49" si="470">CR7</f>
        <v>3</v>
      </c>
      <c r="CS49" s="115">
        <f t="shared" si="470"/>
        <v>2</v>
      </c>
      <c r="CT49" s="115">
        <f t="shared" si="470"/>
        <v>1</v>
      </c>
      <c r="CU49" s="115">
        <f t="shared" si="470"/>
        <v>5</v>
      </c>
      <c r="CV49" s="241">
        <f t="shared" si="470"/>
        <v>4</v>
      </c>
      <c r="CW49" s="115">
        <f t="shared" si="470"/>
        <v>2</v>
      </c>
      <c r="CX49" s="115">
        <f t="shared" si="470"/>
        <v>5</v>
      </c>
      <c r="CY49" s="115">
        <f t="shared" si="470"/>
        <v>1</v>
      </c>
      <c r="CZ49" s="115">
        <f t="shared" si="470"/>
        <v>4</v>
      </c>
      <c r="DA49" s="241">
        <f t="shared" si="470"/>
        <v>3</v>
      </c>
      <c r="DB49" s="115">
        <f t="shared" si="470"/>
        <v>1</v>
      </c>
      <c r="DC49" s="115">
        <f t="shared" si="470"/>
        <v>5</v>
      </c>
      <c r="DD49" s="115">
        <f t="shared" si="470"/>
        <v>3</v>
      </c>
      <c r="DE49" s="115">
        <f t="shared" si="470"/>
        <v>4</v>
      </c>
      <c r="DF49" s="241">
        <f t="shared" si="470"/>
        <v>2</v>
      </c>
      <c r="DG49" s="115">
        <f t="shared" si="470"/>
        <v>4</v>
      </c>
      <c r="DH49" s="115">
        <f t="shared" si="470"/>
        <v>2</v>
      </c>
      <c r="DI49" s="115">
        <f t="shared" si="470"/>
        <v>3</v>
      </c>
      <c r="DJ49" s="115">
        <f t="shared" si="470"/>
        <v>1</v>
      </c>
      <c r="DK49" s="241">
        <f t="shared" si="470"/>
        <v>5</v>
      </c>
      <c r="DM49" s="324">
        <f t="shared" ref="DM49:EB49" si="471">DM7</f>
        <v>3</v>
      </c>
      <c r="DN49" s="321">
        <f t="shared" si="471"/>
        <v>2</v>
      </c>
      <c r="DO49" s="321">
        <f t="shared" si="471"/>
        <v>1</v>
      </c>
      <c r="DP49" s="241">
        <f t="shared" si="471"/>
        <v>4</v>
      </c>
      <c r="DQ49" s="324">
        <f t="shared" si="471"/>
        <v>2</v>
      </c>
      <c r="DR49" s="321">
        <f t="shared" si="471"/>
        <v>1</v>
      </c>
      <c r="DS49" s="321">
        <f t="shared" si="471"/>
        <v>4</v>
      </c>
      <c r="DT49" s="241">
        <f t="shared" si="471"/>
        <v>3</v>
      </c>
      <c r="DU49" s="324">
        <f t="shared" si="471"/>
        <v>1</v>
      </c>
      <c r="DV49" s="321">
        <f t="shared" si="471"/>
        <v>3</v>
      </c>
      <c r="DW49" s="321">
        <f t="shared" si="471"/>
        <v>4</v>
      </c>
      <c r="DX49" s="241">
        <f t="shared" si="471"/>
        <v>2</v>
      </c>
      <c r="DY49" s="324">
        <f t="shared" si="471"/>
        <v>4</v>
      </c>
      <c r="DZ49" s="321">
        <f t="shared" si="471"/>
        <v>2</v>
      </c>
      <c r="EA49" s="321">
        <f t="shared" si="471"/>
        <v>3</v>
      </c>
      <c r="EB49" s="241">
        <f t="shared" si="471"/>
        <v>1</v>
      </c>
      <c r="EC49" s="306"/>
      <c r="EJ49" s="64" t="str">
        <f>"'Height Input'!"</f>
        <v>'Height Input'!</v>
      </c>
      <c r="EK49" s="87" t="s">
        <v>450</v>
      </c>
      <c r="EL49" s="87" t="s">
        <v>167</v>
      </c>
      <c r="EM49" s="64">
        <f t="shared" ca="1" si="306"/>
        <v>21</v>
      </c>
      <c r="EN49" s="64" t="str">
        <f t="shared" ca="1" si="13"/>
        <v>'Height Input'!K23</v>
      </c>
      <c r="EO49" s="64" t="str">
        <f t="shared" si="415"/>
        <v>'Field'!</v>
      </c>
      <c r="EP49" s="87" t="s">
        <v>447</v>
      </c>
      <c r="EQ49" s="87" t="s">
        <v>165</v>
      </c>
      <c r="ER49" s="87" t="str">
        <f t="shared" ca="1" si="307"/>
        <v>-</v>
      </c>
      <c r="ES49" s="64" t="str">
        <f t="shared" ca="1" si="15"/>
        <v>-</v>
      </c>
      <c r="ET49" s="64" t="s">
        <v>466</v>
      </c>
      <c r="EW49" s="65">
        <v>13</v>
      </c>
    </row>
    <row r="50" spans="1:153" x14ac:dyDescent="0.35">
      <c r="A50" s="353" t="s">
        <v>182</v>
      </c>
      <c r="B50" s="64" t="s">
        <v>25</v>
      </c>
      <c r="C50" s="64" t="s">
        <v>7</v>
      </c>
      <c r="D50" s="66">
        <v>50</v>
      </c>
      <c r="F50" s="272">
        <v>0.54166666666666663</v>
      </c>
      <c r="G50" s="272">
        <v>0.54166666666666663</v>
      </c>
      <c r="I50" s="115">
        <f>I$11</f>
        <v>6</v>
      </c>
      <c r="J50" s="115">
        <f t="shared" ref="J50:BU50" si="472">J$11</f>
        <v>2</v>
      </c>
      <c r="K50" s="115">
        <f t="shared" si="472"/>
        <v>4</v>
      </c>
      <c r="L50" s="115">
        <f t="shared" si="472"/>
        <v>8</v>
      </c>
      <c r="M50" s="115">
        <f t="shared" si="472"/>
        <v>3</v>
      </c>
      <c r="N50" s="115">
        <f t="shared" si="472"/>
        <v>1</v>
      </c>
      <c r="O50" s="115">
        <f t="shared" si="472"/>
        <v>5</v>
      </c>
      <c r="P50" s="241">
        <f t="shared" si="472"/>
        <v>7</v>
      </c>
      <c r="Q50" s="115">
        <f>Q$11</f>
        <v>4</v>
      </c>
      <c r="R50" s="115">
        <f t="shared" si="472"/>
        <v>8</v>
      </c>
      <c r="S50" s="115">
        <f t="shared" si="472"/>
        <v>3</v>
      </c>
      <c r="T50" s="115">
        <f t="shared" si="472"/>
        <v>7</v>
      </c>
      <c r="U50" s="115">
        <f t="shared" si="472"/>
        <v>1</v>
      </c>
      <c r="V50" s="115">
        <f t="shared" si="472"/>
        <v>5</v>
      </c>
      <c r="W50" s="115">
        <f t="shared" si="472"/>
        <v>6</v>
      </c>
      <c r="X50" s="241">
        <f t="shared" si="472"/>
        <v>2</v>
      </c>
      <c r="Y50" s="115">
        <f>Y$11</f>
        <v>3</v>
      </c>
      <c r="Z50" s="115">
        <f t="shared" si="472"/>
        <v>1</v>
      </c>
      <c r="AA50" s="115">
        <f t="shared" si="472"/>
        <v>2</v>
      </c>
      <c r="AB50" s="115">
        <f t="shared" si="472"/>
        <v>6</v>
      </c>
      <c r="AC50" s="115">
        <f t="shared" si="472"/>
        <v>5</v>
      </c>
      <c r="AD50" s="115">
        <f t="shared" si="472"/>
        <v>7</v>
      </c>
      <c r="AE50" s="115">
        <f t="shared" si="472"/>
        <v>4</v>
      </c>
      <c r="AF50" s="241">
        <f t="shared" si="472"/>
        <v>8</v>
      </c>
      <c r="AG50" s="115">
        <f>AG$11</f>
        <v>5</v>
      </c>
      <c r="AH50" s="115">
        <f t="shared" si="472"/>
        <v>7</v>
      </c>
      <c r="AI50" s="115">
        <f t="shared" si="472"/>
        <v>6</v>
      </c>
      <c r="AJ50" s="115">
        <f t="shared" si="472"/>
        <v>4</v>
      </c>
      <c r="AK50" s="115">
        <f t="shared" si="472"/>
        <v>2</v>
      </c>
      <c r="AL50" s="115">
        <f t="shared" si="472"/>
        <v>8</v>
      </c>
      <c r="AM50" s="115">
        <f t="shared" si="472"/>
        <v>3</v>
      </c>
      <c r="AN50" s="241">
        <f t="shared" si="472"/>
        <v>1</v>
      </c>
      <c r="AP50" s="115">
        <f t="shared" si="472"/>
        <v>6</v>
      </c>
      <c r="AQ50" s="115">
        <f t="shared" si="472"/>
        <v>2</v>
      </c>
      <c r="AR50" s="115">
        <f t="shared" si="472"/>
        <v>4</v>
      </c>
      <c r="AS50" s="115">
        <f t="shared" si="472"/>
        <v>3</v>
      </c>
      <c r="AT50" s="115">
        <f t="shared" si="472"/>
        <v>1</v>
      </c>
      <c r="AU50" s="115">
        <f t="shared" si="472"/>
        <v>5</v>
      </c>
      <c r="AV50" s="241">
        <f t="shared" si="472"/>
        <v>7</v>
      </c>
      <c r="AW50" s="115">
        <f t="shared" si="472"/>
        <v>4</v>
      </c>
      <c r="AX50" s="115">
        <f t="shared" si="472"/>
        <v>3</v>
      </c>
      <c r="AY50" s="115">
        <f t="shared" si="472"/>
        <v>7</v>
      </c>
      <c r="AZ50" s="115">
        <f t="shared" si="472"/>
        <v>1</v>
      </c>
      <c r="BA50" s="115">
        <f t="shared" si="472"/>
        <v>5</v>
      </c>
      <c r="BB50" s="115">
        <f t="shared" si="472"/>
        <v>6</v>
      </c>
      <c r="BC50" s="241">
        <f t="shared" si="472"/>
        <v>2</v>
      </c>
      <c r="BD50" s="115">
        <f t="shared" si="472"/>
        <v>3</v>
      </c>
      <c r="BE50" s="115">
        <f t="shared" si="472"/>
        <v>1</v>
      </c>
      <c r="BF50" s="115">
        <f t="shared" si="472"/>
        <v>2</v>
      </c>
      <c r="BG50" s="115">
        <f t="shared" si="472"/>
        <v>6</v>
      </c>
      <c r="BH50" s="115">
        <f t="shared" si="472"/>
        <v>5</v>
      </c>
      <c r="BI50" s="115">
        <f t="shared" si="472"/>
        <v>7</v>
      </c>
      <c r="BJ50" s="241">
        <f t="shared" si="472"/>
        <v>4</v>
      </c>
      <c r="BK50" s="115">
        <f t="shared" si="472"/>
        <v>5</v>
      </c>
      <c r="BL50" s="115">
        <f t="shared" si="472"/>
        <v>7</v>
      </c>
      <c r="BM50" s="115">
        <f t="shared" si="472"/>
        <v>6</v>
      </c>
      <c r="BN50" s="115">
        <f t="shared" si="472"/>
        <v>4</v>
      </c>
      <c r="BO50" s="115">
        <f t="shared" si="472"/>
        <v>2</v>
      </c>
      <c r="BP50" s="115">
        <f t="shared" si="472"/>
        <v>3</v>
      </c>
      <c r="BQ50" s="241">
        <f t="shared" si="472"/>
        <v>1</v>
      </c>
      <c r="BS50" s="115">
        <f t="shared" si="472"/>
        <v>6</v>
      </c>
      <c r="BT50" s="115">
        <f t="shared" si="472"/>
        <v>2</v>
      </c>
      <c r="BU50" s="115">
        <f t="shared" si="472"/>
        <v>4</v>
      </c>
      <c r="BV50" s="115">
        <f t="shared" ref="BV50:CJ50" si="473">BV$11</f>
        <v>3</v>
      </c>
      <c r="BW50" s="115">
        <f t="shared" si="473"/>
        <v>1</v>
      </c>
      <c r="BX50" s="241">
        <f t="shared" si="473"/>
        <v>5</v>
      </c>
      <c r="BY50" s="115">
        <f t="shared" si="473"/>
        <v>4</v>
      </c>
      <c r="BZ50" s="115">
        <f t="shared" si="473"/>
        <v>3</v>
      </c>
      <c r="CA50" s="115">
        <f t="shared" si="473"/>
        <v>1</v>
      </c>
      <c r="CB50" s="115">
        <f t="shared" si="473"/>
        <v>5</v>
      </c>
      <c r="CC50" s="115">
        <f t="shared" si="473"/>
        <v>6</v>
      </c>
      <c r="CD50" s="241">
        <f t="shared" si="473"/>
        <v>2</v>
      </c>
      <c r="CE50" s="115">
        <f t="shared" si="473"/>
        <v>3</v>
      </c>
      <c r="CF50" s="115">
        <f t="shared" si="473"/>
        <v>1</v>
      </c>
      <c r="CG50" s="115">
        <f t="shared" si="473"/>
        <v>2</v>
      </c>
      <c r="CH50" s="115">
        <f t="shared" si="473"/>
        <v>6</v>
      </c>
      <c r="CI50" s="115">
        <f t="shared" si="473"/>
        <v>5</v>
      </c>
      <c r="CJ50" s="241">
        <f t="shared" si="473"/>
        <v>4</v>
      </c>
      <c r="CK50" s="115">
        <f t="shared" ref="CK50:CP50" si="474">CK$11</f>
        <v>5</v>
      </c>
      <c r="CL50" s="115">
        <f t="shared" si="474"/>
        <v>6</v>
      </c>
      <c r="CM50" s="115">
        <f t="shared" si="474"/>
        <v>4</v>
      </c>
      <c r="CN50" s="115">
        <f t="shared" si="474"/>
        <v>2</v>
      </c>
      <c r="CO50" s="115">
        <f t="shared" si="474"/>
        <v>3</v>
      </c>
      <c r="CP50" s="241">
        <f t="shared" si="474"/>
        <v>1</v>
      </c>
      <c r="CR50" s="115">
        <f t="shared" ref="CR50:EB50" si="475">CR$11</f>
        <v>2</v>
      </c>
      <c r="CS50" s="115">
        <f t="shared" si="475"/>
        <v>4</v>
      </c>
      <c r="CT50" s="115">
        <f t="shared" si="475"/>
        <v>3</v>
      </c>
      <c r="CU50" s="115">
        <f t="shared" si="475"/>
        <v>1</v>
      </c>
      <c r="CV50" s="241">
        <f t="shared" si="475"/>
        <v>5</v>
      </c>
      <c r="CW50" s="115">
        <f t="shared" si="475"/>
        <v>4</v>
      </c>
      <c r="CX50" s="115">
        <f t="shared" si="475"/>
        <v>3</v>
      </c>
      <c r="CY50" s="115">
        <f t="shared" si="475"/>
        <v>1</v>
      </c>
      <c r="CZ50" s="115">
        <f t="shared" si="475"/>
        <v>5</v>
      </c>
      <c r="DA50" s="241">
        <f t="shared" si="475"/>
        <v>2</v>
      </c>
      <c r="DB50" s="115">
        <f t="shared" si="475"/>
        <v>3</v>
      </c>
      <c r="DC50" s="115">
        <f t="shared" si="475"/>
        <v>1</v>
      </c>
      <c r="DD50" s="115">
        <f t="shared" si="475"/>
        <v>2</v>
      </c>
      <c r="DE50" s="115">
        <f t="shared" si="475"/>
        <v>5</v>
      </c>
      <c r="DF50" s="241">
        <f t="shared" si="475"/>
        <v>4</v>
      </c>
      <c r="DG50" s="115">
        <f t="shared" si="475"/>
        <v>5</v>
      </c>
      <c r="DH50" s="115">
        <f t="shared" si="475"/>
        <v>4</v>
      </c>
      <c r="DI50" s="115">
        <f t="shared" si="475"/>
        <v>2</v>
      </c>
      <c r="DJ50" s="115">
        <f t="shared" si="475"/>
        <v>3</v>
      </c>
      <c r="DK50" s="241">
        <f t="shared" si="475"/>
        <v>1</v>
      </c>
      <c r="DM50" s="324">
        <f t="shared" si="475"/>
        <v>2</v>
      </c>
      <c r="DN50" s="321">
        <f t="shared" si="475"/>
        <v>4</v>
      </c>
      <c r="DO50" s="321">
        <f t="shared" si="475"/>
        <v>3</v>
      </c>
      <c r="DP50" s="241">
        <f t="shared" si="475"/>
        <v>1</v>
      </c>
      <c r="DQ50" s="324">
        <f t="shared" si="475"/>
        <v>4</v>
      </c>
      <c r="DR50" s="321">
        <f t="shared" si="475"/>
        <v>3</v>
      </c>
      <c r="DS50" s="321">
        <f t="shared" si="475"/>
        <v>1</v>
      </c>
      <c r="DT50" s="241">
        <f t="shared" si="475"/>
        <v>2</v>
      </c>
      <c r="DU50" s="324">
        <f t="shared" si="475"/>
        <v>3</v>
      </c>
      <c r="DV50" s="321">
        <f t="shared" si="475"/>
        <v>1</v>
      </c>
      <c r="DW50" s="321">
        <f t="shared" si="475"/>
        <v>2</v>
      </c>
      <c r="DX50" s="241">
        <f t="shared" si="475"/>
        <v>4</v>
      </c>
      <c r="DY50" s="324">
        <f t="shared" si="475"/>
        <v>4</v>
      </c>
      <c r="DZ50" s="321">
        <f t="shared" si="475"/>
        <v>2</v>
      </c>
      <c r="EA50" s="321">
        <f t="shared" si="475"/>
        <v>3</v>
      </c>
      <c r="EB50" s="241">
        <f t="shared" si="475"/>
        <v>1</v>
      </c>
      <c r="EC50" s="306"/>
      <c r="EJ50" s="64" t="str">
        <f t="shared" ref="EJ50:EJ60" si="476">"'Distance Input'!"</f>
        <v>'Distance Input'!</v>
      </c>
      <c r="EK50" s="87" t="s">
        <v>447</v>
      </c>
      <c r="EL50" s="87" t="s">
        <v>280</v>
      </c>
      <c r="EM50" s="64">
        <f t="shared" ca="1" si="306"/>
        <v>40</v>
      </c>
      <c r="EN50" s="64" t="str">
        <f t="shared" ca="1" si="13"/>
        <v>'Distance Input'!C42</v>
      </c>
      <c r="EO50" s="64" t="str">
        <f t="shared" si="415"/>
        <v>'Field'!</v>
      </c>
      <c r="EP50" s="87" t="s">
        <v>447</v>
      </c>
      <c r="EQ50" s="87" t="s">
        <v>165</v>
      </c>
      <c r="ER50" s="87" t="str">
        <f t="shared" ca="1" si="307"/>
        <v>-</v>
      </c>
      <c r="ES50" s="64" t="str">
        <f t="shared" ca="1" si="15"/>
        <v>-</v>
      </c>
      <c r="ET50" s="64" t="s">
        <v>461</v>
      </c>
      <c r="EW50" s="65">
        <v>13.1</v>
      </c>
    </row>
    <row r="51" spans="1:153" x14ac:dyDescent="0.35">
      <c r="A51" s="353" t="s">
        <v>189</v>
      </c>
      <c r="B51" s="64" t="s">
        <v>24</v>
      </c>
      <c r="C51" s="64" t="s">
        <v>9</v>
      </c>
      <c r="D51" s="66">
        <v>51</v>
      </c>
      <c r="F51" s="272">
        <v>0.64583333333333337</v>
      </c>
      <c r="G51" s="272">
        <v>0.55208333333333337</v>
      </c>
      <c r="I51" s="115">
        <f>I$27</f>
        <v>4</v>
      </c>
      <c r="J51" s="115">
        <f t="shared" ref="J51:BU51" si="477">J$27</f>
        <v>1</v>
      </c>
      <c r="K51" s="115">
        <f t="shared" si="477"/>
        <v>5</v>
      </c>
      <c r="L51" s="115">
        <f t="shared" si="477"/>
        <v>7</v>
      </c>
      <c r="M51" s="115">
        <f t="shared" si="477"/>
        <v>3</v>
      </c>
      <c r="N51" s="115">
        <f t="shared" si="477"/>
        <v>8</v>
      </c>
      <c r="O51" s="115">
        <f t="shared" si="477"/>
        <v>6</v>
      </c>
      <c r="P51" s="241">
        <f t="shared" si="477"/>
        <v>2</v>
      </c>
      <c r="Q51" s="115">
        <f>Q$27</f>
        <v>5</v>
      </c>
      <c r="R51" s="115">
        <f t="shared" si="477"/>
        <v>7</v>
      </c>
      <c r="S51" s="115">
        <f t="shared" si="477"/>
        <v>2</v>
      </c>
      <c r="T51" s="115">
        <f t="shared" si="477"/>
        <v>8</v>
      </c>
      <c r="U51" s="115">
        <f t="shared" si="477"/>
        <v>6</v>
      </c>
      <c r="V51" s="115">
        <f t="shared" si="477"/>
        <v>3</v>
      </c>
      <c r="W51" s="115">
        <f t="shared" si="477"/>
        <v>4</v>
      </c>
      <c r="X51" s="241">
        <f t="shared" si="477"/>
        <v>1</v>
      </c>
      <c r="Y51" s="115">
        <f>Y$27</f>
        <v>3</v>
      </c>
      <c r="Z51" s="115">
        <f t="shared" si="477"/>
        <v>8</v>
      </c>
      <c r="AA51" s="115">
        <f t="shared" si="477"/>
        <v>2</v>
      </c>
      <c r="AB51" s="115">
        <f t="shared" si="477"/>
        <v>6</v>
      </c>
      <c r="AC51" s="115">
        <f t="shared" si="477"/>
        <v>4</v>
      </c>
      <c r="AD51" s="115">
        <f t="shared" si="477"/>
        <v>1</v>
      </c>
      <c r="AE51" s="115">
        <f t="shared" si="477"/>
        <v>5</v>
      </c>
      <c r="AF51" s="241">
        <f t="shared" si="477"/>
        <v>7</v>
      </c>
      <c r="AG51" s="115">
        <f>AG$27</f>
        <v>6</v>
      </c>
      <c r="AH51" s="115">
        <f t="shared" si="477"/>
        <v>2</v>
      </c>
      <c r="AI51" s="115">
        <f t="shared" si="477"/>
        <v>7</v>
      </c>
      <c r="AJ51" s="115">
        <f t="shared" si="477"/>
        <v>1</v>
      </c>
      <c r="AK51" s="115">
        <f t="shared" si="477"/>
        <v>5</v>
      </c>
      <c r="AL51" s="115">
        <f t="shared" si="477"/>
        <v>4</v>
      </c>
      <c r="AM51" s="115">
        <f t="shared" si="477"/>
        <v>3</v>
      </c>
      <c r="AN51" s="241">
        <f t="shared" si="477"/>
        <v>8</v>
      </c>
      <c r="AP51" s="115">
        <f t="shared" si="477"/>
        <v>4</v>
      </c>
      <c r="AQ51" s="115">
        <f t="shared" si="477"/>
        <v>1</v>
      </c>
      <c r="AR51" s="115">
        <f t="shared" si="477"/>
        <v>5</v>
      </c>
      <c r="AS51" s="115">
        <f t="shared" si="477"/>
        <v>7</v>
      </c>
      <c r="AT51" s="115">
        <f t="shared" si="477"/>
        <v>3</v>
      </c>
      <c r="AU51" s="115">
        <f t="shared" si="477"/>
        <v>6</v>
      </c>
      <c r="AV51" s="241">
        <f t="shared" si="477"/>
        <v>2</v>
      </c>
      <c r="AW51" s="115">
        <f t="shared" si="477"/>
        <v>5</v>
      </c>
      <c r="AX51" s="115">
        <f t="shared" si="477"/>
        <v>7</v>
      </c>
      <c r="AY51" s="115">
        <f t="shared" si="477"/>
        <v>2</v>
      </c>
      <c r="AZ51" s="115">
        <f t="shared" si="477"/>
        <v>6</v>
      </c>
      <c r="BA51" s="115">
        <f t="shared" si="477"/>
        <v>3</v>
      </c>
      <c r="BB51" s="115">
        <f t="shared" si="477"/>
        <v>4</v>
      </c>
      <c r="BC51" s="241">
        <f t="shared" si="477"/>
        <v>1</v>
      </c>
      <c r="BD51" s="115">
        <f t="shared" si="477"/>
        <v>3</v>
      </c>
      <c r="BE51" s="115">
        <f t="shared" si="477"/>
        <v>2</v>
      </c>
      <c r="BF51" s="115">
        <f t="shared" si="477"/>
        <v>6</v>
      </c>
      <c r="BG51" s="115">
        <f t="shared" si="477"/>
        <v>4</v>
      </c>
      <c r="BH51" s="115">
        <f t="shared" si="477"/>
        <v>1</v>
      </c>
      <c r="BI51" s="115">
        <f t="shared" si="477"/>
        <v>5</v>
      </c>
      <c r="BJ51" s="241">
        <f t="shared" si="477"/>
        <v>7</v>
      </c>
      <c r="BK51" s="115">
        <f t="shared" si="477"/>
        <v>6</v>
      </c>
      <c r="BL51" s="115">
        <f t="shared" si="477"/>
        <v>2</v>
      </c>
      <c r="BM51" s="115">
        <f t="shared" si="477"/>
        <v>7</v>
      </c>
      <c r="BN51" s="115">
        <f t="shared" si="477"/>
        <v>1</v>
      </c>
      <c r="BO51" s="115">
        <f t="shared" si="477"/>
        <v>5</v>
      </c>
      <c r="BP51" s="115">
        <f t="shared" si="477"/>
        <v>4</v>
      </c>
      <c r="BQ51" s="241">
        <f t="shared" si="477"/>
        <v>3</v>
      </c>
      <c r="BS51" s="115">
        <f t="shared" si="477"/>
        <v>4</v>
      </c>
      <c r="BT51" s="115">
        <f t="shared" si="477"/>
        <v>1</v>
      </c>
      <c r="BU51" s="115">
        <f t="shared" si="477"/>
        <v>5</v>
      </c>
      <c r="BV51" s="115">
        <f t="shared" ref="BV51:CJ51" si="478">BV$27</f>
        <v>3</v>
      </c>
      <c r="BW51" s="115">
        <f t="shared" si="478"/>
        <v>6</v>
      </c>
      <c r="BX51" s="241">
        <f t="shared" si="478"/>
        <v>2</v>
      </c>
      <c r="BY51" s="115">
        <f t="shared" si="478"/>
        <v>5</v>
      </c>
      <c r="BZ51" s="115">
        <f t="shared" si="478"/>
        <v>2</v>
      </c>
      <c r="CA51" s="115">
        <f t="shared" si="478"/>
        <v>6</v>
      </c>
      <c r="CB51" s="115">
        <f t="shared" si="478"/>
        <v>3</v>
      </c>
      <c r="CC51" s="115">
        <f t="shared" si="478"/>
        <v>4</v>
      </c>
      <c r="CD51" s="241">
        <f t="shared" si="478"/>
        <v>1</v>
      </c>
      <c r="CE51" s="115">
        <f t="shared" si="478"/>
        <v>3</v>
      </c>
      <c r="CF51" s="115">
        <f t="shared" si="478"/>
        <v>2</v>
      </c>
      <c r="CG51" s="115">
        <f t="shared" si="478"/>
        <v>6</v>
      </c>
      <c r="CH51" s="115">
        <f t="shared" si="478"/>
        <v>4</v>
      </c>
      <c r="CI51" s="115">
        <f t="shared" si="478"/>
        <v>1</v>
      </c>
      <c r="CJ51" s="241">
        <f t="shared" si="478"/>
        <v>5</v>
      </c>
      <c r="CK51" s="115">
        <f t="shared" ref="CK51:CP51" si="479">CK$27</f>
        <v>6</v>
      </c>
      <c r="CL51" s="115">
        <f t="shared" si="479"/>
        <v>2</v>
      </c>
      <c r="CM51" s="115">
        <f t="shared" si="479"/>
        <v>1</v>
      </c>
      <c r="CN51" s="115">
        <f t="shared" si="479"/>
        <v>5</v>
      </c>
      <c r="CO51" s="115">
        <f t="shared" si="479"/>
        <v>4</v>
      </c>
      <c r="CP51" s="241">
        <f t="shared" si="479"/>
        <v>3</v>
      </c>
      <c r="CR51" s="115">
        <f t="shared" ref="CR51:EB51" si="480">CR$27</f>
        <v>4</v>
      </c>
      <c r="CS51" s="115">
        <f t="shared" si="480"/>
        <v>1</v>
      </c>
      <c r="CT51" s="115">
        <f t="shared" si="480"/>
        <v>5</v>
      </c>
      <c r="CU51" s="115">
        <f t="shared" si="480"/>
        <v>3</v>
      </c>
      <c r="CV51" s="241">
        <f t="shared" si="480"/>
        <v>2</v>
      </c>
      <c r="CW51" s="115">
        <f t="shared" si="480"/>
        <v>5</v>
      </c>
      <c r="CX51" s="115">
        <f t="shared" si="480"/>
        <v>2</v>
      </c>
      <c r="CY51" s="115">
        <f t="shared" si="480"/>
        <v>3</v>
      </c>
      <c r="CZ51" s="115">
        <f t="shared" si="480"/>
        <v>4</v>
      </c>
      <c r="DA51" s="241">
        <f t="shared" si="480"/>
        <v>1</v>
      </c>
      <c r="DB51" s="115">
        <f t="shared" si="480"/>
        <v>3</v>
      </c>
      <c r="DC51" s="115">
        <f t="shared" si="480"/>
        <v>2</v>
      </c>
      <c r="DD51" s="115">
        <f t="shared" si="480"/>
        <v>4</v>
      </c>
      <c r="DE51" s="115">
        <f t="shared" si="480"/>
        <v>1</v>
      </c>
      <c r="DF51" s="241">
        <f t="shared" si="480"/>
        <v>5</v>
      </c>
      <c r="DG51" s="115">
        <f t="shared" si="480"/>
        <v>2</v>
      </c>
      <c r="DH51" s="115">
        <f t="shared" si="480"/>
        <v>1</v>
      </c>
      <c r="DI51" s="115">
        <f t="shared" si="480"/>
        <v>5</v>
      </c>
      <c r="DJ51" s="115">
        <f t="shared" si="480"/>
        <v>4</v>
      </c>
      <c r="DK51" s="241">
        <f t="shared" si="480"/>
        <v>3</v>
      </c>
      <c r="DM51" s="324">
        <f t="shared" si="480"/>
        <v>4</v>
      </c>
      <c r="DN51" s="321">
        <f t="shared" si="480"/>
        <v>1</v>
      </c>
      <c r="DO51" s="321">
        <f t="shared" si="480"/>
        <v>3</v>
      </c>
      <c r="DP51" s="241">
        <f t="shared" si="480"/>
        <v>2</v>
      </c>
      <c r="DQ51" s="324">
        <f t="shared" si="480"/>
        <v>2</v>
      </c>
      <c r="DR51" s="321">
        <f t="shared" si="480"/>
        <v>3</v>
      </c>
      <c r="DS51" s="321">
        <f t="shared" si="480"/>
        <v>4</v>
      </c>
      <c r="DT51" s="241">
        <f t="shared" si="480"/>
        <v>1</v>
      </c>
      <c r="DU51" s="324">
        <f t="shared" si="480"/>
        <v>3</v>
      </c>
      <c r="DV51" s="321">
        <f t="shared" si="480"/>
        <v>2</v>
      </c>
      <c r="DW51" s="321">
        <f t="shared" si="480"/>
        <v>4</v>
      </c>
      <c r="DX51" s="241">
        <f t="shared" si="480"/>
        <v>1</v>
      </c>
      <c r="DY51" s="324">
        <f t="shared" si="480"/>
        <v>2</v>
      </c>
      <c r="DZ51" s="321">
        <f t="shared" si="480"/>
        <v>1</v>
      </c>
      <c r="EA51" s="321">
        <f t="shared" si="480"/>
        <v>4</v>
      </c>
      <c r="EB51" s="241">
        <f t="shared" si="480"/>
        <v>3</v>
      </c>
      <c r="EC51" s="306"/>
      <c r="EJ51" s="64" t="str">
        <f t="shared" si="476"/>
        <v>'Distance Input'!</v>
      </c>
      <c r="EK51" s="87" t="s">
        <v>448</v>
      </c>
      <c r="EL51" s="87" t="s">
        <v>166</v>
      </c>
      <c r="EM51" s="64">
        <f t="shared" ca="1" si="306"/>
        <v>40</v>
      </c>
      <c r="EN51" s="64" t="str">
        <f t="shared" ca="1" si="13"/>
        <v>'Distance Input'!J42</v>
      </c>
      <c r="EO51" s="64" t="str">
        <f t="shared" si="415"/>
        <v>'Field'!</v>
      </c>
      <c r="EP51" s="87" t="s">
        <v>447</v>
      </c>
      <c r="EQ51" s="87" t="s">
        <v>165</v>
      </c>
      <c r="ER51" s="87" t="str">
        <f t="shared" ca="1" si="307"/>
        <v>-</v>
      </c>
      <c r="ES51" s="64" t="str">
        <f t="shared" ca="1" si="15"/>
        <v>-</v>
      </c>
      <c r="ET51" s="64" t="s">
        <v>462</v>
      </c>
      <c r="EW51" s="65">
        <v>13.15</v>
      </c>
    </row>
    <row r="52" spans="1:153" x14ac:dyDescent="0.35">
      <c r="A52" s="353" t="s">
        <v>190</v>
      </c>
      <c r="B52" s="64" t="s">
        <v>28</v>
      </c>
      <c r="C52" s="64" t="s">
        <v>9</v>
      </c>
      <c r="D52" s="66">
        <v>52</v>
      </c>
      <c r="E52" s="66">
        <v>67</v>
      </c>
      <c r="F52" s="272">
        <v>0.57291666666666663</v>
      </c>
      <c r="G52" s="272">
        <v>0.57291666666666663</v>
      </c>
      <c r="I52" s="115">
        <f t="shared" ref="I52:Y53" si="481">I$42</f>
        <v>1</v>
      </c>
      <c r="J52" s="115">
        <f t="shared" si="481"/>
        <v>2</v>
      </c>
      <c r="K52" s="115">
        <f t="shared" si="481"/>
        <v>6</v>
      </c>
      <c r="L52" s="115">
        <f t="shared" si="481"/>
        <v>7</v>
      </c>
      <c r="M52" s="115">
        <f t="shared" si="481"/>
        <v>3</v>
      </c>
      <c r="N52" s="115">
        <f t="shared" si="481"/>
        <v>8</v>
      </c>
      <c r="O52" s="115">
        <f t="shared" si="481"/>
        <v>4</v>
      </c>
      <c r="P52" s="241">
        <f t="shared" si="481"/>
        <v>5</v>
      </c>
      <c r="Q52" s="115">
        <f t="shared" si="481"/>
        <v>6</v>
      </c>
      <c r="R52" s="115">
        <f t="shared" si="481"/>
        <v>7</v>
      </c>
      <c r="S52" s="115">
        <f t="shared" si="481"/>
        <v>4</v>
      </c>
      <c r="T52" s="115">
        <f t="shared" si="481"/>
        <v>8</v>
      </c>
      <c r="U52" s="115">
        <f t="shared" si="481"/>
        <v>5</v>
      </c>
      <c r="V52" s="115">
        <f t="shared" si="481"/>
        <v>3</v>
      </c>
      <c r="W52" s="115">
        <f t="shared" si="481"/>
        <v>1</v>
      </c>
      <c r="X52" s="241">
        <f t="shared" si="481"/>
        <v>2</v>
      </c>
      <c r="Y52" s="115">
        <f t="shared" si="481"/>
        <v>3</v>
      </c>
      <c r="Z52" s="115">
        <f t="shared" ref="Y52:AN53" si="482">Z$42</f>
        <v>8</v>
      </c>
      <c r="AA52" s="115">
        <f t="shared" si="482"/>
        <v>5</v>
      </c>
      <c r="AB52" s="115">
        <f t="shared" si="482"/>
        <v>4</v>
      </c>
      <c r="AC52" s="115">
        <f t="shared" si="482"/>
        <v>1</v>
      </c>
      <c r="AD52" s="115">
        <f t="shared" si="482"/>
        <v>2</v>
      </c>
      <c r="AE52" s="115">
        <f t="shared" si="482"/>
        <v>6</v>
      </c>
      <c r="AF52" s="241">
        <f t="shared" si="482"/>
        <v>7</v>
      </c>
      <c r="AG52" s="115">
        <f t="shared" si="482"/>
        <v>4</v>
      </c>
      <c r="AH52" s="115">
        <f t="shared" si="482"/>
        <v>5</v>
      </c>
      <c r="AI52" s="115">
        <f t="shared" si="482"/>
        <v>2</v>
      </c>
      <c r="AJ52" s="115">
        <f t="shared" si="482"/>
        <v>6</v>
      </c>
      <c r="AK52" s="115">
        <f t="shared" si="482"/>
        <v>7</v>
      </c>
      <c r="AL52" s="115">
        <f t="shared" si="482"/>
        <v>1</v>
      </c>
      <c r="AM52" s="115">
        <f t="shared" si="482"/>
        <v>3</v>
      </c>
      <c r="AN52" s="241">
        <f t="shared" si="482"/>
        <v>8</v>
      </c>
      <c r="AP52" s="115">
        <f t="shared" ref="AP52:BE53" si="483">AP$42</f>
        <v>1</v>
      </c>
      <c r="AQ52" s="115">
        <f t="shared" si="483"/>
        <v>2</v>
      </c>
      <c r="AR52" s="115">
        <f t="shared" si="483"/>
        <v>6</v>
      </c>
      <c r="AS52" s="115">
        <f t="shared" si="483"/>
        <v>7</v>
      </c>
      <c r="AT52" s="115">
        <f t="shared" si="483"/>
        <v>3</v>
      </c>
      <c r="AU52" s="115">
        <f t="shared" si="483"/>
        <v>4</v>
      </c>
      <c r="AV52" s="241">
        <f t="shared" si="483"/>
        <v>5</v>
      </c>
      <c r="AW52" s="115">
        <f t="shared" si="483"/>
        <v>6</v>
      </c>
      <c r="AX52" s="115">
        <f t="shared" si="483"/>
        <v>7</v>
      </c>
      <c r="AY52" s="115">
        <f t="shared" si="483"/>
        <v>4</v>
      </c>
      <c r="AZ52" s="115">
        <f t="shared" si="483"/>
        <v>5</v>
      </c>
      <c r="BA52" s="115">
        <f t="shared" si="483"/>
        <v>3</v>
      </c>
      <c r="BB52" s="115">
        <f t="shared" si="483"/>
        <v>1</v>
      </c>
      <c r="BC52" s="241">
        <f t="shared" si="483"/>
        <v>2</v>
      </c>
      <c r="BD52" s="115">
        <f t="shared" si="483"/>
        <v>3</v>
      </c>
      <c r="BE52" s="115">
        <f t="shared" si="483"/>
        <v>5</v>
      </c>
      <c r="BF52" s="115">
        <f t="shared" ref="BD52:BQ53" si="484">BF$42</f>
        <v>4</v>
      </c>
      <c r="BG52" s="115">
        <f t="shared" si="484"/>
        <v>1</v>
      </c>
      <c r="BH52" s="115">
        <f t="shared" si="484"/>
        <v>2</v>
      </c>
      <c r="BI52" s="115">
        <f t="shared" si="484"/>
        <v>6</v>
      </c>
      <c r="BJ52" s="241">
        <f t="shared" si="484"/>
        <v>7</v>
      </c>
      <c r="BK52" s="115">
        <f t="shared" si="484"/>
        <v>4</v>
      </c>
      <c r="BL52" s="115">
        <f t="shared" si="484"/>
        <v>5</v>
      </c>
      <c r="BM52" s="115">
        <f t="shared" si="484"/>
        <v>2</v>
      </c>
      <c r="BN52" s="115">
        <f t="shared" si="484"/>
        <v>6</v>
      </c>
      <c r="BO52" s="115">
        <f t="shared" si="484"/>
        <v>7</v>
      </c>
      <c r="BP52" s="115">
        <f t="shared" si="484"/>
        <v>1</v>
      </c>
      <c r="BQ52" s="241">
        <f t="shared" si="484"/>
        <v>3</v>
      </c>
      <c r="BS52" s="115">
        <f t="shared" ref="BS52:CH53" si="485">BS$42</f>
        <v>1</v>
      </c>
      <c r="BT52" s="115">
        <f t="shared" si="485"/>
        <v>2</v>
      </c>
      <c r="BU52" s="115">
        <f t="shared" si="485"/>
        <v>6</v>
      </c>
      <c r="BV52" s="115">
        <f t="shared" si="485"/>
        <v>3</v>
      </c>
      <c r="BW52" s="115">
        <f t="shared" si="485"/>
        <v>4</v>
      </c>
      <c r="BX52" s="241">
        <f t="shared" si="485"/>
        <v>5</v>
      </c>
      <c r="BY52" s="115">
        <f t="shared" si="485"/>
        <v>6</v>
      </c>
      <c r="BZ52" s="115">
        <f t="shared" si="485"/>
        <v>4</v>
      </c>
      <c r="CA52" s="115">
        <f t="shared" si="485"/>
        <v>5</v>
      </c>
      <c r="CB52" s="115">
        <f t="shared" si="485"/>
        <v>3</v>
      </c>
      <c r="CC52" s="115">
        <f t="shared" si="485"/>
        <v>1</v>
      </c>
      <c r="CD52" s="241">
        <f t="shared" si="485"/>
        <v>2</v>
      </c>
      <c r="CE52" s="115">
        <f t="shared" si="485"/>
        <v>3</v>
      </c>
      <c r="CF52" s="115">
        <f t="shared" si="485"/>
        <v>5</v>
      </c>
      <c r="CG52" s="115">
        <f t="shared" si="485"/>
        <v>4</v>
      </c>
      <c r="CH52" s="115">
        <f t="shared" si="485"/>
        <v>1</v>
      </c>
      <c r="CI52" s="115">
        <f t="shared" ref="CE52:CJ53" si="486">CI$42</f>
        <v>2</v>
      </c>
      <c r="CJ52" s="241">
        <f t="shared" si="486"/>
        <v>6</v>
      </c>
      <c r="CK52" s="115">
        <f t="shared" ref="CK52:CP53" si="487">CK$42</f>
        <v>4</v>
      </c>
      <c r="CL52" s="115">
        <f t="shared" si="487"/>
        <v>5</v>
      </c>
      <c r="CM52" s="115">
        <f t="shared" si="487"/>
        <v>2</v>
      </c>
      <c r="CN52" s="115">
        <f t="shared" si="487"/>
        <v>6</v>
      </c>
      <c r="CO52" s="115">
        <f t="shared" si="487"/>
        <v>1</v>
      </c>
      <c r="CP52" s="241">
        <f t="shared" si="487"/>
        <v>3</v>
      </c>
      <c r="CR52" s="115">
        <f t="shared" ref="CR52:DG53" si="488">CR$42</f>
        <v>1</v>
      </c>
      <c r="CS52" s="115">
        <f t="shared" si="488"/>
        <v>2</v>
      </c>
      <c r="CT52" s="115">
        <f t="shared" si="488"/>
        <v>3</v>
      </c>
      <c r="CU52" s="115">
        <f t="shared" si="488"/>
        <v>4</v>
      </c>
      <c r="CV52" s="241">
        <f t="shared" si="488"/>
        <v>5</v>
      </c>
      <c r="CW52" s="115">
        <f t="shared" si="488"/>
        <v>4</v>
      </c>
      <c r="CX52" s="115">
        <f t="shared" si="488"/>
        <v>5</v>
      </c>
      <c r="CY52" s="115">
        <f t="shared" si="488"/>
        <v>3</v>
      </c>
      <c r="CZ52" s="115">
        <f t="shared" si="488"/>
        <v>1</v>
      </c>
      <c r="DA52" s="241">
        <f t="shared" si="488"/>
        <v>2</v>
      </c>
      <c r="DB52" s="115">
        <f t="shared" si="488"/>
        <v>3</v>
      </c>
      <c r="DC52" s="115">
        <f t="shared" si="488"/>
        <v>5</v>
      </c>
      <c r="DD52" s="115">
        <f t="shared" si="488"/>
        <v>4</v>
      </c>
      <c r="DE52" s="115">
        <f t="shared" si="488"/>
        <v>1</v>
      </c>
      <c r="DF52" s="241">
        <f t="shared" si="488"/>
        <v>2</v>
      </c>
      <c r="DG52" s="115">
        <f t="shared" si="488"/>
        <v>4</v>
      </c>
      <c r="DH52" s="115">
        <f t="shared" ref="DG52:DK53" si="489">DH$42</f>
        <v>5</v>
      </c>
      <c r="DI52" s="115">
        <f t="shared" si="489"/>
        <v>2</v>
      </c>
      <c r="DJ52" s="115">
        <f t="shared" si="489"/>
        <v>1</v>
      </c>
      <c r="DK52" s="241">
        <f t="shared" si="489"/>
        <v>3</v>
      </c>
      <c r="DM52" s="324">
        <f t="shared" ref="DM52:DY53" si="490">DM$42</f>
        <v>1</v>
      </c>
      <c r="DN52" s="321">
        <f t="shared" si="490"/>
        <v>2</v>
      </c>
      <c r="DO52" s="321">
        <f t="shared" si="490"/>
        <v>3</v>
      </c>
      <c r="DP52" s="241">
        <f t="shared" si="490"/>
        <v>4</v>
      </c>
      <c r="DQ52" s="324">
        <f t="shared" si="490"/>
        <v>4</v>
      </c>
      <c r="DR52" s="321">
        <f t="shared" si="490"/>
        <v>3</v>
      </c>
      <c r="DS52" s="321">
        <f t="shared" si="490"/>
        <v>1</v>
      </c>
      <c r="DT52" s="241">
        <f t="shared" si="490"/>
        <v>2</v>
      </c>
      <c r="DU52" s="324">
        <f t="shared" si="490"/>
        <v>3</v>
      </c>
      <c r="DV52" s="321">
        <f t="shared" si="490"/>
        <v>4</v>
      </c>
      <c r="DW52" s="321">
        <f t="shared" si="490"/>
        <v>1</v>
      </c>
      <c r="DX52" s="241">
        <f t="shared" si="490"/>
        <v>2</v>
      </c>
      <c r="DY52" s="324">
        <f t="shared" si="490"/>
        <v>4</v>
      </c>
      <c r="DZ52" s="321">
        <f t="shared" ref="DY52:EB53" si="491">DZ$42</f>
        <v>2</v>
      </c>
      <c r="EA52" s="321">
        <f t="shared" si="491"/>
        <v>1</v>
      </c>
      <c r="EB52" s="241">
        <f t="shared" si="491"/>
        <v>3</v>
      </c>
      <c r="EC52" s="306"/>
      <c r="EJ52" s="64" t="str">
        <f t="shared" si="476"/>
        <v>'Distance Input'!</v>
      </c>
      <c r="EK52" s="87" t="s">
        <v>447</v>
      </c>
      <c r="EL52" s="87" t="s">
        <v>280</v>
      </c>
      <c r="EM52" s="64">
        <f t="shared" ca="1" si="306"/>
        <v>59</v>
      </c>
      <c r="EN52" s="64" t="str">
        <f t="shared" ca="1" si="13"/>
        <v>'Distance Input'!C61</v>
      </c>
      <c r="EO52" s="64" t="str">
        <f t="shared" si="415"/>
        <v>'Field'!</v>
      </c>
      <c r="EP52" s="87" t="s">
        <v>447</v>
      </c>
      <c r="EQ52" s="87" t="s">
        <v>165</v>
      </c>
      <c r="ER52" s="87" t="str">
        <f t="shared" ca="1" si="307"/>
        <v>-</v>
      </c>
      <c r="ES52" s="64" t="str">
        <f t="shared" ca="1" si="15"/>
        <v>-</v>
      </c>
      <c r="ET52" s="64" t="s">
        <v>467</v>
      </c>
      <c r="EW52" s="65">
        <v>13.45</v>
      </c>
    </row>
    <row r="53" spans="1:153" x14ac:dyDescent="0.35">
      <c r="A53" s="353" t="s">
        <v>191</v>
      </c>
      <c r="B53" s="64" t="s">
        <v>28</v>
      </c>
      <c r="C53" s="64" t="s">
        <v>7</v>
      </c>
      <c r="D53" s="66">
        <v>53</v>
      </c>
      <c r="E53" s="66">
        <v>17</v>
      </c>
      <c r="F53" s="272">
        <v>0.62847222222222221</v>
      </c>
      <c r="G53" s="272">
        <v>0.60416666666666663</v>
      </c>
      <c r="I53" s="115">
        <f t="shared" si="481"/>
        <v>1</v>
      </c>
      <c r="J53" s="115">
        <f t="shared" si="481"/>
        <v>2</v>
      </c>
      <c r="K53" s="115">
        <f t="shared" si="481"/>
        <v>6</v>
      </c>
      <c r="L53" s="115">
        <f t="shared" si="481"/>
        <v>7</v>
      </c>
      <c r="M53" s="115">
        <f t="shared" si="481"/>
        <v>3</v>
      </c>
      <c r="N53" s="115">
        <f t="shared" si="481"/>
        <v>8</v>
      </c>
      <c r="O53" s="115">
        <f t="shared" si="481"/>
        <v>4</v>
      </c>
      <c r="P53" s="241">
        <f t="shared" si="481"/>
        <v>5</v>
      </c>
      <c r="Q53" s="115">
        <f t="shared" si="481"/>
        <v>6</v>
      </c>
      <c r="R53" s="115">
        <f t="shared" si="481"/>
        <v>7</v>
      </c>
      <c r="S53" s="115">
        <f t="shared" si="481"/>
        <v>4</v>
      </c>
      <c r="T53" s="115">
        <f t="shared" si="481"/>
        <v>8</v>
      </c>
      <c r="U53" s="115">
        <f t="shared" si="481"/>
        <v>5</v>
      </c>
      <c r="V53" s="115">
        <f t="shared" si="481"/>
        <v>3</v>
      </c>
      <c r="W53" s="115">
        <f t="shared" si="481"/>
        <v>1</v>
      </c>
      <c r="X53" s="241">
        <f t="shared" si="481"/>
        <v>2</v>
      </c>
      <c r="Y53" s="115">
        <f t="shared" si="482"/>
        <v>3</v>
      </c>
      <c r="Z53" s="115">
        <f t="shared" si="482"/>
        <v>8</v>
      </c>
      <c r="AA53" s="115">
        <f t="shared" si="482"/>
        <v>5</v>
      </c>
      <c r="AB53" s="115">
        <f t="shared" si="482"/>
        <v>4</v>
      </c>
      <c r="AC53" s="115">
        <f t="shared" si="482"/>
        <v>1</v>
      </c>
      <c r="AD53" s="115">
        <f t="shared" si="482"/>
        <v>2</v>
      </c>
      <c r="AE53" s="115">
        <f t="shared" si="482"/>
        <v>6</v>
      </c>
      <c r="AF53" s="241">
        <f t="shared" si="482"/>
        <v>7</v>
      </c>
      <c r="AG53" s="115">
        <f t="shared" si="482"/>
        <v>4</v>
      </c>
      <c r="AH53" s="115">
        <f t="shared" si="482"/>
        <v>5</v>
      </c>
      <c r="AI53" s="115">
        <f t="shared" si="482"/>
        <v>2</v>
      </c>
      <c r="AJ53" s="115">
        <f t="shared" si="482"/>
        <v>6</v>
      </c>
      <c r="AK53" s="115">
        <f t="shared" si="482"/>
        <v>7</v>
      </c>
      <c r="AL53" s="115">
        <f t="shared" si="482"/>
        <v>1</v>
      </c>
      <c r="AM53" s="115">
        <f t="shared" si="482"/>
        <v>3</v>
      </c>
      <c r="AN53" s="241">
        <f t="shared" si="482"/>
        <v>8</v>
      </c>
      <c r="AP53" s="115">
        <f t="shared" si="483"/>
        <v>1</v>
      </c>
      <c r="AQ53" s="115">
        <f t="shared" si="483"/>
        <v>2</v>
      </c>
      <c r="AR53" s="115">
        <f t="shared" si="483"/>
        <v>6</v>
      </c>
      <c r="AS53" s="115">
        <f t="shared" si="483"/>
        <v>7</v>
      </c>
      <c r="AT53" s="115">
        <f t="shared" si="483"/>
        <v>3</v>
      </c>
      <c r="AU53" s="115">
        <f t="shared" si="483"/>
        <v>4</v>
      </c>
      <c r="AV53" s="241">
        <f t="shared" si="483"/>
        <v>5</v>
      </c>
      <c r="AW53" s="115">
        <f t="shared" si="483"/>
        <v>6</v>
      </c>
      <c r="AX53" s="115">
        <f t="shared" si="483"/>
        <v>7</v>
      </c>
      <c r="AY53" s="115">
        <f t="shared" si="483"/>
        <v>4</v>
      </c>
      <c r="AZ53" s="115">
        <f t="shared" si="483"/>
        <v>5</v>
      </c>
      <c r="BA53" s="115">
        <f t="shared" si="483"/>
        <v>3</v>
      </c>
      <c r="BB53" s="115">
        <f t="shared" si="483"/>
        <v>1</v>
      </c>
      <c r="BC53" s="241">
        <f t="shared" si="483"/>
        <v>2</v>
      </c>
      <c r="BD53" s="115">
        <f t="shared" si="484"/>
        <v>3</v>
      </c>
      <c r="BE53" s="115">
        <f t="shared" si="484"/>
        <v>5</v>
      </c>
      <c r="BF53" s="115">
        <f t="shared" si="484"/>
        <v>4</v>
      </c>
      <c r="BG53" s="115">
        <f t="shared" si="484"/>
        <v>1</v>
      </c>
      <c r="BH53" s="115">
        <f t="shared" si="484"/>
        <v>2</v>
      </c>
      <c r="BI53" s="115">
        <f t="shared" si="484"/>
        <v>6</v>
      </c>
      <c r="BJ53" s="241">
        <f t="shared" si="484"/>
        <v>7</v>
      </c>
      <c r="BK53" s="115">
        <f t="shared" si="484"/>
        <v>4</v>
      </c>
      <c r="BL53" s="115">
        <f t="shared" si="484"/>
        <v>5</v>
      </c>
      <c r="BM53" s="115">
        <f t="shared" si="484"/>
        <v>2</v>
      </c>
      <c r="BN53" s="115">
        <f t="shared" si="484"/>
        <v>6</v>
      </c>
      <c r="BO53" s="115">
        <f t="shared" si="484"/>
        <v>7</v>
      </c>
      <c r="BP53" s="115">
        <f t="shared" si="484"/>
        <v>1</v>
      </c>
      <c r="BQ53" s="241">
        <f t="shared" si="484"/>
        <v>3</v>
      </c>
      <c r="BS53" s="115">
        <f t="shared" si="485"/>
        <v>1</v>
      </c>
      <c r="BT53" s="115">
        <f t="shared" si="485"/>
        <v>2</v>
      </c>
      <c r="BU53" s="115">
        <f t="shared" si="485"/>
        <v>6</v>
      </c>
      <c r="BV53" s="115">
        <f t="shared" si="485"/>
        <v>3</v>
      </c>
      <c r="BW53" s="115">
        <f t="shared" si="485"/>
        <v>4</v>
      </c>
      <c r="BX53" s="241">
        <f t="shared" si="485"/>
        <v>5</v>
      </c>
      <c r="BY53" s="115">
        <f t="shared" si="485"/>
        <v>6</v>
      </c>
      <c r="BZ53" s="115">
        <f t="shared" si="485"/>
        <v>4</v>
      </c>
      <c r="CA53" s="115">
        <f t="shared" si="485"/>
        <v>5</v>
      </c>
      <c r="CB53" s="115">
        <f t="shared" si="485"/>
        <v>3</v>
      </c>
      <c r="CC53" s="115">
        <f t="shared" si="485"/>
        <v>1</v>
      </c>
      <c r="CD53" s="241">
        <f t="shared" si="485"/>
        <v>2</v>
      </c>
      <c r="CE53" s="115">
        <f t="shared" si="486"/>
        <v>3</v>
      </c>
      <c r="CF53" s="115">
        <f t="shared" si="486"/>
        <v>5</v>
      </c>
      <c r="CG53" s="115">
        <f t="shared" si="486"/>
        <v>4</v>
      </c>
      <c r="CH53" s="115">
        <f t="shared" si="486"/>
        <v>1</v>
      </c>
      <c r="CI53" s="115">
        <f t="shared" si="486"/>
        <v>2</v>
      </c>
      <c r="CJ53" s="241">
        <f t="shared" si="486"/>
        <v>6</v>
      </c>
      <c r="CK53" s="115">
        <f t="shared" si="487"/>
        <v>4</v>
      </c>
      <c r="CL53" s="115">
        <f t="shared" si="487"/>
        <v>5</v>
      </c>
      <c r="CM53" s="115">
        <f t="shared" si="487"/>
        <v>2</v>
      </c>
      <c r="CN53" s="115">
        <f t="shared" si="487"/>
        <v>6</v>
      </c>
      <c r="CO53" s="115">
        <f t="shared" si="487"/>
        <v>1</v>
      </c>
      <c r="CP53" s="241">
        <f t="shared" si="487"/>
        <v>3</v>
      </c>
      <c r="CR53" s="115">
        <f t="shared" si="488"/>
        <v>1</v>
      </c>
      <c r="CS53" s="115">
        <f t="shared" si="488"/>
        <v>2</v>
      </c>
      <c r="CT53" s="115">
        <f t="shared" si="488"/>
        <v>3</v>
      </c>
      <c r="CU53" s="115">
        <f t="shared" si="488"/>
        <v>4</v>
      </c>
      <c r="CV53" s="241">
        <f t="shared" si="488"/>
        <v>5</v>
      </c>
      <c r="CW53" s="115">
        <f t="shared" si="488"/>
        <v>4</v>
      </c>
      <c r="CX53" s="115">
        <f t="shared" si="488"/>
        <v>5</v>
      </c>
      <c r="CY53" s="115">
        <f t="shared" si="488"/>
        <v>3</v>
      </c>
      <c r="CZ53" s="115">
        <f t="shared" si="488"/>
        <v>1</v>
      </c>
      <c r="DA53" s="241">
        <f t="shared" si="488"/>
        <v>2</v>
      </c>
      <c r="DB53" s="115">
        <f t="shared" si="488"/>
        <v>3</v>
      </c>
      <c r="DC53" s="115">
        <f t="shared" si="488"/>
        <v>5</v>
      </c>
      <c r="DD53" s="115">
        <f t="shared" si="488"/>
        <v>4</v>
      </c>
      <c r="DE53" s="115">
        <f t="shared" si="488"/>
        <v>1</v>
      </c>
      <c r="DF53" s="241">
        <f t="shared" si="488"/>
        <v>2</v>
      </c>
      <c r="DG53" s="115">
        <f t="shared" si="489"/>
        <v>4</v>
      </c>
      <c r="DH53" s="115">
        <f t="shared" si="489"/>
        <v>5</v>
      </c>
      <c r="DI53" s="115">
        <f t="shared" si="489"/>
        <v>2</v>
      </c>
      <c r="DJ53" s="115">
        <f t="shared" si="489"/>
        <v>1</v>
      </c>
      <c r="DK53" s="241">
        <f t="shared" si="489"/>
        <v>3</v>
      </c>
      <c r="DM53" s="324">
        <f t="shared" si="490"/>
        <v>1</v>
      </c>
      <c r="DN53" s="321">
        <f t="shared" si="490"/>
        <v>2</v>
      </c>
      <c r="DO53" s="321">
        <f t="shared" si="490"/>
        <v>3</v>
      </c>
      <c r="DP53" s="241">
        <f t="shared" si="490"/>
        <v>4</v>
      </c>
      <c r="DQ53" s="324">
        <f t="shared" si="490"/>
        <v>4</v>
      </c>
      <c r="DR53" s="321">
        <f t="shared" si="490"/>
        <v>3</v>
      </c>
      <c r="DS53" s="321">
        <f t="shared" si="490"/>
        <v>1</v>
      </c>
      <c r="DT53" s="241">
        <f t="shared" si="490"/>
        <v>2</v>
      </c>
      <c r="DU53" s="324">
        <f t="shared" si="490"/>
        <v>3</v>
      </c>
      <c r="DV53" s="321">
        <f t="shared" si="490"/>
        <v>4</v>
      </c>
      <c r="DW53" s="321">
        <f t="shared" si="490"/>
        <v>1</v>
      </c>
      <c r="DX53" s="241">
        <f t="shared" si="490"/>
        <v>2</v>
      </c>
      <c r="DY53" s="324">
        <f t="shared" si="491"/>
        <v>4</v>
      </c>
      <c r="DZ53" s="321">
        <f t="shared" si="491"/>
        <v>2</v>
      </c>
      <c r="EA53" s="321">
        <f t="shared" si="491"/>
        <v>1</v>
      </c>
      <c r="EB53" s="241">
        <f t="shared" si="491"/>
        <v>3</v>
      </c>
      <c r="EC53" s="306"/>
      <c r="EJ53" s="64" t="str">
        <f t="shared" si="476"/>
        <v>'Distance Input'!</v>
      </c>
      <c r="EK53" s="87" t="s">
        <v>448</v>
      </c>
      <c r="EL53" s="87" t="s">
        <v>166</v>
      </c>
      <c r="EM53" s="64">
        <f t="shared" ca="1" si="306"/>
        <v>59</v>
      </c>
      <c r="EN53" s="64" t="str">
        <f t="shared" ca="1" si="13"/>
        <v>'Distance Input'!J61</v>
      </c>
      <c r="EO53" s="64" t="str">
        <f t="shared" si="415"/>
        <v>'Field'!</v>
      </c>
      <c r="EP53" s="87" t="s">
        <v>447</v>
      </c>
      <c r="EQ53" s="87" t="s">
        <v>165</v>
      </c>
      <c r="ER53" s="87" t="str">
        <f t="shared" ca="1" si="307"/>
        <v>-</v>
      </c>
      <c r="ES53" s="64" t="str">
        <f t="shared" ca="1" si="15"/>
        <v>-</v>
      </c>
      <c r="ET53" s="64" t="s">
        <v>468</v>
      </c>
      <c r="EW53" s="65">
        <v>14.3</v>
      </c>
    </row>
    <row r="54" spans="1:153" x14ac:dyDescent="0.35">
      <c r="A54" s="353" t="s">
        <v>246</v>
      </c>
      <c r="B54" s="64" t="s">
        <v>22</v>
      </c>
      <c r="C54" s="64" t="s">
        <v>4</v>
      </c>
      <c r="D54" s="66">
        <v>54</v>
      </c>
      <c r="F54" s="272">
        <v>0.60416666666666663</v>
      </c>
      <c r="G54" s="272">
        <v>0.60416666666666663</v>
      </c>
      <c r="I54" s="115">
        <f>I19</f>
        <v>4</v>
      </c>
      <c r="J54" s="115">
        <f t="shared" ref="J54:P54" si="492">J19</f>
        <v>2</v>
      </c>
      <c r="K54" s="115">
        <f t="shared" si="492"/>
        <v>8</v>
      </c>
      <c r="L54" s="115">
        <f t="shared" si="492"/>
        <v>3</v>
      </c>
      <c r="M54" s="115">
        <f t="shared" si="492"/>
        <v>1</v>
      </c>
      <c r="N54" s="115">
        <f t="shared" si="492"/>
        <v>7</v>
      </c>
      <c r="O54" s="115">
        <f t="shared" si="492"/>
        <v>5</v>
      </c>
      <c r="P54" s="241">
        <f t="shared" si="492"/>
        <v>6</v>
      </c>
      <c r="Q54" s="115">
        <f>Q19</f>
        <v>8</v>
      </c>
      <c r="R54" s="115">
        <f t="shared" ref="R54:X54" si="493">R19</f>
        <v>3</v>
      </c>
      <c r="S54" s="115">
        <f t="shared" si="493"/>
        <v>6</v>
      </c>
      <c r="T54" s="115">
        <f t="shared" si="493"/>
        <v>7</v>
      </c>
      <c r="U54" s="115">
        <f t="shared" si="493"/>
        <v>1</v>
      </c>
      <c r="V54" s="115">
        <f t="shared" si="493"/>
        <v>5</v>
      </c>
      <c r="W54" s="115">
        <f t="shared" si="493"/>
        <v>4</v>
      </c>
      <c r="X54" s="241">
        <f t="shared" si="493"/>
        <v>2</v>
      </c>
      <c r="Y54" s="115">
        <f>Y19</f>
        <v>1</v>
      </c>
      <c r="Z54" s="115">
        <f t="shared" ref="Z54:AF54" si="494">Z19</f>
        <v>7</v>
      </c>
      <c r="AA54" s="115">
        <f t="shared" si="494"/>
        <v>4</v>
      </c>
      <c r="AB54" s="115">
        <f t="shared" si="494"/>
        <v>2</v>
      </c>
      <c r="AC54" s="115">
        <f t="shared" si="494"/>
        <v>5</v>
      </c>
      <c r="AD54" s="115">
        <f t="shared" si="494"/>
        <v>6</v>
      </c>
      <c r="AE54" s="115">
        <f t="shared" si="494"/>
        <v>8</v>
      </c>
      <c r="AF54" s="241">
        <f t="shared" si="494"/>
        <v>3</v>
      </c>
      <c r="AG54" s="115">
        <f>AG19</f>
        <v>5</v>
      </c>
      <c r="AH54" s="115">
        <f t="shared" ref="AH54:AN54" si="495">AH19</f>
        <v>6</v>
      </c>
      <c r="AI54" s="115">
        <f t="shared" si="495"/>
        <v>3</v>
      </c>
      <c r="AJ54" s="115">
        <f t="shared" si="495"/>
        <v>2</v>
      </c>
      <c r="AK54" s="115">
        <f t="shared" si="495"/>
        <v>8</v>
      </c>
      <c r="AL54" s="115">
        <f t="shared" si="495"/>
        <v>4</v>
      </c>
      <c r="AM54" s="115">
        <f t="shared" si="495"/>
        <v>1</v>
      </c>
      <c r="AN54" s="241">
        <f t="shared" si="495"/>
        <v>7</v>
      </c>
      <c r="AP54" s="115">
        <f t="shared" ref="AP54:BQ54" si="496">AP19</f>
        <v>4</v>
      </c>
      <c r="AQ54" s="115">
        <f t="shared" si="496"/>
        <v>2</v>
      </c>
      <c r="AR54" s="115">
        <f t="shared" si="496"/>
        <v>3</v>
      </c>
      <c r="AS54" s="115">
        <f t="shared" si="496"/>
        <v>1</v>
      </c>
      <c r="AT54" s="115">
        <f t="shared" si="496"/>
        <v>7</v>
      </c>
      <c r="AU54" s="115">
        <f t="shared" si="496"/>
        <v>5</v>
      </c>
      <c r="AV54" s="241">
        <f t="shared" si="496"/>
        <v>6</v>
      </c>
      <c r="AW54" s="115">
        <f t="shared" si="496"/>
        <v>3</v>
      </c>
      <c r="AX54" s="115">
        <f t="shared" si="496"/>
        <v>6</v>
      </c>
      <c r="AY54" s="115">
        <f t="shared" si="496"/>
        <v>7</v>
      </c>
      <c r="AZ54" s="115">
        <f t="shared" si="496"/>
        <v>1</v>
      </c>
      <c r="BA54" s="115">
        <f t="shared" si="496"/>
        <v>5</v>
      </c>
      <c r="BB54" s="115">
        <f t="shared" si="496"/>
        <v>4</v>
      </c>
      <c r="BC54" s="241">
        <f t="shared" si="496"/>
        <v>2</v>
      </c>
      <c r="BD54" s="115">
        <f t="shared" si="496"/>
        <v>1</v>
      </c>
      <c r="BE54" s="115">
        <f t="shared" si="496"/>
        <v>7</v>
      </c>
      <c r="BF54" s="115">
        <f t="shared" si="496"/>
        <v>4</v>
      </c>
      <c r="BG54" s="115">
        <f t="shared" si="496"/>
        <v>2</v>
      </c>
      <c r="BH54" s="115">
        <f t="shared" si="496"/>
        <v>5</v>
      </c>
      <c r="BI54" s="115">
        <f t="shared" si="496"/>
        <v>6</v>
      </c>
      <c r="BJ54" s="241">
        <f t="shared" si="496"/>
        <v>3</v>
      </c>
      <c r="BK54" s="115">
        <f t="shared" si="496"/>
        <v>5</v>
      </c>
      <c r="BL54" s="115">
        <f t="shared" si="496"/>
        <v>6</v>
      </c>
      <c r="BM54" s="115">
        <f t="shared" si="496"/>
        <v>3</v>
      </c>
      <c r="BN54" s="115">
        <f t="shared" si="496"/>
        <v>2</v>
      </c>
      <c r="BO54" s="115">
        <f t="shared" si="496"/>
        <v>4</v>
      </c>
      <c r="BP54" s="115">
        <f t="shared" si="496"/>
        <v>1</v>
      </c>
      <c r="BQ54" s="241">
        <f t="shared" si="496"/>
        <v>7</v>
      </c>
      <c r="BS54" s="115">
        <f t="shared" ref="BS54:CJ54" si="497">BS19</f>
        <v>4</v>
      </c>
      <c r="BT54" s="115">
        <f t="shared" si="497"/>
        <v>2</v>
      </c>
      <c r="BU54" s="115">
        <f t="shared" si="497"/>
        <v>3</v>
      </c>
      <c r="BV54" s="115">
        <f t="shared" si="497"/>
        <v>1</v>
      </c>
      <c r="BW54" s="115">
        <f t="shared" si="497"/>
        <v>5</v>
      </c>
      <c r="BX54" s="241">
        <f t="shared" si="497"/>
        <v>6</v>
      </c>
      <c r="BY54" s="115">
        <f t="shared" si="497"/>
        <v>3</v>
      </c>
      <c r="BZ54" s="115">
        <f t="shared" si="497"/>
        <v>6</v>
      </c>
      <c r="CA54" s="115">
        <f t="shared" si="497"/>
        <v>1</v>
      </c>
      <c r="CB54" s="115">
        <f t="shared" si="497"/>
        <v>5</v>
      </c>
      <c r="CC54" s="115">
        <f t="shared" si="497"/>
        <v>4</v>
      </c>
      <c r="CD54" s="241">
        <f t="shared" si="497"/>
        <v>2</v>
      </c>
      <c r="CE54" s="115">
        <f t="shared" si="497"/>
        <v>1</v>
      </c>
      <c r="CF54" s="115">
        <f t="shared" si="497"/>
        <v>4</v>
      </c>
      <c r="CG54" s="115">
        <f t="shared" si="497"/>
        <v>2</v>
      </c>
      <c r="CH54" s="115">
        <f t="shared" si="497"/>
        <v>5</v>
      </c>
      <c r="CI54" s="115">
        <f t="shared" si="497"/>
        <v>6</v>
      </c>
      <c r="CJ54" s="241">
        <f t="shared" si="497"/>
        <v>3</v>
      </c>
      <c r="CK54" s="115">
        <f t="shared" ref="CK54:CP54" si="498">CK19</f>
        <v>5</v>
      </c>
      <c r="CL54" s="115">
        <f t="shared" si="498"/>
        <v>6</v>
      </c>
      <c r="CM54" s="115">
        <f t="shared" si="498"/>
        <v>3</v>
      </c>
      <c r="CN54" s="115">
        <f t="shared" si="498"/>
        <v>2</v>
      </c>
      <c r="CO54" s="115">
        <f t="shared" si="498"/>
        <v>4</v>
      </c>
      <c r="CP54" s="241">
        <f t="shared" si="498"/>
        <v>1</v>
      </c>
      <c r="CR54" s="115">
        <f t="shared" ref="CR54:DK54" si="499">CR19</f>
        <v>4</v>
      </c>
      <c r="CS54" s="115">
        <f t="shared" si="499"/>
        <v>2</v>
      </c>
      <c r="CT54" s="115">
        <f t="shared" si="499"/>
        <v>3</v>
      </c>
      <c r="CU54" s="115">
        <f t="shared" si="499"/>
        <v>1</v>
      </c>
      <c r="CV54" s="241">
        <f t="shared" si="499"/>
        <v>5</v>
      </c>
      <c r="CW54" s="115">
        <f t="shared" si="499"/>
        <v>3</v>
      </c>
      <c r="CX54" s="115">
        <f t="shared" si="499"/>
        <v>1</v>
      </c>
      <c r="CY54" s="115">
        <f t="shared" si="499"/>
        <v>5</v>
      </c>
      <c r="CZ54" s="115">
        <f t="shared" si="499"/>
        <v>4</v>
      </c>
      <c r="DA54" s="241">
        <f t="shared" si="499"/>
        <v>2</v>
      </c>
      <c r="DB54" s="115">
        <f t="shared" si="499"/>
        <v>1</v>
      </c>
      <c r="DC54" s="115">
        <f t="shared" si="499"/>
        <v>4</v>
      </c>
      <c r="DD54" s="115">
        <f t="shared" si="499"/>
        <v>2</v>
      </c>
      <c r="DE54" s="115">
        <f t="shared" si="499"/>
        <v>5</v>
      </c>
      <c r="DF54" s="241">
        <f t="shared" si="499"/>
        <v>3</v>
      </c>
      <c r="DG54" s="115">
        <f t="shared" si="499"/>
        <v>5</v>
      </c>
      <c r="DH54" s="115">
        <f t="shared" si="499"/>
        <v>3</v>
      </c>
      <c r="DI54" s="115">
        <f t="shared" si="499"/>
        <v>2</v>
      </c>
      <c r="DJ54" s="115">
        <f t="shared" si="499"/>
        <v>4</v>
      </c>
      <c r="DK54" s="241">
        <f t="shared" si="499"/>
        <v>1</v>
      </c>
      <c r="DM54" s="324">
        <f t="shared" ref="DM54:EB54" si="500">DM19</f>
        <v>4</v>
      </c>
      <c r="DN54" s="321">
        <f t="shared" si="500"/>
        <v>2</v>
      </c>
      <c r="DO54" s="321">
        <f t="shared" si="500"/>
        <v>3</v>
      </c>
      <c r="DP54" s="241">
        <f t="shared" si="500"/>
        <v>1</v>
      </c>
      <c r="DQ54" s="324">
        <f t="shared" si="500"/>
        <v>3</v>
      </c>
      <c r="DR54" s="321">
        <f t="shared" si="500"/>
        <v>1</v>
      </c>
      <c r="DS54" s="321">
        <f t="shared" si="500"/>
        <v>4</v>
      </c>
      <c r="DT54" s="241">
        <f t="shared" si="500"/>
        <v>2</v>
      </c>
      <c r="DU54" s="324">
        <f t="shared" si="500"/>
        <v>1</v>
      </c>
      <c r="DV54" s="321">
        <f t="shared" si="500"/>
        <v>4</v>
      </c>
      <c r="DW54" s="321">
        <f t="shared" si="500"/>
        <v>2</v>
      </c>
      <c r="DX54" s="241">
        <f t="shared" si="500"/>
        <v>3</v>
      </c>
      <c r="DY54" s="324">
        <f t="shared" si="500"/>
        <v>3</v>
      </c>
      <c r="DZ54" s="321">
        <f t="shared" si="500"/>
        <v>2</v>
      </c>
      <c r="EA54" s="321">
        <f t="shared" si="500"/>
        <v>4</v>
      </c>
      <c r="EB54" s="241">
        <f t="shared" si="500"/>
        <v>1</v>
      </c>
      <c r="EC54" s="306"/>
      <c r="EJ54" s="64" t="str">
        <f t="shared" si="476"/>
        <v>'Distance Input'!</v>
      </c>
      <c r="EK54" s="87" t="s">
        <v>449</v>
      </c>
      <c r="EL54" s="87" t="s">
        <v>101</v>
      </c>
      <c r="EM54" s="64">
        <f t="shared" ca="1" si="306"/>
        <v>40</v>
      </c>
      <c r="EN54" s="64" t="str">
        <f t="shared" ca="1" si="13"/>
        <v>'Distance Input'!Q42</v>
      </c>
      <c r="EO54" s="64" t="str">
        <f t="shared" si="415"/>
        <v>'Field'!</v>
      </c>
      <c r="EP54" s="87" t="s">
        <v>447</v>
      </c>
      <c r="EQ54" s="87" t="s">
        <v>165</v>
      </c>
      <c r="ER54" s="87" t="str">
        <f t="shared" ca="1" si="307"/>
        <v>-</v>
      </c>
      <c r="ES54" s="64" t="str">
        <f t="shared" ca="1" si="15"/>
        <v>-</v>
      </c>
      <c r="ET54" s="64" t="s">
        <v>475</v>
      </c>
      <c r="EW54" s="65">
        <v>14.3</v>
      </c>
    </row>
    <row r="55" spans="1:153" x14ac:dyDescent="0.35">
      <c r="A55" s="353" t="s">
        <v>188</v>
      </c>
      <c r="B55" s="64" t="s">
        <v>23</v>
      </c>
      <c r="C55" s="64" t="s">
        <v>9</v>
      </c>
      <c r="D55" s="66">
        <v>55</v>
      </c>
      <c r="F55" s="272">
        <v>0.59375</v>
      </c>
      <c r="G55" s="272">
        <v>0.60416666666666663</v>
      </c>
      <c r="I55" s="115">
        <f>I$42</f>
        <v>1</v>
      </c>
      <c r="J55" s="115">
        <f t="shared" ref="J55:BU55" si="501">J$42</f>
        <v>2</v>
      </c>
      <c r="K55" s="115">
        <f t="shared" si="501"/>
        <v>6</v>
      </c>
      <c r="L55" s="115">
        <f t="shared" si="501"/>
        <v>7</v>
      </c>
      <c r="M55" s="115">
        <f t="shared" si="501"/>
        <v>3</v>
      </c>
      <c r="N55" s="115">
        <f t="shared" si="501"/>
        <v>8</v>
      </c>
      <c r="O55" s="115">
        <f t="shared" si="501"/>
        <v>4</v>
      </c>
      <c r="P55" s="241">
        <f t="shared" si="501"/>
        <v>5</v>
      </c>
      <c r="Q55" s="115">
        <f>Q$42</f>
        <v>6</v>
      </c>
      <c r="R55" s="115">
        <f t="shared" si="501"/>
        <v>7</v>
      </c>
      <c r="S55" s="115">
        <f t="shared" si="501"/>
        <v>4</v>
      </c>
      <c r="T55" s="115">
        <f t="shared" si="501"/>
        <v>8</v>
      </c>
      <c r="U55" s="115">
        <f t="shared" si="501"/>
        <v>5</v>
      </c>
      <c r="V55" s="115">
        <f t="shared" si="501"/>
        <v>3</v>
      </c>
      <c r="W55" s="115">
        <f t="shared" si="501"/>
        <v>1</v>
      </c>
      <c r="X55" s="241">
        <f t="shared" si="501"/>
        <v>2</v>
      </c>
      <c r="Y55" s="115">
        <f>Y$42</f>
        <v>3</v>
      </c>
      <c r="Z55" s="115">
        <f t="shared" si="501"/>
        <v>8</v>
      </c>
      <c r="AA55" s="115">
        <f t="shared" si="501"/>
        <v>5</v>
      </c>
      <c r="AB55" s="115">
        <f t="shared" si="501"/>
        <v>4</v>
      </c>
      <c r="AC55" s="115">
        <f t="shared" si="501"/>
        <v>1</v>
      </c>
      <c r="AD55" s="115">
        <f t="shared" si="501"/>
        <v>2</v>
      </c>
      <c r="AE55" s="115">
        <f t="shared" si="501"/>
        <v>6</v>
      </c>
      <c r="AF55" s="241">
        <f t="shared" si="501"/>
        <v>7</v>
      </c>
      <c r="AG55" s="115">
        <f>AG$42</f>
        <v>4</v>
      </c>
      <c r="AH55" s="115">
        <f t="shared" si="501"/>
        <v>5</v>
      </c>
      <c r="AI55" s="115">
        <f t="shared" si="501"/>
        <v>2</v>
      </c>
      <c r="AJ55" s="115">
        <f t="shared" si="501"/>
        <v>6</v>
      </c>
      <c r="AK55" s="115">
        <f t="shared" si="501"/>
        <v>7</v>
      </c>
      <c r="AL55" s="115">
        <f t="shared" si="501"/>
        <v>1</v>
      </c>
      <c r="AM55" s="115">
        <f t="shared" si="501"/>
        <v>3</v>
      </c>
      <c r="AN55" s="241">
        <f t="shared" si="501"/>
        <v>8</v>
      </c>
      <c r="AP55" s="115">
        <f t="shared" si="501"/>
        <v>1</v>
      </c>
      <c r="AQ55" s="115">
        <f t="shared" si="501"/>
        <v>2</v>
      </c>
      <c r="AR55" s="115">
        <f t="shared" si="501"/>
        <v>6</v>
      </c>
      <c r="AS55" s="115">
        <f t="shared" si="501"/>
        <v>7</v>
      </c>
      <c r="AT55" s="115">
        <f t="shared" si="501"/>
        <v>3</v>
      </c>
      <c r="AU55" s="115">
        <f t="shared" si="501"/>
        <v>4</v>
      </c>
      <c r="AV55" s="241">
        <f t="shared" si="501"/>
        <v>5</v>
      </c>
      <c r="AW55" s="115">
        <f t="shared" si="501"/>
        <v>6</v>
      </c>
      <c r="AX55" s="115">
        <f t="shared" si="501"/>
        <v>7</v>
      </c>
      <c r="AY55" s="115">
        <f t="shared" si="501"/>
        <v>4</v>
      </c>
      <c r="AZ55" s="115">
        <f t="shared" si="501"/>
        <v>5</v>
      </c>
      <c r="BA55" s="115">
        <f t="shared" si="501"/>
        <v>3</v>
      </c>
      <c r="BB55" s="115">
        <f t="shared" si="501"/>
        <v>1</v>
      </c>
      <c r="BC55" s="241">
        <f t="shared" si="501"/>
        <v>2</v>
      </c>
      <c r="BD55" s="115">
        <f t="shared" si="501"/>
        <v>3</v>
      </c>
      <c r="BE55" s="115">
        <f t="shared" si="501"/>
        <v>5</v>
      </c>
      <c r="BF55" s="115">
        <f t="shared" si="501"/>
        <v>4</v>
      </c>
      <c r="BG55" s="115">
        <f t="shared" si="501"/>
        <v>1</v>
      </c>
      <c r="BH55" s="115">
        <f t="shared" si="501"/>
        <v>2</v>
      </c>
      <c r="BI55" s="115">
        <f t="shared" si="501"/>
        <v>6</v>
      </c>
      <c r="BJ55" s="241">
        <f t="shared" si="501"/>
        <v>7</v>
      </c>
      <c r="BK55" s="115">
        <f t="shared" si="501"/>
        <v>4</v>
      </c>
      <c r="BL55" s="115">
        <f t="shared" si="501"/>
        <v>5</v>
      </c>
      <c r="BM55" s="115">
        <f t="shared" si="501"/>
        <v>2</v>
      </c>
      <c r="BN55" s="115">
        <f t="shared" si="501"/>
        <v>6</v>
      </c>
      <c r="BO55" s="115">
        <f t="shared" si="501"/>
        <v>7</v>
      </c>
      <c r="BP55" s="115">
        <f t="shared" si="501"/>
        <v>1</v>
      </c>
      <c r="BQ55" s="241">
        <f t="shared" si="501"/>
        <v>3</v>
      </c>
      <c r="BS55" s="115">
        <f t="shared" si="501"/>
        <v>1</v>
      </c>
      <c r="BT55" s="115">
        <f t="shared" si="501"/>
        <v>2</v>
      </c>
      <c r="BU55" s="115">
        <f t="shared" si="501"/>
        <v>6</v>
      </c>
      <c r="BV55" s="115">
        <f t="shared" ref="BV55:CJ55" si="502">BV$42</f>
        <v>3</v>
      </c>
      <c r="BW55" s="115">
        <f t="shared" si="502"/>
        <v>4</v>
      </c>
      <c r="BX55" s="241">
        <f t="shared" si="502"/>
        <v>5</v>
      </c>
      <c r="BY55" s="115">
        <f t="shared" si="502"/>
        <v>6</v>
      </c>
      <c r="BZ55" s="115">
        <f t="shared" si="502"/>
        <v>4</v>
      </c>
      <c r="CA55" s="115">
        <f t="shared" si="502"/>
        <v>5</v>
      </c>
      <c r="CB55" s="115">
        <f t="shared" si="502"/>
        <v>3</v>
      </c>
      <c r="CC55" s="115">
        <f t="shared" si="502"/>
        <v>1</v>
      </c>
      <c r="CD55" s="241">
        <f t="shared" si="502"/>
        <v>2</v>
      </c>
      <c r="CE55" s="115">
        <f t="shared" si="502"/>
        <v>3</v>
      </c>
      <c r="CF55" s="115">
        <f t="shared" si="502"/>
        <v>5</v>
      </c>
      <c r="CG55" s="115">
        <f t="shared" si="502"/>
        <v>4</v>
      </c>
      <c r="CH55" s="115">
        <f t="shared" si="502"/>
        <v>1</v>
      </c>
      <c r="CI55" s="115">
        <f t="shared" si="502"/>
        <v>2</v>
      </c>
      <c r="CJ55" s="241">
        <f t="shared" si="502"/>
        <v>6</v>
      </c>
      <c r="CK55" s="115">
        <f t="shared" ref="CK55:CP55" si="503">CK$42</f>
        <v>4</v>
      </c>
      <c r="CL55" s="115">
        <f t="shared" si="503"/>
        <v>5</v>
      </c>
      <c r="CM55" s="115">
        <f t="shared" si="503"/>
        <v>2</v>
      </c>
      <c r="CN55" s="115">
        <f t="shared" si="503"/>
        <v>6</v>
      </c>
      <c r="CO55" s="115">
        <f t="shared" si="503"/>
        <v>1</v>
      </c>
      <c r="CP55" s="241">
        <f t="shared" si="503"/>
        <v>3</v>
      </c>
      <c r="CR55" s="115">
        <f t="shared" ref="CR55:EB55" si="504">CR$42</f>
        <v>1</v>
      </c>
      <c r="CS55" s="115">
        <f t="shared" si="504"/>
        <v>2</v>
      </c>
      <c r="CT55" s="115">
        <f t="shared" si="504"/>
        <v>3</v>
      </c>
      <c r="CU55" s="115">
        <f t="shared" si="504"/>
        <v>4</v>
      </c>
      <c r="CV55" s="241">
        <f t="shared" si="504"/>
        <v>5</v>
      </c>
      <c r="CW55" s="115">
        <f t="shared" si="504"/>
        <v>4</v>
      </c>
      <c r="CX55" s="115">
        <f t="shared" si="504"/>
        <v>5</v>
      </c>
      <c r="CY55" s="115">
        <f t="shared" si="504"/>
        <v>3</v>
      </c>
      <c r="CZ55" s="115">
        <f t="shared" si="504"/>
        <v>1</v>
      </c>
      <c r="DA55" s="241">
        <f t="shared" si="504"/>
        <v>2</v>
      </c>
      <c r="DB55" s="115">
        <f t="shared" si="504"/>
        <v>3</v>
      </c>
      <c r="DC55" s="115">
        <f t="shared" si="504"/>
        <v>5</v>
      </c>
      <c r="DD55" s="115">
        <f t="shared" si="504"/>
        <v>4</v>
      </c>
      <c r="DE55" s="115">
        <f t="shared" si="504"/>
        <v>1</v>
      </c>
      <c r="DF55" s="241">
        <f t="shared" si="504"/>
        <v>2</v>
      </c>
      <c r="DG55" s="115">
        <f t="shared" si="504"/>
        <v>4</v>
      </c>
      <c r="DH55" s="115">
        <f t="shared" si="504"/>
        <v>5</v>
      </c>
      <c r="DI55" s="115">
        <f t="shared" si="504"/>
        <v>2</v>
      </c>
      <c r="DJ55" s="115">
        <f t="shared" si="504"/>
        <v>1</v>
      </c>
      <c r="DK55" s="241">
        <f t="shared" si="504"/>
        <v>3</v>
      </c>
      <c r="DM55" s="324">
        <f t="shared" si="504"/>
        <v>1</v>
      </c>
      <c r="DN55" s="321">
        <f t="shared" si="504"/>
        <v>2</v>
      </c>
      <c r="DO55" s="321">
        <f t="shared" si="504"/>
        <v>3</v>
      </c>
      <c r="DP55" s="241">
        <f t="shared" si="504"/>
        <v>4</v>
      </c>
      <c r="DQ55" s="324">
        <f t="shared" si="504"/>
        <v>4</v>
      </c>
      <c r="DR55" s="321">
        <f t="shared" si="504"/>
        <v>3</v>
      </c>
      <c r="DS55" s="321">
        <f t="shared" si="504"/>
        <v>1</v>
      </c>
      <c r="DT55" s="241">
        <f t="shared" si="504"/>
        <v>2</v>
      </c>
      <c r="DU55" s="324">
        <f t="shared" si="504"/>
        <v>3</v>
      </c>
      <c r="DV55" s="321">
        <f t="shared" si="504"/>
        <v>4</v>
      </c>
      <c r="DW55" s="321">
        <f t="shared" si="504"/>
        <v>1</v>
      </c>
      <c r="DX55" s="241">
        <f t="shared" si="504"/>
        <v>2</v>
      </c>
      <c r="DY55" s="324">
        <f t="shared" si="504"/>
        <v>4</v>
      </c>
      <c r="DZ55" s="321">
        <f t="shared" si="504"/>
        <v>2</v>
      </c>
      <c r="EA55" s="321">
        <f t="shared" si="504"/>
        <v>1</v>
      </c>
      <c r="EB55" s="241">
        <f t="shared" si="504"/>
        <v>3</v>
      </c>
      <c r="EC55" s="306"/>
      <c r="EJ55" s="64" t="str">
        <f>"'Height Input'!"</f>
        <v>'Height Input'!</v>
      </c>
      <c r="EK55" s="87" t="s">
        <v>451</v>
      </c>
      <c r="EL55" s="87" t="s">
        <v>281</v>
      </c>
      <c r="EM55" s="64">
        <f t="shared" ca="1" si="306"/>
        <v>21</v>
      </c>
      <c r="EN55" s="64" t="str">
        <f t="shared" ca="1" si="13"/>
        <v>'Height Input'!S23</v>
      </c>
      <c r="EO55" s="64" t="str">
        <f t="shared" si="415"/>
        <v>'Field'!</v>
      </c>
      <c r="EP55" s="87" t="s">
        <v>447</v>
      </c>
      <c r="EQ55" s="87" t="s">
        <v>165</v>
      </c>
      <c r="ER55" s="87" t="str">
        <f t="shared" ca="1" si="307"/>
        <v>-</v>
      </c>
      <c r="ES55" s="64" t="str">
        <f t="shared" ca="1" si="15"/>
        <v>-</v>
      </c>
      <c r="ET55" s="64" t="s">
        <v>477</v>
      </c>
      <c r="EW55" s="65">
        <v>14.3</v>
      </c>
    </row>
    <row r="56" spans="1:153" x14ac:dyDescent="0.35">
      <c r="A56" s="353" t="s">
        <v>192</v>
      </c>
      <c r="B56" s="64" t="s">
        <v>24</v>
      </c>
      <c r="C56" s="64" t="s">
        <v>6</v>
      </c>
      <c r="D56" s="66">
        <v>56</v>
      </c>
      <c r="E56" s="66">
        <v>93</v>
      </c>
      <c r="F56" s="272">
        <v>0.48958333333333331</v>
      </c>
      <c r="G56" s="272">
        <v>0.60416666666666663</v>
      </c>
      <c r="I56" s="115">
        <f>I$27</f>
        <v>4</v>
      </c>
      <c r="J56" s="115">
        <f t="shared" ref="J56:BU56" si="505">J$27</f>
        <v>1</v>
      </c>
      <c r="K56" s="115">
        <f t="shared" si="505"/>
        <v>5</v>
      </c>
      <c r="L56" s="115">
        <f t="shared" si="505"/>
        <v>7</v>
      </c>
      <c r="M56" s="115">
        <f t="shared" si="505"/>
        <v>3</v>
      </c>
      <c r="N56" s="115">
        <f t="shared" si="505"/>
        <v>8</v>
      </c>
      <c r="O56" s="115">
        <f t="shared" si="505"/>
        <v>6</v>
      </c>
      <c r="P56" s="241">
        <f t="shared" si="505"/>
        <v>2</v>
      </c>
      <c r="Q56" s="115">
        <f>Q$27</f>
        <v>5</v>
      </c>
      <c r="R56" s="115">
        <f t="shared" si="505"/>
        <v>7</v>
      </c>
      <c r="S56" s="115">
        <f t="shared" si="505"/>
        <v>2</v>
      </c>
      <c r="T56" s="115">
        <f t="shared" si="505"/>
        <v>8</v>
      </c>
      <c r="U56" s="115">
        <f t="shared" si="505"/>
        <v>6</v>
      </c>
      <c r="V56" s="115">
        <f t="shared" si="505"/>
        <v>3</v>
      </c>
      <c r="W56" s="115">
        <f t="shared" si="505"/>
        <v>4</v>
      </c>
      <c r="X56" s="241">
        <f t="shared" si="505"/>
        <v>1</v>
      </c>
      <c r="Y56" s="115">
        <f>Y$27</f>
        <v>3</v>
      </c>
      <c r="Z56" s="115">
        <f t="shared" si="505"/>
        <v>8</v>
      </c>
      <c r="AA56" s="115">
        <f t="shared" si="505"/>
        <v>2</v>
      </c>
      <c r="AB56" s="115">
        <f t="shared" si="505"/>
        <v>6</v>
      </c>
      <c r="AC56" s="115">
        <f t="shared" si="505"/>
        <v>4</v>
      </c>
      <c r="AD56" s="115">
        <f t="shared" si="505"/>
        <v>1</v>
      </c>
      <c r="AE56" s="115">
        <f t="shared" si="505"/>
        <v>5</v>
      </c>
      <c r="AF56" s="241">
        <f t="shared" si="505"/>
        <v>7</v>
      </c>
      <c r="AG56" s="115">
        <f>AG$27</f>
        <v>6</v>
      </c>
      <c r="AH56" s="115">
        <f t="shared" si="505"/>
        <v>2</v>
      </c>
      <c r="AI56" s="115">
        <f t="shared" si="505"/>
        <v>7</v>
      </c>
      <c r="AJ56" s="115">
        <f t="shared" si="505"/>
        <v>1</v>
      </c>
      <c r="AK56" s="115">
        <f t="shared" si="505"/>
        <v>5</v>
      </c>
      <c r="AL56" s="115">
        <f t="shared" si="505"/>
        <v>4</v>
      </c>
      <c r="AM56" s="115">
        <f t="shared" si="505"/>
        <v>3</v>
      </c>
      <c r="AN56" s="241">
        <f t="shared" si="505"/>
        <v>8</v>
      </c>
      <c r="AP56" s="115">
        <f t="shared" si="505"/>
        <v>4</v>
      </c>
      <c r="AQ56" s="115">
        <f t="shared" si="505"/>
        <v>1</v>
      </c>
      <c r="AR56" s="115">
        <f t="shared" si="505"/>
        <v>5</v>
      </c>
      <c r="AS56" s="115">
        <f t="shared" si="505"/>
        <v>7</v>
      </c>
      <c r="AT56" s="115">
        <f t="shared" si="505"/>
        <v>3</v>
      </c>
      <c r="AU56" s="115">
        <f t="shared" si="505"/>
        <v>6</v>
      </c>
      <c r="AV56" s="241">
        <f t="shared" si="505"/>
        <v>2</v>
      </c>
      <c r="AW56" s="115">
        <f t="shared" si="505"/>
        <v>5</v>
      </c>
      <c r="AX56" s="115">
        <f t="shared" si="505"/>
        <v>7</v>
      </c>
      <c r="AY56" s="115">
        <f t="shared" si="505"/>
        <v>2</v>
      </c>
      <c r="AZ56" s="115">
        <f t="shared" si="505"/>
        <v>6</v>
      </c>
      <c r="BA56" s="115">
        <f t="shared" si="505"/>
        <v>3</v>
      </c>
      <c r="BB56" s="115">
        <f t="shared" si="505"/>
        <v>4</v>
      </c>
      <c r="BC56" s="241">
        <f t="shared" si="505"/>
        <v>1</v>
      </c>
      <c r="BD56" s="115">
        <f t="shared" si="505"/>
        <v>3</v>
      </c>
      <c r="BE56" s="115">
        <f t="shared" si="505"/>
        <v>2</v>
      </c>
      <c r="BF56" s="115">
        <f t="shared" si="505"/>
        <v>6</v>
      </c>
      <c r="BG56" s="115">
        <f t="shared" si="505"/>
        <v>4</v>
      </c>
      <c r="BH56" s="115">
        <f t="shared" si="505"/>
        <v>1</v>
      </c>
      <c r="BI56" s="115">
        <f t="shared" si="505"/>
        <v>5</v>
      </c>
      <c r="BJ56" s="241">
        <f t="shared" si="505"/>
        <v>7</v>
      </c>
      <c r="BK56" s="115">
        <f t="shared" si="505"/>
        <v>6</v>
      </c>
      <c r="BL56" s="115">
        <f t="shared" si="505"/>
        <v>2</v>
      </c>
      <c r="BM56" s="115">
        <f t="shared" si="505"/>
        <v>7</v>
      </c>
      <c r="BN56" s="115">
        <f t="shared" si="505"/>
        <v>1</v>
      </c>
      <c r="BO56" s="115">
        <f t="shared" si="505"/>
        <v>5</v>
      </c>
      <c r="BP56" s="115">
        <f t="shared" si="505"/>
        <v>4</v>
      </c>
      <c r="BQ56" s="241">
        <f t="shared" si="505"/>
        <v>3</v>
      </c>
      <c r="BS56" s="115">
        <f t="shared" si="505"/>
        <v>4</v>
      </c>
      <c r="BT56" s="115">
        <f t="shared" si="505"/>
        <v>1</v>
      </c>
      <c r="BU56" s="115">
        <f t="shared" si="505"/>
        <v>5</v>
      </c>
      <c r="BV56" s="115">
        <f t="shared" ref="BV56:CJ56" si="506">BV$27</f>
        <v>3</v>
      </c>
      <c r="BW56" s="115">
        <f t="shared" si="506"/>
        <v>6</v>
      </c>
      <c r="BX56" s="241">
        <f t="shared" si="506"/>
        <v>2</v>
      </c>
      <c r="BY56" s="115">
        <f t="shared" si="506"/>
        <v>5</v>
      </c>
      <c r="BZ56" s="115">
        <f t="shared" si="506"/>
        <v>2</v>
      </c>
      <c r="CA56" s="115">
        <f t="shared" si="506"/>
        <v>6</v>
      </c>
      <c r="CB56" s="115">
        <f t="shared" si="506"/>
        <v>3</v>
      </c>
      <c r="CC56" s="115">
        <f t="shared" si="506"/>
        <v>4</v>
      </c>
      <c r="CD56" s="241">
        <f t="shared" si="506"/>
        <v>1</v>
      </c>
      <c r="CE56" s="115">
        <f t="shared" si="506"/>
        <v>3</v>
      </c>
      <c r="CF56" s="115">
        <f t="shared" si="506"/>
        <v>2</v>
      </c>
      <c r="CG56" s="115">
        <f t="shared" si="506"/>
        <v>6</v>
      </c>
      <c r="CH56" s="115">
        <f t="shared" si="506"/>
        <v>4</v>
      </c>
      <c r="CI56" s="115">
        <f t="shared" si="506"/>
        <v>1</v>
      </c>
      <c r="CJ56" s="241">
        <f t="shared" si="506"/>
        <v>5</v>
      </c>
      <c r="CK56" s="115">
        <f t="shared" ref="CK56:CP56" si="507">CK$27</f>
        <v>6</v>
      </c>
      <c r="CL56" s="115">
        <f t="shared" si="507"/>
        <v>2</v>
      </c>
      <c r="CM56" s="115">
        <f t="shared" si="507"/>
        <v>1</v>
      </c>
      <c r="CN56" s="115">
        <f t="shared" si="507"/>
        <v>5</v>
      </c>
      <c r="CO56" s="115">
        <f t="shared" si="507"/>
        <v>4</v>
      </c>
      <c r="CP56" s="241">
        <f t="shared" si="507"/>
        <v>3</v>
      </c>
      <c r="CR56" s="115">
        <f t="shared" ref="CR56:EB56" si="508">CR$27</f>
        <v>4</v>
      </c>
      <c r="CS56" s="115">
        <f t="shared" si="508"/>
        <v>1</v>
      </c>
      <c r="CT56" s="115">
        <f t="shared" si="508"/>
        <v>5</v>
      </c>
      <c r="CU56" s="115">
        <f t="shared" si="508"/>
        <v>3</v>
      </c>
      <c r="CV56" s="241">
        <f t="shared" si="508"/>
        <v>2</v>
      </c>
      <c r="CW56" s="115">
        <f t="shared" si="508"/>
        <v>5</v>
      </c>
      <c r="CX56" s="115">
        <f t="shared" si="508"/>
        <v>2</v>
      </c>
      <c r="CY56" s="115">
        <f t="shared" si="508"/>
        <v>3</v>
      </c>
      <c r="CZ56" s="115">
        <f t="shared" si="508"/>
        <v>4</v>
      </c>
      <c r="DA56" s="241">
        <f t="shared" si="508"/>
        <v>1</v>
      </c>
      <c r="DB56" s="115">
        <f t="shared" si="508"/>
        <v>3</v>
      </c>
      <c r="DC56" s="115">
        <f t="shared" si="508"/>
        <v>2</v>
      </c>
      <c r="DD56" s="115">
        <f t="shared" si="508"/>
        <v>4</v>
      </c>
      <c r="DE56" s="115">
        <f t="shared" si="508"/>
        <v>1</v>
      </c>
      <c r="DF56" s="241">
        <f t="shared" si="508"/>
        <v>5</v>
      </c>
      <c r="DG56" s="115">
        <f t="shared" si="508"/>
        <v>2</v>
      </c>
      <c r="DH56" s="115">
        <f t="shared" si="508"/>
        <v>1</v>
      </c>
      <c r="DI56" s="115">
        <f t="shared" si="508"/>
        <v>5</v>
      </c>
      <c r="DJ56" s="115">
        <f t="shared" si="508"/>
        <v>4</v>
      </c>
      <c r="DK56" s="241">
        <f t="shared" si="508"/>
        <v>3</v>
      </c>
      <c r="DM56" s="324">
        <f t="shared" si="508"/>
        <v>4</v>
      </c>
      <c r="DN56" s="321">
        <f t="shared" si="508"/>
        <v>1</v>
      </c>
      <c r="DO56" s="321">
        <f t="shared" si="508"/>
        <v>3</v>
      </c>
      <c r="DP56" s="241">
        <f t="shared" si="508"/>
        <v>2</v>
      </c>
      <c r="DQ56" s="324">
        <f t="shared" si="508"/>
        <v>2</v>
      </c>
      <c r="DR56" s="321">
        <f t="shared" si="508"/>
        <v>3</v>
      </c>
      <c r="DS56" s="321">
        <f t="shared" si="508"/>
        <v>4</v>
      </c>
      <c r="DT56" s="241">
        <f t="shared" si="508"/>
        <v>1</v>
      </c>
      <c r="DU56" s="324">
        <f t="shared" si="508"/>
        <v>3</v>
      </c>
      <c r="DV56" s="321">
        <f t="shared" si="508"/>
        <v>2</v>
      </c>
      <c r="DW56" s="321">
        <f t="shared" si="508"/>
        <v>4</v>
      </c>
      <c r="DX56" s="241">
        <f t="shared" si="508"/>
        <v>1</v>
      </c>
      <c r="DY56" s="324">
        <f t="shared" si="508"/>
        <v>2</v>
      </c>
      <c r="DZ56" s="321">
        <f t="shared" si="508"/>
        <v>1</v>
      </c>
      <c r="EA56" s="321">
        <f t="shared" si="508"/>
        <v>4</v>
      </c>
      <c r="EB56" s="241">
        <f t="shared" si="508"/>
        <v>3</v>
      </c>
      <c r="EC56" s="306"/>
      <c r="EJ56" s="64" t="str">
        <f t="shared" si="476"/>
        <v>'Distance Input'!</v>
      </c>
      <c r="EK56" s="87" t="s">
        <v>447</v>
      </c>
      <c r="EL56" s="87" t="s">
        <v>280</v>
      </c>
      <c r="EM56" s="64">
        <f t="shared" ca="1" si="306"/>
        <v>78</v>
      </c>
      <c r="EN56" s="64" t="str">
        <f t="shared" ca="1" si="13"/>
        <v>'Distance Input'!C80</v>
      </c>
      <c r="EO56" s="64" t="str">
        <f t="shared" si="415"/>
        <v>'Field'!</v>
      </c>
      <c r="EP56" s="87" t="s">
        <v>447</v>
      </c>
      <c r="EQ56" s="87" t="s">
        <v>165</v>
      </c>
      <c r="ER56" s="87" t="str">
        <f t="shared" ca="1" si="307"/>
        <v>-</v>
      </c>
      <c r="ES56" s="64" t="str">
        <f t="shared" ca="1" si="15"/>
        <v>-</v>
      </c>
      <c r="ET56" s="64" t="s">
        <v>469</v>
      </c>
      <c r="EW56" s="65">
        <v>14.3</v>
      </c>
    </row>
    <row r="57" spans="1:153" x14ac:dyDescent="0.35">
      <c r="A57" s="353" t="s">
        <v>193</v>
      </c>
      <c r="B57" s="64" t="s">
        <v>28</v>
      </c>
      <c r="C57" s="64" t="s">
        <v>6</v>
      </c>
      <c r="D57" s="66">
        <v>57</v>
      </c>
      <c r="F57" s="272">
        <v>0.60069444444444442</v>
      </c>
      <c r="G57" s="272">
        <v>0.63541666666666663</v>
      </c>
      <c r="I57" s="115">
        <f>I$42</f>
        <v>1</v>
      </c>
      <c r="J57" s="115">
        <f t="shared" ref="J57:BU57" si="509">J$42</f>
        <v>2</v>
      </c>
      <c r="K57" s="115">
        <f t="shared" si="509"/>
        <v>6</v>
      </c>
      <c r="L57" s="115">
        <f t="shared" si="509"/>
        <v>7</v>
      </c>
      <c r="M57" s="115">
        <f t="shared" si="509"/>
        <v>3</v>
      </c>
      <c r="N57" s="115">
        <f t="shared" si="509"/>
        <v>8</v>
      </c>
      <c r="O57" s="115">
        <f t="shared" si="509"/>
        <v>4</v>
      </c>
      <c r="P57" s="241">
        <f t="shared" si="509"/>
        <v>5</v>
      </c>
      <c r="Q57" s="115">
        <f>Q$42</f>
        <v>6</v>
      </c>
      <c r="R57" s="115">
        <f t="shared" si="509"/>
        <v>7</v>
      </c>
      <c r="S57" s="115">
        <f t="shared" si="509"/>
        <v>4</v>
      </c>
      <c r="T57" s="115">
        <f t="shared" si="509"/>
        <v>8</v>
      </c>
      <c r="U57" s="115">
        <f t="shared" si="509"/>
        <v>5</v>
      </c>
      <c r="V57" s="115">
        <f t="shared" si="509"/>
        <v>3</v>
      </c>
      <c r="W57" s="115">
        <f t="shared" si="509"/>
        <v>1</v>
      </c>
      <c r="X57" s="241">
        <f t="shared" si="509"/>
        <v>2</v>
      </c>
      <c r="Y57" s="115">
        <f>Y$42</f>
        <v>3</v>
      </c>
      <c r="Z57" s="115">
        <f t="shared" si="509"/>
        <v>8</v>
      </c>
      <c r="AA57" s="115">
        <f t="shared" si="509"/>
        <v>5</v>
      </c>
      <c r="AB57" s="115">
        <f t="shared" si="509"/>
        <v>4</v>
      </c>
      <c r="AC57" s="115">
        <f t="shared" si="509"/>
        <v>1</v>
      </c>
      <c r="AD57" s="115">
        <f t="shared" si="509"/>
        <v>2</v>
      </c>
      <c r="AE57" s="115">
        <f t="shared" si="509"/>
        <v>6</v>
      </c>
      <c r="AF57" s="241">
        <f t="shared" si="509"/>
        <v>7</v>
      </c>
      <c r="AG57" s="115">
        <f>AG$42</f>
        <v>4</v>
      </c>
      <c r="AH57" s="115">
        <f t="shared" si="509"/>
        <v>5</v>
      </c>
      <c r="AI57" s="115">
        <f t="shared" si="509"/>
        <v>2</v>
      </c>
      <c r="AJ57" s="115">
        <f t="shared" si="509"/>
        <v>6</v>
      </c>
      <c r="AK57" s="115">
        <f t="shared" si="509"/>
        <v>7</v>
      </c>
      <c r="AL57" s="115">
        <f t="shared" si="509"/>
        <v>1</v>
      </c>
      <c r="AM57" s="115">
        <f t="shared" si="509"/>
        <v>3</v>
      </c>
      <c r="AN57" s="241">
        <f t="shared" si="509"/>
        <v>8</v>
      </c>
      <c r="AP57" s="115">
        <f t="shared" si="509"/>
        <v>1</v>
      </c>
      <c r="AQ57" s="115">
        <f t="shared" si="509"/>
        <v>2</v>
      </c>
      <c r="AR57" s="115">
        <f t="shared" si="509"/>
        <v>6</v>
      </c>
      <c r="AS57" s="115">
        <f t="shared" si="509"/>
        <v>7</v>
      </c>
      <c r="AT57" s="115">
        <f t="shared" si="509"/>
        <v>3</v>
      </c>
      <c r="AU57" s="115">
        <f t="shared" si="509"/>
        <v>4</v>
      </c>
      <c r="AV57" s="241">
        <f t="shared" si="509"/>
        <v>5</v>
      </c>
      <c r="AW57" s="115">
        <f t="shared" si="509"/>
        <v>6</v>
      </c>
      <c r="AX57" s="115">
        <f t="shared" si="509"/>
        <v>7</v>
      </c>
      <c r="AY57" s="115">
        <f t="shared" si="509"/>
        <v>4</v>
      </c>
      <c r="AZ57" s="115">
        <f t="shared" si="509"/>
        <v>5</v>
      </c>
      <c r="BA57" s="115">
        <f t="shared" si="509"/>
        <v>3</v>
      </c>
      <c r="BB57" s="115">
        <f t="shared" si="509"/>
        <v>1</v>
      </c>
      <c r="BC57" s="241">
        <f t="shared" si="509"/>
        <v>2</v>
      </c>
      <c r="BD57" s="115">
        <f t="shared" si="509"/>
        <v>3</v>
      </c>
      <c r="BE57" s="115">
        <f t="shared" si="509"/>
        <v>5</v>
      </c>
      <c r="BF57" s="115">
        <f t="shared" si="509"/>
        <v>4</v>
      </c>
      <c r="BG57" s="115">
        <f t="shared" si="509"/>
        <v>1</v>
      </c>
      <c r="BH57" s="115">
        <f t="shared" si="509"/>
        <v>2</v>
      </c>
      <c r="BI57" s="115">
        <f t="shared" si="509"/>
        <v>6</v>
      </c>
      <c r="BJ57" s="241">
        <f t="shared" si="509"/>
        <v>7</v>
      </c>
      <c r="BK57" s="115">
        <f t="shared" si="509"/>
        <v>4</v>
      </c>
      <c r="BL57" s="115">
        <f t="shared" si="509"/>
        <v>5</v>
      </c>
      <c r="BM57" s="115">
        <f t="shared" si="509"/>
        <v>2</v>
      </c>
      <c r="BN57" s="115">
        <f t="shared" si="509"/>
        <v>6</v>
      </c>
      <c r="BO57" s="115">
        <f t="shared" si="509"/>
        <v>7</v>
      </c>
      <c r="BP57" s="115">
        <f t="shared" si="509"/>
        <v>1</v>
      </c>
      <c r="BQ57" s="241">
        <f t="shared" si="509"/>
        <v>3</v>
      </c>
      <c r="BS57" s="115">
        <f t="shared" si="509"/>
        <v>1</v>
      </c>
      <c r="BT57" s="115">
        <f t="shared" si="509"/>
        <v>2</v>
      </c>
      <c r="BU57" s="115">
        <f t="shared" si="509"/>
        <v>6</v>
      </c>
      <c r="BV57" s="115">
        <f t="shared" ref="BV57:CJ57" si="510">BV$42</f>
        <v>3</v>
      </c>
      <c r="BW57" s="115">
        <f t="shared" si="510"/>
        <v>4</v>
      </c>
      <c r="BX57" s="241">
        <f t="shared" si="510"/>
        <v>5</v>
      </c>
      <c r="BY57" s="115">
        <f t="shared" si="510"/>
        <v>6</v>
      </c>
      <c r="BZ57" s="115">
        <f t="shared" si="510"/>
        <v>4</v>
      </c>
      <c r="CA57" s="115">
        <f t="shared" si="510"/>
        <v>5</v>
      </c>
      <c r="CB57" s="115">
        <f t="shared" si="510"/>
        <v>3</v>
      </c>
      <c r="CC57" s="115">
        <f t="shared" si="510"/>
        <v>1</v>
      </c>
      <c r="CD57" s="241">
        <f t="shared" si="510"/>
        <v>2</v>
      </c>
      <c r="CE57" s="115">
        <f t="shared" si="510"/>
        <v>3</v>
      </c>
      <c r="CF57" s="115">
        <f t="shared" si="510"/>
        <v>5</v>
      </c>
      <c r="CG57" s="115">
        <f t="shared" si="510"/>
        <v>4</v>
      </c>
      <c r="CH57" s="115">
        <f t="shared" si="510"/>
        <v>1</v>
      </c>
      <c r="CI57" s="115">
        <f t="shared" si="510"/>
        <v>2</v>
      </c>
      <c r="CJ57" s="241">
        <f t="shared" si="510"/>
        <v>6</v>
      </c>
      <c r="CK57" s="115">
        <f t="shared" ref="CK57:CP57" si="511">CK$42</f>
        <v>4</v>
      </c>
      <c r="CL57" s="115">
        <f t="shared" si="511"/>
        <v>5</v>
      </c>
      <c r="CM57" s="115">
        <f t="shared" si="511"/>
        <v>2</v>
      </c>
      <c r="CN57" s="115">
        <f t="shared" si="511"/>
        <v>6</v>
      </c>
      <c r="CO57" s="115">
        <f t="shared" si="511"/>
        <v>1</v>
      </c>
      <c r="CP57" s="241">
        <f t="shared" si="511"/>
        <v>3</v>
      </c>
      <c r="CR57" s="115">
        <f t="shared" ref="CR57:EB57" si="512">CR$42</f>
        <v>1</v>
      </c>
      <c r="CS57" s="115">
        <f t="shared" si="512"/>
        <v>2</v>
      </c>
      <c r="CT57" s="115">
        <f t="shared" si="512"/>
        <v>3</v>
      </c>
      <c r="CU57" s="115">
        <f t="shared" si="512"/>
        <v>4</v>
      </c>
      <c r="CV57" s="241">
        <f t="shared" si="512"/>
        <v>5</v>
      </c>
      <c r="CW57" s="115">
        <f t="shared" si="512"/>
        <v>4</v>
      </c>
      <c r="CX57" s="115">
        <f t="shared" si="512"/>
        <v>5</v>
      </c>
      <c r="CY57" s="115">
        <f t="shared" si="512"/>
        <v>3</v>
      </c>
      <c r="CZ57" s="115">
        <f t="shared" si="512"/>
        <v>1</v>
      </c>
      <c r="DA57" s="241">
        <f t="shared" si="512"/>
        <v>2</v>
      </c>
      <c r="DB57" s="115">
        <f t="shared" si="512"/>
        <v>3</v>
      </c>
      <c r="DC57" s="115">
        <f t="shared" si="512"/>
        <v>5</v>
      </c>
      <c r="DD57" s="115">
        <f t="shared" si="512"/>
        <v>4</v>
      </c>
      <c r="DE57" s="115">
        <f t="shared" si="512"/>
        <v>1</v>
      </c>
      <c r="DF57" s="241">
        <f t="shared" si="512"/>
        <v>2</v>
      </c>
      <c r="DG57" s="115">
        <f t="shared" si="512"/>
        <v>4</v>
      </c>
      <c r="DH57" s="115">
        <f t="shared" si="512"/>
        <v>5</v>
      </c>
      <c r="DI57" s="115">
        <f t="shared" si="512"/>
        <v>2</v>
      </c>
      <c r="DJ57" s="115">
        <f t="shared" si="512"/>
        <v>1</v>
      </c>
      <c r="DK57" s="241">
        <f t="shared" si="512"/>
        <v>3</v>
      </c>
      <c r="DM57" s="324">
        <f t="shared" si="512"/>
        <v>1</v>
      </c>
      <c r="DN57" s="321">
        <f t="shared" si="512"/>
        <v>2</v>
      </c>
      <c r="DO57" s="321">
        <f t="shared" si="512"/>
        <v>3</v>
      </c>
      <c r="DP57" s="241">
        <f t="shared" si="512"/>
        <v>4</v>
      </c>
      <c r="DQ57" s="324">
        <f t="shared" si="512"/>
        <v>4</v>
      </c>
      <c r="DR57" s="321">
        <f t="shared" si="512"/>
        <v>3</v>
      </c>
      <c r="DS57" s="321">
        <f t="shared" si="512"/>
        <v>1</v>
      </c>
      <c r="DT57" s="241">
        <f t="shared" si="512"/>
        <v>2</v>
      </c>
      <c r="DU57" s="324">
        <f t="shared" si="512"/>
        <v>3</v>
      </c>
      <c r="DV57" s="321">
        <f t="shared" si="512"/>
        <v>4</v>
      </c>
      <c r="DW57" s="321">
        <f t="shared" si="512"/>
        <v>1</v>
      </c>
      <c r="DX57" s="241">
        <f t="shared" si="512"/>
        <v>2</v>
      </c>
      <c r="DY57" s="324">
        <f t="shared" si="512"/>
        <v>4</v>
      </c>
      <c r="DZ57" s="321">
        <f t="shared" si="512"/>
        <v>2</v>
      </c>
      <c r="EA57" s="321">
        <f t="shared" si="512"/>
        <v>1</v>
      </c>
      <c r="EB57" s="241">
        <f t="shared" si="512"/>
        <v>3</v>
      </c>
      <c r="EC57" s="306"/>
      <c r="EJ57" s="64" t="str">
        <f t="shared" si="476"/>
        <v>'Distance Input'!</v>
      </c>
      <c r="EK57" s="87" t="s">
        <v>448</v>
      </c>
      <c r="EL57" s="87" t="s">
        <v>166</v>
      </c>
      <c r="EM57" s="64">
        <f t="shared" ca="1" si="306"/>
        <v>78</v>
      </c>
      <c r="EN57" s="64" t="str">
        <f t="shared" ca="1" si="13"/>
        <v>'Distance Input'!J80</v>
      </c>
      <c r="EO57" s="64" t="str">
        <f t="shared" si="415"/>
        <v>'Field'!</v>
      </c>
      <c r="EP57" s="87" t="s">
        <v>447</v>
      </c>
      <c r="EQ57" s="87" t="s">
        <v>165</v>
      </c>
      <c r="ER57" s="87" t="str">
        <f t="shared" ca="1" si="307"/>
        <v>-</v>
      </c>
      <c r="ES57" s="64" t="str">
        <f t="shared" ca="1" si="15"/>
        <v>-</v>
      </c>
      <c r="ET57" s="64" t="s">
        <v>470</v>
      </c>
      <c r="EW57" s="65">
        <v>15.1</v>
      </c>
    </row>
    <row r="58" spans="1:153" x14ac:dyDescent="0.35">
      <c r="A58" s="353" t="s">
        <v>247</v>
      </c>
      <c r="B58" s="64" t="s">
        <v>22</v>
      </c>
      <c r="C58" s="64" t="s">
        <v>9</v>
      </c>
      <c r="D58" s="66">
        <v>58</v>
      </c>
      <c r="E58" s="66">
        <v>69</v>
      </c>
      <c r="F58" s="272">
        <v>0.55208333333333337</v>
      </c>
      <c r="G58" s="272">
        <v>0.64583333333333337</v>
      </c>
      <c r="I58" s="115">
        <f>I19</f>
        <v>4</v>
      </c>
      <c r="J58" s="115">
        <f t="shared" ref="J58:P58" si="513">J19</f>
        <v>2</v>
      </c>
      <c r="K58" s="115">
        <f t="shared" si="513"/>
        <v>8</v>
      </c>
      <c r="L58" s="115">
        <f t="shared" si="513"/>
        <v>3</v>
      </c>
      <c r="M58" s="115">
        <f t="shared" si="513"/>
        <v>1</v>
      </c>
      <c r="N58" s="115">
        <f t="shared" si="513"/>
        <v>7</v>
      </c>
      <c r="O58" s="115">
        <f t="shared" si="513"/>
        <v>5</v>
      </c>
      <c r="P58" s="241">
        <f t="shared" si="513"/>
        <v>6</v>
      </c>
      <c r="Q58" s="115">
        <f>Q19</f>
        <v>8</v>
      </c>
      <c r="R58" s="115">
        <f t="shared" ref="R58:X58" si="514">R19</f>
        <v>3</v>
      </c>
      <c r="S58" s="115">
        <f t="shared" si="514"/>
        <v>6</v>
      </c>
      <c r="T58" s="115">
        <f t="shared" si="514"/>
        <v>7</v>
      </c>
      <c r="U58" s="115">
        <f t="shared" si="514"/>
        <v>1</v>
      </c>
      <c r="V58" s="115">
        <f t="shared" si="514"/>
        <v>5</v>
      </c>
      <c r="W58" s="115">
        <f t="shared" si="514"/>
        <v>4</v>
      </c>
      <c r="X58" s="241">
        <f t="shared" si="514"/>
        <v>2</v>
      </c>
      <c r="Y58" s="115">
        <f>Y19</f>
        <v>1</v>
      </c>
      <c r="Z58" s="115">
        <f t="shared" ref="Z58:AF58" si="515">Z19</f>
        <v>7</v>
      </c>
      <c r="AA58" s="115">
        <f t="shared" si="515"/>
        <v>4</v>
      </c>
      <c r="AB58" s="115">
        <f t="shared" si="515"/>
        <v>2</v>
      </c>
      <c r="AC58" s="115">
        <f t="shared" si="515"/>
        <v>5</v>
      </c>
      <c r="AD58" s="115">
        <f t="shared" si="515"/>
        <v>6</v>
      </c>
      <c r="AE58" s="115">
        <f t="shared" si="515"/>
        <v>8</v>
      </c>
      <c r="AF58" s="241">
        <f t="shared" si="515"/>
        <v>3</v>
      </c>
      <c r="AG58" s="115">
        <f>AG19</f>
        <v>5</v>
      </c>
      <c r="AH58" s="115">
        <f t="shared" ref="AH58:AN58" si="516">AH19</f>
        <v>6</v>
      </c>
      <c r="AI58" s="115">
        <f t="shared" si="516"/>
        <v>3</v>
      </c>
      <c r="AJ58" s="115">
        <f t="shared" si="516"/>
        <v>2</v>
      </c>
      <c r="AK58" s="115">
        <f t="shared" si="516"/>
        <v>8</v>
      </c>
      <c r="AL58" s="115">
        <f t="shared" si="516"/>
        <v>4</v>
      </c>
      <c r="AM58" s="115">
        <f t="shared" si="516"/>
        <v>1</v>
      </c>
      <c r="AN58" s="241">
        <f t="shared" si="516"/>
        <v>7</v>
      </c>
      <c r="AP58" s="115">
        <f t="shared" ref="AP58:BQ58" si="517">AP19</f>
        <v>4</v>
      </c>
      <c r="AQ58" s="115">
        <f t="shared" si="517"/>
        <v>2</v>
      </c>
      <c r="AR58" s="115">
        <f t="shared" si="517"/>
        <v>3</v>
      </c>
      <c r="AS58" s="115">
        <f t="shared" si="517"/>
        <v>1</v>
      </c>
      <c r="AT58" s="115">
        <f t="shared" si="517"/>
        <v>7</v>
      </c>
      <c r="AU58" s="115">
        <f t="shared" si="517"/>
        <v>5</v>
      </c>
      <c r="AV58" s="241">
        <f t="shared" si="517"/>
        <v>6</v>
      </c>
      <c r="AW58" s="115">
        <f t="shared" si="517"/>
        <v>3</v>
      </c>
      <c r="AX58" s="115">
        <f t="shared" si="517"/>
        <v>6</v>
      </c>
      <c r="AY58" s="115">
        <f t="shared" si="517"/>
        <v>7</v>
      </c>
      <c r="AZ58" s="115">
        <f t="shared" si="517"/>
        <v>1</v>
      </c>
      <c r="BA58" s="115">
        <f t="shared" si="517"/>
        <v>5</v>
      </c>
      <c r="BB58" s="115">
        <f t="shared" si="517"/>
        <v>4</v>
      </c>
      <c r="BC58" s="241">
        <f t="shared" si="517"/>
        <v>2</v>
      </c>
      <c r="BD58" s="115">
        <f t="shared" si="517"/>
        <v>1</v>
      </c>
      <c r="BE58" s="115">
        <f t="shared" si="517"/>
        <v>7</v>
      </c>
      <c r="BF58" s="115">
        <f t="shared" si="517"/>
        <v>4</v>
      </c>
      <c r="BG58" s="115">
        <f t="shared" si="517"/>
        <v>2</v>
      </c>
      <c r="BH58" s="115">
        <f t="shared" si="517"/>
        <v>5</v>
      </c>
      <c r="BI58" s="115">
        <f t="shared" si="517"/>
        <v>6</v>
      </c>
      <c r="BJ58" s="241">
        <f t="shared" si="517"/>
        <v>3</v>
      </c>
      <c r="BK58" s="115">
        <f t="shared" si="517"/>
        <v>5</v>
      </c>
      <c r="BL58" s="115">
        <f t="shared" si="517"/>
        <v>6</v>
      </c>
      <c r="BM58" s="115">
        <f t="shared" si="517"/>
        <v>3</v>
      </c>
      <c r="BN58" s="115">
        <f t="shared" si="517"/>
        <v>2</v>
      </c>
      <c r="BO58" s="115">
        <f t="shared" si="517"/>
        <v>4</v>
      </c>
      <c r="BP58" s="115">
        <f t="shared" si="517"/>
        <v>1</v>
      </c>
      <c r="BQ58" s="241">
        <f t="shared" si="517"/>
        <v>7</v>
      </c>
      <c r="BS58" s="115">
        <f t="shared" ref="BS58:CJ58" si="518">BS19</f>
        <v>4</v>
      </c>
      <c r="BT58" s="115">
        <f t="shared" si="518"/>
        <v>2</v>
      </c>
      <c r="BU58" s="115">
        <f t="shared" si="518"/>
        <v>3</v>
      </c>
      <c r="BV58" s="115">
        <f t="shared" si="518"/>
        <v>1</v>
      </c>
      <c r="BW58" s="115">
        <f t="shared" si="518"/>
        <v>5</v>
      </c>
      <c r="BX58" s="241">
        <f t="shared" si="518"/>
        <v>6</v>
      </c>
      <c r="BY58" s="115">
        <f t="shared" si="518"/>
        <v>3</v>
      </c>
      <c r="BZ58" s="115">
        <f t="shared" si="518"/>
        <v>6</v>
      </c>
      <c r="CA58" s="115">
        <f t="shared" si="518"/>
        <v>1</v>
      </c>
      <c r="CB58" s="115">
        <f t="shared" si="518"/>
        <v>5</v>
      </c>
      <c r="CC58" s="115">
        <f t="shared" si="518"/>
        <v>4</v>
      </c>
      <c r="CD58" s="241">
        <f t="shared" si="518"/>
        <v>2</v>
      </c>
      <c r="CE58" s="115">
        <f t="shared" si="518"/>
        <v>1</v>
      </c>
      <c r="CF58" s="115">
        <f t="shared" si="518"/>
        <v>4</v>
      </c>
      <c r="CG58" s="115">
        <f t="shared" si="518"/>
        <v>2</v>
      </c>
      <c r="CH58" s="115">
        <f t="shared" si="518"/>
        <v>5</v>
      </c>
      <c r="CI58" s="115">
        <f t="shared" si="518"/>
        <v>6</v>
      </c>
      <c r="CJ58" s="241">
        <f t="shared" si="518"/>
        <v>3</v>
      </c>
      <c r="CK58" s="115">
        <f t="shared" ref="CK58:CP58" si="519">CK19</f>
        <v>5</v>
      </c>
      <c r="CL58" s="115">
        <f t="shared" si="519"/>
        <v>6</v>
      </c>
      <c r="CM58" s="115">
        <f t="shared" si="519"/>
        <v>3</v>
      </c>
      <c r="CN58" s="115">
        <f t="shared" si="519"/>
        <v>2</v>
      </c>
      <c r="CO58" s="115">
        <f t="shared" si="519"/>
        <v>4</v>
      </c>
      <c r="CP58" s="241">
        <f t="shared" si="519"/>
        <v>1</v>
      </c>
      <c r="CR58" s="115">
        <f t="shared" ref="CR58:DK58" si="520">CR19</f>
        <v>4</v>
      </c>
      <c r="CS58" s="115">
        <f t="shared" si="520"/>
        <v>2</v>
      </c>
      <c r="CT58" s="115">
        <f t="shared" si="520"/>
        <v>3</v>
      </c>
      <c r="CU58" s="115">
        <f t="shared" si="520"/>
        <v>1</v>
      </c>
      <c r="CV58" s="241">
        <f t="shared" si="520"/>
        <v>5</v>
      </c>
      <c r="CW58" s="115">
        <f t="shared" si="520"/>
        <v>3</v>
      </c>
      <c r="CX58" s="115">
        <f t="shared" si="520"/>
        <v>1</v>
      </c>
      <c r="CY58" s="115">
        <f t="shared" si="520"/>
        <v>5</v>
      </c>
      <c r="CZ58" s="115">
        <f t="shared" si="520"/>
        <v>4</v>
      </c>
      <c r="DA58" s="241">
        <f t="shared" si="520"/>
        <v>2</v>
      </c>
      <c r="DB58" s="115">
        <f t="shared" si="520"/>
        <v>1</v>
      </c>
      <c r="DC58" s="115">
        <f t="shared" si="520"/>
        <v>4</v>
      </c>
      <c r="DD58" s="115">
        <f t="shared" si="520"/>
        <v>2</v>
      </c>
      <c r="DE58" s="115">
        <f t="shared" si="520"/>
        <v>5</v>
      </c>
      <c r="DF58" s="241">
        <f t="shared" si="520"/>
        <v>3</v>
      </c>
      <c r="DG58" s="115">
        <f t="shared" si="520"/>
        <v>5</v>
      </c>
      <c r="DH58" s="115">
        <f t="shared" si="520"/>
        <v>3</v>
      </c>
      <c r="DI58" s="115">
        <f t="shared" si="520"/>
        <v>2</v>
      </c>
      <c r="DJ58" s="115">
        <f t="shared" si="520"/>
        <v>4</v>
      </c>
      <c r="DK58" s="241">
        <f t="shared" si="520"/>
        <v>1</v>
      </c>
      <c r="DM58" s="324">
        <f t="shared" ref="DM58:EB58" si="521">DM19</f>
        <v>4</v>
      </c>
      <c r="DN58" s="321">
        <f t="shared" si="521"/>
        <v>2</v>
      </c>
      <c r="DO58" s="321">
        <f t="shared" si="521"/>
        <v>3</v>
      </c>
      <c r="DP58" s="241">
        <f t="shared" si="521"/>
        <v>1</v>
      </c>
      <c r="DQ58" s="324">
        <f t="shared" si="521"/>
        <v>3</v>
      </c>
      <c r="DR58" s="321">
        <f t="shared" si="521"/>
        <v>1</v>
      </c>
      <c r="DS58" s="321">
        <f t="shared" si="521"/>
        <v>4</v>
      </c>
      <c r="DT58" s="241">
        <f t="shared" si="521"/>
        <v>2</v>
      </c>
      <c r="DU58" s="324">
        <f t="shared" si="521"/>
        <v>1</v>
      </c>
      <c r="DV58" s="321">
        <f t="shared" si="521"/>
        <v>4</v>
      </c>
      <c r="DW58" s="321">
        <f t="shared" si="521"/>
        <v>2</v>
      </c>
      <c r="DX58" s="241">
        <f t="shared" si="521"/>
        <v>3</v>
      </c>
      <c r="DY58" s="324">
        <f t="shared" si="521"/>
        <v>3</v>
      </c>
      <c r="DZ58" s="321">
        <f t="shared" si="521"/>
        <v>2</v>
      </c>
      <c r="EA58" s="321">
        <f t="shared" si="521"/>
        <v>4</v>
      </c>
      <c r="EB58" s="241">
        <f t="shared" si="521"/>
        <v>1</v>
      </c>
      <c r="EC58" s="306"/>
      <c r="EJ58" s="64" t="str">
        <f t="shared" si="476"/>
        <v>'Distance Input'!</v>
      </c>
      <c r="EK58" s="87" t="s">
        <v>449</v>
      </c>
      <c r="EL58" s="87" t="s">
        <v>101</v>
      </c>
      <c r="EM58" s="64">
        <f t="shared" ca="1" si="306"/>
        <v>59</v>
      </c>
      <c r="EN58" s="64" t="str">
        <f t="shared" ca="1" si="13"/>
        <v>'Distance Input'!Q61</v>
      </c>
      <c r="EO58" s="64" t="str">
        <f t="shared" si="415"/>
        <v>'Field'!</v>
      </c>
      <c r="EP58" s="87" t="s">
        <v>447</v>
      </c>
      <c r="EQ58" s="87" t="s">
        <v>165</v>
      </c>
      <c r="ER58" s="87" t="str">
        <f t="shared" ca="1" si="307"/>
        <v>-</v>
      </c>
      <c r="ES58" s="64" t="str">
        <f t="shared" ca="1" si="15"/>
        <v>-</v>
      </c>
      <c r="ET58" s="64" t="s">
        <v>476</v>
      </c>
      <c r="EW58" s="65">
        <v>15.3</v>
      </c>
    </row>
    <row r="59" spans="1:153" x14ac:dyDescent="0.35">
      <c r="A59" s="353" t="s">
        <v>194</v>
      </c>
      <c r="B59" s="64" t="s">
        <v>24</v>
      </c>
      <c r="C59" s="64" t="s">
        <v>7</v>
      </c>
      <c r="D59" s="66">
        <v>59</v>
      </c>
      <c r="F59" s="272">
        <v>0.59375</v>
      </c>
      <c r="G59" s="272">
        <v>0.64583333333333337</v>
      </c>
      <c r="I59" s="115">
        <f>I$27</f>
        <v>4</v>
      </c>
      <c r="J59" s="115">
        <f t="shared" ref="J59:BU59" si="522">J$27</f>
        <v>1</v>
      </c>
      <c r="K59" s="115">
        <f t="shared" si="522"/>
        <v>5</v>
      </c>
      <c r="L59" s="115">
        <f t="shared" si="522"/>
        <v>7</v>
      </c>
      <c r="M59" s="115">
        <f t="shared" si="522"/>
        <v>3</v>
      </c>
      <c r="N59" s="115">
        <f t="shared" si="522"/>
        <v>8</v>
      </c>
      <c r="O59" s="115">
        <f t="shared" si="522"/>
        <v>6</v>
      </c>
      <c r="P59" s="241">
        <f t="shared" si="522"/>
        <v>2</v>
      </c>
      <c r="Q59" s="115">
        <f>Q$27</f>
        <v>5</v>
      </c>
      <c r="R59" s="115">
        <f t="shared" si="522"/>
        <v>7</v>
      </c>
      <c r="S59" s="115">
        <f t="shared" si="522"/>
        <v>2</v>
      </c>
      <c r="T59" s="115">
        <f t="shared" si="522"/>
        <v>8</v>
      </c>
      <c r="U59" s="115">
        <f t="shared" si="522"/>
        <v>6</v>
      </c>
      <c r="V59" s="115">
        <f t="shared" si="522"/>
        <v>3</v>
      </c>
      <c r="W59" s="115">
        <f t="shared" si="522"/>
        <v>4</v>
      </c>
      <c r="X59" s="241">
        <f t="shared" si="522"/>
        <v>1</v>
      </c>
      <c r="Y59" s="115">
        <f>Y$27</f>
        <v>3</v>
      </c>
      <c r="Z59" s="115">
        <f t="shared" si="522"/>
        <v>8</v>
      </c>
      <c r="AA59" s="115">
        <f t="shared" si="522"/>
        <v>2</v>
      </c>
      <c r="AB59" s="115">
        <f t="shared" si="522"/>
        <v>6</v>
      </c>
      <c r="AC59" s="115">
        <f t="shared" si="522"/>
        <v>4</v>
      </c>
      <c r="AD59" s="115">
        <f t="shared" si="522"/>
        <v>1</v>
      </c>
      <c r="AE59" s="115">
        <f t="shared" si="522"/>
        <v>5</v>
      </c>
      <c r="AF59" s="241">
        <f t="shared" si="522"/>
        <v>7</v>
      </c>
      <c r="AG59" s="115">
        <f>AG$27</f>
        <v>6</v>
      </c>
      <c r="AH59" s="115">
        <f t="shared" si="522"/>
        <v>2</v>
      </c>
      <c r="AI59" s="115">
        <f t="shared" si="522"/>
        <v>7</v>
      </c>
      <c r="AJ59" s="115">
        <f t="shared" si="522"/>
        <v>1</v>
      </c>
      <c r="AK59" s="115">
        <f t="shared" si="522"/>
        <v>5</v>
      </c>
      <c r="AL59" s="115">
        <f t="shared" si="522"/>
        <v>4</v>
      </c>
      <c r="AM59" s="115">
        <f t="shared" si="522"/>
        <v>3</v>
      </c>
      <c r="AN59" s="241">
        <f t="shared" si="522"/>
        <v>8</v>
      </c>
      <c r="AP59" s="115">
        <f t="shared" si="522"/>
        <v>4</v>
      </c>
      <c r="AQ59" s="115">
        <f t="shared" si="522"/>
        <v>1</v>
      </c>
      <c r="AR59" s="115">
        <f t="shared" si="522"/>
        <v>5</v>
      </c>
      <c r="AS59" s="115">
        <f t="shared" si="522"/>
        <v>7</v>
      </c>
      <c r="AT59" s="115">
        <f t="shared" si="522"/>
        <v>3</v>
      </c>
      <c r="AU59" s="115">
        <f t="shared" si="522"/>
        <v>6</v>
      </c>
      <c r="AV59" s="241">
        <f t="shared" si="522"/>
        <v>2</v>
      </c>
      <c r="AW59" s="115">
        <f t="shared" si="522"/>
        <v>5</v>
      </c>
      <c r="AX59" s="115">
        <f t="shared" si="522"/>
        <v>7</v>
      </c>
      <c r="AY59" s="115">
        <f t="shared" si="522"/>
        <v>2</v>
      </c>
      <c r="AZ59" s="115">
        <f t="shared" si="522"/>
        <v>6</v>
      </c>
      <c r="BA59" s="115">
        <f t="shared" si="522"/>
        <v>3</v>
      </c>
      <c r="BB59" s="115">
        <f t="shared" si="522"/>
        <v>4</v>
      </c>
      <c r="BC59" s="241">
        <f t="shared" si="522"/>
        <v>1</v>
      </c>
      <c r="BD59" s="115">
        <f t="shared" si="522"/>
        <v>3</v>
      </c>
      <c r="BE59" s="115">
        <f t="shared" si="522"/>
        <v>2</v>
      </c>
      <c r="BF59" s="115">
        <f t="shared" si="522"/>
        <v>6</v>
      </c>
      <c r="BG59" s="115">
        <f t="shared" si="522"/>
        <v>4</v>
      </c>
      <c r="BH59" s="115">
        <f t="shared" si="522"/>
        <v>1</v>
      </c>
      <c r="BI59" s="115">
        <f t="shared" si="522"/>
        <v>5</v>
      </c>
      <c r="BJ59" s="241">
        <f t="shared" si="522"/>
        <v>7</v>
      </c>
      <c r="BK59" s="115">
        <f t="shared" si="522"/>
        <v>6</v>
      </c>
      <c r="BL59" s="115">
        <f t="shared" si="522"/>
        <v>2</v>
      </c>
      <c r="BM59" s="115">
        <f t="shared" si="522"/>
        <v>7</v>
      </c>
      <c r="BN59" s="115">
        <f t="shared" si="522"/>
        <v>1</v>
      </c>
      <c r="BO59" s="115">
        <f t="shared" si="522"/>
        <v>5</v>
      </c>
      <c r="BP59" s="115">
        <f t="shared" si="522"/>
        <v>4</v>
      </c>
      <c r="BQ59" s="241">
        <f t="shared" si="522"/>
        <v>3</v>
      </c>
      <c r="BS59" s="115">
        <f t="shared" si="522"/>
        <v>4</v>
      </c>
      <c r="BT59" s="115">
        <f t="shared" si="522"/>
        <v>1</v>
      </c>
      <c r="BU59" s="115">
        <f t="shared" si="522"/>
        <v>5</v>
      </c>
      <c r="BV59" s="115">
        <f t="shared" ref="BV59:CJ59" si="523">BV$27</f>
        <v>3</v>
      </c>
      <c r="BW59" s="115">
        <f t="shared" si="523"/>
        <v>6</v>
      </c>
      <c r="BX59" s="241">
        <f t="shared" si="523"/>
        <v>2</v>
      </c>
      <c r="BY59" s="115">
        <f t="shared" si="523"/>
        <v>5</v>
      </c>
      <c r="BZ59" s="115">
        <f t="shared" si="523"/>
        <v>2</v>
      </c>
      <c r="CA59" s="115">
        <f t="shared" si="523"/>
        <v>6</v>
      </c>
      <c r="CB59" s="115">
        <f t="shared" si="523"/>
        <v>3</v>
      </c>
      <c r="CC59" s="115">
        <f t="shared" si="523"/>
        <v>4</v>
      </c>
      <c r="CD59" s="241">
        <f t="shared" si="523"/>
        <v>1</v>
      </c>
      <c r="CE59" s="115">
        <f t="shared" si="523"/>
        <v>3</v>
      </c>
      <c r="CF59" s="115">
        <f t="shared" si="523"/>
        <v>2</v>
      </c>
      <c r="CG59" s="115">
        <f t="shared" si="523"/>
        <v>6</v>
      </c>
      <c r="CH59" s="115">
        <f t="shared" si="523"/>
        <v>4</v>
      </c>
      <c r="CI59" s="115">
        <f t="shared" si="523"/>
        <v>1</v>
      </c>
      <c r="CJ59" s="241">
        <f t="shared" si="523"/>
        <v>5</v>
      </c>
      <c r="CK59" s="115">
        <f t="shared" ref="CK59:CP59" si="524">CK$27</f>
        <v>6</v>
      </c>
      <c r="CL59" s="115">
        <f t="shared" si="524"/>
        <v>2</v>
      </c>
      <c r="CM59" s="115">
        <f t="shared" si="524"/>
        <v>1</v>
      </c>
      <c r="CN59" s="115">
        <f t="shared" si="524"/>
        <v>5</v>
      </c>
      <c r="CO59" s="115">
        <f t="shared" si="524"/>
        <v>4</v>
      </c>
      <c r="CP59" s="241">
        <f t="shared" si="524"/>
        <v>3</v>
      </c>
      <c r="CR59" s="115">
        <f t="shared" ref="CR59:EB59" si="525">CR$27</f>
        <v>4</v>
      </c>
      <c r="CS59" s="115">
        <f t="shared" si="525"/>
        <v>1</v>
      </c>
      <c r="CT59" s="115">
        <f t="shared" si="525"/>
        <v>5</v>
      </c>
      <c r="CU59" s="115">
        <f t="shared" si="525"/>
        <v>3</v>
      </c>
      <c r="CV59" s="241">
        <f t="shared" si="525"/>
        <v>2</v>
      </c>
      <c r="CW59" s="115">
        <f t="shared" si="525"/>
        <v>5</v>
      </c>
      <c r="CX59" s="115">
        <f t="shared" si="525"/>
        <v>2</v>
      </c>
      <c r="CY59" s="115">
        <f t="shared" si="525"/>
        <v>3</v>
      </c>
      <c r="CZ59" s="115">
        <f t="shared" si="525"/>
        <v>4</v>
      </c>
      <c r="DA59" s="241">
        <f t="shared" si="525"/>
        <v>1</v>
      </c>
      <c r="DB59" s="115">
        <f t="shared" si="525"/>
        <v>3</v>
      </c>
      <c r="DC59" s="115">
        <f t="shared" si="525"/>
        <v>2</v>
      </c>
      <c r="DD59" s="115">
        <f t="shared" si="525"/>
        <v>4</v>
      </c>
      <c r="DE59" s="115">
        <f t="shared" si="525"/>
        <v>1</v>
      </c>
      <c r="DF59" s="241">
        <f t="shared" si="525"/>
        <v>5</v>
      </c>
      <c r="DG59" s="115">
        <f t="shared" si="525"/>
        <v>2</v>
      </c>
      <c r="DH59" s="115">
        <f t="shared" si="525"/>
        <v>1</v>
      </c>
      <c r="DI59" s="115">
        <f t="shared" si="525"/>
        <v>5</v>
      </c>
      <c r="DJ59" s="115">
        <f t="shared" si="525"/>
        <v>4</v>
      </c>
      <c r="DK59" s="241">
        <f t="shared" si="525"/>
        <v>3</v>
      </c>
      <c r="DM59" s="324">
        <f t="shared" si="525"/>
        <v>4</v>
      </c>
      <c r="DN59" s="321">
        <f t="shared" si="525"/>
        <v>1</v>
      </c>
      <c r="DO59" s="321">
        <f t="shared" si="525"/>
        <v>3</v>
      </c>
      <c r="DP59" s="241">
        <f t="shared" si="525"/>
        <v>2</v>
      </c>
      <c r="DQ59" s="324">
        <f t="shared" si="525"/>
        <v>2</v>
      </c>
      <c r="DR59" s="321">
        <f t="shared" si="525"/>
        <v>3</v>
      </c>
      <c r="DS59" s="321">
        <f t="shared" si="525"/>
        <v>4</v>
      </c>
      <c r="DT59" s="241">
        <f t="shared" si="525"/>
        <v>1</v>
      </c>
      <c r="DU59" s="324">
        <f t="shared" si="525"/>
        <v>3</v>
      </c>
      <c r="DV59" s="321">
        <f t="shared" si="525"/>
        <v>2</v>
      </c>
      <c r="DW59" s="321">
        <f t="shared" si="525"/>
        <v>4</v>
      </c>
      <c r="DX59" s="241">
        <f t="shared" si="525"/>
        <v>1</v>
      </c>
      <c r="DY59" s="324">
        <f t="shared" si="525"/>
        <v>2</v>
      </c>
      <c r="DZ59" s="321">
        <f t="shared" si="525"/>
        <v>1</v>
      </c>
      <c r="EA59" s="321">
        <f t="shared" si="525"/>
        <v>4</v>
      </c>
      <c r="EB59" s="241">
        <f t="shared" si="525"/>
        <v>3</v>
      </c>
      <c r="EC59" s="306"/>
      <c r="EJ59" s="64" t="str">
        <f t="shared" si="476"/>
        <v>'Distance Input'!</v>
      </c>
      <c r="EK59" s="87" t="s">
        <v>447</v>
      </c>
      <c r="EL59" s="87" t="s">
        <v>280</v>
      </c>
      <c r="EM59" s="64">
        <f t="shared" ca="1" si="306"/>
        <v>97</v>
      </c>
      <c r="EN59" s="64" t="str">
        <f t="shared" ca="1" si="13"/>
        <v>'Distance Input'!C99</v>
      </c>
      <c r="EO59" s="64" t="str">
        <f t="shared" si="415"/>
        <v>'Field'!</v>
      </c>
      <c r="EP59" s="87" t="s">
        <v>447</v>
      </c>
      <c r="EQ59" s="87" t="s">
        <v>165</v>
      </c>
      <c r="ER59" s="87" t="str">
        <f t="shared" ca="1" si="307"/>
        <v>-</v>
      </c>
      <c r="ES59" s="64" t="str">
        <f t="shared" ca="1" si="15"/>
        <v>-</v>
      </c>
      <c r="ET59" s="64" t="s">
        <v>471</v>
      </c>
      <c r="EW59" s="65">
        <v>15.3</v>
      </c>
    </row>
    <row r="60" spans="1:153" x14ac:dyDescent="0.35">
      <c r="A60" s="353" t="s">
        <v>195</v>
      </c>
      <c r="B60" s="64" t="s">
        <v>28</v>
      </c>
      <c r="C60" s="64" t="s">
        <v>4</v>
      </c>
      <c r="D60" s="66">
        <v>60</v>
      </c>
      <c r="F60" s="272">
        <v>0.65625</v>
      </c>
      <c r="G60" s="272">
        <v>0.66666666666666663</v>
      </c>
      <c r="I60" s="115">
        <f>I$42</f>
        <v>1</v>
      </c>
      <c r="J60" s="115">
        <f t="shared" ref="J60:BU60" si="526">J$42</f>
        <v>2</v>
      </c>
      <c r="K60" s="115">
        <f t="shared" si="526"/>
        <v>6</v>
      </c>
      <c r="L60" s="115">
        <f t="shared" si="526"/>
        <v>7</v>
      </c>
      <c r="M60" s="115">
        <f t="shared" si="526"/>
        <v>3</v>
      </c>
      <c r="N60" s="115">
        <f t="shared" si="526"/>
        <v>8</v>
      </c>
      <c r="O60" s="115">
        <f t="shared" si="526"/>
        <v>4</v>
      </c>
      <c r="P60" s="241">
        <f t="shared" si="526"/>
        <v>5</v>
      </c>
      <c r="Q60" s="115">
        <f>Q$42</f>
        <v>6</v>
      </c>
      <c r="R60" s="115">
        <f t="shared" si="526"/>
        <v>7</v>
      </c>
      <c r="S60" s="115">
        <f t="shared" si="526"/>
        <v>4</v>
      </c>
      <c r="T60" s="115">
        <f t="shared" si="526"/>
        <v>8</v>
      </c>
      <c r="U60" s="115">
        <f t="shared" si="526"/>
        <v>5</v>
      </c>
      <c r="V60" s="115">
        <f t="shared" si="526"/>
        <v>3</v>
      </c>
      <c r="W60" s="115">
        <f t="shared" si="526"/>
        <v>1</v>
      </c>
      <c r="X60" s="241">
        <f t="shared" si="526"/>
        <v>2</v>
      </c>
      <c r="Y60" s="115">
        <f>Y$42</f>
        <v>3</v>
      </c>
      <c r="Z60" s="115">
        <f t="shared" si="526"/>
        <v>8</v>
      </c>
      <c r="AA60" s="115">
        <f t="shared" si="526"/>
        <v>5</v>
      </c>
      <c r="AB60" s="115">
        <f t="shared" si="526"/>
        <v>4</v>
      </c>
      <c r="AC60" s="115">
        <f t="shared" si="526"/>
        <v>1</v>
      </c>
      <c r="AD60" s="115">
        <f t="shared" si="526"/>
        <v>2</v>
      </c>
      <c r="AE60" s="115">
        <f t="shared" si="526"/>
        <v>6</v>
      </c>
      <c r="AF60" s="241">
        <f t="shared" si="526"/>
        <v>7</v>
      </c>
      <c r="AG60" s="115">
        <f>AG$42</f>
        <v>4</v>
      </c>
      <c r="AH60" s="115">
        <f t="shared" si="526"/>
        <v>5</v>
      </c>
      <c r="AI60" s="115">
        <f t="shared" si="526"/>
        <v>2</v>
      </c>
      <c r="AJ60" s="115">
        <f t="shared" si="526"/>
        <v>6</v>
      </c>
      <c r="AK60" s="115">
        <f t="shared" si="526"/>
        <v>7</v>
      </c>
      <c r="AL60" s="115">
        <f t="shared" si="526"/>
        <v>1</v>
      </c>
      <c r="AM60" s="115">
        <f t="shared" si="526"/>
        <v>3</v>
      </c>
      <c r="AN60" s="241">
        <f t="shared" si="526"/>
        <v>8</v>
      </c>
      <c r="AP60" s="115">
        <f t="shared" si="526"/>
        <v>1</v>
      </c>
      <c r="AQ60" s="115">
        <f t="shared" si="526"/>
        <v>2</v>
      </c>
      <c r="AR60" s="115">
        <f t="shared" si="526"/>
        <v>6</v>
      </c>
      <c r="AS60" s="115">
        <f t="shared" si="526"/>
        <v>7</v>
      </c>
      <c r="AT60" s="115">
        <f t="shared" si="526"/>
        <v>3</v>
      </c>
      <c r="AU60" s="115">
        <f t="shared" si="526"/>
        <v>4</v>
      </c>
      <c r="AV60" s="241">
        <f t="shared" si="526"/>
        <v>5</v>
      </c>
      <c r="AW60" s="115">
        <f t="shared" si="526"/>
        <v>6</v>
      </c>
      <c r="AX60" s="115">
        <f t="shared" si="526"/>
        <v>7</v>
      </c>
      <c r="AY60" s="115">
        <f t="shared" si="526"/>
        <v>4</v>
      </c>
      <c r="AZ60" s="115">
        <f t="shared" si="526"/>
        <v>5</v>
      </c>
      <c r="BA60" s="115">
        <f t="shared" si="526"/>
        <v>3</v>
      </c>
      <c r="BB60" s="115">
        <f t="shared" si="526"/>
        <v>1</v>
      </c>
      <c r="BC60" s="241">
        <f t="shared" si="526"/>
        <v>2</v>
      </c>
      <c r="BD60" s="115">
        <f t="shared" si="526"/>
        <v>3</v>
      </c>
      <c r="BE60" s="115">
        <f t="shared" si="526"/>
        <v>5</v>
      </c>
      <c r="BF60" s="115">
        <f t="shared" si="526"/>
        <v>4</v>
      </c>
      <c r="BG60" s="115">
        <f t="shared" si="526"/>
        <v>1</v>
      </c>
      <c r="BH60" s="115">
        <f t="shared" si="526"/>
        <v>2</v>
      </c>
      <c r="BI60" s="115">
        <f t="shared" si="526"/>
        <v>6</v>
      </c>
      <c r="BJ60" s="241">
        <f t="shared" si="526"/>
        <v>7</v>
      </c>
      <c r="BK60" s="115">
        <f t="shared" si="526"/>
        <v>4</v>
      </c>
      <c r="BL60" s="115">
        <f t="shared" si="526"/>
        <v>5</v>
      </c>
      <c r="BM60" s="115">
        <f t="shared" si="526"/>
        <v>2</v>
      </c>
      <c r="BN60" s="115">
        <f t="shared" si="526"/>
        <v>6</v>
      </c>
      <c r="BO60" s="115">
        <f t="shared" si="526"/>
        <v>7</v>
      </c>
      <c r="BP60" s="115">
        <f t="shared" si="526"/>
        <v>1</v>
      </c>
      <c r="BQ60" s="241">
        <f t="shared" si="526"/>
        <v>3</v>
      </c>
      <c r="BS60" s="115">
        <f t="shared" si="526"/>
        <v>1</v>
      </c>
      <c r="BT60" s="115">
        <f t="shared" si="526"/>
        <v>2</v>
      </c>
      <c r="BU60" s="115">
        <f t="shared" si="526"/>
        <v>6</v>
      </c>
      <c r="BV60" s="115">
        <f t="shared" ref="BV60:CJ60" si="527">BV$42</f>
        <v>3</v>
      </c>
      <c r="BW60" s="115">
        <f t="shared" si="527"/>
        <v>4</v>
      </c>
      <c r="BX60" s="241">
        <f t="shared" si="527"/>
        <v>5</v>
      </c>
      <c r="BY60" s="115">
        <f t="shared" si="527"/>
        <v>6</v>
      </c>
      <c r="BZ60" s="115">
        <f t="shared" si="527"/>
        <v>4</v>
      </c>
      <c r="CA60" s="115">
        <f t="shared" si="527"/>
        <v>5</v>
      </c>
      <c r="CB60" s="115">
        <f t="shared" si="527"/>
        <v>3</v>
      </c>
      <c r="CC60" s="115">
        <f t="shared" si="527"/>
        <v>1</v>
      </c>
      <c r="CD60" s="241">
        <f t="shared" si="527"/>
        <v>2</v>
      </c>
      <c r="CE60" s="115">
        <f t="shared" si="527"/>
        <v>3</v>
      </c>
      <c r="CF60" s="115">
        <f t="shared" si="527"/>
        <v>5</v>
      </c>
      <c r="CG60" s="115">
        <f t="shared" si="527"/>
        <v>4</v>
      </c>
      <c r="CH60" s="115">
        <f t="shared" si="527"/>
        <v>1</v>
      </c>
      <c r="CI60" s="115">
        <f t="shared" si="527"/>
        <v>2</v>
      </c>
      <c r="CJ60" s="241">
        <f t="shared" si="527"/>
        <v>6</v>
      </c>
      <c r="CK60" s="115">
        <f t="shared" ref="CK60:CP60" si="528">CK$42</f>
        <v>4</v>
      </c>
      <c r="CL60" s="115">
        <f t="shared" si="528"/>
        <v>5</v>
      </c>
      <c r="CM60" s="115">
        <f t="shared" si="528"/>
        <v>2</v>
      </c>
      <c r="CN60" s="115">
        <f t="shared" si="528"/>
        <v>6</v>
      </c>
      <c r="CO60" s="115">
        <f t="shared" si="528"/>
        <v>1</v>
      </c>
      <c r="CP60" s="241">
        <f t="shared" si="528"/>
        <v>3</v>
      </c>
      <c r="CR60" s="115">
        <f t="shared" ref="CR60:EB60" si="529">CR$42</f>
        <v>1</v>
      </c>
      <c r="CS60" s="115">
        <f t="shared" si="529"/>
        <v>2</v>
      </c>
      <c r="CT60" s="115">
        <f t="shared" si="529"/>
        <v>3</v>
      </c>
      <c r="CU60" s="115">
        <f t="shared" si="529"/>
        <v>4</v>
      </c>
      <c r="CV60" s="241">
        <f t="shared" si="529"/>
        <v>5</v>
      </c>
      <c r="CW60" s="115">
        <f t="shared" si="529"/>
        <v>4</v>
      </c>
      <c r="CX60" s="115">
        <f t="shared" si="529"/>
        <v>5</v>
      </c>
      <c r="CY60" s="115">
        <f t="shared" si="529"/>
        <v>3</v>
      </c>
      <c r="CZ60" s="115">
        <f t="shared" si="529"/>
        <v>1</v>
      </c>
      <c r="DA60" s="241">
        <f t="shared" si="529"/>
        <v>2</v>
      </c>
      <c r="DB60" s="115">
        <f t="shared" si="529"/>
        <v>3</v>
      </c>
      <c r="DC60" s="115">
        <f t="shared" si="529"/>
        <v>5</v>
      </c>
      <c r="DD60" s="115">
        <f t="shared" si="529"/>
        <v>4</v>
      </c>
      <c r="DE60" s="115">
        <f t="shared" si="529"/>
        <v>1</v>
      </c>
      <c r="DF60" s="241">
        <f t="shared" si="529"/>
        <v>2</v>
      </c>
      <c r="DG60" s="115">
        <f t="shared" si="529"/>
        <v>4</v>
      </c>
      <c r="DH60" s="115">
        <f t="shared" si="529"/>
        <v>5</v>
      </c>
      <c r="DI60" s="115">
        <f t="shared" si="529"/>
        <v>2</v>
      </c>
      <c r="DJ60" s="115">
        <f t="shared" si="529"/>
        <v>1</v>
      </c>
      <c r="DK60" s="241">
        <f t="shared" si="529"/>
        <v>3</v>
      </c>
      <c r="DM60" s="324">
        <f t="shared" si="529"/>
        <v>1</v>
      </c>
      <c r="DN60" s="321">
        <f t="shared" si="529"/>
        <v>2</v>
      </c>
      <c r="DO60" s="321">
        <f t="shared" si="529"/>
        <v>3</v>
      </c>
      <c r="DP60" s="241">
        <f t="shared" si="529"/>
        <v>4</v>
      </c>
      <c r="DQ60" s="324">
        <f t="shared" si="529"/>
        <v>4</v>
      </c>
      <c r="DR60" s="321">
        <f t="shared" si="529"/>
        <v>3</v>
      </c>
      <c r="DS60" s="321">
        <f t="shared" si="529"/>
        <v>1</v>
      </c>
      <c r="DT60" s="241">
        <f t="shared" si="529"/>
        <v>2</v>
      </c>
      <c r="DU60" s="324">
        <f t="shared" si="529"/>
        <v>3</v>
      </c>
      <c r="DV60" s="321">
        <f t="shared" si="529"/>
        <v>4</v>
      </c>
      <c r="DW60" s="321">
        <f t="shared" si="529"/>
        <v>1</v>
      </c>
      <c r="DX60" s="241">
        <f t="shared" si="529"/>
        <v>2</v>
      </c>
      <c r="DY60" s="324">
        <f t="shared" si="529"/>
        <v>4</v>
      </c>
      <c r="DZ60" s="321">
        <f t="shared" si="529"/>
        <v>2</v>
      </c>
      <c r="EA60" s="321">
        <f t="shared" si="529"/>
        <v>1</v>
      </c>
      <c r="EB60" s="241">
        <f t="shared" si="529"/>
        <v>3</v>
      </c>
      <c r="EC60" s="306"/>
      <c r="EJ60" s="64" t="str">
        <f t="shared" si="476"/>
        <v>'Distance Input'!</v>
      </c>
      <c r="EK60" s="87" t="s">
        <v>448</v>
      </c>
      <c r="EL60" s="87" t="s">
        <v>166</v>
      </c>
      <c r="EM60" s="64">
        <f t="shared" ca="1" si="306"/>
        <v>97</v>
      </c>
      <c r="EN60" s="64" t="str">
        <f t="shared" ca="1" si="13"/>
        <v>'Distance Input'!J99</v>
      </c>
      <c r="EO60" s="64" t="str">
        <f t="shared" si="415"/>
        <v>'Field'!</v>
      </c>
      <c r="EP60" s="87" t="s">
        <v>447</v>
      </c>
      <c r="EQ60" s="87" t="s">
        <v>165</v>
      </c>
      <c r="ER60" s="87" t="str">
        <f t="shared" ca="1" si="307"/>
        <v>-</v>
      </c>
      <c r="ES60" s="64" t="str">
        <f t="shared" ca="1" si="15"/>
        <v>-</v>
      </c>
      <c r="ET60" s="64" t="s">
        <v>472</v>
      </c>
      <c r="EW60" s="65">
        <v>15.5</v>
      </c>
    </row>
  </sheetData>
  <sheetProtection algorithmName="SHA-512" hashValue="KAZnUySFE9HaRdWoG+M0aBFsBgjSnFXDIbHt68r+hatPUdaMskX33J03uYKYZPMvhQZwZnIs/lvPrNS6xjCbEg==" saltValue="SfZOTlRw6adx5cWX+i6Uvg==" spinCount="100000" sheet="1" objects="1" scenarios="1" formatCells="0" formatColumns="0" formatRows="0" sort="0" autoFilter="0"/>
  <autoFilter ref="A1:DK60" xr:uid="{00000000-0009-0000-0000-000012000000}"/>
  <conditionalFormatting sqref="A1:A1048576">
    <cfRule type="duplicateValues" dxfId="2" priority="1"/>
  </conditionalFormatting>
  <conditionalFormatting sqref="A1:A1048576">
    <cfRule type="duplicateValues" dxfId="1" priority="513"/>
  </conditionalFormatting>
  <printOptions headings="1" gridLines="1"/>
  <pageMargins left="0.70866141732283472" right="0.70866141732283472" top="0.74803149606299213" bottom="0.35433070866141736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2">
    <tabColor theme="5" tint="-0.249977111117893"/>
    <pageSetUpPr autoPageBreaks="0" fitToPage="1"/>
  </sheetPr>
  <dimension ref="A1:W71"/>
  <sheetViews>
    <sheetView showGridLines="0" showZeros="0" zoomScale="96" zoomScaleNormal="96" workbookViewId="0">
      <pane xSplit="4" ySplit="2" topLeftCell="E15" activePane="bottomRight" state="frozen"/>
      <selection activeCell="K3" sqref="K3"/>
      <selection pane="topRight" activeCell="K3" sqref="K3"/>
      <selection pane="bottomLeft" activeCell="K3" sqref="K3"/>
      <selection pane="bottomRight" activeCell="E61" sqref="E61"/>
    </sheetView>
  </sheetViews>
  <sheetFormatPr defaultColWidth="8.7109375" defaultRowHeight="25.15" customHeight="1" x14ac:dyDescent="0.25"/>
  <cols>
    <col min="1" max="1" width="8.7109375" style="270" hidden="1" customWidth="1"/>
    <col min="2" max="2" width="14.7109375" style="238" hidden="1" customWidth="1"/>
    <col min="3" max="3" width="16.7109375" style="238" hidden="1" customWidth="1"/>
    <col min="4" max="4" width="2.7109375" style="238" customWidth="1"/>
    <col min="5" max="5" width="30.28515625" style="238" customWidth="1"/>
    <col min="6" max="7" width="11.7109375" style="238" customWidth="1"/>
    <col min="8" max="8" width="2.7109375" style="238" customWidth="1"/>
    <col min="9" max="9" width="11.7109375" style="238" customWidth="1"/>
    <col min="10" max="10" width="35.28515625" style="238" customWidth="1"/>
    <col min="11" max="11" width="11.7109375" style="238" customWidth="1"/>
    <col min="12" max="12" width="2.7109375" style="238" customWidth="1"/>
    <col min="13" max="14" width="8.7109375" style="238" customWidth="1"/>
    <col min="15" max="15" width="11.7109375" style="238" customWidth="1"/>
    <col min="16" max="16" width="2.7109375" style="238" customWidth="1"/>
    <col min="17" max="17" width="12.28515625" style="238" customWidth="1"/>
    <col min="18" max="18" width="12.7109375" style="238" customWidth="1"/>
    <col min="19" max="19" width="11.7109375" style="238" customWidth="1"/>
    <col min="20" max="20" width="8.7109375" style="270" hidden="1" customWidth="1"/>
    <col min="21" max="21" width="15" style="270" hidden="1" customWidth="1"/>
    <col min="22" max="22" width="8.7109375" style="270" hidden="1" customWidth="1"/>
    <col min="23" max="23" width="12.7109375" style="238" customWidth="1"/>
    <col min="24" max="16384" width="8.7109375" style="238"/>
  </cols>
  <sheetData>
    <row r="1" spans="1:23" ht="25.15" customHeight="1" x14ac:dyDescent="0.25">
      <c r="B1" s="238" t="str">
        <f>MatchDay!U8</f>
        <v>YES</v>
      </c>
      <c r="E1" s="170" t="str">
        <f>MatchDay!$C$2&amp;" "&amp;MatchDay!$C$3&amp;" "&amp;MatchDay!$C$4&amp;" "&amp;MatchDay!$C$8</f>
        <v>LOWER NORTH West 2 Macclesfield Leisure Centre</v>
      </c>
    </row>
    <row r="2" spans="1:23" ht="25.15" customHeight="1" x14ac:dyDescent="0.25">
      <c r="C2" s="331"/>
      <c r="E2" s="171">
        <f>MatchDay!$C$7</f>
        <v>45053</v>
      </c>
    </row>
    <row r="3" spans="1:23" ht="25.15" customHeight="1" x14ac:dyDescent="0.25">
      <c r="A3" s="270" t="s">
        <v>445</v>
      </c>
      <c r="B3" s="238" t="s">
        <v>64</v>
      </c>
      <c r="C3" s="181"/>
      <c r="E3" s="180" t="s">
        <v>453</v>
      </c>
      <c r="F3" s="181" t="s">
        <v>385</v>
      </c>
      <c r="G3" s="181" t="s">
        <v>386</v>
      </c>
      <c r="I3" s="172" t="s">
        <v>69</v>
      </c>
      <c r="J3" s="172" t="s">
        <v>544</v>
      </c>
      <c r="K3" s="172" t="s">
        <v>69</v>
      </c>
      <c r="M3" s="332" t="s">
        <v>537</v>
      </c>
      <c r="N3" s="333"/>
      <c r="O3" s="334" t="s">
        <v>541</v>
      </c>
      <c r="Q3" s="335" t="s">
        <v>538</v>
      </c>
      <c r="R3" s="335"/>
      <c r="S3" s="335"/>
    </row>
    <row r="4" spans="1:23" ht="25.15" customHeight="1" x14ac:dyDescent="0.25">
      <c r="A4" s="270">
        <v>3</v>
      </c>
      <c r="B4" s="238" t="s">
        <v>32</v>
      </c>
      <c r="E4" s="182" t="str">
        <f>VLOOKUP(B4,Timetables!$A:$C,3,FALSE)&amp;" "&amp;VLOOKUP(B4,Timetables!$A:$C,2,FALSE)</f>
        <v>U13 Girls 70m Hurdles</v>
      </c>
      <c r="F4" s="183" t="str">
        <f ca="1">IFERROR(HYPERLINK("#"&amp;VLOOKUP(B4,timetables,144,FALSE),"X"),"")</f>
        <v>X</v>
      </c>
      <c r="G4" s="184" t="str">
        <f t="shared" ref="G4:G35" ca="1" si="0">IFERROR(IF(INDIRECT(VLOOKUP(B4,timetables,149,FALSE))=1,"þ",""),"")</f>
        <v/>
      </c>
      <c r="I4" s="338"/>
      <c r="J4" s="375"/>
      <c r="K4" s="339"/>
      <c r="M4" s="173" t="s">
        <v>360</v>
      </c>
      <c r="N4" s="173" t="str">
        <f>CONCATENATE(Track1!T1,"/",26)</f>
        <v>26/26</v>
      </c>
      <c r="O4" s="174"/>
      <c r="Q4" s="226" t="s">
        <v>558</v>
      </c>
      <c r="R4" s="226" t="str">
        <f ca="1">CONCATENATE(U15B!R1,"/",17)</f>
        <v>132/17</v>
      </c>
      <c r="S4" s="175"/>
      <c r="T4" s="270" t="str">
        <f ca="1">IF(R4="17/17","Y","X")</f>
        <v>X</v>
      </c>
    </row>
    <row r="5" spans="1:23" ht="25.15" customHeight="1" x14ac:dyDescent="0.25">
      <c r="A5" s="270">
        <v>4</v>
      </c>
      <c r="B5" s="238" t="s">
        <v>33</v>
      </c>
      <c r="E5" s="182" t="str">
        <f>VLOOKUP(B5,Timetables!$A:$C,3,FALSE)&amp;" "&amp;VLOOKUP(B5,Timetables!$A:$C,2,FALSE)</f>
        <v>U13 Boys 75m Hurdles</v>
      </c>
      <c r="F5" s="183" t="str">
        <f t="shared" ref="F5:F23" ca="1" si="1">IFERROR(HYPERLINK("#"&amp;VLOOKUP(B5,timetables,144,FALSE),"X"),"")</f>
        <v>X</v>
      </c>
      <c r="G5" s="184" t="str">
        <f t="shared" ca="1" si="0"/>
        <v/>
      </c>
      <c r="I5" s="371"/>
      <c r="J5" s="372" t="str">
        <f>E43</f>
        <v>U15 Girls High Jump</v>
      </c>
      <c r="K5" s="373"/>
      <c r="M5" s="175" t="s">
        <v>531</v>
      </c>
      <c r="N5" s="175" t="str">
        <f>CONCATENATE(SUM(Track1!T4+Track1!T15+Track1!T26+Track1!T37),"/",4)</f>
        <v>4/4</v>
      </c>
      <c r="O5" s="175"/>
      <c r="Q5" s="336"/>
      <c r="R5" s="336"/>
      <c r="S5" s="337"/>
      <c r="V5" s="270" t="str">
        <f>IF(N5="4/4","Y","X")</f>
        <v>Y</v>
      </c>
      <c r="W5" s="270"/>
    </row>
    <row r="6" spans="1:23" ht="25.15" customHeight="1" x14ac:dyDescent="0.25">
      <c r="A6" s="270">
        <v>5</v>
      </c>
      <c r="B6" s="238" t="s">
        <v>34</v>
      </c>
      <c r="E6" s="182" t="str">
        <f>VLOOKUP(B6,Timetables!$A:$C,3,FALSE)&amp;" "&amp;VLOOKUP(B6,Timetables!$A:$C,2,FALSE)</f>
        <v>U15 Girls 75m Hurdles</v>
      </c>
      <c r="F6" s="183" t="str">
        <f ca="1">IFERROR(HYPERLINK("#"&amp;VLOOKUP(B6,timetables,144,FALSE),"X"),"")</f>
        <v>X</v>
      </c>
      <c r="G6" s="184" t="str">
        <f t="shared" ca="1" si="0"/>
        <v/>
      </c>
      <c r="I6" s="338"/>
      <c r="J6" s="375" t="str">
        <f>E47</f>
        <v>U13 Boys High Jump</v>
      </c>
      <c r="K6" s="339"/>
      <c r="M6" s="176" t="s">
        <v>532</v>
      </c>
      <c r="N6" s="176" t="str">
        <f>CONCATENATE(SUM(Track1!T48+Track1!T59+Track1!T70+Track1!T81),"/",4)</f>
        <v>4/4</v>
      </c>
      <c r="O6" s="177"/>
      <c r="Q6" s="226" t="s">
        <v>559</v>
      </c>
      <c r="R6" s="226" t="str">
        <f ca="1">CONCATENATE(U15G!R1,"/",17)</f>
        <v>132/17</v>
      </c>
      <c r="S6" s="175"/>
      <c r="T6" s="270" t="str">
        <f ca="1">IF(R6="17/17","Y","X")</f>
        <v>X</v>
      </c>
      <c r="V6" s="270" t="str">
        <f>IF(N6="4/4","Y","X")</f>
        <v>Y</v>
      </c>
      <c r="W6" s="270"/>
    </row>
    <row r="7" spans="1:23" ht="25.15" customHeight="1" x14ac:dyDescent="0.25">
      <c r="A7" s="270">
        <v>6</v>
      </c>
      <c r="B7" s="238" t="s">
        <v>35</v>
      </c>
      <c r="E7" s="182" t="str">
        <f>VLOOKUP(B7,Timetables!$A:$C,3,FALSE)&amp;" "&amp;VLOOKUP(B7,Timetables!$A:$C,2,FALSE)</f>
        <v>U15 Boys 80m Hurdles</v>
      </c>
      <c r="F7" s="183" t="str">
        <f t="shared" ca="1" si="1"/>
        <v>X</v>
      </c>
      <c r="G7" s="184" t="str">
        <f t="shared" ca="1" si="0"/>
        <v/>
      </c>
      <c r="I7" s="371"/>
      <c r="J7" s="372" t="str">
        <f>E48</f>
        <v>U13 Girls High Jump</v>
      </c>
      <c r="K7" s="373"/>
      <c r="M7" s="175" t="s">
        <v>533</v>
      </c>
      <c r="N7" s="175" t="str">
        <f>CONCATENATE(SUM(Track1!T92+Track1!T103+Track1!T114+Track1!T125),"/",4)</f>
        <v>4/4</v>
      </c>
      <c r="O7" s="175"/>
      <c r="Q7" s="336"/>
      <c r="R7" s="336"/>
      <c r="S7" s="337"/>
      <c r="V7" s="270" t="str">
        <f>IF(N7="4/4","Y","X")</f>
        <v>Y</v>
      </c>
      <c r="W7" s="270"/>
    </row>
    <row r="8" spans="1:23" ht="25.15" customHeight="1" x14ac:dyDescent="0.25">
      <c r="A8" s="270">
        <v>7</v>
      </c>
      <c r="B8" s="238" t="s">
        <v>36</v>
      </c>
      <c r="E8" s="182" t="str">
        <f>VLOOKUP(B8,Timetables!$A:$C,3,FALSE)&amp;" "&amp;VLOOKUP(B8,Timetables!$A:$C,2,FALSE)</f>
        <v>U13 Girls 150m</v>
      </c>
      <c r="F8" s="183" t="str">
        <f t="shared" ca="1" si="1"/>
        <v>X</v>
      </c>
      <c r="G8" s="184" t="str">
        <f t="shared" ca="1" si="0"/>
        <v/>
      </c>
      <c r="I8" s="338"/>
      <c r="J8" s="375" t="str">
        <f>E56</f>
        <v>U15 Boys High Jump</v>
      </c>
      <c r="K8" s="339"/>
      <c r="M8" s="225" t="s">
        <v>534</v>
      </c>
      <c r="N8" s="176" t="str">
        <f>CONCATENATE(SUM(Track1!T136+Track1!T147+Track1!T158+Track1!T169),"/",4)</f>
        <v>4/4</v>
      </c>
      <c r="O8" s="177"/>
      <c r="Q8" s="226" t="s">
        <v>560</v>
      </c>
      <c r="R8" s="226" t="str">
        <f ca="1">CONCATENATE(U13B!R1,"/",12)</f>
        <v>91/12</v>
      </c>
      <c r="S8" s="175"/>
      <c r="T8" s="270" t="str">
        <f ca="1">IF(R8="12/12","Y","X")</f>
        <v>X</v>
      </c>
      <c r="V8" s="270" t="str">
        <f>IF(N8="4/4","Y","X")</f>
        <v>Y</v>
      </c>
      <c r="W8" s="270"/>
    </row>
    <row r="9" spans="1:23" ht="25.15" customHeight="1" x14ac:dyDescent="0.25">
      <c r="A9" s="270">
        <v>8</v>
      </c>
      <c r="B9" s="238" t="s">
        <v>37</v>
      </c>
      <c r="E9" s="182" t="str">
        <f>VLOOKUP(B9,Timetables!$A:$C,3,FALSE)&amp;" "&amp;VLOOKUP(B9,Timetables!$A:$C,2,FALSE)</f>
        <v>U13 Boys 150m</v>
      </c>
      <c r="F9" s="183" t="str">
        <f t="shared" ca="1" si="1"/>
        <v>X</v>
      </c>
      <c r="G9" s="184" t="str">
        <f t="shared" ca="1" si="0"/>
        <v/>
      </c>
      <c r="I9" s="371"/>
      <c r="J9" s="372" t="str">
        <f t="shared" ref="J9:J10" si="2">E49</f>
        <v>U15 Boys Pole Vault</v>
      </c>
      <c r="K9" s="373"/>
      <c r="M9" s="175" t="s">
        <v>535</v>
      </c>
      <c r="N9" s="175" t="str">
        <f>CONCATENATE(SUM(Track1!T180+Track1!T191+Track1!T202+Track1!T213),"/",4)</f>
        <v>4/4</v>
      </c>
      <c r="O9" s="175"/>
      <c r="Q9" s="336"/>
      <c r="R9" s="336"/>
      <c r="S9" s="337"/>
      <c r="V9" s="270" t="str">
        <f>IF(N9="2/2","Y","X")</f>
        <v>X</v>
      </c>
      <c r="W9" s="270"/>
    </row>
    <row r="10" spans="1:23" ht="25.15" customHeight="1" x14ac:dyDescent="0.25">
      <c r="A10" s="270">
        <v>9</v>
      </c>
      <c r="B10" s="238" t="s">
        <v>38</v>
      </c>
      <c r="E10" s="182" t="str">
        <f>VLOOKUP(B10,Timetables!$A:$C,3,FALSE)&amp;" "&amp;VLOOKUP(B10,Timetables!$A:$C,2,FALSE)</f>
        <v>U15 Girls 200m</v>
      </c>
      <c r="F10" s="183" t="str">
        <f t="shared" ca="1" si="1"/>
        <v>X</v>
      </c>
      <c r="G10" s="184" t="str">
        <f t="shared" ca="1" si="0"/>
        <v/>
      </c>
      <c r="I10" s="338"/>
      <c r="J10" s="375" t="str">
        <f t="shared" si="2"/>
        <v>U15 Girls Pole Vault</v>
      </c>
      <c r="K10" s="339"/>
      <c r="M10" s="176" t="s">
        <v>536</v>
      </c>
      <c r="N10" s="176" t="str">
        <f>CONCATENATE(SUM(Track1!T224+Track1!T235+Track1!T246+Track1!T257),"/",4)</f>
        <v>4/4</v>
      </c>
      <c r="O10" s="177"/>
      <c r="Q10" s="226" t="s">
        <v>561</v>
      </c>
      <c r="R10" s="226" t="str">
        <f ca="1">CONCATENATE(U13G!R1,"/",12)</f>
        <v>91/12</v>
      </c>
      <c r="S10" s="175"/>
      <c r="T10" s="270" t="str">
        <f ca="1">IF(R10="12/12","Y","X")</f>
        <v>X</v>
      </c>
      <c r="V10" s="270" t="str">
        <f>IF(N10="4/4","Y","X")</f>
        <v>Y</v>
      </c>
      <c r="W10" s="270"/>
    </row>
    <row r="11" spans="1:23" ht="25.15" customHeight="1" x14ac:dyDescent="0.25">
      <c r="A11" s="270">
        <v>10</v>
      </c>
      <c r="B11" s="238" t="s">
        <v>39</v>
      </c>
      <c r="E11" s="182" t="str">
        <f>VLOOKUP(B11,Timetables!$A:$C,3,FALSE)&amp;" "&amp;VLOOKUP(B11,Timetables!$A:$C,2,FALSE)</f>
        <v>U15 Boys 200m</v>
      </c>
      <c r="F11" s="183" t="str">
        <f t="shared" ca="1" si="1"/>
        <v>X</v>
      </c>
      <c r="G11" s="184" t="str">
        <f t="shared" ca="1" si="0"/>
        <v/>
      </c>
      <c r="I11" s="371"/>
      <c r="J11" s="374"/>
      <c r="K11" s="373"/>
      <c r="M11" s="231" t="s">
        <v>582</v>
      </c>
      <c r="N11" s="175" t="str">
        <f>CONCATENATE(SUM(Track1!T268+Track1!T279),"/",2)</f>
        <v>2/2</v>
      </c>
      <c r="O11" s="175"/>
      <c r="Q11" s="336"/>
      <c r="R11" s="336"/>
      <c r="S11" s="337"/>
      <c r="V11" s="270" t="str">
        <f>IF(N11="4/4","Y","X")</f>
        <v>X</v>
      </c>
      <c r="W11" s="270"/>
    </row>
    <row r="12" spans="1:23" ht="25.15" customHeight="1" x14ac:dyDescent="0.25">
      <c r="A12" s="270">
        <v>11</v>
      </c>
      <c r="B12" s="238" t="s">
        <v>348</v>
      </c>
      <c r="E12" s="182" t="str">
        <f>VLOOKUP(B12,Timetables!$A:$C,3,FALSE)&amp;" "&amp;VLOOKUP(B12,Timetables!$A:$C,2,FALSE)</f>
        <v>U13 Girls 800m</v>
      </c>
      <c r="F12" s="183" t="str">
        <f t="shared" ca="1" si="1"/>
        <v>X</v>
      </c>
      <c r="G12" s="184" t="str">
        <f t="shared" ca="1" si="0"/>
        <v/>
      </c>
      <c r="I12" s="338"/>
      <c r="J12" s="376" t="str">
        <f>E40</f>
        <v>U15 Boys Hammer</v>
      </c>
      <c r="K12" s="339"/>
      <c r="M12" s="178" t="s">
        <v>359</v>
      </c>
      <c r="N12" s="178" t="str">
        <f ca="1">CONCATENATE(Track2!T1,"/",4)</f>
        <v>4/4</v>
      </c>
      <c r="O12" s="179"/>
      <c r="Q12" s="226" t="s">
        <v>583</v>
      </c>
      <c r="R12" s="226" t="str">
        <f ca="1">CONCATENATE(MatchDay!D33+MatchDay!D34,"/",MatchDay!D32)</f>
        <v>58/58</v>
      </c>
      <c r="S12" s="175"/>
      <c r="T12" s="270" t="str">
        <f ca="1">IF(MatchDay!D35=0,"Y","X")</f>
        <v>Y</v>
      </c>
      <c r="W12" s="270"/>
    </row>
    <row r="13" spans="1:23" ht="25.15" customHeight="1" x14ac:dyDescent="0.25">
      <c r="A13" s="270">
        <v>12</v>
      </c>
      <c r="B13" s="238" t="s">
        <v>349</v>
      </c>
      <c r="E13" s="182" t="str">
        <f>VLOOKUP(B13,Timetables!$A:$C,3,FALSE)&amp;" "&amp;VLOOKUP(B13,Timetables!$A:$C,2,FALSE)</f>
        <v>U13 Boys 800m</v>
      </c>
      <c r="F13" s="183" t="str">
        <f t="shared" ca="1" si="1"/>
        <v>X</v>
      </c>
      <c r="G13" s="184" t="str">
        <f t="shared" ca="1" si="0"/>
        <v/>
      </c>
      <c r="I13" s="371"/>
      <c r="J13" s="374" t="str">
        <f t="shared" ref="J13:J14" si="3">E41</f>
        <v>U15 Girls Hammer</v>
      </c>
      <c r="K13" s="373"/>
      <c r="M13" s="175" t="s">
        <v>531</v>
      </c>
      <c r="N13" s="175" t="str">
        <f ca="1">CONCATENATE(SUM(Track2!T4+Track2!T15+Track2!T26+Track2!T37),"/",4)</f>
        <v>4/4</v>
      </c>
      <c r="O13" s="175"/>
      <c r="Q13" s="303"/>
      <c r="R13" s="303"/>
      <c r="S13" s="303"/>
      <c r="V13" s="270" t="str">
        <f ca="1">IF(N13="4/4","Y","X")</f>
        <v>Y</v>
      </c>
      <c r="W13" s="270"/>
    </row>
    <row r="14" spans="1:23" ht="25.15" customHeight="1" x14ac:dyDescent="0.25">
      <c r="A14" s="270">
        <v>13</v>
      </c>
      <c r="B14" s="238" t="s">
        <v>350</v>
      </c>
      <c r="E14" s="182" t="str">
        <f>VLOOKUP(B14,Timetables!$A:$C,3,FALSE)&amp;" "&amp;VLOOKUP(B14,Timetables!$A:$C,2,FALSE)</f>
        <v>U15 Girls 800m</v>
      </c>
      <c r="F14" s="183" t="str">
        <f t="shared" ca="1" si="1"/>
        <v>X</v>
      </c>
      <c r="G14" s="184" t="str">
        <f t="shared" ca="1" si="0"/>
        <v/>
      </c>
      <c r="I14" s="338"/>
      <c r="J14" s="376" t="str">
        <f t="shared" si="3"/>
        <v>U13 Boys Long Jump</v>
      </c>
      <c r="K14" s="339"/>
      <c r="L14" s="185"/>
      <c r="M14" s="178" t="s">
        <v>364</v>
      </c>
      <c r="N14" s="178" t="str">
        <f>CONCATENATE(Relays!M1,"/",6)</f>
        <v>6/6</v>
      </c>
      <c r="O14" s="179"/>
      <c r="P14" s="181"/>
      <c r="Q14" s="439" t="s">
        <v>781</v>
      </c>
      <c r="R14" s="440"/>
      <c r="S14" s="441"/>
      <c r="W14" s="270"/>
    </row>
    <row r="15" spans="1:23" ht="25.15" customHeight="1" x14ac:dyDescent="0.25">
      <c r="A15" s="270">
        <v>14</v>
      </c>
      <c r="B15" s="238" t="s">
        <v>351</v>
      </c>
      <c r="E15" s="182" t="str">
        <f>VLOOKUP(B15,Timetables!$A:$C,3,FALSE)&amp;" "&amp;VLOOKUP(B15,Timetables!$A:$C,2,FALSE)</f>
        <v>U15 Boys 800m</v>
      </c>
      <c r="F15" s="183" t="str">
        <f t="shared" ca="1" si="1"/>
        <v>X</v>
      </c>
      <c r="G15" s="184" t="str">
        <f t="shared" ca="1" si="0"/>
        <v/>
      </c>
      <c r="I15" s="371"/>
      <c r="J15" s="374" t="str">
        <f>E44</f>
        <v>U13 Girls Shot</v>
      </c>
      <c r="K15" s="373"/>
      <c r="L15" s="185"/>
      <c r="M15" s="175" t="s">
        <v>531</v>
      </c>
      <c r="N15" s="175" t="str">
        <f>CONCATENATE(SUM(Relays!M4+Relays!M15+Relays!M26+Relays!M37),"/",4)</f>
        <v>4/4</v>
      </c>
      <c r="O15" s="175"/>
      <c r="P15" s="186"/>
      <c r="Q15" s="442"/>
      <c r="R15" s="443"/>
      <c r="S15" s="444"/>
      <c r="V15" s="270" t="str">
        <f t="shared" ref="V15:V22" si="4">IF(N15="4/4","Y","X")</f>
        <v>Y</v>
      </c>
      <c r="W15" s="270"/>
    </row>
    <row r="16" spans="1:23" ht="25.15" customHeight="1" x14ac:dyDescent="0.25">
      <c r="A16" s="270">
        <v>15</v>
      </c>
      <c r="B16" s="238" t="s">
        <v>352</v>
      </c>
      <c r="E16" s="182" t="str">
        <f>VLOOKUP(B16,Timetables!$A:$C,3,FALSE)&amp;" "&amp;VLOOKUP(B16,Timetables!$A:$C,2,FALSE)</f>
        <v>U13 Girls 800m NS</v>
      </c>
      <c r="F16" s="183" t="str">
        <f t="shared" ca="1" si="1"/>
        <v>X</v>
      </c>
      <c r="G16" s="184" t="str">
        <f t="shared" ca="1" si="0"/>
        <v/>
      </c>
      <c r="I16" s="338"/>
      <c r="J16" s="376" t="str">
        <f>E45</f>
        <v>U15 Boys Discus</v>
      </c>
      <c r="K16" s="339"/>
      <c r="M16" s="176" t="s">
        <v>532</v>
      </c>
      <c r="N16" s="176" t="str">
        <f>CONCATENATE(SUM(Relays!M48+Relays!M59),"/",2)</f>
        <v>2/2</v>
      </c>
      <c r="O16" s="177"/>
      <c r="P16" s="186"/>
      <c r="Q16" s="442"/>
      <c r="R16" s="443"/>
      <c r="S16" s="444"/>
      <c r="V16" s="270" t="str">
        <f>IF(N16="2/2","Y","X")</f>
        <v>Y</v>
      </c>
      <c r="W16" s="270"/>
    </row>
    <row r="17" spans="1:23" ht="25.15" customHeight="1" x14ac:dyDescent="0.25">
      <c r="A17" s="270">
        <v>16</v>
      </c>
      <c r="B17" s="238" t="s">
        <v>353</v>
      </c>
      <c r="E17" s="182" t="str">
        <f>VLOOKUP(B17,Timetables!$A:$C,3,FALSE)&amp;" "&amp;VLOOKUP(B17,Timetables!$A:$C,2,FALSE)</f>
        <v>U13 Boys 800m NS</v>
      </c>
      <c r="F17" s="183" t="str">
        <f t="shared" ca="1" si="1"/>
        <v>X</v>
      </c>
      <c r="G17" s="184" t="str">
        <f t="shared" ca="1" si="0"/>
        <v/>
      </c>
      <c r="I17" s="371"/>
      <c r="J17" s="374" t="str">
        <f>E46</f>
        <v>U15 Girls Long Jump</v>
      </c>
      <c r="K17" s="373"/>
      <c r="M17" s="178" t="s">
        <v>201</v>
      </c>
      <c r="N17" s="178" t="str">
        <f ca="1">CONCATENATE(Field!T1,"/",22)</f>
        <v>22/22</v>
      </c>
      <c r="O17" s="179"/>
      <c r="P17" s="186"/>
      <c r="Q17" s="442" t="s">
        <v>782</v>
      </c>
      <c r="R17" s="450"/>
      <c r="S17" s="451"/>
      <c r="W17" s="270"/>
    </row>
    <row r="18" spans="1:23" ht="25.15" customHeight="1" x14ac:dyDescent="0.25">
      <c r="A18" s="270">
        <v>17</v>
      </c>
      <c r="B18" s="238" t="s">
        <v>354</v>
      </c>
      <c r="E18" s="182" t="str">
        <f>VLOOKUP(B18,Timetables!$A:$C,3,FALSE)&amp;" "&amp;VLOOKUP(B18,Timetables!$A:$C,2,FALSE)</f>
        <v>U15 Girls 800m NS</v>
      </c>
      <c r="F18" s="183" t="str">
        <f t="shared" ca="1" si="1"/>
        <v>X</v>
      </c>
      <c r="G18" s="184" t="str">
        <f t="shared" ca="1" si="0"/>
        <v/>
      </c>
      <c r="I18" s="338"/>
      <c r="J18" s="376" t="str">
        <f>E51</f>
        <v>U15 Girls Discus</v>
      </c>
      <c r="K18" s="339"/>
      <c r="M18" s="175" t="s">
        <v>531</v>
      </c>
      <c r="N18" s="175" t="str">
        <f ca="1">CONCATENATE(SUM(Field!T4+Field!T15+Field!T26+Field!T37),"/",4)</f>
        <v>4/4</v>
      </c>
      <c r="O18" s="175"/>
      <c r="P18" s="186"/>
      <c r="Q18" s="442" t="s">
        <v>783</v>
      </c>
      <c r="R18" s="448"/>
      <c r="S18" s="449"/>
      <c r="V18" s="270" t="str">
        <f t="shared" ca="1" si="4"/>
        <v>Y</v>
      </c>
      <c r="W18" s="270"/>
    </row>
    <row r="19" spans="1:23" ht="25.15" customHeight="1" x14ac:dyDescent="0.25">
      <c r="A19" s="270">
        <v>18</v>
      </c>
      <c r="B19" s="238" t="s">
        <v>355</v>
      </c>
      <c r="E19" s="182" t="str">
        <f>VLOOKUP(B19,Timetables!$A:$C,3,FALSE)&amp;" "&amp;VLOOKUP(B19,Timetables!$A:$C,2,FALSE)</f>
        <v>U15 Boys 800m NS</v>
      </c>
      <c r="F19" s="183" t="str">
        <f t="shared" ca="1" si="1"/>
        <v>X</v>
      </c>
      <c r="G19" s="184" t="str">
        <f t="shared" ca="1" si="0"/>
        <v/>
      </c>
      <c r="I19" s="371"/>
      <c r="J19" s="374" t="str">
        <f>E52</f>
        <v>U15 Boys Shot</v>
      </c>
      <c r="K19" s="373"/>
      <c r="M19" s="176" t="s">
        <v>532</v>
      </c>
      <c r="N19" s="176" t="str">
        <f ca="1">CONCATENATE(SUM(Field!T48+Field!T59+Field!T70+Field!T81),"/",4)</f>
        <v>4/4</v>
      </c>
      <c r="O19" s="177"/>
      <c r="P19" s="186"/>
      <c r="Q19" s="436" t="s">
        <v>784</v>
      </c>
      <c r="R19" s="437"/>
      <c r="S19" s="438"/>
      <c r="V19" s="270" t="str">
        <f t="shared" ca="1" si="4"/>
        <v>Y</v>
      </c>
      <c r="W19" s="270"/>
    </row>
    <row r="20" spans="1:23" ht="25.15" customHeight="1" x14ac:dyDescent="0.25">
      <c r="A20" s="270">
        <v>19</v>
      </c>
      <c r="B20" s="238" t="s">
        <v>40</v>
      </c>
      <c r="E20" s="182" t="str">
        <f>VLOOKUP(B20,Timetables!$A:$C,3,FALSE)&amp;" "&amp;VLOOKUP(B20,Timetables!$A:$C,2,FALSE)</f>
        <v>U13 Girls 75m</v>
      </c>
      <c r="F20" s="183" t="str">
        <f t="shared" ca="1" si="1"/>
        <v>X</v>
      </c>
      <c r="G20" s="184" t="str">
        <f t="shared" ca="1" si="0"/>
        <v/>
      </c>
      <c r="I20" s="338"/>
      <c r="J20" s="376" t="str">
        <f>E53</f>
        <v>U15 Boys Javelin</v>
      </c>
      <c r="K20" s="339"/>
      <c r="M20" s="175" t="s">
        <v>533</v>
      </c>
      <c r="N20" s="175" t="str">
        <f ca="1">CONCATENATE(SUM(Field!T92+Field!T103+Field!T114+Field!T125),"/",4)</f>
        <v>4/4</v>
      </c>
      <c r="O20" s="175"/>
      <c r="P20" s="186"/>
      <c r="Q20" s="445" t="str">
        <f>MatchDay!AA1</f>
        <v>LAG23_V1</v>
      </c>
      <c r="R20" s="446"/>
      <c r="S20" s="447"/>
      <c r="V20" s="270" t="str">
        <f t="shared" ca="1" si="4"/>
        <v>Y</v>
      </c>
      <c r="W20" s="270"/>
    </row>
    <row r="21" spans="1:23" ht="25.15" customHeight="1" x14ac:dyDescent="0.25">
      <c r="A21" s="270">
        <v>20</v>
      </c>
      <c r="B21" s="238" t="s">
        <v>41</v>
      </c>
      <c r="E21" s="182" t="str">
        <f>VLOOKUP(B21,Timetables!$A:$C,3,FALSE)&amp;" "&amp;VLOOKUP(B21,Timetables!$A:$C,2,FALSE)</f>
        <v>U13 Girls 75m NS</v>
      </c>
      <c r="F21" s="183" t="str">
        <f t="shared" ca="1" si="1"/>
        <v>X</v>
      </c>
      <c r="G21" s="184" t="str">
        <f t="shared" ca="1" si="0"/>
        <v/>
      </c>
      <c r="I21" s="371"/>
      <c r="J21" s="374" t="str">
        <f>E54</f>
        <v>U15 Girls Javelin</v>
      </c>
      <c r="K21" s="373"/>
      <c r="M21" s="225" t="s">
        <v>534</v>
      </c>
      <c r="N21" s="225" t="str">
        <f ca="1">CONCATENATE(SUM(Field!T136+Field!T147+Field!T158+Field!T169),"/",4)</f>
        <v>4/4</v>
      </c>
      <c r="O21" s="225"/>
      <c r="P21" s="181"/>
      <c r="V21" s="270" t="str">
        <f t="shared" ca="1" si="4"/>
        <v>Y</v>
      </c>
      <c r="W21" s="270"/>
    </row>
    <row r="22" spans="1:23" ht="25.15" customHeight="1" x14ac:dyDescent="0.25">
      <c r="A22" s="270">
        <v>21</v>
      </c>
      <c r="B22" s="238" t="s">
        <v>42</v>
      </c>
      <c r="E22" s="182" t="str">
        <f>VLOOKUP(B22,Timetables!$A:$C,3,FALSE)&amp;" "&amp;VLOOKUP(B22,Timetables!$A:$C,2,FALSE)</f>
        <v>U13 Boys 75m</v>
      </c>
      <c r="F22" s="183" t="str">
        <f t="shared" ca="1" si="1"/>
        <v>X</v>
      </c>
      <c r="G22" s="184" t="str">
        <f t="shared" ca="1" si="0"/>
        <v/>
      </c>
      <c r="I22" s="338"/>
      <c r="J22" s="376" t="str">
        <f t="shared" ref="J22" si="5">E55</f>
        <v>U13 Girls Long Jump</v>
      </c>
      <c r="K22" s="339"/>
      <c r="M22" s="175" t="s">
        <v>535</v>
      </c>
      <c r="N22" s="175" t="str">
        <f ca="1">CONCATENATE(SUM(Field!T180+Field!T191+Field!T202+Field!T213),"/",4)</f>
        <v>4/4</v>
      </c>
      <c r="O22" s="175"/>
      <c r="P22" s="186"/>
      <c r="V22" s="270" t="str">
        <f t="shared" ca="1" si="4"/>
        <v>Y</v>
      </c>
      <c r="W22" s="270"/>
    </row>
    <row r="23" spans="1:23" ht="25.15" customHeight="1" x14ac:dyDescent="0.25">
      <c r="A23" s="270">
        <v>22</v>
      </c>
      <c r="B23" s="238" t="s">
        <v>43</v>
      </c>
      <c r="E23" s="182" t="str">
        <f>VLOOKUP(B23,Timetables!$A:$C,3,FALSE)&amp;" "&amp;VLOOKUP(B23,Timetables!$A:$C,2,FALSE)</f>
        <v>U15 Girls 100m</v>
      </c>
      <c r="F23" s="183" t="str">
        <f t="shared" ca="1" si="1"/>
        <v>X</v>
      </c>
      <c r="G23" s="184" t="str">
        <f t="shared" ca="1" si="0"/>
        <v/>
      </c>
      <c r="I23" s="371"/>
      <c r="J23" s="374" t="str">
        <f>E57</f>
        <v>U13 Boys Shot</v>
      </c>
      <c r="K23" s="373"/>
      <c r="M23" s="176" t="s">
        <v>536</v>
      </c>
      <c r="N23" s="176" t="str">
        <f ca="1">CONCATENATE(SUM(Field!T224+Field!T235),"/",2)</f>
        <v>2/2</v>
      </c>
      <c r="O23" s="177"/>
      <c r="P23" s="186"/>
      <c r="V23" s="270" t="str">
        <f ca="1">IF(N23="2/2","Y","X")</f>
        <v>Y</v>
      </c>
      <c r="W23" s="270"/>
    </row>
    <row r="24" spans="1:23" ht="25.15" customHeight="1" x14ac:dyDescent="0.25">
      <c r="A24" s="270">
        <v>23</v>
      </c>
      <c r="B24" s="238" t="s">
        <v>44</v>
      </c>
      <c r="E24" s="182" t="str">
        <f>VLOOKUP(B24,Timetables!$A:$C,3,FALSE)&amp;" "&amp;VLOOKUP(B24,Timetables!$A:$C,2,FALSE)</f>
        <v>U15 Boys 100m</v>
      </c>
      <c r="F24" s="183" t="str">
        <f t="shared" ref="F24:F27" ca="1" si="6">IFERROR(HYPERLINK("#"&amp;VLOOKUP(B24,timetables,144,FALSE),"X"),"")</f>
        <v>X</v>
      </c>
      <c r="G24" s="184" t="str">
        <f t="shared" ca="1" si="0"/>
        <v/>
      </c>
      <c r="I24" s="338"/>
      <c r="J24" s="376" t="str">
        <f t="shared" ref="J24:J27" si="7">E58</f>
        <v>U13 Boys Javelin</v>
      </c>
      <c r="K24" s="339"/>
      <c r="P24" s="186"/>
      <c r="W24" s="270"/>
    </row>
    <row r="25" spans="1:23" ht="25.15" customHeight="1" x14ac:dyDescent="0.25">
      <c r="A25" s="270">
        <v>24</v>
      </c>
      <c r="B25" s="238" t="s">
        <v>45</v>
      </c>
      <c r="E25" s="182" t="str">
        <f>VLOOKUP(B25,Timetables!$A:$C,3,FALSE)&amp;" "&amp;VLOOKUP(B25,Timetables!$A:$C,2,FALSE)</f>
        <v>U13 Boys 75m NS</v>
      </c>
      <c r="F25" s="183" t="str">
        <f t="shared" ca="1" si="6"/>
        <v>X</v>
      </c>
      <c r="G25" s="184" t="str">
        <f t="shared" ca="1" si="0"/>
        <v/>
      </c>
      <c r="I25" s="371"/>
      <c r="J25" s="374" t="str">
        <f t="shared" si="7"/>
        <v>U15 Boys Long Jump</v>
      </c>
      <c r="K25" s="373"/>
      <c r="P25" s="181"/>
      <c r="W25" s="270"/>
    </row>
    <row r="26" spans="1:23" ht="25.15" customHeight="1" x14ac:dyDescent="0.25">
      <c r="A26" s="270">
        <v>25</v>
      </c>
      <c r="B26" s="238" t="s">
        <v>46</v>
      </c>
      <c r="E26" s="182" t="str">
        <f>VLOOKUP(B26,Timetables!$A:$C,3,FALSE)&amp;" "&amp;VLOOKUP(B26,Timetables!$A:$C,2,FALSE)</f>
        <v>U15 Girls 100m NS</v>
      </c>
      <c r="F26" s="183" t="str">
        <f t="shared" ca="1" si="6"/>
        <v>X</v>
      </c>
      <c r="G26" s="184" t="str">
        <f t="shared" ca="1" si="0"/>
        <v/>
      </c>
      <c r="I26" s="338"/>
      <c r="J26" s="376" t="str">
        <f t="shared" si="7"/>
        <v>U15 Girls Shot</v>
      </c>
      <c r="K26" s="339"/>
      <c r="P26" s="270"/>
      <c r="W26" s="270"/>
    </row>
    <row r="27" spans="1:23" ht="25.15" customHeight="1" x14ac:dyDescent="0.25">
      <c r="A27" s="270">
        <v>26</v>
      </c>
      <c r="B27" s="238" t="s">
        <v>47</v>
      </c>
      <c r="E27" s="182" t="str">
        <f>VLOOKUP(B27,Timetables!$A:$C,3,FALSE)&amp;" "&amp;VLOOKUP(B27,Timetables!$A:$C,2,FALSE)</f>
        <v>U15 Boys 100m NS</v>
      </c>
      <c r="F27" s="183" t="str">
        <f t="shared" ca="1" si="6"/>
        <v>X</v>
      </c>
      <c r="G27" s="184" t="str">
        <f t="shared" ca="1" si="0"/>
        <v/>
      </c>
      <c r="I27" s="371"/>
      <c r="J27" s="374" t="str">
        <f t="shared" si="7"/>
        <v>U13 Girls Javelin</v>
      </c>
      <c r="K27" s="373"/>
      <c r="P27" s="270"/>
      <c r="W27" s="270"/>
    </row>
    <row r="28" spans="1:23" ht="25.15" customHeight="1" x14ac:dyDescent="0.25">
      <c r="A28" s="270">
        <v>27</v>
      </c>
      <c r="B28" s="238" t="s">
        <v>48</v>
      </c>
      <c r="E28" s="182" t="str">
        <f>VLOOKUP(B28,Timetables!$A:$C,3,FALSE)&amp;" "&amp;VLOOKUP(B28,Timetables!$A:$C,2,FALSE)</f>
        <v>U15 Girls 300m</v>
      </c>
      <c r="F28" s="183" t="str">
        <f t="shared" ref="F28:F39" ca="1" si="8">IFERROR(HYPERLINK("#"&amp;VLOOKUP(B28,timetables,144,FALSE),"X"),"")</f>
        <v>X</v>
      </c>
      <c r="G28" s="184" t="str">
        <f t="shared" ca="1" si="0"/>
        <v/>
      </c>
      <c r="I28" s="340"/>
      <c r="J28" s="341"/>
      <c r="K28" s="340"/>
      <c r="P28" s="181"/>
      <c r="W28" s="270"/>
    </row>
    <row r="29" spans="1:23" ht="25.15" customHeight="1" x14ac:dyDescent="0.25">
      <c r="A29" s="270">
        <v>28</v>
      </c>
      <c r="B29" s="238" t="s">
        <v>356</v>
      </c>
      <c r="E29" s="182" t="str">
        <f>VLOOKUP(B29,Timetables!$A:$C,3,FALSE)&amp;" "&amp;VLOOKUP(B29,Timetables!$A:$C,2,FALSE)</f>
        <v>U15 Boys 300m</v>
      </c>
      <c r="F29" s="183" t="str">
        <f t="shared" ca="1" si="8"/>
        <v>X</v>
      </c>
      <c r="G29" s="184" t="str">
        <f t="shared" ca="1" si="0"/>
        <v/>
      </c>
      <c r="I29" s="188" t="str">
        <f>I3</f>
        <v>LOWER</v>
      </c>
      <c r="J29" s="189" t="s">
        <v>545</v>
      </c>
      <c r="K29" s="190" t="str">
        <f>K3</f>
        <v>LOWER</v>
      </c>
      <c r="P29" s="270"/>
    </row>
    <row r="30" spans="1:23" ht="25.15" customHeight="1" x14ac:dyDescent="0.25">
      <c r="A30" s="270">
        <v>29</v>
      </c>
      <c r="B30" s="238" t="s">
        <v>256</v>
      </c>
      <c r="E30" s="182" t="str">
        <f>VLOOKUP(B30,Timetables!$A:$C,3,FALSE)&amp;" "&amp;VLOOKUP(B30,Timetables!$A:$C,2,FALSE)</f>
        <v>U13 Girls 1200m</v>
      </c>
      <c r="F30" s="183" t="str">
        <f ca="1">IFERROR(HYPERLINK("#"&amp;VLOOKUP(B30,timetables,144,FALSE),"X"),"")</f>
        <v>X</v>
      </c>
      <c r="G30" s="184" t="str">
        <f t="shared" ca="1" si="0"/>
        <v/>
      </c>
      <c r="I30" s="191"/>
      <c r="J30" s="434" t="s">
        <v>546</v>
      </c>
      <c r="K30" s="192"/>
      <c r="P30" s="270"/>
    </row>
    <row r="31" spans="1:23" ht="25.15" customHeight="1" x14ac:dyDescent="0.25">
      <c r="A31" s="270">
        <v>30</v>
      </c>
      <c r="B31" s="238" t="s">
        <v>257</v>
      </c>
      <c r="E31" s="182" t="str">
        <f>VLOOKUP(B31,Timetables!$A:$C,3,FALSE)&amp;" "&amp;VLOOKUP(B31,Timetables!$A:$C,2,FALSE)</f>
        <v>U13 Boys 1200m</v>
      </c>
      <c r="F31" s="183" t="str">
        <f t="shared" ca="1" si="8"/>
        <v>X</v>
      </c>
      <c r="G31" s="184" t="str">
        <f t="shared" ca="1" si="0"/>
        <v/>
      </c>
      <c r="I31" s="191"/>
      <c r="J31" s="435"/>
      <c r="K31" s="192"/>
      <c r="P31" s="270"/>
    </row>
    <row r="32" spans="1:23" ht="25.15" customHeight="1" x14ac:dyDescent="0.25">
      <c r="A32" s="270">
        <v>31</v>
      </c>
      <c r="B32" s="238" t="s">
        <v>258</v>
      </c>
      <c r="E32" s="182" t="str">
        <f>VLOOKUP(B32,Timetables!$A:$C,3,FALSE)&amp;" "&amp;VLOOKUP(B32,Timetables!$A:$C,2,FALSE)</f>
        <v>U15 Girls 1500m</v>
      </c>
      <c r="F32" s="183" t="str">
        <f t="shared" ca="1" si="8"/>
        <v>X</v>
      </c>
      <c r="G32" s="184" t="str">
        <f t="shared" ca="1" si="0"/>
        <v/>
      </c>
      <c r="I32" s="342"/>
      <c r="J32" s="431" t="str">
        <f>E4&amp;", "&amp;E5&amp;", "&amp;E6&amp;", "&amp;E7&amp;" "</f>
        <v xml:space="preserve">U13 Girls 70m Hurdles, U13 Boys 75m Hurdles, U15 Girls 75m Hurdles, U15 Boys 80m Hurdles </v>
      </c>
      <c r="K32" s="343"/>
      <c r="P32" s="270"/>
    </row>
    <row r="33" spans="1:16" ht="25.15" customHeight="1" x14ac:dyDescent="0.25">
      <c r="A33" s="270">
        <v>32</v>
      </c>
      <c r="B33" s="238" t="s">
        <v>259</v>
      </c>
      <c r="E33" s="182" t="str">
        <f>VLOOKUP(B33,Timetables!$A:$C,3,FALSE)&amp;" "&amp;VLOOKUP(B33,Timetables!$A:$C,2,FALSE)</f>
        <v>U15 Boys 1500m</v>
      </c>
      <c r="F33" s="183" t="str">
        <f t="shared" ca="1" si="8"/>
        <v>X</v>
      </c>
      <c r="G33" s="184" t="str">
        <f t="shared" ca="1" si="0"/>
        <v/>
      </c>
      <c r="I33" s="342"/>
      <c r="J33" s="431"/>
      <c r="K33" s="343"/>
      <c r="P33" s="270"/>
    </row>
    <row r="34" spans="1:16" ht="25.15" customHeight="1" x14ac:dyDescent="0.25">
      <c r="A34" s="270">
        <v>33</v>
      </c>
      <c r="B34" s="238" t="s">
        <v>262</v>
      </c>
      <c r="E34" s="182" t="str">
        <f>VLOOKUP(B34,Timetables!$A:$C,3,FALSE)&amp;" "&amp;VLOOKUP(B34,Timetables!$A:$C,2,FALSE)</f>
        <v>U13 Girls 4 x 100m</v>
      </c>
      <c r="F34" s="183" t="str">
        <f t="shared" ca="1" si="8"/>
        <v>X</v>
      </c>
      <c r="G34" s="184" t="str">
        <f t="shared" ca="1" si="0"/>
        <v>þ</v>
      </c>
      <c r="I34" s="344"/>
      <c r="J34" s="432" t="str">
        <f>E8&amp;", "&amp;E9&amp;", "&amp;E10&amp;", "&amp;E11</f>
        <v>U13 Girls 150m, U13 Boys 150m, U15 Girls 200m, U15 Boys 200m</v>
      </c>
      <c r="K34" s="345"/>
      <c r="P34" s="270"/>
    </row>
    <row r="35" spans="1:16" ht="25.15" customHeight="1" x14ac:dyDescent="0.25">
      <c r="A35" s="270">
        <v>34</v>
      </c>
      <c r="B35" s="238" t="s">
        <v>263</v>
      </c>
      <c r="E35" s="182" t="str">
        <f>VLOOKUP(B35,Timetables!$A:$C,3,FALSE)&amp;" "&amp;VLOOKUP(B35,Timetables!$A:$C,2,FALSE)</f>
        <v>U13 Boys 4 x 100m</v>
      </c>
      <c r="F35" s="183" t="str">
        <f t="shared" ca="1" si="8"/>
        <v>X</v>
      </c>
      <c r="G35" s="184" t="str">
        <f t="shared" ca="1" si="0"/>
        <v>þ</v>
      </c>
      <c r="I35" s="344"/>
      <c r="J35" s="432"/>
      <c r="K35" s="345"/>
      <c r="P35" s="270"/>
    </row>
    <row r="36" spans="1:16" ht="25.15" customHeight="1" x14ac:dyDescent="0.25">
      <c r="A36" s="270">
        <v>35</v>
      </c>
      <c r="B36" s="238" t="s">
        <v>264</v>
      </c>
      <c r="E36" s="182" t="str">
        <f>VLOOKUP(B36,Timetables!$A:$C,3,FALSE)&amp;" "&amp;VLOOKUP(B36,Timetables!$A:$C,2,FALSE)</f>
        <v>U15 Girls 4 x 100m</v>
      </c>
      <c r="F36" s="183" t="str">
        <f t="shared" ca="1" si="8"/>
        <v>X</v>
      </c>
      <c r="G36" s="184" t="str">
        <f t="shared" ref="G36:G61" ca="1" si="9">IFERROR(IF(INDIRECT(VLOOKUP(B36,timetables,149,FALSE))=1,"þ",""),"")</f>
        <v>þ</v>
      </c>
      <c r="I36" s="346"/>
      <c r="J36" s="431" t="str">
        <f>E12&amp;", "&amp;E13&amp;", "&amp;E14&amp;", "&amp;E15</f>
        <v>U13 Girls 800m, U13 Boys 800m, U15 Girls 800m, U15 Boys 800m</v>
      </c>
      <c r="K36" s="347"/>
      <c r="P36" s="270"/>
    </row>
    <row r="37" spans="1:16" ht="25.15" customHeight="1" x14ac:dyDescent="0.25">
      <c r="A37" s="270">
        <v>36</v>
      </c>
      <c r="B37" s="238" t="s">
        <v>265</v>
      </c>
      <c r="E37" s="182" t="str">
        <f>VLOOKUP(B37,Timetables!$A:$C,3,FALSE)&amp;" "&amp;VLOOKUP(B37,Timetables!$A:$C,2,FALSE)</f>
        <v>U15 Boys 4 x 100m</v>
      </c>
      <c r="F37" s="183" t="str">
        <f t="shared" ca="1" si="8"/>
        <v>X</v>
      </c>
      <c r="G37" s="184" t="str">
        <f t="shared" ca="1" si="9"/>
        <v>þ</v>
      </c>
      <c r="I37" s="346"/>
      <c r="J37" s="431"/>
      <c r="K37" s="347"/>
    </row>
    <row r="38" spans="1:16" ht="25.15" customHeight="1" x14ac:dyDescent="0.25">
      <c r="A38" s="270">
        <v>37</v>
      </c>
      <c r="B38" s="238" t="s">
        <v>260</v>
      </c>
      <c r="E38" s="182" t="str">
        <f>VLOOKUP(B38,Timetables!$A:$C,3,FALSE)&amp;" "&amp;VLOOKUP(B38,Timetables!$A:$C,2,FALSE)</f>
        <v>U15 Girls 4 x 300m</v>
      </c>
      <c r="F38" s="183" t="str">
        <f t="shared" ca="1" si="8"/>
        <v>X</v>
      </c>
      <c r="G38" s="184" t="str">
        <f t="shared" ca="1" si="9"/>
        <v>þ</v>
      </c>
      <c r="I38" s="344"/>
      <c r="J38" s="432" t="str">
        <f>E16&amp;", "&amp;E17&amp;", "&amp;E18&amp;", "&amp;E19</f>
        <v>U13 Girls 800m NS, U13 Boys 800m NS, U15 Girls 800m NS, U15 Boys 800m NS</v>
      </c>
      <c r="K38" s="345"/>
    </row>
    <row r="39" spans="1:16" ht="25.15" customHeight="1" x14ac:dyDescent="0.25">
      <c r="A39" s="270">
        <v>38</v>
      </c>
      <c r="B39" s="238" t="s">
        <v>261</v>
      </c>
      <c r="E39" s="182" t="str">
        <f>VLOOKUP(B39,Timetables!$A:$C,3,FALSE)&amp;" "&amp;VLOOKUP(B39,Timetables!$A:$C,2,FALSE)</f>
        <v>U15 Boys 4 x 300m</v>
      </c>
      <c r="F39" s="183" t="str">
        <f t="shared" ca="1" si="8"/>
        <v>X</v>
      </c>
      <c r="G39" s="184" t="str">
        <f t="shared" ca="1" si="9"/>
        <v>þ</v>
      </c>
      <c r="I39" s="344"/>
      <c r="J39" s="432"/>
      <c r="K39" s="345"/>
    </row>
    <row r="40" spans="1:16" ht="25.15" customHeight="1" x14ac:dyDescent="0.25">
      <c r="A40" s="270">
        <v>39</v>
      </c>
      <c r="B40" s="238" t="s">
        <v>178</v>
      </c>
      <c r="E40" s="182" t="str">
        <f>VLOOKUP(B40,Timetables!$A:$C,3,FALSE)&amp;" "&amp;VLOOKUP(B40,Timetables!$A:$C,2,FALSE)</f>
        <v>U15 Boys Hammer</v>
      </c>
      <c r="F40" s="183" t="str">
        <f t="shared" ref="F40:F61" ca="1" si="10">IFERROR(HYPERLINK("#"&amp;VLOOKUP(B40,timetables,144,FALSE),"X"),"")</f>
        <v>X</v>
      </c>
      <c r="G40" s="184" t="str">
        <f t="shared" ca="1" si="9"/>
        <v/>
      </c>
      <c r="I40" s="346"/>
      <c r="J40" s="431" t="str">
        <f>E20&amp;", "&amp;E21&amp;", "&amp;E22&amp;", "&amp;E23</f>
        <v>U13 Girls 75m, U13 Girls 75m NS, U13 Boys 75m, U15 Girls 100m</v>
      </c>
      <c r="K40" s="347"/>
    </row>
    <row r="41" spans="1:16" ht="25.15" customHeight="1" x14ac:dyDescent="0.25">
      <c r="A41" s="270">
        <v>40</v>
      </c>
      <c r="B41" s="238" t="s">
        <v>179</v>
      </c>
      <c r="E41" s="182" t="str">
        <f>VLOOKUP(B41,Timetables!$A:$C,3,FALSE)&amp;" "&amp;VLOOKUP(B41,Timetables!$A:$C,2,FALSE)</f>
        <v>U15 Girls Hammer</v>
      </c>
      <c r="F41" s="183" t="str">
        <f t="shared" ca="1" si="10"/>
        <v>X</v>
      </c>
      <c r="G41" s="184" t="str">
        <f t="shared" ca="1" si="9"/>
        <v/>
      </c>
      <c r="I41" s="346"/>
      <c r="J41" s="431"/>
      <c r="K41" s="347"/>
    </row>
    <row r="42" spans="1:16" ht="25.15" customHeight="1" x14ac:dyDescent="0.25">
      <c r="A42" s="270">
        <v>41</v>
      </c>
      <c r="B42" s="238" t="s">
        <v>244</v>
      </c>
      <c r="E42" s="182" t="str">
        <f>VLOOKUP(B42,Timetables!$A:$C,3,FALSE)&amp;" "&amp;VLOOKUP(B42,Timetables!$A:$C,2,FALSE)</f>
        <v>U13 Boys Long Jump</v>
      </c>
      <c r="F42" s="183" t="str">
        <f t="shared" ca="1" si="10"/>
        <v>X</v>
      </c>
      <c r="G42" s="184" t="str">
        <f t="shared" ca="1" si="9"/>
        <v/>
      </c>
      <c r="I42" s="344"/>
      <c r="J42" s="432" t="str">
        <f>E24&amp;", "&amp;E25&amp;", "&amp;E26&amp;", "&amp;E27</f>
        <v>U15 Boys 100m, U13 Boys 75m NS, U15 Girls 100m NS, U15 Boys 100m NS</v>
      </c>
      <c r="K42" s="345"/>
    </row>
    <row r="43" spans="1:16" ht="25.15" customHeight="1" x14ac:dyDescent="0.25">
      <c r="A43" s="270">
        <v>42</v>
      </c>
      <c r="B43" s="238" t="s">
        <v>180</v>
      </c>
      <c r="E43" s="182" t="str">
        <f>VLOOKUP(B43,Timetables!$A:$C,3,FALSE)&amp;" "&amp;VLOOKUP(B43,Timetables!$A:$C,2,FALSE)</f>
        <v>U15 Girls High Jump</v>
      </c>
      <c r="F43" s="183" t="str">
        <f t="shared" ca="1" si="10"/>
        <v>X</v>
      </c>
      <c r="G43" s="184" t="str">
        <f t="shared" ca="1" si="9"/>
        <v/>
      </c>
      <c r="I43" s="344"/>
      <c r="J43" s="432"/>
      <c r="K43" s="345"/>
    </row>
    <row r="44" spans="1:16" ht="25.15" customHeight="1" x14ac:dyDescent="0.25">
      <c r="A44" s="270">
        <v>43</v>
      </c>
      <c r="B44" s="238" t="s">
        <v>183</v>
      </c>
      <c r="E44" s="182" t="str">
        <f>VLOOKUP(B44,Timetables!$A:$C,3,FALSE)&amp;" "&amp;VLOOKUP(B44,Timetables!$A:$C,2,FALSE)</f>
        <v>U13 Girls Shot</v>
      </c>
      <c r="F44" s="183" t="str">
        <f t="shared" ca="1" si="10"/>
        <v>X</v>
      </c>
      <c r="G44" s="184" t="str">
        <f t="shared" ca="1" si="9"/>
        <v/>
      </c>
      <c r="I44" s="346"/>
      <c r="J44" s="431" t="str">
        <f>E28&amp;", "&amp;E29&amp;", "&amp;E30&amp;", "&amp;E31</f>
        <v>U15 Girls 300m, U15 Boys 300m, U13 Girls 1200m, U13 Boys 1200m</v>
      </c>
      <c r="K44" s="347"/>
    </row>
    <row r="45" spans="1:16" ht="25.15" customHeight="1" x14ac:dyDescent="0.25">
      <c r="A45" s="270">
        <v>44</v>
      </c>
      <c r="B45" s="238" t="s">
        <v>184</v>
      </c>
      <c r="E45" s="182" t="str">
        <f>VLOOKUP(B45,Timetables!$A:$C,3,FALSE)&amp;" "&amp;VLOOKUP(B45,Timetables!$A:$C,2,FALSE)</f>
        <v>U15 Boys Discus</v>
      </c>
      <c r="F45" s="183" t="str">
        <f t="shared" ca="1" si="10"/>
        <v>X</v>
      </c>
      <c r="G45" s="184" t="str">
        <f t="shared" ca="1" si="9"/>
        <v/>
      </c>
      <c r="I45" s="346"/>
      <c r="J45" s="431"/>
      <c r="K45" s="347"/>
    </row>
    <row r="46" spans="1:16" ht="25.15" customHeight="1" x14ac:dyDescent="0.25">
      <c r="A46" s="270">
        <v>45</v>
      </c>
      <c r="B46" s="238" t="s">
        <v>245</v>
      </c>
      <c r="E46" s="182" t="str">
        <f>VLOOKUP(B46,Timetables!$A:$C,3,FALSE)&amp;" "&amp;VLOOKUP(B46,Timetables!$A:$C,2,FALSE)</f>
        <v>U15 Girls Long Jump</v>
      </c>
      <c r="F46" s="183" t="str">
        <f t="shared" ca="1" si="10"/>
        <v>X</v>
      </c>
      <c r="G46" s="184" t="str">
        <f t="shared" ca="1" si="9"/>
        <v/>
      </c>
      <c r="I46" s="344"/>
      <c r="J46" s="432" t="str">
        <f>E32&amp;", "&amp;E33</f>
        <v>U15 Girls 1500m, U15 Boys 1500m</v>
      </c>
      <c r="K46" s="345"/>
    </row>
    <row r="47" spans="1:16" ht="25.15" customHeight="1" x14ac:dyDescent="0.25">
      <c r="A47" s="270">
        <v>46</v>
      </c>
      <c r="B47" s="238" t="s">
        <v>181</v>
      </c>
      <c r="E47" s="182" t="str">
        <f>VLOOKUP(B47,Timetables!$A:$C,3,FALSE)&amp;" "&amp;VLOOKUP(B47,Timetables!$A:$C,2,FALSE)</f>
        <v>U13 Boys High Jump</v>
      </c>
      <c r="F47" s="183" t="str">
        <f t="shared" ca="1" si="10"/>
        <v>X</v>
      </c>
      <c r="G47" s="184" t="str">
        <f t="shared" ca="1" si="9"/>
        <v/>
      </c>
      <c r="I47" s="344"/>
      <c r="J47" s="432"/>
      <c r="K47" s="345"/>
    </row>
    <row r="48" spans="1:16" ht="25.15" customHeight="1" x14ac:dyDescent="0.25">
      <c r="A48" s="270">
        <v>47</v>
      </c>
      <c r="B48" s="238" t="s">
        <v>185</v>
      </c>
      <c r="E48" s="182" t="str">
        <f>VLOOKUP(B48,Timetables!$A:$C,3,FALSE)&amp;" "&amp;VLOOKUP(B48,Timetables!$A:$C,2,FALSE)</f>
        <v>U13 Girls High Jump</v>
      </c>
      <c r="F48" s="183" t="str">
        <f t="shared" ca="1" si="10"/>
        <v>X</v>
      </c>
      <c r="G48" s="184" t="str">
        <f t="shared" ca="1" si="9"/>
        <v/>
      </c>
      <c r="I48" s="346"/>
      <c r="J48" s="431" t="str">
        <f>E34&amp;", "&amp;E35&amp;", "&amp;E36&amp;", "&amp;E37</f>
        <v>U13 Girls 4 x 100m, U13 Boys 4 x 100m, U15 Girls 4 x 100m, U15 Boys 4 x 100m</v>
      </c>
      <c r="K48" s="347"/>
    </row>
    <row r="49" spans="1:11" ht="25.15" customHeight="1" x14ac:dyDescent="0.25">
      <c r="A49" s="270">
        <v>48</v>
      </c>
      <c r="B49" s="238" t="s">
        <v>186</v>
      </c>
      <c r="E49" s="182" t="str">
        <f>VLOOKUP(B49,Timetables!$A:$C,3,FALSE)&amp;" "&amp;VLOOKUP(B49,Timetables!$A:$C,2,FALSE)</f>
        <v>U15 Boys Pole Vault</v>
      </c>
      <c r="F49" s="183" t="str">
        <f t="shared" ca="1" si="10"/>
        <v>X</v>
      </c>
      <c r="G49" s="184" t="str">
        <f t="shared" ca="1" si="9"/>
        <v/>
      </c>
      <c r="I49" s="346"/>
      <c r="J49" s="431"/>
      <c r="K49" s="347"/>
    </row>
    <row r="50" spans="1:11" ht="25.15" customHeight="1" x14ac:dyDescent="0.25">
      <c r="A50" s="270">
        <v>49</v>
      </c>
      <c r="B50" s="238" t="s">
        <v>187</v>
      </c>
      <c r="E50" s="182" t="str">
        <f>VLOOKUP(B50,Timetables!$A:$C,3,FALSE)&amp;" "&amp;VLOOKUP(B50,Timetables!$A:$C,2,FALSE)</f>
        <v>U15 Girls Pole Vault</v>
      </c>
      <c r="F50" s="183" t="str">
        <f t="shared" ca="1" si="10"/>
        <v>X</v>
      </c>
      <c r="G50" s="184" t="str">
        <f t="shared" ca="1" si="9"/>
        <v/>
      </c>
      <c r="I50" s="344"/>
      <c r="J50" s="432" t="str">
        <f>E38&amp;", "&amp;E39</f>
        <v>U15 Girls 4 x 300m, U15 Boys 4 x 300m</v>
      </c>
      <c r="K50" s="345"/>
    </row>
    <row r="51" spans="1:11" ht="25.15" customHeight="1" x14ac:dyDescent="0.25">
      <c r="A51" s="270">
        <v>50</v>
      </c>
      <c r="B51" s="238" t="s">
        <v>182</v>
      </c>
      <c r="E51" s="182" t="str">
        <f>VLOOKUP(B51,Timetables!$A:$C,3,FALSE)&amp;" "&amp;VLOOKUP(B51,Timetables!$A:$C,2,FALSE)</f>
        <v>U15 Girls Discus</v>
      </c>
      <c r="F51" s="183" t="str">
        <f t="shared" ca="1" si="10"/>
        <v>X</v>
      </c>
      <c r="G51" s="184" t="str">
        <f t="shared" ca="1" si="9"/>
        <v/>
      </c>
      <c r="I51" s="344"/>
      <c r="J51" s="432"/>
      <c r="K51" s="345"/>
    </row>
    <row r="52" spans="1:11" ht="25.15" customHeight="1" x14ac:dyDescent="0.25">
      <c r="A52" s="270">
        <v>51</v>
      </c>
      <c r="B52" s="238" t="s">
        <v>189</v>
      </c>
      <c r="E52" s="182" t="str">
        <f>VLOOKUP(B52,Timetables!$A:$C,3,FALSE)&amp;" "&amp;VLOOKUP(B52,Timetables!$A:$C,2,FALSE)</f>
        <v>U15 Boys Shot</v>
      </c>
      <c r="F52" s="183" t="str">
        <f t="shared" ca="1" si="10"/>
        <v>X</v>
      </c>
      <c r="G52" s="184" t="str">
        <f t="shared" ca="1" si="9"/>
        <v/>
      </c>
      <c r="I52" s="346"/>
      <c r="J52" s="431" t="s">
        <v>695</v>
      </c>
      <c r="K52" s="347"/>
    </row>
    <row r="53" spans="1:11" ht="25.15" customHeight="1" x14ac:dyDescent="0.25">
      <c r="A53" s="270">
        <v>52</v>
      </c>
      <c r="B53" s="238" t="s">
        <v>190</v>
      </c>
      <c r="E53" s="182" t="str">
        <f>VLOOKUP(B53,Timetables!$A:$C,3,FALSE)&amp;" "&amp;VLOOKUP(B53,Timetables!$A:$C,2,FALSE)</f>
        <v>U15 Boys Javelin</v>
      </c>
      <c r="F53" s="183" t="str">
        <f t="shared" ca="1" si="10"/>
        <v>X</v>
      </c>
      <c r="G53" s="184" t="str">
        <f t="shared" ca="1" si="9"/>
        <v/>
      </c>
      <c r="I53" s="369"/>
      <c r="J53" s="433"/>
      <c r="K53" s="370"/>
    </row>
    <row r="54" spans="1:11" ht="25.15" customHeight="1" x14ac:dyDescent="0.25">
      <c r="A54" s="270">
        <v>53</v>
      </c>
      <c r="B54" s="238" t="s">
        <v>191</v>
      </c>
      <c r="E54" s="182" t="str">
        <f>VLOOKUP(B54,Timetables!$A:$C,3,FALSE)&amp;" "&amp;VLOOKUP(B54,Timetables!$A:$C,2,FALSE)</f>
        <v>U15 Girls Javelin</v>
      </c>
      <c r="F54" s="183" t="str">
        <f t="shared" ca="1" si="10"/>
        <v>X</v>
      </c>
      <c r="G54" s="184" t="str">
        <f t="shared" ca="1" si="9"/>
        <v/>
      </c>
      <c r="J54" s="270"/>
    </row>
    <row r="55" spans="1:11" ht="25.15" customHeight="1" x14ac:dyDescent="0.25">
      <c r="A55" s="270">
        <v>54</v>
      </c>
      <c r="B55" s="238" t="s">
        <v>246</v>
      </c>
      <c r="E55" s="182" t="str">
        <f>VLOOKUP(B55,Timetables!$A:$C,3,FALSE)&amp;" "&amp;VLOOKUP(B55,Timetables!$A:$C,2,FALSE)</f>
        <v>U13 Girls Long Jump</v>
      </c>
      <c r="F55" s="183" t="str">
        <f t="shared" ca="1" si="10"/>
        <v>X</v>
      </c>
      <c r="G55" s="184" t="str">
        <f t="shared" ca="1" si="9"/>
        <v/>
      </c>
      <c r="J55" s="270"/>
    </row>
    <row r="56" spans="1:11" ht="25.15" customHeight="1" x14ac:dyDescent="0.25">
      <c r="A56" s="270">
        <v>55</v>
      </c>
      <c r="B56" s="238" t="s">
        <v>188</v>
      </c>
      <c r="E56" s="182" t="str">
        <f>VLOOKUP(B56,Timetables!$A:$C,3,FALSE)&amp;" "&amp;VLOOKUP(B56,Timetables!$A:$C,2,FALSE)</f>
        <v>U15 Boys High Jump</v>
      </c>
      <c r="F56" s="183" t="str">
        <f t="shared" ca="1" si="10"/>
        <v>X</v>
      </c>
      <c r="G56" s="184" t="str">
        <f t="shared" ca="1" si="9"/>
        <v/>
      </c>
      <c r="J56" s="270"/>
    </row>
    <row r="57" spans="1:11" ht="25.15" customHeight="1" x14ac:dyDescent="0.25">
      <c r="A57" s="270">
        <v>56</v>
      </c>
      <c r="B57" s="238" t="s">
        <v>192</v>
      </c>
      <c r="E57" s="182" t="str">
        <f>VLOOKUP(B57,Timetables!$A:$C,3,FALSE)&amp;" "&amp;VLOOKUP(B57,Timetables!$A:$C,2,FALSE)</f>
        <v>U13 Boys Shot</v>
      </c>
      <c r="F57" s="183" t="str">
        <f t="shared" ca="1" si="10"/>
        <v>X</v>
      </c>
      <c r="G57" s="184" t="str">
        <f t="shared" ca="1" si="9"/>
        <v/>
      </c>
      <c r="J57" s="270"/>
    </row>
    <row r="58" spans="1:11" ht="25.15" customHeight="1" x14ac:dyDescent="0.25">
      <c r="A58" s="270">
        <v>57</v>
      </c>
      <c r="B58" s="238" t="s">
        <v>193</v>
      </c>
      <c r="E58" s="182" t="str">
        <f>VLOOKUP(B58,Timetables!$A:$C,3,FALSE)&amp;" "&amp;VLOOKUP(B58,Timetables!$A:$C,2,FALSE)</f>
        <v>U13 Boys Javelin</v>
      </c>
      <c r="F58" s="183" t="str">
        <f t="shared" ca="1" si="10"/>
        <v>X</v>
      </c>
      <c r="G58" s="184" t="str">
        <f t="shared" ca="1" si="9"/>
        <v/>
      </c>
      <c r="J58" s="270"/>
    </row>
    <row r="59" spans="1:11" ht="25.15" customHeight="1" x14ac:dyDescent="0.25">
      <c r="A59" s="270">
        <v>58</v>
      </c>
      <c r="B59" s="238" t="s">
        <v>247</v>
      </c>
      <c r="E59" s="182" t="str">
        <f>VLOOKUP(B59,Timetables!$A:$C,3,FALSE)&amp;" "&amp;VLOOKUP(B59,Timetables!$A:$C,2,FALSE)</f>
        <v>U15 Boys Long Jump</v>
      </c>
      <c r="F59" s="183" t="str">
        <f t="shared" ca="1" si="10"/>
        <v>X</v>
      </c>
      <c r="G59" s="184" t="str">
        <f t="shared" ca="1" si="9"/>
        <v/>
      </c>
      <c r="J59" s="270"/>
    </row>
    <row r="60" spans="1:11" ht="25.15" customHeight="1" x14ac:dyDescent="0.25">
      <c r="A60" s="270">
        <v>59</v>
      </c>
      <c r="B60" s="238" t="s">
        <v>194</v>
      </c>
      <c r="E60" s="182" t="str">
        <f>VLOOKUP(B60,Timetables!$A:$C,3,FALSE)&amp;" "&amp;VLOOKUP(B60,Timetables!$A:$C,2,FALSE)</f>
        <v>U15 Girls Shot</v>
      </c>
      <c r="F60" s="183" t="str">
        <f t="shared" ca="1" si="10"/>
        <v>X</v>
      </c>
      <c r="G60" s="184" t="str">
        <f t="shared" ca="1" si="9"/>
        <v/>
      </c>
      <c r="J60" s="270"/>
    </row>
    <row r="61" spans="1:11" ht="25.15" customHeight="1" x14ac:dyDescent="0.25">
      <c r="A61" s="270">
        <v>60</v>
      </c>
      <c r="B61" s="238" t="s">
        <v>195</v>
      </c>
      <c r="E61" s="182" t="str">
        <f>VLOOKUP(B61,Timetables!$A:$C,3,FALSE)&amp;" "&amp;VLOOKUP(B61,Timetables!$A:$C,2,FALSE)</f>
        <v>U13 Girls Javelin</v>
      </c>
      <c r="F61" s="183" t="str">
        <f t="shared" ca="1" si="10"/>
        <v>X</v>
      </c>
      <c r="G61" s="184" t="str">
        <f t="shared" ca="1" si="9"/>
        <v/>
      </c>
      <c r="J61" s="270"/>
    </row>
    <row r="62" spans="1:11" ht="25.15" customHeight="1" x14ac:dyDescent="0.25">
      <c r="J62" s="270"/>
    </row>
    <row r="63" spans="1:11" ht="25.15" customHeight="1" x14ac:dyDescent="0.25">
      <c r="J63" s="270"/>
    </row>
    <row r="64" spans="1:11" ht="25.15" customHeight="1" x14ac:dyDescent="0.25">
      <c r="J64" s="270"/>
    </row>
    <row r="65" spans="10:10" ht="25.15" customHeight="1" x14ac:dyDescent="0.25">
      <c r="J65" s="270"/>
    </row>
    <row r="66" spans="10:10" ht="25.15" customHeight="1" x14ac:dyDescent="0.25">
      <c r="J66" s="270"/>
    </row>
    <row r="67" spans="10:10" ht="25.15" customHeight="1" x14ac:dyDescent="0.25">
      <c r="J67" s="270"/>
    </row>
    <row r="68" spans="10:10" ht="25.15" customHeight="1" x14ac:dyDescent="0.25">
      <c r="J68" s="270"/>
    </row>
    <row r="69" spans="10:10" ht="25.15" customHeight="1" x14ac:dyDescent="0.25">
      <c r="J69" s="270"/>
    </row>
    <row r="70" spans="10:10" ht="25.15" customHeight="1" x14ac:dyDescent="0.25">
      <c r="J70" s="270"/>
    </row>
    <row r="71" spans="10:10" ht="25.15" customHeight="1" x14ac:dyDescent="0.25">
      <c r="J71" s="270"/>
    </row>
  </sheetData>
  <sheetProtection algorithmName="SHA-512" hashValue="aj1CffBa5EIrKYDvh9nZMaP2qlr3wjxkPQYtQPVRYzLRI2yV1aGQ/hWc6v3h1cgLz9QmOfpcpNQWX5YpNJ4DGA==" saltValue="bowJqTKMeZVY4viZIKa7OA==" spinCount="100000" sheet="1" objects="1" scenarios="1" formatCells="0" formatColumns="0" formatRows="0" sort="0" autoFilter="0"/>
  <mergeCells count="17">
    <mergeCell ref="Q19:S19"/>
    <mergeCell ref="Q14:S16"/>
    <mergeCell ref="Q20:S20"/>
    <mergeCell ref="Q18:S18"/>
    <mergeCell ref="Q17:S17"/>
    <mergeCell ref="J34:J35"/>
    <mergeCell ref="J30:J31"/>
    <mergeCell ref="J32:J33"/>
    <mergeCell ref="J36:J37"/>
    <mergeCell ref="J38:J39"/>
    <mergeCell ref="J40:J41"/>
    <mergeCell ref="J42:J43"/>
    <mergeCell ref="J44:J45"/>
    <mergeCell ref="J52:J53"/>
    <mergeCell ref="J46:J47"/>
    <mergeCell ref="J48:J49"/>
    <mergeCell ref="J50:J51"/>
  </mergeCells>
  <conditionalFormatting sqref="M5:O23">
    <cfRule type="expression" dxfId="107" priority="3">
      <formula>$V5="Y"</formula>
    </cfRule>
  </conditionalFormatting>
  <conditionalFormatting sqref="S4:S10">
    <cfRule type="expression" dxfId="106" priority="2">
      <formula>$T4="Y"</formula>
    </cfRule>
  </conditionalFormatting>
  <conditionalFormatting sqref="S11:S12">
    <cfRule type="expression" dxfId="105" priority="1">
      <formula>$T11="Y"</formula>
    </cfRule>
  </conditionalFormatting>
  <dataValidations count="1">
    <dataValidation allowBlank="1" showInputMessage="1" showErrorMessage="1" sqref="A1" xr:uid="{00000000-0002-0000-0100-000000000000}"/>
  </dataValidations>
  <pageMargins left="0" right="0" top="0" bottom="0" header="0" footer="0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8673" r:id="rId4" name="Button 1">
              <controlPr defaultSize="0" print="0" autoFill="0" autoPict="0" macro="[0]!Height_ALL">
                <anchor moveWithCells="1" sizeWithCells="1">
                  <from>
                    <xdr:col>9</xdr:col>
                    <xdr:colOff>409575</xdr:colOff>
                    <xdr:row>3</xdr:row>
                    <xdr:rowOff>28575</xdr:rowOff>
                  </from>
                  <to>
                    <xdr:col>9</xdr:col>
                    <xdr:colOff>1924050</xdr:colOff>
                    <xdr:row>3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4" r:id="rId5" name="Button 2">
              <controlPr defaultSize="0" print="0" autoFill="0" autoPict="0" macro="[0]!Dist_ALL">
                <anchor moveWithCells="1" sizeWithCells="1">
                  <from>
                    <xdr:col>9</xdr:col>
                    <xdr:colOff>476250</xdr:colOff>
                    <xdr:row>10</xdr:row>
                    <xdr:rowOff>19050</xdr:rowOff>
                  </from>
                  <to>
                    <xdr:col>9</xdr:col>
                    <xdr:colOff>1924050</xdr:colOff>
                    <xdr:row>10</xdr:row>
                    <xdr:rowOff>304800</xdr:rowOff>
                  </to>
                </anchor>
              </controlPr>
            </control>
          </mc:Choice>
        </mc:AlternateContent>
      </controls>
    </mc:Choice>
  </mc:AlternateContent>
  <tableParts count="1">
    <tablePart r:id="rId6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6"/>
  <dimension ref="A1:S59"/>
  <sheetViews>
    <sheetView workbookViewId="0">
      <pane ySplit="1" topLeftCell="A35" activePane="bottomLeft" state="frozen"/>
      <selection pane="bottomLeft" activeCell="L43" sqref="L43"/>
    </sheetView>
  </sheetViews>
  <sheetFormatPr defaultColWidth="8.7109375" defaultRowHeight="15" customHeight="1" x14ac:dyDescent="0.25"/>
  <cols>
    <col min="1" max="1" width="8.7109375" style="70"/>
    <col min="2" max="2" width="27.7109375" style="70" customWidth="1"/>
    <col min="3" max="11" width="7.7109375" style="79" customWidth="1"/>
    <col min="12" max="12" width="16.28515625" style="79" customWidth="1"/>
    <col min="13" max="13" width="8.7109375" style="70"/>
    <col min="14" max="14" width="8.7109375" style="71"/>
    <col min="15" max="16384" width="8.7109375" style="70"/>
  </cols>
  <sheetData>
    <row r="1" spans="1:12" ht="15" customHeight="1" x14ac:dyDescent="0.35">
      <c r="A1" s="70" t="s">
        <v>64</v>
      </c>
      <c r="B1" s="77" t="s">
        <v>58</v>
      </c>
      <c r="C1" s="69">
        <v>1</v>
      </c>
      <c r="D1" s="69">
        <v>2</v>
      </c>
      <c r="E1" s="69">
        <v>3</v>
      </c>
      <c r="F1" s="69">
        <v>4</v>
      </c>
      <c r="G1" s="69">
        <v>5</v>
      </c>
      <c r="H1" s="69">
        <v>6</v>
      </c>
      <c r="I1" s="69">
        <v>7</v>
      </c>
      <c r="J1" s="69">
        <v>8</v>
      </c>
      <c r="K1" s="69">
        <v>9</v>
      </c>
      <c r="L1" s="78"/>
    </row>
    <row r="2" spans="1:12" ht="15" customHeight="1" x14ac:dyDescent="0.25">
      <c r="A2" s="70" t="s">
        <v>44</v>
      </c>
      <c r="B2" s="76" t="str">
        <f t="shared" ref="B2:B16" si="0">IFERROR(VLOOKUP(A2,timetables,2,FALSE),"")</f>
        <v>100m</v>
      </c>
      <c r="C2" s="72">
        <v>14.2</v>
      </c>
      <c r="D2" s="72">
        <v>13.8</v>
      </c>
      <c r="E2" s="72">
        <v>13.4</v>
      </c>
      <c r="F2" s="72">
        <v>13</v>
      </c>
      <c r="G2" s="72">
        <v>12.7</v>
      </c>
      <c r="H2" s="72">
        <v>12.5</v>
      </c>
      <c r="I2" s="72">
        <v>12.1</v>
      </c>
      <c r="J2" s="72">
        <v>11.9</v>
      </c>
      <c r="K2" s="72">
        <v>11.7</v>
      </c>
      <c r="L2" s="72"/>
    </row>
    <row r="3" spans="1:12" ht="15" customHeight="1" x14ac:dyDescent="0.25">
      <c r="A3" s="70" t="s">
        <v>47</v>
      </c>
      <c r="B3" s="76" t="str">
        <f t="shared" si="0"/>
        <v>100m NS</v>
      </c>
      <c r="C3" s="72">
        <f>C2</f>
        <v>14.2</v>
      </c>
      <c r="D3" s="72">
        <f t="shared" ref="D3:K3" si="1">D2</f>
        <v>13.8</v>
      </c>
      <c r="E3" s="72">
        <f t="shared" si="1"/>
        <v>13.4</v>
      </c>
      <c r="F3" s="72">
        <f t="shared" si="1"/>
        <v>13</v>
      </c>
      <c r="G3" s="72">
        <f t="shared" si="1"/>
        <v>12.7</v>
      </c>
      <c r="H3" s="72">
        <f t="shared" si="1"/>
        <v>12.5</v>
      </c>
      <c r="I3" s="72">
        <f t="shared" si="1"/>
        <v>12.1</v>
      </c>
      <c r="J3" s="72">
        <f t="shared" si="1"/>
        <v>11.9</v>
      </c>
      <c r="K3" s="72">
        <f t="shared" si="1"/>
        <v>11.7</v>
      </c>
      <c r="L3" s="72"/>
    </row>
    <row r="4" spans="1:12" ht="15" customHeight="1" x14ac:dyDescent="0.25">
      <c r="A4" s="70" t="s">
        <v>39</v>
      </c>
      <c r="B4" s="76" t="str">
        <f t="shared" si="0"/>
        <v>200m</v>
      </c>
      <c r="C4" s="72">
        <v>29</v>
      </c>
      <c r="D4" s="72">
        <v>28</v>
      </c>
      <c r="E4" s="72">
        <v>27</v>
      </c>
      <c r="F4" s="72">
        <v>26</v>
      </c>
      <c r="G4" s="72">
        <v>25.5</v>
      </c>
      <c r="H4" s="72">
        <v>25</v>
      </c>
      <c r="I4" s="72">
        <v>24.6</v>
      </c>
      <c r="J4" s="72">
        <v>24.2</v>
      </c>
      <c r="K4" s="72">
        <v>23.8</v>
      </c>
      <c r="L4" s="72"/>
    </row>
    <row r="5" spans="1:12" ht="15" customHeight="1" x14ac:dyDescent="0.25">
      <c r="A5" s="70" t="s">
        <v>356</v>
      </c>
      <c r="B5" s="76" t="str">
        <f t="shared" si="0"/>
        <v>300m</v>
      </c>
      <c r="C5" s="72">
        <v>51</v>
      </c>
      <c r="D5" s="72">
        <v>49</v>
      </c>
      <c r="E5" s="72">
        <v>47</v>
      </c>
      <c r="F5" s="72">
        <v>45</v>
      </c>
      <c r="G5" s="72">
        <v>43</v>
      </c>
      <c r="H5" s="72">
        <v>41.5</v>
      </c>
      <c r="I5" s="72">
        <v>40.5</v>
      </c>
      <c r="J5" s="72">
        <v>39.5</v>
      </c>
      <c r="K5" s="72">
        <v>38.700000000000003</v>
      </c>
      <c r="L5" s="72"/>
    </row>
    <row r="6" spans="1:12" ht="15" customHeight="1" x14ac:dyDescent="0.25">
      <c r="A6" s="70" t="s">
        <v>351</v>
      </c>
      <c r="B6" s="76" t="str">
        <f t="shared" si="0"/>
        <v>800m</v>
      </c>
      <c r="C6" s="417" t="s">
        <v>976</v>
      </c>
      <c r="D6" s="417" t="s">
        <v>977</v>
      </c>
      <c r="E6" s="417" t="s">
        <v>978</v>
      </c>
      <c r="F6" s="417" t="s">
        <v>979</v>
      </c>
      <c r="G6" s="417" t="s">
        <v>980</v>
      </c>
      <c r="H6" s="417" t="s">
        <v>981</v>
      </c>
      <c r="I6" s="417" t="s">
        <v>982</v>
      </c>
      <c r="J6" s="417" t="s">
        <v>983</v>
      </c>
      <c r="K6" s="417" t="s">
        <v>984</v>
      </c>
      <c r="L6" s="73"/>
    </row>
    <row r="7" spans="1:12" ht="15" customHeight="1" x14ac:dyDescent="0.25">
      <c r="A7" s="70" t="s">
        <v>355</v>
      </c>
      <c r="B7" s="76" t="str">
        <f t="shared" si="0"/>
        <v>800m NS</v>
      </c>
      <c r="C7" s="418" t="str">
        <f>C6</f>
        <v>02:30.00</v>
      </c>
      <c r="D7" s="418" t="str">
        <f t="shared" ref="D7" si="2">D6</f>
        <v>02:25.00</v>
      </c>
      <c r="E7" s="418" t="str">
        <f t="shared" ref="E7" si="3">E6</f>
        <v>02:21.00</v>
      </c>
      <c r="F7" s="418" t="str">
        <f t="shared" ref="F7" si="4">F6</f>
        <v>02:18.00</v>
      </c>
      <c r="G7" s="418" t="str">
        <f t="shared" ref="G7" si="5">G6</f>
        <v>02:15.00</v>
      </c>
      <c r="H7" s="418" t="str">
        <f t="shared" ref="H7" si="6">H6</f>
        <v>02:12.00</v>
      </c>
      <c r="I7" s="418" t="str">
        <f t="shared" ref="I7" si="7">I6</f>
        <v>02:09.00</v>
      </c>
      <c r="J7" s="418" t="str">
        <f t="shared" ref="J7" si="8">J6</f>
        <v>02:07.00</v>
      </c>
      <c r="K7" s="418" t="str">
        <f t="shared" ref="K7" si="9">K6</f>
        <v>02:05.00</v>
      </c>
      <c r="L7" s="73"/>
    </row>
    <row r="8" spans="1:12" ht="15" customHeight="1" x14ac:dyDescent="0.25">
      <c r="A8" s="70" t="s">
        <v>259</v>
      </c>
      <c r="B8" s="76" t="str">
        <f t="shared" si="0"/>
        <v>1500m</v>
      </c>
      <c r="C8" s="417" t="s">
        <v>985</v>
      </c>
      <c r="D8" s="417" t="s">
        <v>986</v>
      </c>
      <c r="E8" s="417" t="s">
        <v>987</v>
      </c>
      <c r="F8" s="417" t="s">
        <v>988</v>
      </c>
      <c r="G8" s="417" t="s">
        <v>989</v>
      </c>
      <c r="H8" s="417" t="s">
        <v>990</v>
      </c>
      <c r="I8" s="417" t="s">
        <v>991</v>
      </c>
      <c r="J8" s="417" t="s">
        <v>992</v>
      </c>
      <c r="K8" s="417" t="s">
        <v>993</v>
      </c>
      <c r="L8" s="73"/>
    </row>
    <row r="9" spans="1:12" ht="15" customHeight="1" x14ac:dyDescent="0.25">
      <c r="A9" s="70" t="s">
        <v>35</v>
      </c>
      <c r="B9" s="76" t="str">
        <f t="shared" si="0"/>
        <v>80m Hurdles</v>
      </c>
      <c r="C9" s="72">
        <v>14.8</v>
      </c>
      <c r="D9" s="72">
        <v>14.4</v>
      </c>
      <c r="E9" s="72">
        <v>14</v>
      </c>
      <c r="F9" s="72">
        <v>13.6</v>
      </c>
      <c r="G9" s="72">
        <v>13.2</v>
      </c>
      <c r="H9" s="72">
        <v>12.8</v>
      </c>
      <c r="I9" s="72">
        <v>12.5</v>
      </c>
      <c r="J9" s="72">
        <v>12.2</v>
      </c>
      <c r="K9" s="72">
        <v>11.9</v>
      </c>
      <c r="L9" s="72"/>
    </row>
    <row r="10" spans="1:12" ht="15" customHeight="1" x14ac:dyDescent="0.25">
      <c r="A10" s="70" t="s">
        <v>188</v>
      </c>
      <c r="B10" s="76" t="str">
        <f t="shared" si="0"/>
        <v>High Jump</v>
      </c>
      <c r="C10" s="72">
        <v>1.25</v>
      </c>
      <c r="D10" s="72">
        <v>1.3</v>
      </c>
      <c r="E10" s="72">
        <v>1.35</v>
      </c>
      <c r="F10" s="72">
        <v>1.4</v>
      </c>
      <c r="G10" s="72">
        <v>1.45</v>
      </c>
      <c r="H10" s="72">
        <v>1.5</v>
      </c>
      <c r="I10" s="72">
        <v>1.55</v>
      </c>
      <c r="J10" s="72">
        <v>1.61</v>
      </c>
      <c r="K10" s="72">
        <v>1.67</v>
      </c>
      <c r="L10" s="72"/>
    </row>
    <row r="11" spans="1:12" ht="15" customHeight="1" x14ac:dyDescent="0.25">
      <c r="A11" s="70" t="s">
        <v>186</v>
      </c>
      <c r="B11" s="76" t="str">
        <f t="shared" si="0"/>
        <v>Pole Vault</v>
      </c>
      <c r="C11" s="72">
        <v>2</v>
      </c>
      <c r="D11" s="72">
        <v>2.2000000000000002</v>
      </c>
      <c r="E11" s="72">
        <v>2.4</v>
      </c>
      <c r="F11" s="72">
        <v>2.6</v>
      </c>
      <c r="G11" s="72">
        <v>2.8</v>
      </c>
      <c r="H11" s="72">
        <v>3</v>
      </c>
      <c r="I11" s="72">
        <v>3.2</v>
      </c>
      <c r="J11" s="72">
        <v>3.4</v>
      </c>
      <c r="K11" s="72">
        <v>3.6</v>
      </c>
      <c r="L11" s="72"/>
    </row>
    <row r="12" spans="1:12" ht="15" customHeight="1" x14ac:dyDescent="0.25">
      <c r="A12" s="70" t="s">
        <v>247</v>
      </c>
      <c r="B12" s="76" t="str">
        <f t="shared" si="0"/>
        <v>Long Jump</v>
      </c>
      <c r="C12" s="72">
        <v>3.75</v>
      </c>
      <c r="D12" s="72">
        <v>4</v>
      </c>
      <c r="E12" s="72">
        <v>4.25</v>
      </c>
      <c r="F12" s="72">
        <v>4.5</v>
      </c>
      <c r="G12" s="72">
        <v>4.75</v>
      </c>
      <c r="H12" s="72">
        <v>5</v>
      </c>
      <c r="I12" s="72">
        <v>5.25</v>
      </c>
      <c r="J12" s="72">
        <v>5.5</v>
      </c>
      <c r="K12" s="72">
        <v>5.75</v>
      </c>
      <c r="L12" s="72"/>
    </row>
    <row r="13" spans="1:12" ht="15" customHeight="1" x14ac:dyDescent="0.25">
      <c r="A13" s="70" t="s">
        <v>189</v>
      </c>
      <c r="B13" s="76" t="str">
        <f t="shared" si="0"/>
        <v>Shot</v>
      </c>
      <c r="C13" s="72">
        <v>7.4</v>
      </c>
      <c r="D13" s="72">
        <v>8</v>
      </c>
      <c r="E13" s="72">
        <v>8.6</v>
      </c>
      <c r="F13" s="72">
        <v>9.1999999999999993</v>
      </c>
      <c r="G13" s="72">
        <v>9.8000000000000007</v>
      </c>
      <c r="H13" s="72">
        <v>10.4</v>
      </c>
      <c r="I13" s="72">
        <v>11.2</v>
      </c>
      <c r="J13" s="72">
        <v>12</v>
      </c>
      <c r="K13" s="72">
        <v>12.8</v>
      </c>
      <c r="L13" s="72"/>
    </row>
    <row r="14" spans="1:12" ht="15" customHeight="1" x14ac:dyDescent="0.25">
      <c r="A14" s="70" t="s">
        <v>184</v>
      </c>
      <c r="B14" s="76" t="str">
        <f t="shared" si="0"/>
        <v>Discus</v>
      </c>
      <c r="C14" s="72">
        <v>16</v>
      </c>
      <c r="D14" s="72">
        <v>18</v>
      </c>
      <c r="E14" s="72">
        <v>20</v>
      </c>
      <c r="F14" s="72">
        <v>22</v>
      </c>
      <c r="G14" s="72">
        <v>24</v>
      </c>
      <c r="H14" s="72">
        <v>26</v>
      </c>
      <c r="I14" s="72">
        <v>29</v>
      </c>
      <c r="J14" s="72">
        <v>32</v>
      </c>
      <c r="K14" s="72">
        <v>35</v>
      </c>
      <c r="L14" s="72"/>
    </row>
    <row r="15" spans="1:12" ht="15" customHeight="1" x14ac:dyDescent="0.25">
      <c r="A15" s="70" t="s">
        <v>178</v>
      </c>
      <c r="B15" s="76" t="str">
        <f t="shared" si="0"/>
        <v>Hammer</v>
      </c>
      <c r="C15" s="72">
        <v>18</v>
      </c>
      <c r="D15" s="72">
        <v>21</v>
      </c>
      <c r="E15" s="72">
        <v>24</v>
      </c>
      <c r="F15" s="72">
        <v>27</v>
      </c>
      <c r="G15" s="72">
        <v>30</v>
      </c>
      <c r="H15" s="72">
        <v>33</v>
      </c>
      <c r="I15" s="72">
        <v>36</v>
      </c>
      <c r="J15" s="72">
        <v>39</v>
      </c>
      <c r="K15" s="72">
        <v>42</v>
      </c>
      <c r="L15" s="72"/>
    </row>
    <row r="16" spans="1:12" ht="15" customHeight="1" x14ac:dyDescent="0.25">
      <c r="A16" s="70" t="s">
        <v>190</v>
      </c>
      <c r="B16" s="76" t="str">
        <f t="shared" si="0"/>
        <v>Javelin</v>
      </c>
      <c r="C16" s="72">
        <v>20</v>
      </c>
      <c r="D16" s="72">
        <v>23</v>
      </c>
      <c r="E16" s="72">
        <v>26</v>
      </c>
      <c r="F16" s="72">
        <v>29</v>
      </c>
      <c r="G16" s="72">
        <v>32</v>
      </c>
      <c r="H16" s="72">
        <v>35</v>
      </c>
      <c r="I16" s="72">
        <v>38</v>
      </c>
      <c r="J16" s="72">
        <v>41</v>
      </c>
      <c r="K16" s="72">
        <v>44</v>
      </c>
      <c r="L16" s="72"/>
    </row>
    <row r="17" spans="1:19" ht="15" customHeight="1" x14ac:dyDescent="0.25">
      <c r="B17" s="74"/>
      <c r="C17" s="75"/>
      <c r="D17" s="75"/>
      <c r="E17" s="75"/>
      <c r="F17" s="75"/>
      <c r="G17" s="75"/>
      <c r="H17" s="75"/>
      <c r="I17" s="75"/>
      <c r="J17" s="75"/>
      <c r="K17" s="75"/>
      <c r="L17" s="75"/>
    </row>
    <row r="18" spans="1:19" ht="15" customHeight="1" x14ac:dyDescent="0.35">
      <c r="A18" s="70" t="s">
        <v>64</v>
      </c>
      <c r="B18" s="68" t="s">
        <v>59</v>
      </c>
      <c r="C18" s="69">
        <v>1</v>
      </c>
      <c r="D18" s="69">
        <v>2</v>
      </c>
      <c r="E18" s="69">
        <v>3</v>
      </c>
      <c r="F18" s="69">
        <v>4</v>
      </c>
      <c r="G18" s="69">
        <v>5</v>
      </c>
      <c r="H18" s="69">
        <v>6</v>
      </c>
      <c r="I18" s="69">
        <v>7</v>
      </c>
      <c r="J18" s="69">
        <v>8</v>
      </c>
      <c r="K18" s="69">
        <v>9</v>
      </c>
      <c r="L18" s="78"/>
    </row>
    <row r="19" spans="1:19" ht="15" customHeight="1" x14ac:dyDescent="0.25">
      <c r="A19" s="355" t="s">
        <v>42</v>
      </c>
      <c r="B19" s="76" t="str">
        <f t="shared" ref="B19:B29" si="10">IFERROR(VLOOKUP(A19,timetables,2,FALSE),"")</f>
        <v>75m</v>
      </c>
      <c r="C19" s="72">
        <v>12.5</v>
      </c>
      <c r="D19" s="72">
        <v>12</v>
      </c>
      <c r="E19" s="72">
        <v>11.6</v>
      </c>
      <c r="F19" s="72">
        <v>11.2</v>
      </c>
      <c r="G19" s="72">
        <v>10.8</v>
      </c>
      <c r="H19" s="72">
        <v>10.5</v>
      </c>
      <c r="I19" s="72">
        <v>10.25</v>
      </c>
      <c r="J19" s="72">
        <v>10</v>
      </c>
      <c r="K19" s="72">
        <v>9.75</v>
      </c>
      <c r="L19" s="72"/>
    </row>
    <row r="20" spans="1:19" ht="15" customHeight="1" x14ac:dyDescent="0.25">
      <c r="A20" s="70" t="s">
        <v>45</v>
      </c>
      <c r="B20" s="76" t="str">
        <f t="shared" si="10"/>
        <v>75m NS</v>
      </c>
      <c r="C20" s="72">
        <f>C19</f>
        <v>12.5</v>
      </c>
      <c r="D20" s="72">
        <f t="shared" ref="D20" si="11">D19</f>
        <v>12</v>
      </c>
      <c r="E20" s="72">
        <f t="shared" ref="E20" si="12">E19</f>
        <v>11.6</v>
      </c>
      <c r="F20" s="72">
        <f t="shared" ref="F20" si="13">F19</f>
        <v>11.2</v>
      </c>
      <c r="G20" s="72">
        <f t="shared" ref="G20" si="14">G19</f>
        <v>10.8</v>
      </c>
      <c r="H20" s="72">
        <f t="shared" ref="H20" si="15">H19</f>
        <v>10.5</v>
      </c>
      <c r="I20" s="72">
        <f t="shared" ref="I20" si="16">I19</f>
        <v>10.25</v>
      </c>
      <c r="J20" s="72">
        <f t="shared" ref="J20" si="17">J19</f>
        <v>10</v>
      </c>
      <c r="K20" s="72">
        <f t="shared" ref="K20" si="18">K19</f>
        <v>9.75</v>
      </c>
      <c r="L20" s="72"/>
    </row>
    <row r="21" spans="1:19" ht="15" customHeight="1" x14ac:dyDescent="0.25">
      <c r="A21" s="355" t="s">
        <v>37</v>
      </c>
      <c r="B21" s="76" t="str">
        <f t="shared" si="10"/>
        <v>150m</v>
      </c>
      <c r="C21" s="72">
        <v>23.5</v>
      </c>
      <c r="D21" s="72">
        <v>23</v>
      </c>
      <c r="E21" s="72">
        <v>22.5</v>
      </c>
      <c r="F21" s="72">
        <v>22</v>
      </c>
      <c r="G21" s="72">
        <v>21.5</v>
      </c>
      <c r="H21" s="72">
        <v>21</v>
      </c>
      <c r="I21" s="72">
        <v>20.5</v>
      </c>
      <c r="J21" s="72">
        <v>20</v>
      </c>
      <c r="K21" s="72">
        <v>19.600000000000001</v>
      </c>
      <c r="L21" s="72"/>
    </row>
    <row r="22" spans="1:19" ht="15" customHeight="1" x14ac:dyDescent="0.35">
      <c r="A22" s="70" t="s">
        <v>349</v>
      </c>
      <c r="B22" s="76" t="str">
        <f t="shared" si="10"/>
        <v>800m</v>
      </c>
      <c r="C22" s="417" t="s">
        <v>994</v>
      </c>
      <c r="D22" s="417" t="s">
        <v>995</v>
      </c>
      <c r="E22" s="96" t="s">
        <v>996</v>
      </c>
      <c r="F22" s="96" t="s">
        <v>997</v>
      </c>
      <c r="G22" s="417" t="s">
        <v>976</v>
      </c>
      <c r="H22" s="417" t="s">
        <v>977</v>
      </c>
      <c r="I22" s="96" t="s">
        <v>978</v>
      </c>
      <c r="J22" s="96" t="s">
        <v>979</v>
      </c>
      <c r="K22" s="96" t="s">
        <v>980</v>
      </c>
      <c r="L22" s="73"/>
      <c r="O22" s="64"/>
      <c r="P22" s="64"/>
    </row>
    <row r="23" spans="1:19" ht="15" customHeight="1" x14ac:dyDescent="0.35">
      <c r="A23" s="70" t="s">
        <v>353</v>
      </c>
      <c r="B23" s="76" t="str">
        <f t="shared" si="10"/>
        <v>800m NS</v>
      </c>
      <c r="C23" s="418" t="str">
        <f>C22</f>
        <v>02:50.00</v>
      </c>
      <c r="D23" s="418" t="str">
        <f t="shared" ref="D23" si="19">D22</f>
        <v>02:45.00</v>
      </c>
      <c r="E23" s="418" t="str">
        <f t="shared" ref="E23" si="20">E22</f>
        <v>02:40.00</v>
      </c>
      <c r="F23" s="418" t="str">
        <f t="shared" ref="F23" si="21">F22</f>
        <v>02:35.00</v>
      </c>
      <c r="G23" s="418" t="str">
        <f t="shared" ref="G23" si="22">G22</f>
        <v>02:30.00</v>
      </c>
      <c r="H23" s="418" t="str">
        <f t="shared" ref="H23" si="23">H22</f>
        <v>02:25.00</v>
      </c>
      <c r="I23" s="418" t="str">
        <f t="shared" ref="I23" si="24">I22</f>
        <v>02:21.00</v>
      </c>
      <c r="J23" s="418" t="str">
        <f t="shared" ref="J23" si="25">J22</f>
        <v>02:18.00</v>
      </c>
      <c r="K23" s="418" t="str">
        <f t="shared" ref="K23" si="26">K22</f>
        <v>02:15.00</v>
      </c>
      <c r="L23" s="73"/>
      <c r="O23" s="64"/>
      <c r="P23" s="64"/>
    </row>
    <row r="24" spans="1:19" ht="15" customHeight="1" x14ac:dyDescent="0.35">
      <c r="A24" s="70" t="s">
        <v>257</v>
      </c>
      <c r="B24" s="76" t="str">
        <f t="shared" si="10"/>
        <v>1200m</v>
      </c>
      <c r="C24" s="417" t="s">
        <v>989</v>
      </c>
      <c r="D24" s="417" t="s">
        <v>990</v>
      </c>
      <c r="E24" s="96" t="s">
        <v>991</v>
      </c>
      <c r="F24" s="96" t="s">
        <v>993</v>
      </c>
      <c r="G24" s="417" t="s">
        <v>998</v>
      </c>
      <c r="H24" s="417" t="s">
        <v>999</v>
      </c>
      <c r="I24" s="96" t="s">
        <v>1000</v>
      </c>
      <c r="J24" s="96" t="s">
        <v>1001</v>
      </c>
      <c r="K24" s="96" t="s">
        <v>1002</v>
      </c>
      <c r="L24" s="73"/>
      <c r="O24" s="64"/>
      <c r="P24" s="64"/>
      <c r="R24" s="384"/>
      <c r="S24" s="384"/>
    </row>
    <row r="25" spans="1:19" ht="15" customHeight="1" x14ac:dyDescent="0.35">
      <c r="A25" s="70" t="s">
        <v>33</v>
      </c>
      <c r="B25" s="76" t="str">
        <f t="shared" si="10"/>
        <v>75m Hurdles</v>
      </c>
      <c r="C25" s="72">
        <v>16.5</v>
      </c>
      <c r="D25" s="72">
        <v>15.5</v>
      </c>
      <c r="E25" s="72">
        <v>15</v>
      </c>
      <c r="F25" s="72">
        <v>14.5</v>
      </c>
      <c r="G25" s="72">
        <v>14.1</v>
      </c>
      <c r="H25" s="72">
        <v>13.8</v>
      </c>
      <c r="I25" s="72">
        <v>13.5</v>
      </c>
      <c r="J25" s="72">
        <v>13.2</v>
      </c>
      <c r="K25" s="72">
        <v>12.9</v>
      </c>
      <c r="L25" s="72"/>
      <c r="O25" s="64"/>
      <c r="P25" s="64"/>
      <c r="R25" s="384"/>
      <c r="S25" s="384"/>
    </row>
    <row r="26" spans="1:19" ht="15" customHeight="1" x14ac:dyDescent="0.35">
      <c r="A26" s="64" t="s">
        <v>181</v>
      </c>
      <c r="B26" s="76" t="str">
        <f t="shared" si="10"/>
        <v>High Jump</v>
      </c>
      <c r="C26" s="72">
        <v>1.1000000000000001</v>
      </c>
      <c r="D26" s="72">
        <v>1.1499999999999999</v>
      </c>
      <c r="E26" s="72">
        <v>1.2</v>
      </c>
      <c r="F26" s="72">
        <v>1.25</v>
      </c>
      <c r="G26" s="72">
        <v>1.3</v>
      </c>
      <c r="H26" s="72">
        <v>1.35</v>
      </c>
      <c r="I26" s="72">
        <v>1.4</v>
      </c>
      <c r="J26" s="72">
        <v>1.45</v>
      </c>
      <c r="K26" s="72">
        <v>1.5</v>
      </c>
      <c r="L26" s="72"/>
      <c r="R26" s="384"/>
      <c r="S26" s="384"/>
    </row>
    <row r="27" spans="1:19" ht="15" customHeight="1" x14ac:dyDescent="0.25">
      <c r="A27" s="70" t="s">
        <v>244</v>
      </c>
      <c r="B27" s="76" t="str">
        <f t="shared" si="10"/>
        <v>Long Jump</v>
      </c>
      <c r="C27" s="72">
        <v>3</v>
      </c>
      <c r="D27" s="72">
        <v>3.25</v>
      </c>
      <c r="E27" s="72">
        <v>3.5</v>
      </c>
      <c r="F27" s="72">
        <v>3.75</v>
      </c>
      <c r="G27" s="72">
        <v>4</v>
      </c>
      <c r="H27" s="72">
        <v>4.25</v>
      </c>
      <c r="I27" s="72">
        <v>4.5</v>
      </c>
      <c r="J27" s="72">
        <v>4.75</v>
      </c>
      <c r="K27" s="72">
        <v>5</v>
      </c>
      <c r="L27" s="72"/>
      <c r="R27" s="384"/>
      <c r="S27" s="384"/>
    </row>
    <row r="28" spans="1:19" ht="15" customHeight="1" x14ac:dyDescent="0.35">
      <c r="A28" s="64" t="s">
        <v>192</v>
      </c>
      <c r="B28" s="76" t="str">
        <f t="shared" si="10"/>
        <v>Shot</v>
      </c>
      <c r="C28" s="72">
        <v>6.2</v>
      </c>
      <c r="D28" s="72">
        <v>6.6</v>
      </c>
      <c r="E28" s="72">
        <v>7</v>
      </c>
      <c r="F28" s="72">
        <v>7.4</v>
      </c>
      <c r="G28" s="72">
        <v>8</v>
      </c>
      <c r="H28" s="72">
        <v>8.6</v>
      </c>
      <c r="I28" s="72">
        <v>9.1999999999999993</v>
      </c>
      <c r="J28" s="72">
        <v>9.8000000000000007</v>
      </c>
      <c r="K28" s="72">
        <v>10.4</v>
      </c>
      <c r="L28" s="72"/>
    </row>
    <row r="29" spans="1:19" ht="15" customHeight="1" x14ac:dyDescent="0.35">
      <c r="A29" s="64" t="s">
        <v>193</v>
      </c>
      <c r="B29" s="76" t="str">
        <f t="shared" si="10"/>
        <v>Javelin</v>
      </c>
      <c r="C29" s="72">
        <v>12</v>
      </c>
      <c r="D29" s="72">
        <v>14</v>
      </c>
      <c r="E29" s="72">
        <v>17</v>
      </c>
      <c r="F29" s="72">
        <v>20</v>
      </c>
      <c r="G29" s="72">
        <v>23</v>
      </c>
      <c r="H29" s="72">
        <v>26</v>
      </c>
      <c r="I29" s="72">
        <v>29</v>
      </c>
      <c r="J29" s="72">
        <v>32</v>
      </c>
      <c r="K29" s="72">
        <v>35</v>
      </c>
      <c r="L29" s="72"/>
    </row>
    <row r="30" spans="1:19" ht="15" customHeight="1" x14ac:dyDescent="0.25">
      <c r="B30" s="80"/>
      <c r="C30" s="82"/>
      <c r="D30" s="82"/>
      <c r="E30" s="82"/>
      <c r="F30" s="82"/>
      <c r="G30" s="82"/>
      <c r="H30" s="82"/>
      <c r="I30" s="82"/>
      <c r="J30" s="82"/>
      <c r="K30" s="82"/>
      <c r="L30" s="82"/>
    </row>
    <row r="31" spans="1:19" ht="15" customHeight="1" x14ac:dyDescent="0.25">
      <c r="A31" s="70" t="s">
        <v>64</v>
      </c>
      <c r="B31" s="84" t="s">
        <v>56</v>
      </c>
      <c r="C31" s="69">
        <v>1</v>
      </c>
      <c r="D31" s="69">
        <v>2</v>
      </c>
      <c r="E31" s="69">
        <v>3</v>
      </c>
      <c r="F31" s="69">
        <v>4</v>
      </c>
      <c r="G31" s="69">
        <v>5</v>
      </c>
      <c r="H31" s="69">
        <v>6</v>
      </c>
      <c r="I31" s="69">
        <v>7</v>
      </c>
      <c r="J31" s="69">
        <v>8</v>
      </c>
      <c r="K31" s="69">
        <v>9</v>
      </c>
      <c r="L31" s="69"/>
    </row>
    <row r="32" spans="1:19" ht="15" customHeight="1" x14ac:dyDescent="0.25">
      <c r="A32" s="70" t="s">
        <v>43</v>
      </c>
      <c r="B32" s="76" t="str">
        <f t="shared" ref="B32:B46" si="27">IFERROR(VLOOKUP(A32,timetables,2,FALSE),"")</f>
        <v>100m</v>
      </c>
      <c r="C32" s="81">
        <v>14.8</v>
      </c>
      <c r="D32" s="81">
        <v>14.4</v>
      </c>
      <c r="E32" s="81">
        <v>14</v>
      </c>
      <c r="F32" s="81">
        <v>13.7</v>
      </c>
      <c r="G32" s="81">
        <v>13.5</v>
      </c>
      <c r="H32" s="81">
        <v>13.3</v>
      </c>
      <c r="I32" s="81">
        <v>13.1</v>
      </c>
      <c r="J32" s="81">
        <v>12.9</v>
      </c>
      <c r="K32" s="81">
        <v>12.7</v>
      </c>
      <c r="L32" s="81"/>
    </row>
    <row r="33" spans="1:12" ht="15" customHeight="1" x14ac:dyDescent="0.25">
      <c r="A33" s="70" t="s">
        <v>46</v>
      </c>
      <c r="B33" s="76" t="str">
        <f t="shared" si="27"/>
        <v>100m NS</v>
      </c>
      <c r="C33" s="72">
        <f>C32</f>
        <v>14.8</v>
      </c>
      <c r="D33" s="72">
        <f t="shared" ref="D33" si="28">D32</f>
        <v>14.4</v>
      </c>
      <c r="E33" s="72">
        <f t="shared" ref="E33" si="29">E32</f>
        <v>14</v>
      </c>
      <c r="F33" s="72">
        <f t="shared" ref="F33" si="30">F32</f>
        <v>13.7</v>
      </c>
      <c r="G33" s="72">
        <f t="shared" ref="G33" si="31">G32</f>
        <v>13.5</v>
      </c>
      <c r="H33" s="72">
        <f t="shared" ref="H33" si="32">H32</f>
        <v>13.3</v>
      </c>
      <c r="I33" s="72">
        <f t="shared" ref="I33" si="33">I32</f>
        <v>13.1</v>
      </c>
      <c r="J33" s="72">
        <f t="shared" ref="J33" si="34">J32</f>
        <v>12.9</v>
      </c>
      <c r="K33" s="72">
        <f t="shared" ref="K33" si="35">K32</f>
        <v>12.7</v>
      </c>
      <c r="L33" s="81"/>
    </row>
    <row r="34" spans="1:12" ht="15" customHeight="1" x14ac:dyDescent="0.25">
      <c r="A34" s="70" t="s">
        <v>38</v>
      </c>
      <c r="B34" s="76" t="str">
        <f t="shared" si="27"/>
        <v>200m</v>
      </c>
      <c r="C34" s="81">
        <v>32.700000000000003</v>
      </c>
      <c r="D34" s="81">
        <v>31.7</v>
      </c>
      <c r="E34" s="81">
        <v>30.8</v>
      </c>
      <c r="F34" s="81">
        <v>30.5</v>
      </c>
      <c r="G34" s="81">
        <v>29.7</v>
      </c>
      <c r="H34" s="81">
        <v>29.2</v>
      </c>
      <c r="I34" s="81">
        <v>28.5</v>
      </c>
      <c r="J34" s="81">
        <v>27.8</v>
      </c>
      <c r="K34" s="81">
        <v>27.2</v>
      </c>
      <c r="L34" s="81"/>
    </row>
    <row r="35" spans="1:12" ht="15" customHeight="1" x14ac:dyDescent="0.25">
      <c r="A35" s="70" t="s">
        <v>48</v>
      </c>
      <c r="B35" s="76" t="str">
        <f t="shared" si="27"/>
        <v>300m</v>
      </c>
      <c r="C35" s="81">
        <v>55</v>
      </c>
      <c r="D35" s="81">
        <v>53</v>
      </c>
      <c r="E35" s="81">
        <v>51</v>
      </c>
      <c r="F35" s="81">
        <v>49</v>
      </c>
      <c r="G35" s="81">
        <v>47</v>
      </c>
      <c r="H35" s="81">
        <v>45.2</v>
      </c>
      <c r="I35" s="81">
        <v>44</v>
      </c>
      <c r="J35" s="81">
        <v>43</v>
      </c>
      <c r="K35" s="81">
        <v>42.4</v>
      </c>
      <c r="L35" s="81"/>
    </row>
    <row r="36" spans="1:12" ht="15" customHeight="1" x14ac:dyDescent="0.25">
      <c r="A36" s="70" t="s">
        <v>350</v>
      </c>
      <c r="B36" s="76" t="str">
        <f t="shared" si="27"/>
        <v>800m</v>
      </c>
      <c r="C36" s="417">
        <v>1.9097222222222222E-3</v>
      </c>
      <c r="D36" s="417">
        <v>1.8518518518518517E-3</v>
      </c>
      <c r="E36" s="417">
        <v>1.7939814814814815E-3</v>
      </c>
      <c r="F36" s="417">
        <v>1.7476851851851852E-3</v>
      </c>
      <c r="G36" s="417">
        <v>1.712962962962963E-3</v>
      </c>
      <c r="H36" s="417">
        <v>1.689814814814815E-3</v>
      </c>
      <c r="I36" s="417">
        <v>1.6666666666666668E-3</v>
      </c>
      <c r="J36" s="417">
        <v>1.6435185185185183E-3</v>
      </c>
      <c r="K36" s="417">
        <v>1.6203703703703703E-3</v>
      </c>
      <c r="L36" s="83"/>
    </row>
    <row r="37" spans="1:12" ht="15" customHeight="1" x14ac:dyDescent="0.25">
      <c r="A37" s="70" t="s">
        <v>354</v>
      </c>
      <c r="B37" s="76" t="str">
        <f t="shared" si="27"/>
        <v>800m NS</v>
      </c>
      <c r="C37" s="418">
        <f>C36</f>
        <v>1.9097222222222222E-3</v>
      </c>
      <c r="D37" s="418">
        <f t="shared" ref="D37" si="36">D36</f>
        <v>1.8518518518518517E-3</v>
      </c>
      <c r="E37" s="418">
        <f t="shared" ref="E37" si="37">E36</f>
        <v>1.7939814814814815E-3</v>
      </c>
      <c r="F37" s="418">
        <f t="shared" ref="F37" si="38">F36</f>
        <v>1.7476851851851852E-3</v>
      </c>
      <c r="G37" s="418">
        <f t="shared" ref="G37" si="39">G36</f>
        <v>1.712962962962963E-3</v>
      </c>
      <c r="H37" s="418">
        <f t="shared" ref="H37" si="40">H36</f>
        <v>1.689814814814815E-3</v>
      </c>
      <c r="I37" s="418">
        <f t="shared" ref="I37" si="41">I36</f>
        <v>1.6666666666666668E-3</v>
      </c>
      <c r="J37" s="418">
        <f t="shared" ref="J37" si="42">J36</f>
        <v>1.6435185185185183E-3</v>
      </c>
      <c r="K37" s="418">
        <f t="shared" ref="K37" si="43">K36</f>
        <v>1.6203703703703703E-3</v>
      </c>
      <c r="L37" s="83"/>
    </row>
    <row r="38" spans="1:12" ht="15" customHeight="1" x14ac:dyDescent="0.25">
      <c r="A38" s="70" t="s">
        <v>258</v>
      </c>
      <c r="B38" s="76" t="str">
        <f t="shared" si="27"/>
        <v>1500m</v>
      </c>
      <c r="C38" s="417">
        <v>4.0509259259259257E-3</v>
      </c>
      <c r="D38" s="417">
        <v>3.9351851851851857E-3</v>
      </c>
      <c r="E38" s="417">
        <v>3.8194444444444443E-3</v>
      </c>
      <c r="F38" s="417">
        <v>3.7037037037037034E-3</v>
      </c>
      <c r="G38" s="417">
        <v>3.6111111111111114E-3</v>
      </c>
      <c r="H38" s="417">
        <v>3.5416666666666665E-3</v>
      </c>
      <c r="I38" s="417">
        <v>3.472222222222222E-3</v>
      </c>
      <c r="J38" s="417">
        <v>3.414351851851852E-3</v>
      </c>
      <c r="K38" s="417">
        <v>3.3564814814814811E-3</v>
      </c>
      <c r="L38" s="83"/>
    </row>
    <row r="39" spans="1:12" ht="15" customHeight="1" x14ac:dyDescent="0.25">
      <c r="A39" s="70" t="s">
        <v>34</v>
      </c>
      <c r="B39" s="76" t="str">
        <f t="shared" si="27"/>
        <v>75m Hurdles</v>
      </c>
      <c r="C39" s="81">
        <v>14.1</v>
      </c>
      <c r="D39" s="81">
        <v>13.7</v>
      </c>
      <c r="E39" s="81">
        <v>13.3</v>
      </c>
      <c r="F39" s="81">
        <v>13</v>
      </c>
      <c r="G39" s="81">
        <v>12.7</v>
      </c>
      <c r="H39" s="81">
        <v>12.4</v>
      </c>
      <c r="I39" s="81">
        <v>12.1</v>
      </c>
      <c r="J39" s="81">
        <v>11.9</v>
      </c>
      <c r="K39" s="81">
        <v>11.7</v>
      </c>
      <c r="L39" s="81"/>
    </row>
    <row r="40" spans="1:12" ht="15" customHeight="1" x14ac:dyDescent="0.25">
      <c r="A40" s="70" t="s">
        <v>180</v>
      </c>
      <c r="B40" s="76" t="str">
        <f t="shared" si="27"/>
        <v>High Jump</v>
      </c>
      <c r="C40" s="81">
        <v>1.1499999999999999</v>
      </c>
      <c r="D40" s="81">
        <v>1.2</v>
      </c>
      <c r="E40" s="81">
        <v>1.25</v>
      </c>
      <c r="F40" s="81">
        <v>1.3</v>
      </c>
      <c r="G40" s="81">
        <v>1.35</v>
      </c>
      <c r="H40" s="81">
        <v>1.4</v>
      </c>
      <c r="I40" s="81">
        <v>1.45</v>
      </c>
      <c r="J40" s="81">
        <v>1.5</v>
      </c>
      <c r="K40" s="81">
        <v>1.55</v>
      </c>
      <c r="L40" s="81"/>
    </row>
    <row r="41" spans="1:12" ht="15" customHeight="1" x14ac:dyDescent="0.25">
      <c r="A41" s="70" t="s">
        <v>187</v>
      </c>
      <c r="B41" s="76" t="str">
        <f t="shared" si="27"/>
        <v>Pole Vault</v>
      </c>
      <c r="C41" s="81">
        <v>1</v>
      </c>
      <c r="D41" s="81">
        <v>1.2</v>
      </c>
      <c r="E41" s="81">
        <v>1.4</v>
      </c>
      <c r="F41" s="81">
        <v>1.6</v>
      </c>
      <c r="G41" s="81">
        <v>1.8</v>
      </c>
      <c r="H41" s="81">
        <v>2</v>
      </c>
      <c r="I41" s="81">
        <v>2.25</v>
      </c>
      <c r="J41" s="81">
        <v>2.5</v>
      </c>
      <c r="K41" s="81">
        <v>2.75</v>
      </c>
      <c r="L41" s="81"/>
    </row>
    <row r="42" spans="1:12" ht="15" customHeight="1" x14ac:dyDescent="0.25">
      <c r="A42" s="70" t="s">
        <v>245</v>
      </c>
      <c r="B42" s="76" t="str">
        <f t="shared" si="27"/>
        <v>Long Jump</v>
      </c>
      <c r="C42" s="81">
        <v>3.25</v>
      </c>
      <c r="D42" s="81">
        <v>3.5</v>
      </c>
      <c r="E42" s="81">
        <v>3.75</v>
      </c>
      <c r="F42" s="81">
        <v>4</v>
      </c>
      <c r="G42" s="81">
        <v>4.25</v>
      </c>
      <c r="H42" s="81">
        <v>4.5</v>
      </c>
      <c r="I42" s="81">
        <v>4.75</v>
      </c>
      <c r="J42" s="81">
        <v>4.95</v>
      </c>
      <c r="K42" s="81">
        <v>5.0999999999999996</v>
      </c>
      <c r="L42" s="81"/>
    </row>
    <row r="43" spans="1:12" ht="15" customHeight="1" x14ac:dyDescent="0.25">
      <c r="A43" s="70" t="s">
        <v>194</v>
      </c>
      <c r="B43" s="76" t="str">
        <f t="shared" si="27"/>
        <v>Shot</v>
      </c>
      <c r="C43" s="81">
        <v>6</v>
      </c>
      <c r="D43" s="81">
        <v>6.5</v>
      </c>
      <c r="E43" s="81">
        <v>7</v>
      </c>
      <c r="F43" s="81">
        <v>7.6</v>
      </c>
      <c r="G43" s="81">
        <v>8.1999999999999993</v>
      </c>
      <c r="H43" s="81">
        <v>8.8000000000000007</v>
      </c>
      <c r="I43" s="81">
        <v>9.4</v>
      </c>
      <c r="J43" s="81">
        <v>10</v>
      </c>
      <c r="K43" s="81">
        <v>10.8</v>
      </c>
      <c r="L43" s="81"/>
    </row>
    <row r="44" spans="1:12" ht="15" customHeight="1" x14ac:dyDescent="0.25">
      <c r="A44" s="355" t="s">
        <v>182</v>
      </c>
      <c r="B44" s="76" t="str">
        <f t="shared" si="27"/>
        <v>Discus</v>
      </c>
      <c r="C44" s="81">
        <v>14</v>
      </c>
      <c r="D44" s="81">
        <v>16</v>
      </c>
      <c r="E44" s="81">
        <v>18</v>
      </c>
      <c r="F44" s="81">
        <v>20</v>
      </c>
      <c r="G44" s="81">
        <v>22</v>
      </c>
      <c r="H44" s="81">
        <v>24</v>
      </c>
      <c r="I44" s="81">
        <v>26</v>
      </c>
      <c r="J44" s="81">
        <v>29</v>
      </c>
      <c r="K44" s="81">
        <v>32</v>
      </c>
      <c r="L44" s="81"/>
    </row>
    <row r="45" spans="1:12" ht="15" customHeight="1" x14ac:dyDescent="0.25">
      <c r="A45" s="70" t="s">
        <v>179</v>
      </c>
      <c r="B45" s="76" t="str">
        <f t="shared" si="27"/>
        <v>Hammer</v>
      </c>
      <c r="C45" s="81">
        <v>15</v>
      </c>
      <c r="D45" s="81">
        <v>18</v>
      </c>
      <c r="E45" s="81">
        <v>21</v>
      </c>
      <c r="F45" s="81">
        <v>24</v>
      </c>
      <c r="G45" s="81">
        <v>27</v>
      </c>
      <c r="H45" s="81">
        <v>30</v>
      </c>
      <c r="I45" s="81">
        <v>33</v>
      </c>
      <c r="J45" s="81">
        <v>36</v>
      </c>
      <c r="K45" s="81">
        <v>39</v>
      </c>
      <c r="L45" s="81"/>
    </row>
    <row r="46" spans="1:12" ht="15" customHeight="1" x14ac:dyDescent="0.25">
      <c r="A46" s="70" t="s">
        <v>191</v>
      </c>
      <c r="B46" s="76" t="str">
        <f t="shared" si="27"/>
        <v>Javelin</v>
      </c>
      <c r="C46" s="81">
        <v>16.5</v>
      </c>
      <c r="D46" s="81">
        <v>19</v>
      </c>
      <c r="E46" s="81">
        <v>21.5</v>
      </c>
      <c r="F46" s="81">
        <v>24</v>
      </c>
      <c r="G46" s="81">
        <v>26.5</v>
      </c>
      <c r="H46" s="81">
        <v>29</v>
      </c>
      <c r="I46" s="81">
        <v>31.5</v>
      </c>
      <c r="J46" s="81">
        <v>34</v>
      </c>
      <c r="K46" s="81">
        <v>36.5</v>
      </c>
      <c r="L46" s="81"/>
    </row>
    <row r="48" spans="1:12" ht="15" customHeight="1" x14ac:dyDescent="0.25">
      <c r="A48" s="70" t="s">
        <v>64</v>
      </c>
      <c r="B48" s="84" t="s">
        <v>57</v>
      </c>
      <c r="C48" s="69">
        <v>1</v>
      </c>
      <c r="D48" s="69">
        <v>2</v>
      </c>
      <c r="E48" s="69">
        <v>3</v>
      </c>
      <c r="F48" s="69">
        <v>4</v>
      </c>
      <c r="G48" s="69">
        <v>5</v>
      </c>
      <c r="H48" s="69">
        <v>6</v>
      </c>
      <c r="I48" s="69">
        <v>7</v>
      </c>
      <c r="J48" s="69">
        <v>8</v>
      </c>
      <c r="K48" s="69">
        <v>9</v>
      </c>
      <c r="L48" s="69"/>
    </row>
    <row r="49" spans="1:12" ht="15" customHeight="1" x14ac:dyDescent="0.25">
      <c r="A49" s="71" t="s">
        <v>40</v>
      </c>
      <c r="B49" s="76" t="str">
        <f t="shared" ref="B49:B59" si="44">IFERROR(VLOOKUP(A49,timetables,2,FALSE),"")</f>
        <v>75m</v>
      </c>
      <c r="C49" s="81">
        <v>13</v>
      </c>
      <c r="D49" s="81">
        <v>12.5</v>
      </c>
      <c r="E49" s="81">
        <v>12.1</v>
      </c>
      <c r="F49" s="81">
        <v>11.7</v>
      </c>
      <c r="G49" s="81">
        <v>11.3</v>
      </c>
      <c r="H49" s="81">
        <v>11</v>
      </c>
      <c r="I49" s="81">
        <v>10.75</v>
      </c>
      <c r="J49" s="81">
        <v>10.5</v>
      </c>
      <c r="K49" s="81">
        <v>10.25</v>
      </c>
      <c r="L49" s="81"/>
    </row>
    <row r="50" spans="1:12" ht="15" customHeight="1" x14ac:dyDescent="0.25">
      <c r="A50" s="71" t="s">
        <v>41</v>
      </c>
      <c r="B50" s="76" t="str">
        <f t="shared" si="44"/>
        <v>75m NS</v>
      </c>
      <c r="C50" s="72">
        <f>C49</f>
        <v>13</v>
      </c>
      <c r="D50" s="72">
        <f t="shared" ref="D50" si="45">D49</f>
        <v>12.5</v>
      </c>
      <c r="E50" s="72">
        <f t="shared" ref="E50" si="46">E49</f>
        <v>12.1</v>
      </c>
      <c r="F50" s="72">
        <f t="shared" ref="F50" si="47">F49</f>
        <v>11.7</v>
      </c>
      <c r="G50" s="72">
        <f t="shared" ref="G50" si="48">G49</f>
        <v>11.3</v>
      </c>
      <c r="H50" s="72">
        <f t="shared" ref="H50" si="49">H49</f>
        <v>11</v>
      </c>
      <c r="I50" s="72">
        <f t="shared" ref="I50" si="50">I49</f>
        <v>10.75</v>
      </c>
      <c r="J50" s="72">
        <f t="shared" ref="J50" si="51">J49</f>
        <v>10.5</v>
      </c>
      <c r="K50" s="72">
        <f t="shared" ref="K50" si="52">K49</f>
        <v>10.25</v>
      </c>
      <c r="L50" s="81"/>
    </row>
    <row r="51" spans="1:12" ht="15" customHeight="1" x14ac:dyDescent="0.25">
      <c r="A51" s="71" t="s">
        <v>36</v>
      </c>
      <c r="B51" s="76" t="str">
        <f t="shared" si="44"/>
        <v>150m</v>
      </c>
      <c r="C51" s="81">
        <v>25</v>
      </c>
      <c r="D51" s="81">
        <v>24.4</v>
      </c>
      <c r="E51" s="81">
        <v>23.8</v>
      </c>
      <c r="F51" s="81">
        <v>23.2</v>
      </c>
      <c r="G51" s="81">
        <v>22.6</v>
      </c>
      <c r="H51" s="81">
        <v>22</v>
      </c>
      <c r="I51" s="81">
        <v>21.5</v>
      </c>
      <c r="J51" s="81">
        <v>21</v>
      </c>
      <c r="K51" s="81">
        <v>20.5</v>
      </c>
      <c r="L51" s="81"/>
    </row>
    <row r="52" spans="1:12" ht="15" customHeight="1" x14ac:dyDescent="0.25">
      <c r="A52" s="71" t="s">
        <v>348</v>
      </c>
      <c r="B52" s="76" t="str">
        <f t="shared" si="44"/>
        <v>800m</v>
      </c>
      <c r="C52" s="417">
        <v>2.1990740740740742E-3</v>
      </c>
      <c r="D52" s="417">
        <v>2.0833333333333333E-3</v>
      </c>
      <c r="E52" s="417">
        <v>2.0254629629629629E-3</v>
      </c>
      <c r="F52" s="417">
        <v>1.9675925925925928E-3</v>
      </c>
      <c r="G52" s="417">
        <v>1.9097222222222222E-3</v>
      </c>
      <c r="H52" s="417">
        <v>1.8518518518518517E-3</v>
      </c>
      <c r="I52" s="417">
        <v>1.7939814814814815E-3</v>
      </c>
      <c r="J52" s="417">
        <v>1.7476851851851852E-3</v>
      </c>
      <c r="K52" s="417">
        <v>1.712962962962963E-3</v>
      </c>
      <c r="L52" s="83"/>
    </row>
    <row r="53" spans="1:12" ht="15" customHeight="1" x14ac:dyDescent="0.25">
      <c r="A53" s="71" t="s">
        <v>352</v>
      </c>
      <c r="B53" s="76" t="str">
        <f t="shared" si="44"/>
        <v>800m NS</v>
      </c>
      <c r="C53" s="418">
        <f>C52</f>
        <v>2.1990740740740742E-3</v>
      </c>
      <c r="D53" s="418">
        <f t="shared" ref="D53" si="53">D52</f>
        <v>2.0833333333333333E-3</v>
      </c>
      <c r="E53" s="418">
        <f t="shared" ref="E53" si="54">E52</f>
        <v>2.0254629629629629E-3</v>
      </c>
      <c r="F53" s="418">
        <f t="shared" ref="F53" si="55">F52</f>
        <v>1.9675925925925928E-3</v>
      </c>
      <c r="G53" s="418">
        <f t="shared" ref="G53" si="56">G52</f>
        <v>1.9097222222222222E-3</v>
      </c>
      <c r="H53" s="418">
        <f t="shared" ref="H53" si="57">H52</f>
        <v>1.8518518518518517E-3</v>
      </c>
      <c r="I53" s="418">
        <f t="shared" ref="I53" si="58">I52</f>
        <v>1.7939814814814815E-3</v>
      </c>
      <c r="J53" s="418">
        <f t="shared" ref="J53" si="59">J52</f>
        <v>1.7476851851851852E-3</v>
      </c>
      <c r="K53" s="418">
        <f t="shared" ref="K53" si="60">K52</f>
        <v>1.712962962962963E-3</v>
      </c>
      <c r="L53" s="83"/>
    </row>
    <row r="54" spans="1:12" ht="15" customHeight="1" x14ac:dyDescent="0.25">
      <c r="A54" s="71" t="s">
        <v>256</v>
      </c>
      <c r="B54" s="76" t="str">
        <f t="shared" si="44"/>
        <v>1200m</v>
      </c>
      <c r="C54" s="417">
        <v>3.472222222222222E-3</v>
      </c>
      <c r="D54" s="417">
        <v>3.3564814814814811E-3</v>
      </c>
      <c r="E54" s="417">
        <v>3.2407407407407406E-3</v>
      </c>
      <c r="F54" s="417">
        <v>3.1249999999999997E-3</v>
      </c>
      <c r="G54" s="417">
        <v>3.0092592592592588E-3</v>
      </c>
      <c r="H54" s="417">
        <v>2.9282407407407412E-3</v>
      </c>
      <c r="I54" s="417">
        <v>2.8472222222222219E-3</v>
      </c>
      <c r="J54" s="417">
        <v>2.7893518518518519E-3</v>
      </c>
      <c r="K54" s="417">
        <v>2.7430555555555559E-3</v>
      </c>
      <c r="L54" s="83"/>
    </row>
    <row r="55" spans="1:12" ht="15" customHeight="1" x14ac:dyDescent="0.25">
      <c r="A55" s="71" t="s">
        <v>32</v>
      </c>
      <c r="B55" s="76" t="str">
        <f t="shared" si="44"/>
        <v>70m Hurdles</v>
      </c>
      <c r="C55" s="81">
        <v>14.1</v>
      </c>
      <c r="D55" s="81">
        <v>13.7</v>
      </c>
      <c r="E55" s="81">
        <v>13.3</v>
      </c>
      <c r="F55" s="81">
        <v>13</v>
      </c>
      <c r="G55" s="81">
        <v>12.7</v>
      </c>
      <c r="H55" s="81">
        <v>12.4</v>
      </c>
      <c r="I55" s="81">
        <v>12.1</v>
      </c>
      <c r="J55" s="81">
        <v>11.9</v>
      </c>
      <c r="K55" s="81">
        <v>11.7</v>
      </c>
      <c r="L55" s="81"/>
    </row>
    <row r="56" spans="1:12" ht="15" customHeight="1" x14ac:dyDescent="0.25">
      <c r="A56" s="70" t="s">
        <v>185</v>
      </c>
      <c r="B56" s="76" t="str">
        <f t="shared" si="44"/>
        <v>High Jump</v>
      </c>
      <c r="C56" s="81">
        <v>1</v>
      </c>
      <c r="D56" s="81">
        <v>1.05</v>
      </c>
      <c r="E56" s="81">
        <v>1.1000000000000001</v>
      </c>
      <c r="F56" s="81">
        <v>1.1499999999999999</v>
      </c>
      <c r="G56" s="81">
        <v>1.2</v>
      </c>
      <c r="H56" s="81">
        <v>1.25</v>
      </c>
      <c r="I56" s="81">
        <v>1.3</v>
      </c>
      <c r="J56" s="81">
        <v>1.35</v>
      </c>
      <c r="K56" s="81">
        <v>1.4</v>
      </c>
      <c r="L56" s="81"/>
    </row>
    <row r="57" spans="1:12" ht="15" customHeight="1" x14ac:dyDescent="0.25">
      <c r="A57" s="70" t="s">
        <v>246</v>
      </c>
      <c r="B57" s="76" t="str">
        <f t="shared" si="44"/>
        <v>Long Jump</v>
      </c>
      <c r="C57" s="81">
        <v>2.5</v>
      </c>
      <c r="D57" s="81">
        <v>2.75</v>
      </c>
      <c r="E57" s="81">
        <v>3</v>
      </c>
      <c r="F57" s="81">
        <v>3.25</v>
      </c>
      <c r="G57" s="81">
        <v>3.5</v>
      </c>
      <c r="H57" s="81">
        <v>3.75</v>
      </c>
      <c r="I57" s="81">
        <v>4</v>
      </c>
      <c r="J57" s="81">
        <v>4.25</v>
      </c>
      <c r="K57" s="81">
        <v>4.5</v>
      </c>
      <c r="L57" s="81"/>
    </row>
    <row r="58" spans="1:12" ht="15" customHeight="1" x14ac:dyDescent="0.25">
      <c r="A58" s="70" t="s">
        <v>183</v>
      </c>
      <c r="B58" s="76" t="str">
        <f t="shared" si="44"/>
        <v>Shot</v>
      </c>
      <c r="C58" s="81">
        <v>5</v>
      </c>
      <c r="D58" s="81">
        <v>5.5</v>
      </c>
      <c r="E58" s="81">
        <v>6</v>
      </c>
      <c r="F58" s="81">
        <v>6.5</v>
      </c>
      <c r="G58" s="81">
        <v>7</v>
      </c>
      <c r="H58" s="81">
        <v>7.6</v>
      </c>
      <c r="I58" s="81">
        <v>8.1999999999999993</v>
      </c>
      <c r="J58" s="81">
        <v>8.8000000000000007</v>
      </c>
      <c r="K58" s="81">
        <v>9.4</v>
      </c>
      <c r="L58" s="81"/>
    </row>
    <row r="59" spans="1:12" ht="15" customHeight="1" x14ac:dyDescent="0.25">
      <c r="A59" s="70" t="s">
        <v>195</v>
      </c>
      <c r="B59" s="76" t="str">
        <f t="shared" si="44"/>
        <v>Javelin</v>
      </c>
      <c r="C59" s="81">
        <v>9</v>
      </c>
      <c r="D59" s="81">
        <v>11.5</v>
      </c>
      <c r="E59" s="81">
        <v>14</v>
      </c>
      <c r="F59" s="81">
        <v>16.5</v>
      </c>
      <c r="G59" s="81">
        <v>19</v>
      </c>
      <c r="H59" s="81">
        <v>21.5</v>
      </c>
      <c r="I59" s="81">
        <v>24</v>
      </c>
      <c r="J59" s="81">
        <v>26.5</v>
      </c>
      <c r="K59" s="81">
        <v>29</v>
      </c>
      <c r="L59" s="81"/>
    </row>
  </sheetData>
  <sheetProtection algorithmName="SHA-512" hashValue="QMS+t2xvu6Q3K6ZhhlvTVqPshd2YuiEey/X4iN6ZPK5Rjn4a3nLD8p00kosXwTW3Um+ORuU0XSvzIKHTLv+q+A==" saltValue="NEor8WAihdUOZ683244l8w==" spinCount="100000" sheet="1" objects="1" scenarios="1" formatCells="0" formatColumns="0" formatRows="0" sort="0" autoFilter="0"/>
  <conditionalFormatting sqref="A1:A1048576">
    <cfRule type="duplicateValues" dxfId="0" priority="1"/>
  </conditionalFormatting>
  <printOptions gridLines="1"/>
  <pageMargins left="0.70866141732283472" right="0.70866141732283472" top="0.74803149606299213" bottom="0.74803149606299213" header="0.31496062992125984" footer="0.31496062992125984"/>
  <pageSetup paperSize="9" orientation="portrait" r:id="rId1"/>
  <rowBreaks count="1" manualBreakCount="1">
    <brk id="30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7"/>
  <dimension ref="A1:Y264"/>
  <sheetViews>
    <sheetView showZeros="0" workbookViewId="0">
      <pane ySplit="1" topLeftCell="A8" activePane="bottomLeft" state="frozen"/>
      <selection pane="bottomLeft" activeCell="F8" sqref="F8"/>
    </sheetView>
  </sheetViews>
  <sheetFormatPr defaultColWidth="8.7109375" defaultRowHeight="15" customHeight="1" x14ac:dyDescent="0.35"/>
  <cols>
    <col min="1" max="1" width="32" style="64" customWidth="1"/>
    <col min="2" max="2" width="8" style="66" bestFit="1" customWidth="1"/>
    <col min="3" max="3" width="8.28515625" style="66" bestFit="1" customWidth="1"/>
    <col min="4" max="4" width="31.5703125" style="64" bestFit="1" customWidth="1"/>
    <col min="5" max="5" width="12.42578125" style="66" bestFit="1" customWidth="1"/>
    <col min="6" max="6" width="12.28515625" style="66" bestFit="1" customWidth="1"/>
    <col min="7" max="7" width="8" style="66" bestFit="1" customWidth="1"/>
    <col min="8" max="8" width="22.7109375" style="85" bestFit="1" customWidth="1"/>
    <col min="9" max="9" width="30.28515625" style="64" customWidth="1"/>
    <col min="10" max="12" width="8.7109375" style="64" customWidth="1"/>
    <col min="13" max="13" width="9.42578125" style="64" customWidth="1"/>
    <col min="14" max="14" width="8.7109375" style="66" customWidth="1"/>
    <col min="15" max="15" width="8.7109375" style="64" customWidth="1"/>
    <col min="16" max="16" width="12.5703125" style="64" bestFit="1" customWidth="1"/>
    <col min="17" max="17" width="9.28515625" style="64" bestFit="1" customWidth="1"/>
    <col min="18" max="18" width="18.7109375" style="64" customWidth="1"/>
    <col min="19" max="19" width="13.42578125" style="64" customWidth="1"/>
    <col min="20" max="21" width="8.7109375" style="64" customWidth="1"/>
    <col min="22" max="22" width="26.7109375" style="64" bestFit="1" customWidth="1"/>
    <col min="23" max="23" width="13.42578125" style="64" hidden="1" customWidth="1"/>
    <col min="24" max="24" width="8.7109375" style="64" hidden="1" customWidth="1"/>
    <col min="25" max="25" width="21.28515625" style="64" customWidth="1"/>
    <col min="26" max="30" width="8.7109375" style="64" customWidth="1"/>
    <col min="31" max="16384" width="8.7109375" style="64"/>
  </cols>
  <sheetData>
    <row r="1" spans="1:25" ht="15" customHeight="1" x14ac:dyDescent="0.35">
      <c r="B1" s="66" t="s">
        <v>563</v>
      </c>
      <c r="C1" s="66" t="s">
        <v>746</v>
      </c>
      <c r="D1" s="64" t="s">
        <v>65</v>
      </c>
      <c r="E1" s="66" t="s">
        <v>66</v>
      </c>
      <c r="F1" s="66" t="s">
        <v>747</v>
      </c>
      <c r="G1" s="66" t="s">
        <v>563</v>
      </c>
      <c r="H1" s="85" t="s">
        <v>68</v>
      </c>
      <c r="L1" s="64" t="s">
        <v>89</v>
      </c>
      <c r="M1" s="64" t="s">
        <v>67</v>
      </c>
      <c r="N1" s="66" t="s">
        <v>90</v>
      </c>
      <c r="P1" s="64" t="s">
        <v>397</v>
      </c>
      <c r="Q1" s="64" t="s">
        <v>398</v>
      </c>
      <c r="R1" s="64" t="s">
        <v>399</v>
      </c>
      <c r="S1" s="64" t="s">
        <v>383</v>
      </c>
      <c r="T1" s="64" t="s">
        <v>604</v>
      </c>
      <c r="U1" s="66" t="s">
        <v>357</v>
      </c>
      <c r="V1" s="66"/>
      <c r="Y1" s="64" t="s">
        <v>358</v>
      </c>
    </row>
    <row r="2" spans="1:25" ht="15" customHeight="1" x14ac:dyDescent="0.35">
      <c r="A2" s="64" t="str">
        <f>F2&amp;H2&amp;B2</f>
        <v>223North-East1</v>
      </c>
      <c r="B2" s="66">
        <v>1</v>
      </c>
      <c r="C2" s="66">
        <v>299</v>
      </c>
      <c r="D2" s="308" t="s">
        <v>382</v>
      </c>
      <c r="E2" s="309" t="s">
        <v>430</v>
      </c>
      <c r="F2" s="66">
        <v>223</v>
      </c>
      <c r="G2" s="66">
        <f t="shared" ref="G2:G33" si="0">B2</f>
        <v>1</v>
      </c>
      <c r="H2" s="362" t="s">
        <v>1064</v>
      </c>
      <c r="L2" s="64" t="s">
        <v>69</v>
      </c>
      <c r="M2" s="64" t="s">
        <v>148</v>
      </c>
      <c r="N2" s="66">
        <v>1</v>
      </c>
      <c r="P2" s="302" t="s">
        <v>942</v>
      </c>
      <c r="Q2" s="362" t="s">
        <v>933</v>
      </c>
      <c r="R2" s="302" t="s">
        <v>1065</v>
      </c>
      <c r="S2" s="302" t="s">
        <v>935</v>
      </c>
      <c r="T2" s="64" t="s">
        <v>590</v>
      </c>
      <c r="U2" s="79">
        <f>MatchDay!B13</f>
        <v>1</v>
      </c>
      <c r="V2" s="64" t="str">
        <f>IFERROR(VLOOKUP(U2,MatchDay!$B$13:$D$20,2,FALSE),"")</f>
        <v>Crewe &amp; Nantwich AC</v>
      </c>
      <c r="Y2" s="64" t="str">
        <f>IFERROR(VLOOKUP(U2,MatchDay!$B$13:$D$20,3,FALSE),"")</f>
        <v>C&amp;N</v>
      </c>
    </row>
    <row r="3" spans="1:25" ht="15" customHeight="1" x14ac:dyDescent="0.35">
      <c r="A3" s="64" t="str">
        <f t="shared" ref="A3:A66" si="1">F3&amp;H3&amp;B3</f>
        <v>206West 3S1</v>
      </c>
      <c r="B3" s="66">
        <v>1</v>
      </c>
      <c r="C3" s="66">
        <v>26</v>
      </c>
      <c r="D3" s="308" t="s">
        <v>87</v>
      </c>
      <c r="E3" s="309" t="s">
        <v>410</v>
      </c>
      <c r="F3" s="66">
        <v>206</v>
      </c>
      <c r="G3" s="66">
        <f t="shared" si="0"/>
        <v>1</v>
      </c>
      <c r="H3" s="362" t="s">
        <v>943</v>
      </c>
      <c r="M3" s="64" t="s">
        <v>282</v>
      </c>
      <c r="N3" s="66">
        <v>2</v>
      </c>
      <c r="P3" s="302" t="s">
        <v>964</v>
      </c>
      <c r="Q3" s="85" t="s">
        <v>936</v>
      </c>
      <c r="R3" s="302" t="s">
        <v>1066</v>
      </c>
      <c r="S3" s="302" t="s">
        <v>937</v>
      </c>
      <c r="U3" s="79">
        <f>MatchDay!B14</f>
        <v>2</v>
      </c>
      <c r="V3" s="64" t="str">
        <f>IFERROR(VLOOKUP(U3,MatchDay!$B$13:$D$20,2,FALSE),"")</f>
        <v>East Cheshire H &amp; Tameside AC</v>
      </c>
      <c r="Y3" s="64" t="str">
        <f>IFERROR(VLOOKUP(U3,MatchDay!$B$13:$D$20,3,FALSE),"")</f>
        <v>ECHT</v>
      </c>
    </row>
    <row r="4" spans="1:25" ht="15" customHeight="1" x14ac:dyDescent="0.35">
      <c r="A4" s="64" t="str">
        <f t="shared" si="1"/>
        <v>213North-East Division A1</v>
      </c>
      <c r="B4" s="66">
        <v>1</v>
      </c>
      <c r="C4" s="66">
        <v>264</v>
      </c>
      <c r="D4" s="308" t="s">
        <v>592</v>
      </c>
      <c r="E4" s="309" t="s">
        <v>593</v>
      </c>
      <c r="F4" s="66">
        <v>213</v>
      </c>
      <c r="G4" s="66">
        <f t="shared" si="0"/>
        <v>1</v>
      </c>
      <c r="H4" s="362" t="s">
        <v>1065</v>
      </c>
      <c r="M4" s="64" t="s">
        <v>333</v>
      </c>
      <c r="N4" s="66">
        <v>3</v>
      </c>
      <c r="P4" s="302" t="s">
        <v>939</v>
      </c>
      <c r="Q4" s="85" t="s">
        <v>931</v>
      </c>
      <c r="R4" s="302" t="s">
        <v>1073</v>
      </c>
      <c r="S4" s="302" t="s">
        <v>1064</v>
      </c>
      <c r="U4" s="79">
        <f>MatchDay!B15</f>
        <v>3</v>
      </c>
      <c r="V4" s="64" t="str">
        <f>IFERROR(VLOOKUP(U4,MatchDay!$B$13:$D$20,2,FALSE),"")</f>
        <v>Leigh Harriers &amp; AC</v>
      </c>
      <c r="Y4" s="64" t="str">
        <f>IFERROR(VLOOKUP(U4,MatchDay!$B$13:$D$20,3,FALSE),"")</f>
        <v>Leigh</v>
      </c>
    </row>
    <row r="5" spans="1:25" ht="15" customHeight="1" x14ac:dyDescent="0.35">
      <c r="A5" s="64" t="str">
        <f t="shared" si="1"/>
        <v>223North-East2</v>
      </c>
      <c r="B5" s="66">
        <v>2</v>
      </c>
      <c r="C5" s="66">
        <v>300</v>
      </c>
      <c r="D5" s="308" t="s">
        <v>576</v>
      </c>
      <c r="E5" s="309" t="s">
        <v>431</v>
      </c>
      <c r="F5" s="66">
        <v>223</v>
      </c>
      <c r="G5" s="66">
        <f t="shared" si="0"/>
        <v>2</v>
      </c>
      <c r="H5" s="362" t="s">
        <v>1064</v>
      </c>
      <c r="M5" s="64" t="s">
        <v>380</v>
      </c>
      <c r="N5" s="66">
        <v>4</v>
      </c>
      <c r="P5" s="302" t="s">
        <v>940</v>
      </c>
      <c r="Q5" s="85" t="s">
        <v>938</v>
      </c>
      <c r="R5" s="302" t="s">
        <v>1070</v>
      </c>
      <c r="S5" s="302"/>
      <c r="U5" s="79">
        <f>MatchDay!B16</f>
        <v>4</v>
      </c>
      <c r="V5" s="64" t="str">
        <f>IFERROR(VLOOKUP(U5,MatchDay!$B$13:$D$20,2,FALSE),"")</f>
        <v>Macclesfield Harriers &amp; AC</v>
      </c>
      <c r="Y5" s="64" t="str">
        <f>IFERROR(VLOOKUP(U5,MatchDay!$B$13:$D$20,3,FALSE),"")</f>
        <v>Macc</v>
      </c>
    </row>
    <row r="6" spans="1:25" ht="15" customHeight="1" x14ac:dyDescent="0.35">
      <c r="A6" s="64" t="str">
        <f t="shared" si="1"/>
        <v>223North-East3</v>
      </c>
      <c r="B6" s="66">
        <v>3</v>
      </c>
      <c r="C6" s="66">
        <v>301</v>
      </c>
      <c r="D6" s="308" t="s">
        <v>393</v>
      </c>
      <c r="E6" s="309" t="s">
        <v>432</v>
      </c>
      <c r="F6" s="66">
        <v>223</v>
      </c>
      <c r="G6" s="66">
        <f t="shared" si="0"/>
        <v>3</v>
      </c>
      <c r="H6" s="362" t="s">
        <v>1064</v>
      </c>
      <c r="P6" s="302" t="s">
        <v>941</v>
      </c>
      <c r="Q6" s="85" t="s">
        <v>932</v>
      </c>
      <c r="R6" s="302" t="s">
        <v>1069</v>
      </c>
      <c r="U6" s="79">
        <f>MatchDay!B17</f>
        <v>5</v>
      </c>
      <c r="V6" s="64" t="str">
        <f>IFERROR(VLOOKUP(U6,MatchDay!$B$13:$D$20,2,FALSE),"")</f>
        <v>Menai Track &amp; Field</v>
      </c>
      <c r="Y6" s="64" t="str">
        <f>IFERROR(VLOOKUP(U6,MatchDay!$B$13:$D$20,3,FALSE),"")</f>
        <v>Menai</v>
      </c>
    </row>
    <row r="7" spans="1:25" ht="15" customHeight="1" x14ac:dyDescent="0.35">
      <c r="A7" s="64" t="str">
        <f t="shared" si="1"/>
        <v>231Premier1</v>
      </c>
      <c r="B7" s="66">
        <v>1</v>
      </c>
      <c r="C7" s="307">
        <v>391</v>
      </c>
      <c r="D7" s="308" t="s">
        <v>298</v>
      </c>
      <c r="E7" s="309" t="s">
        <v>426</v>
      </c>
      <c r="F7" s="66">
        <v>231</v>
      </c>
      <c r="G7" s="66">
        <f t="shared" si="0"/>
        <v>1</v>
      </c>
      <c r="H7" s="362" t="s">
        <v>933</v>
      </c>
      <c r="P7" s="302" t="s">
        <v>944</v>
      </c>
      <c r="Q7" s="85" t="s">
        <v>934</v>
      </c>
      <c r="R7" s="302" t="s">
        <v>1067</v>
      </c>
      <c r="U7" s="79">
        <f>MatchDay!B18</f>
        <v>6</v>
      </c>
      <c r="V7" s="64" t="str">
        <f>IFERROR(VLOOKUP(U7,MatchDay!$B$13:$D$20,2,FALSE),"")</f>
        <v>Stockport Harriers &amp; AC</v>
      </c>
      <c r="Y7" s="64" t="str">
        <f>IFERROR(VLOOKUP(U7,MatchDay!$B$13:$D$20,3,FALSE),"")</f>
        <v>Stock</v>
      </c>
    </row>
    <row r="8" spans="1:25" ht="15" customHeight="1" x14ac:dyDescent="0.35">
      <c r="A8" s="64" t="str">
        <f t="shared" si="1"/>
        <v>235Division 2B1</v>
      </c>
      <c r="B8" s="66">
        <v>1</v>
      </c>
      <c r="C8" s="66">
        <v>136</v>
      </c>
      <c r="D8" s="308" t="s">
        <v>294</v>
      </c>
      <c r="E8" s="309" t="s">
        <v>427</v>
      </c>
      <c r="F8" s="66">
        <v>235</v>
      </c>
      <c r="G8" s="66">
        <f t="shared" si="0"/>
        <v>1</v>
      </c>
      <c r="H8" s="362" t="s">
        <v>932</v>
      </c>
      <c r="P8" s="302" t="s">
        <v>943</v>
      </c>
      <c r="Q8" s="85"/>
      <c r="R8" s="302" t="s">
        <v>1071</v>
      </c>
      <c r="U8" s="79">
        <f>MatchDay!B19</f>
        <v>7</v>
      </c>
      <c r="V8" s="64" t="str">
        <f>IFERROR(VLOOKUP(U8,MatchDay!$B$13:$D$20,2,FALSE),"")</f>
        <v>Wigan &amp; District H &amp; AC</v>
      </c>
      <c r="Y8" s="64" t="str">
        <f>IFERROR(VLOOKUP(U8,MatchDay!$B$13:$D$20,3,FALSE),"")</f>
        <v>Wigan</v>
      </c>
    </row>
    <row r="9" spans="1:25" ht="15" customHeight="1" x14ac:dyDescent="0.35">
      <c r="A9" s="64" t="str">
        <f t="shared" si="1"/>
        <v>214North-East Division B1</v>
      </c>
      <c r="B9" s="66">
        <v>1</v>
      </c>
      <c r="C9" s="66">
        <v>206</v>
      </c>
      <c r="D9" s="64" t="s">
        <v>316</v>
      </c>
      <c r="E9" s="66" t="s">
        <v>428</v>
      </c>
      <c r="F9" s="66">
        <v>214</v>
      </c>
      <c r="G9" s="66">
        <f t="shared" si="0"/>
        <v>1</v>
      </c>
      <c r="H9" s="362" t="s">
        <v>1066</v>
      </c>
      <c r="P9" s="302"/>
      <c r="Q9" s="85"/>
      <c r="R9" s="302" t="s">
        <v>1068</v>
      </c>
      <c r="U9" s="79" t="str">
        <f>MatchDay!B20</f>
        <v>-</v>
      </c>
      <c r="V9" s="64" t="str">
        <f>IFERROR(VLOOKUP(U9,MatchDay!$B$13:$D$20,2,FALSE),"")</f>
        <v/>
      </c>
      <c r="Y9" s="64" t="str">
        <f>IFERROR(VLOOKUP(U9,MatchDay!$B$13:$D$20,3,FALSE),"")</f>
        <v/>
      </c>
    </row>
    <row r="10" spans="1:25" ht="15" customHeight="1" x14ac:dyDescent="0.35">
      <c r="A10" s="64" t="str">
        <f t="shared" si="1"/>
        <v>211Premier North-East1</v>
      </c>
      <c r="B10" s="66">
        <v>1</v>
      </c>
      <c r="C10" s="66">
        <v>238</v>
      </c>
      <c r="D10" s="64" t="s">
        <v>302</v>
      </c>
      <c r="E10" s="66" t="s">
        <v>429</v>
      </c>
      <c r="F10" s="66">
        <v>211</v>
      </c>
      <c r="G10" s="66">
        <f t="shared" si="0"/>
        <v>1</v>
      </c>
      <c r="H10" s="362" t="s">
        <v>1067</v>
      </c>
      <c r="Q10" s="85"/>
      <c r="R10" s="302" t="s">
        <v>1072</v>
      </c>
      <c r="U10" s="79"/>
    </row>
    <row r="11" spans="1:25" ht="15" customHeight="1" x14ac:dyDescent="0.35">
      <c r="A11" s="64" t="str">
        <f t="shared" si="1"/>
        <v>202Premier West1</v>
      </c>
      <c r="B11" s="66">
        <v>1</v>
      </c>
      <c r="C11" s="66">
        <v>19</v>
      </c>
      <c r="D11" s="308" t="s">
        <v>751</v>
      </c>
      <c r="E11" s="309" t="s">
        <v>697</v>
      </c>
      <c r="F11" s="66">
        <v>202</v>
      </c>
      <c r="G11" s="66">
        <f t="shared" si="0"/>
        <v>1</v>
      </c>
      <c r="H11" s="362" t="s">
        <v>939</v>
      </c>
      <c r="U11" s="79">
        <v>98</v>
      </c>
      <c r="V11" s="64" t="s">
        <v>585</v>
      </c>
      <c r="Y11" s="64" t="s">
        <v>589</v>
      </c>
    </row>
    <row r="12" spans="1:25" ht="15" customHeight="1" x14ac:dyDescent="0.35">
      <c r="A12" s="64" t="str">
        <f t="shared" si="1"/>
        <v>231Premier2</v>
      </c>
      <c r="B12" s="66">
        <v>2</v>
      </c>
      <c r="C12" s="66">
        <v>143</v>
      </c>
      <c r="D12" s="308" t="s">
        <v>586</v>
      </c>
      <c r="E12" s="309" t="s">
        <v>478</v>
      </c>
      <c r="F12" s="66">
        <v>231</v>
      </c>
      <c r="G12" s="66">
        <f t="shared" si="0"/>
        <v>2</v>
      </c>
      <c r="H12" s="362" t="s">
        <v>933</v>
      </c>
      <c r="U12" s="79">
        <v>99</v>
      </c>
      <c r="V12" s="64" t="s">
        <v>584</v>
      </c>
      <c r="Y12" s="64" t="s">
        <v>588</v>
      </c>
    </row>
    <row r="13" spans="1:25" ht="15" customHeight="1" x14ac:dyDescent="0.35">
      <c r="A13" s="64" t="str">
        <f t="shared" si="1"/>
        <v>204West 11</v>
      </c>
      <c r="B13" s="66">
        <v>1</v>
      </c>
      <c r="C13" s="315">
        <v>34</v>
      </c>
      <c r="D13" s="308" t="s">
        <v>84</v>
      </c>
      <c r="E13" s="309" t="s">
        <v>415</v>
      </c>
      <c r="F13" s="66">
        <v>204</v>
      </c>
      <c r="G13" s="66">
        <f t="shared" si="0"/>
        <v>1</v>
      </c>
      <c r="H13" s="362" t="s">
        <v>940</v>
      </c>
      <c r="U13" s="79">
        <f>IFERROR(MatchDay!B13*11,"-")</f>
        <v>11</v>
      </c>
      <c r="V13" s="64" t="str">
        <f t="shared" ref="V13:V20" si="2">V2</f>
        <v>Crewe &amp; Nantwich AC</v>
      </c>
      <c r="Y13" s="64" t="str">
        <f t="shared" ref="Y13:Y20" si="3">Y2</f>
        <v>C&amp;N</v>
      </c>
    </row>
    <row r="14" spans="1:25" ht="15" customHeight="1" x14ac:dyDescent="0.35">
      <c r="A14" s="64" t="str">
        <f t="shared" si="1"/>
        <v>204West 12</v>
      </c>
      <c r="B14" s="66">
        <v>2</v>
      </c>
      <c r="C14" s="66">
        <v>20</v>
      </c>
      <c r="D14" s="308" t="s">
        <v>603</v>
      </c>
      <c r="E14" s="309" t="s">
        <v>408</v>
      </c>
      <c r="F14" s="66">
        <v>204</v>
      </c>
      <c r="G14" s="66">
        <f t="shared" si="0"/>
        <v>2</v>
      </c>
      <c r="H14" s="362" t="s">
        <v>940</v>
      </c>
      <c r="U14" s="79">
        <f>IFERROR(MatchDay!B14*11,"-")</f>
        <v>22</v>
      </c>
      <c r="V14" s="64" t="str">
        <f t="shared" si="2"/>
        <v>East Cheshire H &amp; Tameside AC</v>
      </c>
      <c r="Y14" s="64" t="str">
        <f t="shared" si="3"/>
        <v>ECHT</v>
      </c>
    </row>
    <row r="15" spans="1:25" ht="15" customHeight="1" x14ac:dyDescent="0.35">
      <c r="A15" s="64" t="str">
        <f t="shared" si="1"/>
        <v>205West 3N1</v>
      </c>
      <c r="B15" s="66">
        <v>1</v>
      </c>
      <c r="C15" s="66">
        <v>35</v>
      </c>
      <c r="D15" s="308" t="s">
        <v>752</v>
      </c>
      <c r="E15" s="309" t="s">
        <v>416</v>
      </c>
      <c r="F15" s="66">
        <v>205</v>
      </c>
      <c r="G15" s="66">
        <f t="shared" si="0"/>
        <v>1</v>
      </c>
      <c r="H15" s="362" t="s">
        <v>944</v>
      </c>
      <c r="U15" s="79">
        <f>IFERROR(MatchDay!B15*11,"-")</f>
        <v>33</v>
      </c>
      <c r="V15" s="64" t="str">
        <f t="shared" si="2"/>
        <v>Leigh Harriers &amp; AC</v>
      </c>
      <c r="Y15" s="64" t="str">
        <f t="shared" si="3"/>
        <v>Leigh</v>
      </c>
    </row>
    <row r="16" spans="1:25" ht="15" customHeight="1" x14ac:dyDescent="0.35">
      <c r="A16" s="64" t="str">
        <f t="shared" si="1"/>
        <v>234Division 2A1</v>
      </c>
      <c r="B16" s="66">
        <v>1</v>
      </c>
      <c r="C16" s="66">
        <v>330</v>
      </c>
      <c r="D16" s="308" t="s">
        <v>698</v>
      </c>
      <c r="E16" s="309" t="s">
        <v>699</v>
      </c>
      <c r="F16" s="66">
        <v>234</v>
      </c>
      <c r="G16" s="66">
        <f t="shared" si="0"/>
        <v>1</v>
      </c>
      <c r="H16" s="362" t="s">
        <v>938</v>
      </c>
      <c r="U16" s="79">
        <f>IFERROR(MatchDay!B16*11,"-")</f>
        <v>44</v>
      </c>
      <c r="V16" s="64" t="str">
        <f t="shared" si="2"/>
        <v>Macclesfield Harriers &amp; AC</v>
      </c>
      <c r="Y16" s="64" t="str">
        <f t="shared" si="3"/>
        <v>Macc</v>
      </c>
    </row>
    <row r="17" spans="1:25" ht="15" customHeight="1" x14ac:dyDescent="0.35">
      <c r="A17" s="64" t="str">
        <f t="shared" si="1"/>
        <v>232Division 1A1</v>
      </c>
      <c r="B17" s="66">
        <v>1</v>
      </c>
      <c r="C17" s="315">
        <v>92</v>
      </c>
      <c r="D17" s="308" t="s">
        <v>283</v>
      </c>
      <c r="E17" s="309" t="s">
        <v>479</v>
      </c>
      <c r="F17" s="66">
        <v>232</v>
      </c>
      <c r="G17" s="66">
        <f t="shared" si="0"/>
        <v>1</v>
      </c>
      <c r="H17" s="362" t="s">
        <v>936</v>
      </c>
      <c r="U17" s="79">
        <f>IFERROR(MatchDay!B17*11,"-")</f>
        <v>55</v>
      </c>
      <c r="V17" s="64" t="str">
        <f t="shared" si="2"/>
        <v>Menai Track &amp; Field</v>
      </c>
      <c r="Y17" s="64" t="str">
        <f t="shared" si="3"/>
        <v>Menai</v>
      </c>
    </row>
    <row r="18" spans="1:25" ht="15" customHeight="1" x14ac:dyDescent="0.35">
      <c r="A18" s="64" t="str">
        <f t="shared" si="1"/>
        <v>233Division 1B1</v>
      </c>
      <c r="B18" s="66">
        <v>1</v>
      </c>
      <c r="C18" s="66">
        <v>114</v>
      </c>
      <c r="D18" s="64" t="s">
        <v>606</v>
      </c>
      <c r="E18" s="66" t="s">
        <v>480</v>
      </c>
      <c r="F18" s="66">
        <v>233</v>
      </c>
      <c r="G18" s="66">
        <f t="shared" si="0"/>
        <v>1</v>
      </c>
      <c r="H18" s="362" t="s">
        <v>931</v>
      </c>
      <c r="U18" s="79">
        <f>IFERROR(MatchDay!B18*11,"-")</f>
        <v>66</v>
      </c>
      <c r="V18" s="64" t="str">
        <f t="shared" si="2"/>
        <v>Stockport Harriers &amp; AC</v>
      </c>
      <c r="Y18" s="64" t="str">
        <f t="shared" si="3"/>
        <v>Stock</v>
      </c>
    </row>
    <row r="19" spans="1:25" ht="15" customHeight="1" x14ac:dyDescent="0.35">
      <c r="A19" s="64" t="str">
        <f t="shared" si="1"/>
        <v>218South-West A1</v>
      </c>
      <c r="B19" s="66">
        <v>1</v>
      </c>
      <c r="C19" s="66">
        <v>218</v>
      </c>
      <c r="D19" s="308" t="s">
        <v>596</v>
      </c>
      <c r="E19" s="309" t="s">
        <v>700</v>
      </c>
      <c r="F19" s="66">
        <v>218</v>
      </c>
      <c r="G19" s="66">
        <f t="shared" si="0"/>
        <v>1</v>
      </c>
      <c r="H19" s="362" t="s">
        <v>1068</v>
      </c>
      <c r="U19" s="79">
        <f>IFERROR(MatchDay!B19*11,"-")</f>
        <v>77</v>
      </c>
      <c r="V19" s="64" t="str">
        <f t="shared" si="2"/>
        <v>Wigan &amp; District H &amp; AC</v>
      </c>
      <c r="Y19" s="64" t="str">
        <f t="shared" si="3"/>
        <v>Wigan</v>
      </c>
    </row>
    <row r="20" spans="1:25" ht="15" customHeight="1" x14ac:dyDescent="0.35">
      <c r="A20" s="64" t="str">
        <f t="shared" si="1"/>
        <v>217North-East Division E1</v>
      </c>
      <c r="B20" s="66">
        <v>1</v>
      </c>
      <c r="C20" s="66">
        <v>211</v>
      </c>
      <c r="D20" s="64" t="s">
        <v>318</v>
      </c>
      <c r="E20" s="66" t="s">
        <v>481</v>
      </c>
      <c r="F20" s="66">
        <v>217</v>
      </c>
      <c r="G20" s="66">
        <f t="shared" si="0"/>
        <v>1</v>
      </c>
      <c r="H20" s="362" t="s">
        <v>1069</v>
      </c>
      <c r="U20" s="79" t="str">
        <f>IFERROR(MatchDay!B20*11,"-")</f>
        <v>-</v>
      </c>
      <c r="V20" s="64" t="str">
        <f t="shared" si="2"/>
        <v/>
      </c>
      <c r="Y20" s="64" t="str">
        <f t="shared" si="3"/>
        <v/>
      </c>
    </row>
    <row r="21" spans="1:25" ht="15" customHeight="1" x14ac:dyDescent="0.35">
      <c r="A21" s="64" t="str">
        <f t="shared" si="1"/>
        <v>213North-East Division A2</v>
      </c>
      <c r="B21" s="66">
        <v>2</v>
      </c>
      <c r="C21" s="66">
        <v>199</v>
      </c>
      <c r="D21" s="308" t="s">
        <v>314</v>
      </c>
      <c r="E21" s="309" t="s">
        <v>482</v>
      </c>
      <c r="F21" s="66">
        <v>213</v>
      </c>
      <c r="G21" s="66">
        <f t="shared" si="0"/>
        <v>2</v>
      </c>
      <c r="H21" s="362" t="s">
        <v>1065</v>
      </c>
    </row>
    <row r="22" spans="1:25" ht="15" customHeight="1" x14ac:dyDescent="0.35">
      <c r="A22" s="64" t="str">
        <f t="shared" si="1"/>
        <v>205West 3N2</v>
      </c>
      <c r="B22" s="66">
        <v>2</v>
      </c>
      <c r="C22" s="66">
        <v>21</v>
      </c>
      <c r="D22" s="308" t="s">
        <v>85</v>
      </c>
      <c r="E22" s="309" t="s">
        <v>597</v>
      </c>
      <c r="F22" s="66">
        <v>205</v>
      </c>
      <c r="G22" s="66">
        <f t="shared" si="0"/>
        <v>2</v>
      </c>
      <c r="H22" s="362" t="s">
        <v>944</v>
      </c>
    </row>
    <row r="23" spans="1:25" ht="15" customHeight="1" x14ac:dyDescent="0.35">
      <c r="A23" s="64" t="str">
        <f t="shared" si="1"/>
        <v>233Division 1B2</v>
      </c>
      <c r="B23" s="66">
        <v>2</v>
      </c>
      <c r="C23" s="66">
        <v>173</v>
      </c>
      <c r="D23" s="308" t="s">
        <v>577</v>
      </c>
      <c r="E23" s="309" t="s">
        <v>483</v>
      </c>
      <c r="F23" s="66">
        <v>233</v>
      </c>
      <c r="G23" s="66">
        <f t="shared" si="0"/>
        <v>2</v>
      </c>
      <c r="H23" s="362" t="s">
        <v>931</v>
      </c>
      <c r="U23" s="66"/>
    </row>
    <row r="24" spans="1:25" ht="15" customHeight="1" x14ac:dyDescent="0.35">
      <c r="A24" s="64" t="str">
        <f t="shared" si="1"/>
        <v>216North-East Division D1</v>
      </c>
      <c r="B24" s="66">
        <v>1</v>
      </c>
      <c r="C24" s="66">
        <v>193</v>
      </c>
      <c r="D24" s="64" t="s">
        <v>308</v>
      </c>
      <c r="E24" s="66" t="s">
        <v>484</v>
      </c>
      <c r="F24" s="66">
        <v>216</v>
      </c>
      <c r="G24" s="66">
        <f t="shared" si="0"/>
        <v>1</v>
      </c>
      <c r="H24" s="362" t="s">
        <v>1070</v>
      </c>
      <c r="U24" s="66"/>
    </row>
    <row r="25" spans="1:25" ht="15" customHeight="1" x14ac:dyDescent="0.35">
      <c r="A25" s="64" t="str">
        <f t="shared" si="1"/>
        <v>212Premier South-West1</v>
      </c>
      <c r="B25" s="66">
        <v>1</v>
      </c>
      <c r="C25" s="315">
        <v>219</v>
      </c>
      <c r="D25" s="308" t="s">
        <v>768</v>
      </c>
      <c r="E25" s="309" t="s">
        <v>485</v>
      </c>
      <c r="F25" s="66">
        <v>212</v>
      </c>
      <c r="G25" s="66">
        <f t="shared" si="0"/>
        <v>1</v>
      </c>
      <c r="H25" s="362" t="s">
        <v>1071</v>
      </c>
      <c r="U25" s="66"/>
    </row>
    <row r="26" spans="1:25" ht="15" customHeight="1" x14ac:dyDescent="0.35">
      <c r="A26" s="64" t="str">
        <f t="shared" si="1"/>
        <v>219South-West B1</v>
      </c>
      <c r="B26" s="66">
        <v>1</v>
      </c>
      <c r="C26" s="66">
        <v>220</v>
      </c>
      <c r="D26" s="64" t="s">
        <v>701</v>
      </c>
      <c r="E26" s="66" t="s">
        <v>702</v>
      </c>
      <c r="F26" s="66">
        <v>219</v>
      </c>
      <c r="G26" s="66">
        <f t="shared" si="0"/>
        <v>1</v>
      </c>
      <c r="H26" s="362" t="s">
        <v>1072</v>
      </c>
      <c r="U26" s="66"/>
    </row>
    <row r="27" spans="1:25" ht="15" customHeight="1" x14ac:dyDescent="0.35">
      <c r="A27" s="64" t="str">
        <f t="shared" si="1"/>
        <v>222Division 21</v>
      </c>
      <c r="B27" s="66">
        <v>1</v>
      </c>
      <c r="C27" s="66">
        <v>61</v>
      </c>
      <c r="D27" s="308" t="s">
        <v>381</v>
      </c>
      <c r="E27" s="309" t="s">
        <v>433</v>
      </c>
      <c r="F27" s="66">
        <v>222</v>
      </c>
      <c r="G27" s="66">
        <f t="shared" si="0"/>
        <v>1</v>
      </c>
      <c r="H27" s="362" t="s">
        <v>937</v>
      </c>
      <c r="U27" s="66"/>
    </row>
    <row r="28" spans="1:25" ht="15" customHeight="1" x14ac:dyDescent="0.35">
      <c r="A28" s="64" t="str">
        <f t="shared" si="1"/>
        <v>211Premier North-East2</v>
      </c>
      <c r="B28" s="66">
        <v>2</v>
      </c>
      <c r="C28" s="66">
        <v>188</v>
      </c>
      <c r="D28" s="308" t="s">
        <v>303</v>
      </c>
      <c r="E28" s="309" t="s">
        <v>486</v>
      </c>
      <c r="F28" s="66">
        <v>211</v>
      </c>
      <c r="G28" s="66">
        <f t="shared" si="0"/>
        <v>2</v>
      </c>
      <c r="H28" s="362" t="s">
        <v>1067</v>
      </c>
      <c r="U28" s="66"/>
    </row>
    <row r="29" spans="1:25" ht="15" customHeight="1" x14ac:dyDescent="0.35">
      <c r="A29" s="64" t="str">
        <f t="shared" si="1"/>
        <v>212Premier South-West2</v>
      </c>
      <c r="B29" s="66">
        <v>2</v>
      </c>
      <c r="C29" s="66">
        <v>221</v>
      </c>
      <c r="D29" s="308" t="s">
        <v>325</v>
      </c>
      <c r="E29" s="309" t="s">
        <v>487</v>
      </c>
      <c r="F29" s="66">
        <v>212</v>
      </c>
      <c r="G29" s="66">
        <f t="shared" si="0"/>
        <v>2</v>
      </c>
      <c r="H29" s="362" t="s">
        <v>1071</v>
      </c>
      <c r="U29" s="66"/>
    </row>
    <row r="30" spans="1:25" ht="15" customHeight="1" x14ac:dyDescent="0.35">
      <c r="A30" s="64" t="str">
        <f t="shared" si="1"/>
        <v>203East 11</v>
      </c>
      <c r="B30" s="66">
        <v>1</v>
      </c>
      <c r="C30" s="314">
        <v>7</v>
      </c>
      <c r="D30" s="64" t="s">
        <v>70</v>
      </c>
      <c r="E30" s="66" t="s">
        <v>404</v>
      </c>
      <c r="F30" s="66">
        <v>203</v>
      </c>
      <c r="G30" s="66">
        <f t="shared" si="0"/>
        <v>1</v>
      </c>
      <c r="H30" s="362" t="s">
        <v>942</v>
      </c>
      <c r="U30" s="66"/>
    </row>
    <row r="31" spans="1:25" ht="15" customHeight="1" x14ac:dyDescent="0.35">
      <c r="A31" s="64" t="str">
        <f t="shared" si="1"/>
        <v>232Division 1A2</v>
      </c>
      <c r="B31" s="66">
        <v>2</v>
      </c>
      <c r="C31" s="66">
        <v>105</v>
      </c>
      <c r="D31" s="308" t="s">
        <v>602</v>
      </c>
      <c r="E31" s="309" t="s">
        <v>488</v>
      </c>
      <c r="F31" s="66">
        <v>232</v>
      </c>
      <c r="G31" s="66">
        <f t="shared" si="0"/>
        <v>2</v>
      </c>
      <c r="H31" s="362" t="s">
        <v>936</v>
      </c>
      <c r="U31" s="66"/>
    </row>
    <row r="32" spans="1:25" ht="15" customHeight="1" x14ac:dyDescent="0.35">
      <c r="A32" s="64" t="str">
        <f t="shared" si="1"/>
        <v>234Division 2A3</v>
      </c>
      <c r="B32" s="66">
        <v>3</v>
      </c>
      <c r="C32" s="66">
        <v>93</v>
      </c>
      <c r="D32" s="308" t="s">
        <v>296</v>
      </c>
      <c r="E32" s="309" t="s">
        <v>489</v>
      </c>
      <c r="F32" s="66">
        <v>234</v>
      </c>
      <c r="G32" s="66">
        <f t="shared" si="0"/>
        <v>3</v>
      </c>
      <c r="H32" s="362" t="s">
        <v>938</v>
      </c>
      <c r="U32" s="66"/>
    </row>
    <row r="33" spans="1:21" ht="15" customHeight="1" x14ac:dyDescent="0.35">
      <c r="A33" s="64" t="str">
        <f t="shared" si="1"/>
        <v>203East 12</v>
      </c>
      <c r="B33" s="66">
        <v>2</v>
      </c>
      <c r="C33" s="66">
        <v>8</v>
      </c>
      <c r="D33" s="64" t="s">
        <v>71</v>
      </c>
      <c r="E33" s="66" t="s">
        <v>549</v>
      </c>
      <c r="F33" s="66">
        <v>203</v>
      </c>
      <c r="G33" s="66">
        <f t="shared" si="0"/>
        <v>2</v>
      </c>
      <c r="H33" s="362" t="s">
        <v>942</v>
      </c>
      <c r="U33" s="66"/>
    </row>
    <row r="34" spans="1:21" ht="15" customHeight="1" x14ac:dyDescent="0.35">
      <c r="A34" s="64" t="str">
        <f t="shared" si="1"/>
        <v>217North-East Division E2</v>
      </c>
      <c r="B34" s="66">
        <v>2</v>
      </c>
      <c r="C34" s="66">
        <v>194</v>
      </c>
      <c r="D34" s="308" t="s">
        <v>309</v>
      </c>
      <c r="E34" s="309" t="s">
        <v>338</v>
      </c>
      <c r="F34" s="66">
        <v>217</v>
      </c>
      <c r="G34" s="66">
        <f t="shared" ref="G34:G65" si="4">B34</f>
        <v>2</v>
      </c>
      <c r="H34" s="362" t="s">
        <v>1069</v>
      </c>
      <c r="U34" s="66"/>
    </row>
    <row r="35" spans="1:21" ht="15" customHeight="1" x14ac:dyDescent="0.35">
      <c r="A35" s="64" t="str">
        <f t="shared" si="1"/>
        <v>201Premier East1</v>
      </c>
      <c r="B35" s="66">
        <v>1</v>
      </c>
      <c r="C35" s="66">
        <v>41</v>
      </c>
      <c r="D35" s="308" t="s">
        <v>78</v>
      </c>
      <c r="E35" s="309" t="s">
        <v>420</v>
      </c>
      <c r="F35" s="66">
        <v>201</v>
      </c>
      <c r="G35" s="66">
        <f t="shared" si="4"/>
        <v>1</v>
      </c>
      <c r="H35" s="362" t="s">
        <v>964</v>
      </c>
      <c r="U35" s="66"/>
    </row>
    <row r="36" spans="1:21" ht="15" customHeight="1" x14ac:dyDescent="0.35">
      <c r="A36" s="64" t="str">
        <f t="shared" si="1"/>
        <v>206West 3S2</v>
      </c>
      <c r="B36" s="66">
        <v>2</v>
      </c>
      <c r="C36" s="314">
        <v>27</v>
      </c>
      <c r="D36" s="64" t="s">
        <v>703</v>
      </c>
      <c r="E36" s="66" t="s">
        <v>704</v>
      </c>
      <c r="F36" s="66">
        <v>206</v>
      </c>
      <c r="G36" s="66">
        <f t="shared" si="4"/>
        <v>2</v>
      </c>
      <c r="H36" s="362" t="s">
        <v>943</v>
      </c>
      <c r="U36" s="66"/>
    </row>
    <row r="37" spans="1:21" ht="15" customHeight="1" x14ac:dyDescent="0.35">
      <c r="A37" s="64" t="str">
        <f t="shared" si="1"/>
        <v>211Premier North-East3</v>
      </c>
      <c r="B37" s="66">
        <v>3</v>
      </c>
      <c r="C37" s="66">
        <v>195</v>
      </c>
      <c r="D37" s="308" t="s">
        <v>310</v>
      </c>
      <c r="E37" s="309" t="s">
        <v>490</v>
      </c>
      <c r="F37" s="66">
        <v>211</v>
      </c>
      <c r="G37" s="66">
        <f t="shared" si="4"/>
        <v>3</v>
      </c>
      <c r="H37" s="362" t="s">
        <v>1067</v>
      </c>
      <c r="U37" s="66"/>
    </row>
    <row r="38" spans="1:21" ht="15" customHeight="1" x14ac:dyDescent="0.35">
      <c r="A38" s="64" t="str">
        <f t="shared" si="1"/>
        <v>233Division 1B3</v>
      </c>
      <c r="B38" s="66">
        <v>3</v>
      </c>
      <c r="C38" s="66">
        <v>99</v>
      </c>
      <c r="D38" s="308" t="s">
        <v>286</v>
      </c>
      <c r="E38" s="309" t="s">
        <v>491</v>
      </c>
      <c r="F38" s="66">
        <v>233</v>
      </c>
      <c r="G38" s="66">
        <f t="shared" si="4"/>
        <v>3</v>
      </c>
      <c r="H38" s="362" t="s">
        <v>931</v>
      </c>
      <c r="U38" s="66"/>
    </row>
    <row r="39" spans="1:21" ht="15" customHeight="1" x14ac:dyDescent="0.35">
      <c r="A39" s="64" t="str">
        <f t="shared" si="1"/>
        <v>207West 21</v>
      </c>
      <c r="B39" s="66">
        <v>1</v>
      </c>
      <c r="C39" s="66">
        <v>9</v>
      </c>
      <c r="D39" s="308" t="s">
        <v>80</v>
      </c>
      <c r="E39" s="309" t="s">
        <v>405</v>
      </c>
      <c r="F39" s="66">
        <v>207</v>
      </c>
      <c r="G39" s="66">
        <f t="shared" si="4"/>
        <v>1</v>
      </c>
      <c r="H39" s="362" t="s">
        <v>941</v>
      </c>
      <c r="U39" s="66"/>
    </row>
    <row r="40" spans="1:21" ht="15" customHeight="1" x14ac:dyDescent="0.35">
      <c r="A40" s="64" t="str">
        <f t="shared" si="1"/>
        <v>233Division 1B4</v>
      </c>
      <c r="B40" s="66">
        <v>4</v>
      </c>
      <c r="C40" s="66">
        <v>74</v>
      </c>
      <c r="D40" s="308" t="s">
        <v>295</v>
      </c>
      <c r="E40" s="309" t="s">
        <v>492</v>
      </c>
      <c r="F40" s="66">
        <v>233</v>
      </c>
      <c r="G40" s="66">
        <f t="shared" si="4"/>
        <v>4</v>
      </c>
      <c r="H40" s="362" t="s">
        <v>931</v>
      </c>
      <c r="U40" s="66"/>
    </row>
    <row r="41" spans="1:21" ht="15" customHeight="1" x14ac:dyDescent="0.35">
      <c r="A41" s="64" t="str">
        <f t="shared" si="1"/>
        <v>235Division 2B2</v>
      </c>
      <c r="B41" s="66">
        <v>2</v>
      </c>
      <c r="C41" s="66">
        <v>131</v>
      </c>
      <c r="D41" s="308" t="s">
        <v>705</v>
      </c>
      <c r="E41" s="309" t="s">
        <v>493</v>
      </c>
      <c r="F41" s="66">
        <v>235</v>
      </c>
      <c r="G41" s="66">
        <f t="shared" si="4"/>
        <v>2</v>
      </c>
      <c r="H41" s="362" t="s">
        <v>932</v>
      </c>
    </row>
    <row r="42" spans="1:21" ht="15" customHeight="1" x14ac:dyDescent="0.35">
      <c r="A42" s="64" t="str">
        <f t="shared" si="1"/>
        <v>215North-East Division C1</v>
      </c>
      <c r="B42" s="66">
        <v>1</v>
      </c>
      <c r="C42" s="66">
        <v>207</v>
      </c>
      <c r="D42" s="64" t="s">
        <v>706</v>
      </c>
      <c r="E42" s="66" t="s">
        <v>494</v>
      </c>
      <c r="F42" s="66">
        <v>215</v>
      </c>
      <c r="G42" s="66">
        <f t="shared" si="4"/>
        <v>1</v>
      </c>
      <c r="H42" s="362" t="s">
        <v>1073</v>
      </c>
    </row>
    <row r="43" spans="1:21" ht="15" customHeight="1" x14ac:dyDescent="0.35">
      <c r="A43" s="64" t="str">
        <f t="shared" si="1"/>
        <v>204West 13</v>
      </c>
      <c r="B43" s="66">
        <v>3</v>
      </c>
      <c r="C43" s="66">
        <v>28</v>
      </c>
      <c r="D43" s="64" t="s">
        <v>554</v>
      </c>
      <c r="E43" s="66" t="s">
        <v>411</v>
      </c>
      <c r="F43" s="66">
        <v>204</v>
      </c>
      <c r="G43" s="66">
        <f t="shared" si="4"/>
        <v>3</v>
      </c>
      <c r="H43" s="362" t="s">
        <v>940</v>
      </c>
    </row>
    <row r="44" spans="1:21" ht="15" customHeight="1" x14ac:dyDescent="0.35">
      <c r="A44" s="64" t="str">
        <f t="shared" si="1"/>
        <v>213North-East Division A3</v>
      </c>
      <c r="B44" s="66">
        <v>3</v>
      </c>
      <c r="C44" s="314">
        <v>200</v>
      </c>
      <c r="D44" s="308" t="s">
        <v>315</v>
      </c>
      <c r="E44" s="309" t="s">
        <v>707</v>
      </c>
      <c r="F44" s="66">
        <v>213</v>
      </c>
      <c r="G44" s="66">
        <f t="shared" si="4"/>
        <v>3</v>
      </c>
      <c r="H44" s="362" t="s">
        <v>1065</v>
      </c>
    </row>
    <row r="45" spans="1:21" ht="15" customHeight="1" x14ac:dyDescent="0.35">
      <c r="A45" s="64" t="str">
        <f t="shared" si="1"/>
        <v>203East 13</v>
      </c>
      <c r="B45" s="66">
        <v>3</v>
      </c>
      <c r="C45" s="66">
        <v>42</v>
      </c>
      <c r="D45" s="308" t="s">
        <v>77</v>
      </c>
      <c r="E45" s="309" t="s">
        <v>421</v>
      </c>
      <c r="F45" s="66">
        <v>203</v>
      </c>
      <c r="G45" s="66">
        <f t="shared" si="4"/>
        <v>3</v>
      </c>
      <c r="H45" s="310" t="s">
        <v>942</v>
      </c>
    </row>
    <row r="46" spans="1:21" ht="15" customHeight="1" x14ac:dyDescent="0.35">
      <c r="A46" s="64" t="str">
        <f t="shared" si="1"/>
        <v>216North-East Division D2</v>
      </c>
      <c r="B46" s="66">
        <v>2</v>
      </c>
      <c r="C46" s="66">
        <v>212</v>
      </c>
      <c r="D46" s="308" t="s">
        <v>319</v>
      </c>
      <c r="E46" s="309" t="s">
        <v>495</v>
      </c>
      <c r="F46" s="66">
        <v>216</v>
      </c>
      <c r="G46" s="66">
        <f t="shared" si="4"/>
        <v>2</v>
      </c>
      <c r="H46" s="362" t="s">
        <v>1070</v>
      </c>
    </row>
    <row r="47" spans="1:21" ht="15" customHeight="1" x14ac:dyDescent="0.35">
      <c r="A47" s="64" t="str">
        <f t="shared" si="1"/>
        <v>223North-East4</v>
      </c>
      <c r="B47" s="66">
        <v>4</v>
      </c>
      <c r="C47" s="66">
        <v>103</v>
      </c>
      <c r="D47" s="64" t="s">
        <v>384</v>
      </c>
      <c r="E47" s="66" t="s">
        <v>434</v>
      </c>
      <c r="F47" s="66">
        <v>223</v>
      </c>
      <c r="G47" s="66">
        <f t="shared" si="4"/>
        <v>4</v>
      </c>
      <c r="H47" s="85" t="s">
        <v>1064</v>
      </c>
    </row>
    <row r="48" spans="1:21" ht="15" customHeight="1" x14ac:dyDescent="0.35">
      <c r="A48" s="64" t="str">
        <f t="shared" si="1"/>
        <v>222Division 23</v>
      </c>
      <c r="B48" s="66">
        <v>3</v>
      </c>
      <c r="C48" s="66">
        <v>104</v>
      </c>
      <c r="D48" s="308" t="s">
        <v>696</v>
      </c>
      <c r="E48" s="309" t="s">
        <v>708</v>
      </c>
      <c r="F48" s="66">
        <v>222</v>
      </c>
      <c r="G48" s="66">
        <f t="shared" si="4"/>
        <v>3</v>
      </c>
      <c r="H48" s="85" t="s">
        <v>937</v>
      </c>
    </row>
    <row r="49" spans="1:8" ht="15" customHeight="1" x14ac:dyDescent="0.35">
      <c r="A49" s="64" t="str">
        <f t="shared" si="1"/>
        <v>207West 22</v>
      </c>
      <c r="B49" s="66">
        <v>2</v>
      </c>
      <c r="C49" s="66">
        <v>22</v>
      </c>
      <c r="D49" s="308" t="s">
        <v>387</v>
      </c>
      <c r="E49" s="309" t="s">
        <v>709</v>
      </c>
      <c r="F49" s="66">
        <v>207</v>
      </c>
      <c r="G49" s="66">
        <f t="shared" si="4"/>
        <v>2</v>
      </c>
      <c r="H49" s="85" t="s">
        <v>941</v>
      </c>
    </row>
    <row r="50" spans="1:8" ht="15" customHeight="1" x14ac:dyDescent="0.35">
      <c r="A50" s="64" t="str">
        <f t="shared" si="1"/>
        <v>221Division 11</v>
      </c>
      <c r="B50" s="66">
        <v>1</v>
      </c>
      <c r="C50" s="66">
        <v>113</v>
      </c>
      <c r="D50" s="64" t="s">
        <v>389</v>
      </c>
      <c r="E50" s="66" t="s">
        <v>435</v>
      </c>
      <c r="F50" s="66">
        <v>221</v>
      </c>
      <c r="G50" s="66">
        <f t="shared" si="4"/>
        <v>1</v>
      </c>
      <c r="H50" s="85" t="s">
        <v>935</v>
      </c>
    </row>
    <row r="51" spans="1:8" ht="15" customHeight="1" x14ac:dyDescent="0.35">
      <c r="A51" s="64" t="str">
        <f t="shared" si="1"/>
        <v>203East 14</v>
      </c>
      <c r="B51" s="66">
        <v>4</v>
      </c>
      <c r="C51" s="66">
        <v>1</v>
      </c>
      <c r="D51" s="64" t="s">
        <v>754</v>
      </c>
      <c r="E51" s="66" t="s">
        <v>400</v>
      </c>
      <c r="F51" s="66">
        <v>203</v>
      </c>
      <c r="G51" s="66">
        <f t="shared" si="4"/>
        <v>4</v>
      </c>
      <c r="H51" s="85" t="s">
        <v>942</v>
      </c>
    </row>
    <row r="52" spans="1:8" ht="15" customHeight="1" x14ac:dyDescent="0.35">
      <c r="A52" s="64" t="str">
        <f t="shared" si="1"/>
        <v>221Division 12</v>
      </c>
      <c r="B52" s="66">
        <v>2</v>
      </c>
      <c r="C52" s="66">
        <v>127</v>
      </c>
      <c r="D52" s="308" t="s">
        <v>605</v>
      </c>
      <c r="E52" s="309" t="s">
        <v>436</v>
      </c>
      <c r="F52" s="66">
        <v>221</v>
      </c>
      <c r="G52" s="66">
        <f t="shared" si="4"/>
        <v>2</v>
      </c>
      <c r="H52" s="362" t="s">
        <v>935</v>
      </c>
    </row>
    <row r="53" spans="1:8" ht="15" customHeight="1" x14ac:dyDescent="0.35">
      <c r="A53" s="64" t="str">
        <f t="shared" si="1"/>
        <v>218South-West A2</v>
      </c>
      <c r="B53" s="66">
        <v>2</v>
      </c>
      <c r="C53" s="316">
        <v>226</v>
      </c>
      <c r="D53" s="308" t="s">
        <v>327</v>
      </c>
      <c r="E53" s="309" t="s">
        <v>496</v>
      </c>
      <c r="F53" s="66">
        <v>218</v>
      </c>
      <c r="G53" s="66">
        <f t="shared" si="4"/>
        <v>2</v>
      </c>
      <c r="H53" s="85" t="s">
        <v>1068</v>
      </c>
    </row>
    <row r="54" spans="1:8" ht="15" customHeight="1" x14ac:dyDescent="0.35">
      <c r="A54" s="64" t="str">
        <f t="shared" si="1"/>
        <v>232Division 1A3</v>
      </c>
      <c r="B54" s="66">
        <v>3</v>
      </c>
      <c r="C54" s="66">
        <v>100</v>
      </c>
      <c r="D54" s="308" t="s">
        <v>285</v>
      </c>
      <c r="E54" s="309" t="s">
        <v>497</v>
      </c>
      <c r="F54" s="66">
        <v>232</v>
      </c>
      <c r="G54" s="66">
        <f t="shared" si="4"/>
        <v>3</v>
      </c>
      <c r="H54" s="85" t="s">
        <v>936</v>
      </c>
    </row>
    <row r="55" spans="1:8" ht="15" customHeight="1" x14ac:dyDescent="0.35">
      <c r="A55" s="64" t="str">
        <f t="shared" si="1"/>
        <v>217North-East Division E3</v>
      </c>
      <c r="B55" s="66">
        <v>3</v>
      </c>
      <c r="C55" s="66">
        <v>213</v>
      </c>
      <c r="D55" s="308" t="s">
        <v>320</v>
      </c>
      <c r="E55" s="309" t="s">
        <v>498</v>
      </c>
      <c r="F55" s="66">
        <v>217</v>
      </c>
      <c r="G55" s="66">
        <f t="shared" si="4"/>
        <v>3</v>
      </c>
      <c r="H55" s="85" t="s">
        <v>1069</v>
      </c>
    </row>
    <row r="56" spans="1:8" ht="15" customHeight="1" x14ac:dyDescent="0.35">
      <c r="A56" s="64" t="str">
        <f t="shared" si="1"/>
        <v>201Premier East2</v>
      </c>
      <c r="B56" s="66">
        <v>2</v>
      </c>
      <c r="C56" s="66">
        <v>43</v>
      </c>
      <c r="D56" s="308" t="s">
        <v>756</v>
      </c>
      <c r="E56" s="309" t="s">
        <v>422</v>
      </c>
      <c r="F56" s="66">
        <v>201</v>
      </c>
      <c r="G56" s="66">
        <f t="shared" si="4"/>
        <v>2</v>
      </c>
      <c r="H56" s="85" t="s">
        <v>964</v>
      </c>
    </row>
    <row r="57" spans="1:8" ht="15" customHeight="1" x14ac:dyDescent="0.35">
      <c r="A57" s="64" t="str">
        <f t="shared" si="1"/>
        <v>201Premier East3</v>
      </c>
      <c r="B57" s="66">
        <v>3</v>
      </c>
      <c r="C57" s="314">
        <v>10</v>
      </c>
      <c r="D57" s="64" t="s">
        <v>755</v>
      </c>
      <c r="E57" s="66" t="s">
        <v>710</v>
      </c>
      <c r="F57" s="66">
        <v>201</v>
      </c>
      <c r="G57" s="66">
        <f t="shared" si="4"/>
        <v>3</v>
      </c>
      <c r="H57" s="362" t="s">
        <v>964</v>
      </c>
    </row>
    <row r="58" spans="1:8" ht="15" customHeight="1" x14ac:dyDescent="0.35">
      <c r="A58" s="64" t="str">
        <f t="shared" si="1"/>
        <v>235Division 2B3</v>
      </c>
      <c r="B58" s="66">
        <v>3</v>
      </c>
      <c r="C58" s="66">
        <v>89</v>
      </c>
      <c r="D58" s="308" t="s">
        <v>293</v>
      </c>
      <c r="E58" s="309" t="s">
        <v>499</v>
      </c>
      <c r="F58" s="66">
        <v>235</v>
      </c>
      <c r="G58" s="66">
        <f t="shared" si="4"/>
        <v>3</v>
      </c>
      <c r="H58" s="362" t="s">
        <v>932</v>
      </c>
    </row>
    <row r="59" spans="1:8" ht="15" customHeight="1" x14ac:dyDescent="0.35">
      <c r="A59" s="64" t="str">
        <f t="shared" si="1"/>
        <v>231Premier3</v>
      </c>
      <c r="B59" s="66">
        <v>3</v>
      </c>
      <c r="C59" s="66">
        <v>94</v>
      </c>
      <c r="D59" s="64" t="s">
        <v>297</v>
      </c>
      <c r="E59" s="66" t="s">
        <v>500</v>
      </c>
      <c r="F59" s="66">
        <v>231</v>
      </c>
      <c r="G59" s="66">
        <f t="shared" si="4"/>
        <v>3</v>
      </c>
      <c r="H59" s="362" t="s">
        <v>933</v>
      </c>
    </row>
    <row r="60" spans="1:8" ht="15" customHeight="1" x14ac:dyDescent="0.35">
      <c r="A60" s="64" t="str">
        <f t="shared" si="1"/>
        <v>233Division 1B5</v>
      </c>
      <c r="B60" s="66">
        <v>5</v>
      </c>
      <c r="C60" s="66">
        <v>121</v>
      </c>
      <c r="D60" s="64" t="s">
        <v>299</v>
      </c>
      <c r="E60" s="66" t="s">
        <v>711</v>
      </c>
      <c r="F60" s="66">
        <v>233</v>
      </c>
      <c r="G60" s="66">
        <f t="shared" si="4"/>
        <v>5</v>
      </c>
      <c r="H60" s="362" t="s">
        <v>931</v>
      </c>
    </row>
    <row r="61" spans="1:8" ht="15" customHeight="1" x14ac:dyDescent="0.35">
      <c r="A61" s="64" t="str">
        <f t="shared" si="1"/>
        <v>232Division 1A4</v>
      </c>
      <c r="B61" s="66">
        <v>4</v>
      </c>
      <c r="C61" s="66">
        <v>133</v>
      </c>
      <c r="D61" s="308" t="s">
        <v>292</v>
      </c>
      <c r="E61" s="309" t="s">
        <v>712</v>
      </c>
      <c r="F61" s="66">
        <v>232</v>
      </c>
      <c r="G61" s="66">
        <f t="shared" si="4"/>
        <v>4</v>
      </c>
      <c r="H61" s="362" t="s">
        <v>936</v>
      </c>
    </row>
    <row r="62" spans="1:8" ht="15" customHeight="1" x14ac:dyDescent="0.35">
      <c r="A62" s="64" t="str">
        <f t="shared" si="1"/>
        <v>236Division 3A1</v>
      </c>
      <c r="B62" s="66">
        <v>1</v>
      </c>
      <c r="C62" s="66">
        <v>139</v>
      </c>
      <c r="D62" s="64" t="s">
        <v>578</v>
      </c>
      <c r="E62" s="66" t="s">
        <v>501</v>
      </c>
      <c r="F62" s="66">
        <v>236</v>
      </c>
      <c r="G62" s="66">
        <f t="shared" si="4"/>
        <v>1</v>
      </c>
      <c r="H62" s="362" t="s">
        <v>934</v>
      </c>
    </row>
    <row r="63" spans="1:8" ht="15" customHeight="1" x14ac:dyDescent="0.35">
      <c r="A63" s="64" t="str">
        <f t="shared" si="1"/>
        <v>205West 3N3</v>
      </c>
      <c r="B63" s="66">
        <v>3</v>
      </c>
      <c r="C63" s="314">
        <v>37</v>
      </c>
      <c r="D63" s="64" t="s">
        <v>82</v>
      </c>
      <c r="E63" s="66" t="s">
        <v>417</v>
      </c>
      <c r="F63" s="66">
        <v>205</v>
      </c>
      <c r="G63" s="66">
        <f t="shared" si="4"/>
        <v>3</v>
      </c>
      <c r="H63" s="362" t="s">
        <v>944</v>
      </c>
    </row>
    <row r="64" spans="1:8" ht="15" customHeight="1" x14ac:dyDescent="0.35">
      <c r="A64" s="64" t="str">
        <f t="shared" si="1"/>
        <v>223North-East5</v>
      </c>
      <c r="B64" s="66">
        <v>5</v>
      </c>
      <c r="C64" s="66">
        <v>303</v>
      </c>
      <c r="D64" s="308" t="s">
        <v>764</v>
      </c>
      <c r="E64" s="309" t="s">
        <v>437</v>
      </c>
      <c r="F64" s="66">
        <v>223</v>
      </c>
      <c r="G64" s="66">
        <f t="shared" si="4"/>
        <v>5</v>
      </c>
      <c r="H64" s="85" t="s">
        <v>1064</v>
      </c>
    </row>
    <row r="65" spans="1:8" ht="15" customHeight="1" x14ac:dyDescent="0.35">
      <c r="A65" s="64" t="str">
        <f t="shared" si="1"/>
        <v>216North-East Division D3</v>
      </c>
      <c r="B65" s="66">
        <v>3</v>
      </c>
      <c r="C65" s="315">
        <v>214</v>
      </c>
      <c r="D65" s="308" t="s">
        <v>321</v>
      </c>
      <c r="E65" s="309" t="s">
        <v>502</v>
      </c>
      <c r="F65" s="66">
        <v>216</v>
      </c>
      <c r="G65" s="66">
        <f t="shared" si="4"/>
        <v>3</v>
      </c>
      <c r="H65" s="85" t="s">
        <v>1070</v>
      </c>
    </row>
    <row r="66" spans="1:8" ht="15" customHeight="1" x14ac:dyDescent="0.35">
      <c r="A66" s="64" t="str">
        <f t="shared" si="1"/>
        <v>222Division 26</v>
      </c>
      <c r="B66" s="66">
        <v>6</v>
      </c>
      <c r="C66" s="66">
        <v>170</v>
      </c>
      <c r="D66" s="308" t="s">
        <v>391</v>
      </c>
      <c r="E66" s="309" t="s">
        <v>438</v>
      </c>
      <c r="F66" s="66">
        <v>222</v>
      </c>
      <c r="G66" s="66">
        <f t="shared" ref="G66:G97" si="5">B66</f>
        <v>6</v>
      </c>
      <c r="H66" s="85" t="s">
        <v>937</v>
      </c>
    </row>
    <row r="67" spans="1:8" ht="15" customHeight="1" x14ac:dyDescent="0.35">
      <c r="A67" s="64" t="str">
        <f t="shared" ref="A67:A126" si="6">F67&amp;H67&amp;B67</f>
        <v>221Division 13</v>
      </c>
      <c r="B67" s="66">
        <v>3</v>
      </c>
      <c r="C67" s="66">
        <v>294</v>
      </c>
      <c r="D67" s="308" t="s">
        <v>761</v>
      </c>
      <c r="E67" s="309" t="s">
        <v>439</v>
      </c>
      <c r="F67" s="66">
        <v>221</v>
      </c>
      <c r="G67" s="66">
        <f t="shared" si="5"/>
        <v>3</v>
      </c>
      <c r="H67" s="362" t="s">
        <v>935</v>
      </c>
    </row>
    <row r="68" spans="1:8" ht="15" customHeight="1" x14ac:dyDescent="0.35">
      <c r="A68" s="64" t="str">
        <f t="shared" si="6"/>
        <v>234Division 2A4</v>
      </c>
      <c r="B68" s="66">
        <v>4</v>
      </c>
      <c r="C68" s="66">
        <v>102</v>
      </c>
      <c r="D68" s="308" t="s">
        <v>758</v>
      </c>
      <c r="E68" s="309" t="s">
        <v>713</v>
      </c>
      <c r="F68" s="66">
        <v>234</v>
      </c>
      <c r="G68" s="66">
        <f t="shared" si="5"/>
        <v>4</v>
      </c>
      <c r="H68" s="85" t="s">
        <v>938</v>
      </c>
    </row>
    <row r="69" spans="1:8" ht="15" customHeight="1" x14ac:dyDescent="0.35">
      <c r="A69" s="64" t="str">
        <f t="shared" si="6"/>
        <v>201Premier East4</v>
      </c>
      <c r="B69" s="66">
        <v>4</v>
      </c>
      <c r="C69" s="66">
        <v>44</v>
      </c>
      <c r="D69" s="308" t="s">
        <v>73</v>
      </c>
      <c r="E69" s="309" t="s">
        <v>913</v>
      </c>
      <c r="F69" s="66">
        <v>201</v>
      </c>
      <c r="G69" s="66">
        <f t="shared" si="5"/>
        <v>4</v>
      </c>
      <c r="H69" s="85" t="s">
        <v>964</v>
      </c>
    </row>
    <row r="70" spans="1:8" ht="15" customHeight="1" x14ac:dyDescent="0.35">
      <c r="A70" s="64" t="str">
        <f t="shared" si="6"/>
        <v>205West 3N4</v>
      </c>
      <c r="B70" s="66">
        <v>4</v>
      </c>
      <c r="C70" s="66">
        <v>13</v>
      </c>
      <c r="D70" s="308" t="s">
        <v>147</v>
      </c>
      <c r="E70" s="309" t="s">
        <v>407</v>
      </c>
      <c r="F70" s="66">
        <v>205</v>
      </c>
      <c r="G70" s="66">
        <f t="shared" si="5"/>
        <v>4</v>
      </c>
      <c r="H70" s="362" t="s">
        <v>944</v>
      </c>
    </row>
    <row r="71" spans="1:8" ht="15" customHeight="1" x14ac:dyDescent="0.35">
      <c r="A71" s="64" t="str">
        <f t="shared" si="6"/>
        <v>201Premier East5</v>
      </c>
      <c r="B71" s="66">
        <v>5</v>
      </c>
      <c r="C71" s="66">
        <v>2</v>
      </c>
      <c r="D71" s="308" t="s">
        <v>74</v>
      </c>
      <c r="E71" s="309" t="s">
        <v>401</v>
      </c>
      <c r="F71" s="66">
        <v>201</v>
      </c>
      <c r="G71" s="66">
        <f t="shared" si="5"/>
        <v>5</v>
      </c>
      <c r="H71" s="85" t="s">
        <v>964</v>
      </c>
    </row>
    <row r="72" spans="1:8" ht="15" customHeight="1" x14ac:dyDescent="0.35">
      <c r="A72" s="64" t="str">
        <f t="shared" si="6"/>
        <v>215North-East Division C2</v>
      </c>
      <c r="B72" s="66">
        <v>2</v>
      </c>
      <c r="C72" s="66">
        <v>196</v>
      </c>
      <c r="D72" s="308" t="s">
        <v>311</v>
      </c>
      <c r="E72" s="309" t="s">
        <v>504</v>
      </c>
      <c r="F72" s="66">
        <v>215</v>
      </c>
      <c r="G72" s="66">
        <f t="shared" si="5"/>
        <v>2</v>
      </c>
      <c r="H72" s="85" t="s">
        <v>1073</v>
      </c>
    </row>
    <row r="73" spans="1:8" ht="15" customHeight="1" x14ac:dyDescent="0.35">
      <c r="A73" s="64" t="str">
        <f t="shared" si="6"/>
        <v>207West 23</v>
      </c>
      <c r="B73" s="66">
        <v>3</v>
      </c>
      <c r="C73" s="66">
        <v>14</v>
      </c>
      <c r="D73" s="308" t="s">
        <v>748</v>
      </c>
      <c r="E73" s="309" t="s">
        <v>505</v>
      </c>
      <c r="F73" s="66">
        <v>207</v>
      </c>
      <c r="G73" s="66">
        <f t="shared" si="5"/>
        <v>3</v>
      </c>
      <c r="H73" s="85" t="s">
        <v>941</v>
      </c>
    </row>
    <row r="74" spans="1:8" ht="15" customHeight="1" x14ac:dyDescent="0.35">
      <c r="A74" s="64" t="str">
        <f t="shared" si="6"/>
        <v>235Division 2B4</v>
      </c>
      <c r="B74" s="66">
        <v>4</v>
      </c>
      <c r="C74" s="314">
        <v>115</v>
      </c>
      <c r="D74" s="308" t="s">
        <v>287</v>
      </c>
      <c r="E74" s="309" t="s">
        <v>341</v>
      </c>
      <c r="F74" s="66">
        <v>235</v>
      </c>
      <c r="G74" s="66">
        <f t="shared" si="5"/>
        <v>4</v>
      </c>
      <c r="H74" s="85" t="s">
        <v>932</v>
      </c>
    </row>
    <row r="75" spans="1:8" ht="15" customHeight="1" x14ac:dyDescent="0.35">
      <c r="A75" s="64" t="str">
        <f t="shared" si="6"/>
        <v>201Premier East6</v>
      </c>
      <c r="B75" s="66">
        <v>6</v>
      </c>
      <c r="C75" s="315">
        <v>48</v>
      </c>
      <c r="D75" s="308" t="s">
        <v>79</v>
      </c>
      <c r="E75" s="309" t="s">
        <v>424</v>
      </c>
      <c r="F75" s="66">
        <v>201</v>
      </c>
      <c r="G75" s="66">
        <f t="shared" si="5"/>
        <v>6</v>
      </c>
      <c r="H75" s="85" t="s">
        <v>964</v>
      </c>
    </row>
    <row r="76" spans="1:8" ht="15" customHeight="1" x14ac:dyDescent="0.35">
      <c r="A76" s="64" t="str">
        <f t="shared" si="6"/>
        <v>202Premier West2</v>
      </c>
      <c r="B76" s="66">
        <v>2</v>
      </c>
      <c r="C76" s="315">
        <v>3</v>
      </c>
      <c r="D76" s="308" t="s">
        <v>753</v>
      </c>
      <c r="E76" s="309" t="s">
        <v>402</v>
      </c>
      <c r="F76" s="66">
        <v>202</v>
      </c>
      <c r="G76" s="66">
        <f t="shared" si="5"/>
        <v>2</v>
      </c>
      <c r="H76" s="85" t="s">
        <v>939</v>
      </c>
    </row>
    <row r="77" spans="1:8" ht="15" customHeight="1" x14ac:dyDescent="0.35">
      <c r="A77" s="64" t="str">
        <f t="shared" si="6"/>
        <v>207West 24</v>
      </c>
      <c r="B77" s="66">
        <v>4</v>
      </c>
      <c r="C77" s="66">
        <v>23</v>
      </c>
      <c r="D77" s="308" t="s">
        <v>749</v>
      </c>
      <c r="E77" s="309" t="s">
        <v>409</v>
      </c>
      <c r="F77" s="66">
        <v>207</v>
      </c>
      <c r="G77" s="66">
        <f t="shared" si="5"/>
        <v>4</v>
      </c>
      <c r="H77" s="85" t="s">
        <v>941</v>
      </c>
    </row>
    <row r="78" spans="1:8" ht="15" customHeight="1" x14ac:dyDescent="0.35">
      <c r="A78" s="64" t="str">
        <f t="shared" si="6"/>
        <v>213North-East Division A4</v>
      </c>
      <c r="B78" s="66">
        <v>4</v>
      </c>
      <c r="C78" s="66">
        <v>201</v>
      </c>
      <c r="D78" s="64" t="s">
        <v>765</v>
      </c>
      <c r="E78" s="66" t="s">
        <v>506</v>
      </c>
      <c r="F78" s="66">
        <v>213</v>
      </c>
      <c r="G78" s="66">
        <f t="shared" si="5"/>
        <v>4</v>
      </c>
      <c r="H78" s="362" t="s">
        <v>1065</v>
      </c>
    </row>
    <row r="79" spans="1:8" ht="15" customHeight="1" x14ac:dyDescent="0.35">
      <c r="A79" s="64" t="str">
        <f t="shared" si="6"/>
        <v>211Premier North-East4</v>
      </c>
      <c r="B79" s="66">
        <v>4</v>
      </c>
      <c r="C79" s="314">
        <v>189</v>
      </c>
      <c r="D79" s="64" t="s">
        <v>304</v>
      </c>
      <c r="E79" s="66" t="s">
        <v>552</v>
      </c>
      <c r="F79" s="66">
        <v>211</v>
      </c>
      <c r="G79" s="66">
        <f t="shared" si="5"/>
        <v>4</v>
      </c>
      <c r="H79" s="362" t="s">
        <v>1067</v>
      </c>
    </row>
    <row r="80" spans="1:8" ht="15" customHeight="1" x14ac:dyDescent="0.35">
      <c r="A80" s="64" t="str">
        <f t="shared" si="6"/>
        <v>207West 25</v>
      </c>
      <c r="B80" s="66">
        <v>5</v>
      </c>
      <c r="C80" s="66">
        <v>24</v>
      </c>
      <c r="D80" s="64" t="s">
        <v>579</v>
      </c>
      <c r="E80" s="66" t="s">
        <v>507</v>
      </c>
      <c r="F80" s="66">
        <v>207</v>
      </c>
      <c r="G80" s="66">
        <f t="shared" si="5"/>
        <v>5</v>
      </c>
      <c r="H80" s="362" t="s">
        <v>941</v>
      </c>
    </row>
    <row r="81" spans="1:8" ht="15" customHeight="1" x14ac:dyDescent="0.35">
      <c r="A81" s="64" t="str">
        <f t="shared" si="6"/>
        <v>219South-West B3</v>
      </c>
      <c r="B81" s="66">
        <v>3</v>
      </c>
      <c r="C81" s="66">
        <v>233</v>
      </c>
      <c r="D81" s="308" t="s">
        <v>330</v>
      </c>
      <c r="E81" s="309" t="s">
        <v>508</v>
      </c>
      <c r="F81" s="66">
        <v>219</v>
      </c>
      <c r="G81" s="66">
        <f t="shared" si="5"/>
        <v>3</v>
      </c>
      <c r="H81" s="362" t="s">
        <v>1072</v>
      </c>
    </row>
    <row r="82" spans="1:8" ht="15" customHeight="1" x14ac:dyDescent="0.35">
      <c r="A82" s="64" t="str">
        <f t="shared" si="6"/>
        <v>212Premier South-West3</v>
      </c>
      <c r="B82" s="66">
        <v>3</v>
      </c>
      <c r="C82" s="309">
        <v>234</v>
      </c>
      <c r="D82" s="308" t="s">
        <v>331</v>
      </c>
      <c r="E82" s="309" t="s">
        <v>509</v>
      </c>
      <c r="F82" s="66">
        <v>212</v>
      </c>
      <c r="G82" s="66">
        <f t="shared" si="5"/>
        <v>3</v>
      </c>
      <c r="H82" s="362" t="s">
        <v>1071</v>
      </c>
    </row>
    <row r="83" spans="1:8" ht="15" customHeight="1" x14ac:dyDescent="0.35">
      <c r="A83" s="64" t="str">
        <f t="shared" si="6"/>
        <v>219South-West B4</v>
      </c>
      <c r="B83" s="66">
        <v>4</v>
      </c>
      <c r="C83" s="66">
        <v>235</v>
      </c>
      <c r="D83" s="308" t="s">
        <v>332</v>
      </c>
      <c r="E83" s="309" t="s">
        <v>510</v>
      </c>
      <c r="F83" s="66">
        <v>219</v>
      </c>
      <c r="G83" s="66">
        <f t="shared" si="5"/>
        <v>4</v>
      </c>
      <c r="H83" s="362" t="s">
        <v>1072</v>
      </c>
    </row>
    <row r="84" spans="1:8" ht="15" customHeight="1" x14ac:dyDescent="0.35">
      <c r="A84" s="64" t="str">
        <f t="shared" si="6"/>
        <v>215North-East Division C3</v>
      </c>
      <c r="B84" s="66">
        <v>3</v>
      </c>
      <c r="C84" s="66">
        <v>318</v>
      </c>
      <c r="D84" s="308" t="s">
        <v>714</v>
      </c>
      <c r="E84" s="309" t="s">
        <v>715</v>
      </c>
      <c r="F84" s="66">
        <v>215</v>
      </c>
      <c r="G84" s="66">
        <f t="shared" si="5"/>
        <v>3</v>
      </c>
      <c r="H84" s="362" t="s">
        <v>1073</v>
      </c>
    </row>
    <row r="85" spans="1:8" ht="15" customHeight="1" x14ac:dyDescent="0.35">
      <c r="A85" s="64" t="str">
        <f t="shared" si="6"/>
        <v>211Premier North-East5</v>
      </c>
      <c r="B85" s="66">
        <v>5</v>
      </c>
      <c r="C85" s="66">
        <v>197</v>
      </c>
      <c r="D85" s="308" t="s">
        <v>312</v>
      </c>
      <c r="E85" s="309" t="s">
        <v>511</v>
      </c>
      <c r="F85" s="66">
        <v>211</v>
      </c>
      <c r="G85" s="66">
        <f t="shared" si="5"/>
        <v>5</v>
      </c>
      <c r="H85" s="362" t="s">
        <v>1067</v>
      </c>
    </row>
    <row r="86" spans="1:8" ht="15" customHeight="1" x14ac:dyDescent="0.35">
      <c r="A86" s="64" t="str">
        <f t="shared" si="6"/>
        <v>213North-East Division A5</v>
      </c>
      <c r="B86" s="66">
        <v>5</v>
      </c>
      <c r="C86" s="66">
        <v>202</v>
      </c>
      <c r="D86" s="308" t="s">
        <v>361</v>
      </c>
      <c r="E86" s="309" t="s">
        <v>550</v>
      </c>
      <c r="F86" s="66">
        <v>213</v>
      </c>
      <c r="G86" s="66">
        <f t="shared" si="5"/>
        <v>5</v>
      </c>
      <c r="H86" s="85" t="s">
        <v>1065</v>
      </c>
    </row>
    <row r="87" spans="1:8" ht="15" customHeight="1" x14ac:dyDescent="0.35">
      <c r="A87" s="64" t="str">
        <f t="shared" si="6"/>
        <v>214North-East Division B3</v>
      </c>
      <c r="B87" s="66">
        <v>3</v>
      </c>
      <c r="C87" s="66">
        <v>172</v>
      </c>
      <c r="D87" s="64" t="s">
        <v>716</v>
      </c>
      <c r="E87" s="66" t="s">
        <v>717</v>
      </c>
      <c r="F87" s="66">
        <v>214</v>
      </c>
      <c r="G87" s="66">
        <f t="shared" si="5"/>
        <v>3</v>
      </c>
      <c r="H87" s="85" t="s">
        <v>1066</v>
      </c>
    </row>
    <row r="88" spans="1:8" ht="15" customHeight="1" x14ac:dyDescent="0.35">
      <c r="A88" s="64" t="str">
        <f t="shared" si="6"/>
        <v>235Division 2B5</v>
      </c>
      <c r="B88" s="66">
        <v>5</v>
      </c>
      <c r="C88" s="66">
        <v>310</v>
      </c>
      <c r="D88" s="308" t="s">
        <v>718</v>
      </c>
      <c r="E88" s="309" t="s">
        <v>719</v>
      </c>
      <c r="F88" s="66">
        <v>235</v>
      </c>
      <c r="G88" s="66">
        <f t="shared" si="5"/>
        <v>5</v>
      </c>
      <c r="H88" s="85" t="s">
        <v>932</v>
      </c>
    </row>
    <row r="89" spans="1:8" ht="15" customHeight="1" x14ac:dyDescent="0.35">
      <c r="A89" s="64" t="str">
        <f t="shared" si="6"/>
        <v>221Division 14</v>
      </c>
      <c r="B89" s="66">
        <v>4</v>
      </c>
      <c r="C89" s="66">
        <v>288</v>
      </c>
      <c r="D89" s="308" t="s">
        <v>390</v>
      </c>
      <c r="E89" s="309" t="s">
        <v>440</v>
      </c>
      <c r="F89" s="66">
        <v>221</v>
      </c>
      <c r="G89" s="66">
        <f t="shared" si="5"/>
        <v>4</v>
      </c>
      <c r="H89" s="85" t="s">
        <v>935</v>
      </c>
    </row>
    <row r="90" spans="1:8" ht="15" customHeight="1" x14ac:dyDescent="0.35">
      <c r="A90" s="64" t="str">
        <f t="shared" si="6"/>
        <v>202Premier West3</v>
      </c>
      <c r="B90" s="66">
        <v>3</v>
      </c>
      <c r="C90" s="66">
        <v>192</v>
      </c>
      <c r="D90" s="64" t="s">
        <v>72</v>
      </c>
      <c r="E90" s="66" t="s">
        <v>425</v>
      </c>
      <c r="F90" s="66">
        <v>202</v>
      </c>
      <c r="G90" s="66">
        <f t="shared" si="5"/>
        <v>3</v>
      </c>
      <c r="H90" s="85" t="s">
        <v>939</v>
      </c>
    </row>
    <row r="91" spans="1:8" ht="15" customHeight="1" x14ac:dyDescent="0.35">
      <c r="A91" s="64" t="str">
        <f t="shared" si="6"/>
        <v>231Premier4</v>
      </c>
      <c r="B91" s="66">
        <v>4</v>
      </c>
      <c r="C91" s="66">
        <v>122</v>
      </c>
      <c r="D91" s="308" t="s">
        <v>288</v>
      </c>
      <c r="E91" s="309" t="s">
        <v>512</v>
      </c>
      <c r="F91" s="66">
        <v>231</v>
      </c>
      <c r="G91" s="66">
        <f t="shared" si="5"/>
        <v>4</v>
      </c>
      <c r="H91" s="85" t="s">
        <v>933</v>
      </c>
    </row>
    <row r="92" spans="1:8" ht="15" customHeight="1" x14ac:dyDescent="0.35">
      <c r="A92" s="64" t="str">
        <f t="shared" si="6"/>
        <v>203East 15</v>
      </c>
      <c r="B92" s="66">
        <v>5</v>
      </c>
      <c r="C92" s="315">
        <v>45</v>
      </c>
      <c r="D92" s="308" t="s">
        <v>757</v>
      </c>
      <c r="E92" s="309" t="s">
        <v>423</v>
      </c>
      <c r="F92" s="66">
        <v>203</v>
      </c>
      <c r="G92" s="66">
        <f t="shared" si="5"/>
        <v>5</v>
      </c>
      <c r="H92" s="362" t="s">
        <v>942</v>
      </c>
    </row>
    <row r="93" spans="1:8" ht="15" customHeight="1" x14ac:dyDescent="0.35">
      <c r="A93" s="64" t="str">
        <f t="shared" si="6"/>
        <v>215North-East Division C4</v>
      </c>
      <c r="B93" s="66">
        <v>4</v>
      </c>
      <c r="C93" s="315">
        <v>198</v>
      </c>
      <c r="D93" s="308" t="s">
        <v>313</v>
      </c>
      <c r="E93" s="309" t="s">
        <v>513</v>
      </c>
      <c r="F93" s="66">
        <v>215</v>
      </c>
      <c r="G93" s="66">
        <f t="shared" si="5"/>
        <v>4</v>
      </c>
      <c r="H93" s="85" t="s">
        <v>1073</v>
      </c>
    </row>
    <row r="94" spans="1:8" ht="15" customHeight="1" x14ac:dyDescent="0.35">
      <c r="A94" s="64" t="str">
        <f t="shared" si="6"/>
        <v>211Premier North-East6</v>
      </c>
      <c r="B94" s="66">
        <v>6</v>
      </c>
      <c r="C94" s="66">
        <v>190</v>
      </c>
      <c r="D94" s="308" t="s">
        <v>305</v>
      </c>
      <c r="E94" s="309" t="s">
        <v>514</v>
      </c>
      <c r="F94" s="66">
        <v>211</v>
      </c>
      <c r="G94" s="66">
        <f t="shared" si="5"/>
        <v>6</v>
      </c>
      <c r="H94" s="362" t="s">
        <v>1067</v>
      </c>
    </row>
    <row r="95" spans="1:8" ht="15" customHeight="1" x14ac:dyDescent="0.35">
      <c r="A95" s="64" t="str">
        <f t="shared" si="6"/>
        <v>213North-East Division A6</v>
      </c>
      <c r="B95" s="66">
        <v>6</v>
      </c>
      <c r="C95" s="66">
        <v>311</v>
      </c>
      <c r="D95" s="308" t="s">
        <v>594</v>
      </c>
      <c r="E95" s="309" t="s">
        <v>595</v>
      </c>
      <c r="F95" s="66">
        <v>213</v>
      </c>
      <c r="G95" s="66">
        <f t="shared" si="5"/>
        <v>6</v>
      </c>
      <c r="H95" s="85" t="s">
        <v>1065</v>
      </c>
    </row>
    <row r="96" spans="1:8" ht="15" customHeight="1" x14ac:dyDescent="0.35">
      <c r="A96" s="64" t="str">
        <f t="shared" si="6"/>
        <v>215North-East Division C5</v>
      </c>
      <c r="B96" s="66">
        <v>5</v>
      </c>
      <c r="C96" s="66">
        <v>240</v>
      </c>
      <c r="D96" s="308" t="s">
        <v>317</v>
      </c>
      <c r="E96" s="309" t="s">
        <v>515</v>
      </c>
      <c r="F96" s="66">
        <v>215</v>
      </c>
      <c r="G96" s="66">
        <f t="shared" si="5"/>
        <v>5</v>
      </c>
      <c r="H96" s="85" t="s">
        <v>1073</v>
      </c>
    </row>
    <row r="97" spans="1:8" ht="15" customHeight="1" x14ac:dyDescent="0.35">
      <c r="A97" s="64" t="str">
        <f t="shared" si="6"/>
        <v>202Premier West4</v>
      </c>
      <c r="B97" s="66">
        <v>4</v>
      </c>
      <c r="C97" s="66">
        <v>5</v>
      </c>
      <c r="D97" s="308" t="s">
        <v>720</v>
      </c>
      <c r="E97" s="309" t="s">
        <v>591</v>
      </c>
      <c r="F97" s="66">
        <v>202</v>
      </c>
      <c r="G97" s="66">
        <f t="shared" si="5"/>
        <v>4</v>
      </c>
      <c r="H97" s="362" t="s">
        <v>939</v>
      </c>
    </row>
    <row r="98" spans="1:8" ht="15" customHeight="1" x14ac:dyDescent="0.35">
      <c r="A98" s="64" t="str">
        <f t="shared" si="6"/>
        <v>206West 3S3</v>
      </c>
      <c r="B98" s="66">
        <v>3</v>
      </c>
      <c r="C98" s="314">
        <v>39</v>
      </c>
      <c r="D98" s="64" t="s">
        <v>88</v>
      </c>
      <c r="E98" s="66" t="s">
        <v>418</v>
      </c>
      <c r="F98" s="66">
        <v>206</v>
      </c>
      <c r="G98" s="66">
        <f t="shared" ref="G98:G125" si="7">B98</f>
        <v>3</v>
      </c>
      <c r="H98" s="362" t="s">
        <v>943</v>
      </c>
    </row>
    <row r="99" spans="1:8" ht="15" customHeight="1" x14ac:dyDescent="0.35">
      <c r="A99" s="64" t="str">
        <f t="shared" si="6"/>
        <v>222Division 27</v>
      </c>
      <c r="B99" s="66">
        <v>7</v>
      </c>
      <c r="C99" s="66">
        <v>273</v>
      </c>
      <c r="D99" s="308" t="s">
        <v>392</v>
      </c>
      <c r="E99" s="309" t="s">
        <v>441</v>
      </c>
      <c r="F99" s="66">
        <v>222</v>
      </c>
      <c r="G99" s="66">
        <f t="shared" si="7"/>
        <v>7</v>
      </c>
      <c r="H99" s="85" t="s">
        <v>937</v>
      </c>
    </row>
    <row r="100" spans="1:8" ht="15" customHeight="1" x14ac:dyDescent="0.35">
      <c r="A100" s="64" t="str">
        <f t="shared" si="6"/>
        <v>214North-East Division B4</v>
      </c>
      <c r="B100" s="66">
        <v>4</v>
      </c>
      <c r="C100" s="315">
        <v>191</v>
      </c>
      <c r="D100" s="308" t="s">
        <v>306</v>
      </c>
      <c r="E100" s="309" t="s">
        <v>516</v>
      </c>
      <c r="F100" s="66">
        <v>214</v>
      </c>
      <c r="G100" s="66">
        <f t="shared" si="7"/>
        <v>4</v>
      </c>
      <c r="H100" s="85" t="s">
        <v>1066</v>
      </c>
    </row>
    <row r="101" spans="1:8" ht="15" customHeight="1" x14ac:dyDescent="0.35">
      <c r="A101" s="64" t="str">
        <f t="shared" si="6"/>
        <v>221Division 15</v>
      </c>
      <c r="B101" s="66">
        <v>5</v>
      </c>
      <c r="C101" s="66">
        <v>297</v>
      </c>
      <c r="D101" s="308" t="s">
        <v>394</v>
      </c>
      <c r="E101" s="309" t="s">
        <v>442</v>
      </c>
      <c r="F101" s="66">
        <v>221</v>
      </c>
      <c r="G101" s="66">
        <f t="shared" si="7"/>
        <v>5</v>
      </c>
      <c r="H101" s="362" t="s">
        <v>935</v>
      </c>
    </row>
    <row r="102" spans="1:8" ht="15" customHeight="1" x14ac:dyDescent="0.35">
      <c r="A102" s="64" t="str">
        <f t="shared" si="6"/>
        <v>218South-West A4</v>
      </c>
      <c r="B102" s="66">
        <v>4</v>
      </c>
      <c r="C102" s="315">
        <v>228</v>
      </c>
      <c r="D102" s="308" t="s">
        <v>362</v>
      </c>
      <c r="E102" s="309" t="s">
        <v>547</v>
      </c>
      <c r="F102" s="66">
        <v>218</v>
      </c>
      <c r="G102" s="66">
        <f t="shared" si="7"/>
        <v>4</v>
      </c>
      <c r="H102" s="362" t="s">
        <v>1068</v>
      </c>
    </row>
    <row r="103" spans="1:8" ht="15" customHeight="1" x14ac:dyDescent="0.35">
      <c r="A103" s="64" t="str">
        <f t="shared" si="6"/>
        <v>234Division 2A5</v>
      </c>
      <c r="B103" s="66">
        <v>5</v>
      </c>
      <c r="C103" s="66">
        <v>95</v>
      </c>
      <c r="D103" s="308" t="s">
        <v>284</v>
      </c>
      <c r="E103" s="309" t="s">
        <v>517</v>
      </c>
      <c r="F103" s="66">
        <v>234</v>
      </c>
      <c r="G103" s="66">
        <f t="shared" si="7"/>
        <v>5</v>
      </c>
      <c r="H103" s="362" t="s">
        <v>938</v>
      </c>
    </row>
    <row r="104" spans="1:8" ht="15" customHeight="1" x14ac:dyDescent="0.35">
      <c r="A104" s="64" t="str">
        <f t="shared" si="6"/>
        <v>204West 14</v>
      </c>
      <c r="B104" s="66">
        <v>4</v>
      </c>
      <c r="C104" s="315">
        <v>40</v>
      </c>
      <c r="D104" s="308" t="s">
        <v>86</v>
      </c>
      <c r="E104" s="309" t="s">
        <v>419</v>
      </c>
      <c r="F104" s="66">
        <v>204</v>
      </c>
      <c r="G104" s="66">
        <f t="shared" si="7"/>
        <v>4</v>
      </c>
      <c r="H104" s="85" t="s">
        <v>940</v>
      </c>
    </row>
    <row r="105" spans="1:8" ht="15" customHeight="1" x14ac:dyDescent="0.35">
      <c r="A105" s="64" t="str">
        <f t="shared" si="6"/>
        <v>206West 3S4</v>
      </c>
      <c r="B105" s="66">
        <v>4</v>
      </c>
      <c r="C105" s="66">
        <v>31</v>
      </c>
      <c r="D105" s="308" t="s">
        <v>580</v>
      </c>
      <c r="E105" s="309" t="s">
        <v>412</v>
      </c>
      <c r="F105" s="66">
        <v>206</v>
      </c>
      <c r="G105" s="66">
        <f t="shared" si="7"/>
        <v>4</v>
      </c>
      <c r="H105" s="85" t="s">
        <v>943</v>
      </c>
    </row>
    <row r="106" spans="1:8" ht="15" customHeight="1" x14ac:dyDescent="0.35">
      <c r="A106" s="64" t="str">
        <f t="shared" si="6"/>
        <v>232Division 1A5</v>
      </c>
      <c r="B106" s="66">
        <v>5</v>
      </c>
      <c r="C106" s="66">
        <v>251</v>
      </c>
      <c r="D106" s="64" t="s">
        <v>759</v>
      </c>
      <c r="E106" s="66" t="s">
        <v>518</v>
      </c>
      <c r="F106" s="66">
        <v>232</v>
      </c>
      <c r="G106" s="66">
        <f t="shared" si="7"/>
        <v>5</v>
      </c>
      <c r="H106" s="85" t="s">
        <v>936</v>
      </c>
    </row>
    <row r="107" spans="1:8" ht="15" customHeight="1" x14ac:dyDescent="0.35">
      <c r="A107" s="64" t="str">
        <f t="shared" si="6"/>
        <v>207West 26</v>
      </c>
      <c r="B107" s="66">
        <v>6</v>
      </c>
      <c r="C107" s="66">
        <v>15</v>
      </c>
      <c r="D107" s="308" t="s">
        <v>750</v>
      </c>
      <c r="E107" s="309" t="s">
        <v>551</v>
      </c>
      <c r="F107" s="66">
        <v>207</v>
      </c>
      <c r="G107" s="66">
        <f t="shared" si="7"/>
        <v>6</v>
      </c>
      <c r="H107" s="85" t="s">
        <v>941</v>
      </c>
    </row>
    <row r="108" spans="1:8" ht="15" customHeight="1" x14ac:dyDescent="0.35">
      <c r="A108" s="64" t="str">
        <f t="shared" si="6"/>
        <v>213North-East Division A7</v>
      </c>
      <c r="B108" s="66">
        <v>7</v>
      </c>
      <c r="C108" s="66">
        <v>203</v>
      </c>
      <c r="D108" s="64" t="s">
        <v>766</v>
      </c>
      <c r="E108" s="66" t="s">
        <v>519</v>
      </c>
      <c r="F108" s="66">
        <v>213</v>
      </c>
      <c r="G108" s="66">
        <f t="shared" si="7"/>
        <v>7</v>
      </c>
      <c r="H108" s="85" t="s">
        <v>1065</v>
      </c>
    </row>
    <row r="109" spans="1:8" ht="15" customHeight="1" x14ac:dyDescent="0.35">
      <c r="A109" s="64" t="str">
        <f t="shared" si="6"/>
        <v>212Premier South-West4</v>
      </c>
      <c r="B109" s="66">
        <v>4</v>
      </c>
      <c r="C109" s="66">
        <v>272</v>
      </c>
      <c r="D109" s="64" t="s">
        <v>581</v>
      </c>
      <c r="E109" s="66" t="s">
        <v>721</v>
      </c>
      <c r="F109" s="66">
        <v>212</v>
      </c>
      <c r="G109" s="66">
        <f t="shared" si="7"/>
        <v>4</v>
      </c>
      <c r="H109" s="85" t="s">
        <v>1071</v>
      </c>
    </row>
    <row r="110" spans="1:8" ht="15" customHeight="1" x14ac:dyDescent="0.35">
      <c r="A110" s="64" t="str">
        <f t="shared" si="6"/>
        <v>212Premier South-West5</v>
      </c>
      <c r="B110" s="66">
        <v>5</v>
      </c>
      <c r="C110" s="66">
        <v>229</v>
      </c>
      <c r="D110" s="308" t="s">
        <v>328</v>
      </c>
      <c r="E110" s="309" t="s">
        <v>520</v>
      </c>
      <c r="F110" s="66">
        <v>212</v>
      </c>
      <c r="G110" s="66">
        <f t="shared" si="7"/>
        <v>5</v>
      </c>
      <c r="H110" s="362" t="s">
        <v>1071</v>
      </c>
    </row>
    <row r="111" spans="1:8" ht="15" customHeight="1" x14ac:dyDescent="0.35">
      <c r="A111" s="64" t="str">
        <f t="shared" si="6"/>
        <v>214North-East Division B5</v>
      </c>
      <c r="B111" s="66">
        <v>5</v>
      </c>
      <c r="C111" s="315">
        <v>215</v>
      </c>
      <c r="D111" s="308" t="s">
        <v>322</v>
      </c>
      <c r="E111" s="309" t="s">
        <v>722</v>
      </c>
      <c r="F111" s="66">
        <v>214</v>
      </c>
      <c r="G111" s="66">
        <f t="shared" si="7"/>
        <v>5</v>
      </c>
      <c r="H111" s="85" t="s">
        <v>1066</v>
      </c>
    </row>
    <row r="112" spans="1:8" ht="15" customHeight="1" x14ac:dyDescent="0.35">
      <c r="A112" s="64" t="str">
        <f t="shared" si="6"/>
        <v>219South-West B5</v>
      </c>
      <c r="B112" s="66">
        <v>5</v>
      </c>
      <c r="C112" s="314">
        <v>237</v>
      </c>
      <c r="D112" s="64" t="s">
        <v>556</v>
      </c>
      <c r="E112" s="66" t="s">
        <v>521</v>
      </c>
      <c r="F112" s="66">
        <v>219</v>
      </c>
      <c r="G112" s="66">
        <f t="shared" si="7"/>
        <v>5</v>
      </c>
      <c r="H112" s="362" t="s">
        <v>1072</v>
      </c>
    </row>
    <row r="113" spans="1:8" ht="15" customHeight="1" x14ac:dyDescent="0.35">
      <c r="A113" s="64" t="str">
        <f t="shared" si="6"/>
        <v>233Division 1B6</v>
      </c>
      <c r="B113" s="66">
        <v>6</v>
      </c>
      <c r="C113" s="66">
        <v>312</v>
      </c>
      <c r="D113" s="308" t="s">
        <v>599</v>
      </c>
      <c r="E113" s="309" t="s">
        <v>600</v>
      </c>
      <c r="F113" s="66">
        <v>233</v>
      </c>
      <c r="G113" s="66">
        <f t="shared" si="7"/>
        <v>6</v>
      </c>
      <c r="H113" s="362" t="s">
        <v>931</v>
      </c>
    </row>
    <row r="114" spans="1:8" ht="15" customHeight="1" x14ac:dyDescent="0.35">
      <c r="A114" s="64" t="str">
        <f t="shared" si="6"/>
        <v>231Premier5</v>
      </c>
      <c r="B114" s="66">
        <v>5</v>
      </c>
      <c r="C114" s="66">
        <v>154</v>
      </c>
      <c r="D114" s="308" t="s">
        <v>388</v>
      </c>
      <c r="E114" s="309" t="s">
        <v>548</v>
      </c>
      <c r="F114" s="66">
        <v>231</v>
      </c>
      <c r="G114" s="66">
        <f t="shared" si="7"/>
        <v>5</v>
      </c>
      <c r="H114" s="362" t="s">
        <v>933</v>
      </c>
    </row>
    <row r="115" spans="1:8" ht="15" customHeight="1" x14ac:dyDescent="0.35">
      <c r="A115" s="64" t="str">
        <f t="shared" si="6"/>
        <v>204West 15</v>
      </c>
      <c r="B115" s="66">
        <v>5</v>
      </c>
      <c r="C115" s="315">
        <v>16</v>
      </c>
      <c r="D115" s="308" t="s">
        <v>395</v>
      </c>
      <c r="E115" s="309" t="s">
        <v>723</v>
      </c>
      <c r="F115" s="66">
        <v>204</v>
      </c>
      <c r="G115" s="66">
        <f t="shared" si="7"/>
        <v>5</v>
      </c>
      <c r="H115" s="362" t="s">
        <v>940</v>
      </c>
    </row>
    <row r="116" spans="1:8" ht="15" customHeight="1" x14ac:dyDescent="0.35">
      <c r="A116" s="64" t="str">
        <f t="shared" si="6"/>
        <v>223North-East7</v>
      </c>
      <c r="B116" s="66">
        <v>7</v>
      </c>
      <c r="C116" s="309">
        <v>306</v>
      </c>
      <c r="D116" s="308" t="s">
        <v>598</v>
      </c>
      <c r="E116" s="309" t="s">
        <v>724</v>
      </c>
      <c r="F116" s="66">
        <v>223</v>
      </c>
      <c r="G116" s="66">
        <f t="shared" si="7"/>
        <v>7</v>
      </c>
      <c r="H116" s="362" t="s">
        <v>1064</v>
      </c>
    </row>
    <row r="117" spans="1:8" ht="15" customHeight="1" x14ac:dyDescent="0.35">
      <c r="A117" s="64" t="str">
        <f t="shared" si="6"/>
        <v>205West 3N5</v>
      </c>
      <c r="B117" s="66">
        <v>5</v>
      </c>
      <c r="C117" s="66">
        <v>25</v>
      </c>
      <c r="D117" s="308" t="s">
        <v>396</v>
      </c>
      <c r="E117" s="309" t="s">
        <v>725</v>
      </c>
      <c r="F117" s="66">
        <v>205</v>
      </c>
      <c r="G117" s="66">
        <f t="shared" si="7"/>
        <v>5</v>
      </c>
      <c r="H117" s="362" t="s">
        <v>944</v>
      </c>
    </row>
    <row r="118" spans="1:8" ht="15" customHeight="1" x14ac:dyDescent="0.35">
      <c r="A118" s="64" t="str">
        <f t="shared" si="6"/>
        <v>221Division 17</v>
      </c>
      <c r="B118" s="66">
        <v>7</v>
      </c>
      <c r="C118" s="66">
        <v>289</v>
      </c>
      <c r="D118" s="64" t="s">
        <v>557</v>
      </c>
      <c r="E118" s="66" t="s">
        <v>726</v>
      </c>
      <c r="F118" s="66">
        <v>221</v>
      </c>
      <c r="G118" s="66">
        <f t="shared" si="7"/>
        <v>7</v>
      </c>
      <c r="H118" s="362" t="s">
        <v>935</v>
      </c>
    </row>
    <row r="119" spans="1:8" ht="15" customHeight="1" x14ac:dyDescent="0.35">
      <c r="A119" s="64" t="str">
        <f t="shared" si="6"/>
        <v>216North-East Division D4</v>
      </c>
      <c r="B119" s="66">
        <v>4</v>
      </c>
      <c r="C119" s="66">
        <v>216</v>
      </c>
      <c r="D119" s="64" t="s">
        <v>323</v>
      </c>
      <c r="E119" s="66" t="s">
        <v>727</v>
      </c>
      <c r="F119" s="66">
        <v>216</v>
      </c>
      <c r="G119" s="66">
        <f t="shared" si="7"/>
        <v>4</v>
      </c>
      <c r="H119" s="85" t="s">
        <v>1070</v>
      </c>
    </row>
    <row r="120" spans="1:8" ht="15" customHeight="1" x14ac:dyDescent="0.35">
      <c r="A120" s="64" t="str">
        <f t="shared" si="6"/>
        <v>217North-East Division E5</v>
      </c>
      <c r="B120" s="66">
        <v>5</v>
      </c>
      <c r="C120" s="66">
        <v>217</v>
      </c>
      <c r="D120" s="308" t="s">
        <v>324</v>
      </c>
      <c r="E120" s="309" t="s">
        <v>728</v>
      </c>
      <c r="F120" s="66">
        <v>217</v>
      </c>
      <c r="G120" s="66">
        <f t="shared" si="7"/>
        <v>5</v>
      </c>
      <c r="H120" s="85" t="s">
        <v>1069</v>
      </c>
    </row>
    <row r="121" spans="1:8" ht="15" customHeight="1" x14ac:dyDescent="0.35">
      <c r="A121" s="64" t="str">
        <f t="shared" si="6"/>
        <v>231Premier6</v>
      </c>
      <c r="B121" s="66">
        <v>6</v>
      </c>
      <c r="C121" s="66">
        <v>123</v>
      </c>
      <c r="D121" s="308" t="s">
        <v>289</v>
      </c>
      <c r="E121" s="309" t="s">
        <v>729</v>
      </c>
      <c r="F121" s="66">
        <v>231</v>
      </c>
      <c r="G121" s="66">
        <f t="shared" si="7"/>
        <v>6</v>
      </c>
      <c r="H121" s="310" t="s">
        <v>933</v>
      </c>
    </row>
    <row r="122" spans="1:8" ht="15" customHeight="1" x14ac:dyDescent="0.35">
      <c r="A122" s="64" t="str">
        <f t="shared" si="6"/>
        <v>202Premier West5</v>
      </c>
      <c r="B122" s="66">
        <v>5</v>
      </c>
      <c r="C122" s="66">
        <v>17</v>
      </c>
      <c r="D122" s="308" t="s">
        <v>81</v>
      </c>
      <c r="E122" s="309" t="s">
        <v>522</v>
      </c>
      <c r="F122" s="66">
        <v>202</v>
      </c>
      <c r="G122" s="66">
        <f t="shared" si="7"/>
        <v>5</v>
      </c>
      <c r="H122" s="310" t="s">
        <v>939</v>
      </c>
    </row>
    <row r="123" spans="1:8" ht="15" customHeight="1" x14ac:dyDescent="0.35">
      <c r="A123" s="64" t="str">
        <f t="shared" si="6"/>
        <v>234Division 2A6</v>
      </c>
      <c r="B123" s="66">
        <v>6</v>
      </c>
      <c r="C123" s="66">
        <v>160</v>
      </c>
      <c r="D123" s="308" t="s">
        <v>301</v>
      </c>
      <c r="E123" s="309" t="s">
        <v>523</v>
      </c>
      <c r="F123" s="66">
        <v>234</v>
      </c>
      <c r="G123" s="66">
        <f t="shared" si="7"/>
        <v>6</v>
      </c>
      <c r="H123" s="85" t="s">
        <v>938</v>
      </c>
    </row>
    <row r="124" spans="1:8" ht="15" customHeight="1" x14ac:dyDescent="0.35">
      <c r="A124" s="64" t="str">
        <f t="shared" si="6"/>
        <v>221Division 18</v>
      </c>
      <c r="B124" s="66">
        <v>8</v>
      </c>
      <c r="C124" s="66">
        <v>316</v>
      </c>
      <c r="D124" s="308" t="s">
        <v>444</v>
      </c>
      <c r="E124" s="309" t="s">
        <v>730</v>
      </c>
      <c r="F124" s="66">
        <v>221</v>
      </c>
      <c r="G124" s="66">
        <f t="shared" si="7"/>
        <v>8</v>
      </c>
      <c r="H124" s="85" t="s">
        <v>935</v>
      </c>
    </row>
    <row r="125" spans="1:8" ht="15" customHeight="1" x14ac:dyDescent="0.35">
      <c r="A125" s="64" t="str">
        <f t="shared" si="6"/>
        <v>235Division 2B6</v>
      </c>
      <c r="B125" s="66">
        <v>6</v>
      </c>
      <c r="C125" s="66">
        <v>110</v>
      </c>
      <c r="D125" s="308" t="s">
        <v>601</v>
      </c>
      <c r="E125" s="309" t="s">
        <v>524</v>
      </c>
      <c r="F125" s="66">
        <v>235</v>
      </c>
      <c r="G125" s="66">
        <f t="shared" si="7"/>
        <v>6</v>
      </c>
      <c r="H125" s="85" t="s">
        <v>932</v>
      </c>
    </row>
    <row r="126" spans="1:8" ht="15" customHeight="1" x14ac:dyDescent="0.35">
      <c r="A126" s="64" t="str">
        <f t="shared" si="6"/>
        <v>236Division 3A3</v>
      </c>
      <c r="B126" s="66">
        <v>3</v>
      </c>
      <c r="C126" s="66">
        <v>179</v>
      </c>
      <c r="D126" s="308" t="s">
        <v>300</v>
      </c>
      <c r="E126" s="309" t="s">
        <v>525</v>
      </c>
      <c r="F126" s="66">
        <v>236</v>
      </c>
      <c r="G126" s="66">
        <f t="shared" ref="G126:G152" si="8">B126</f>
        <v>3</v>
      </c>
      <c r="H126" s="85" t="s">
        <v>934</v>
      </c>
    </row>
    <row r="127" spans="1:8" ht="15" customHeight="1" x14ac:dyDescent="0.35">
      <c r="A127" s="64" t="str">
        <f t="shared" ref="A127:A178" si="9">F127&amp;H127&amp;B127</f>
        <v>205West 3N6</v>
      </c>
      <c r="B127" s="66">
        <v>6</v>
      </c>
      <c r="C127" s="66">
        <v>32</v>
      </c>
      <c r="D127" s="308" t="s">
        <v>83</v>
      </c>
      <c r="E127" s="309" t="s">
        <v>413</v>
      </c>
      <c r="F127" s="66">
        <v>205</v>
      </c>
      <c r="G127" s="66">
        <f t="shared" si="8"/>
        <v>6</v>
      </c>
      <c r="H127" s="85" t="s">
        <v>944</v>
      </c>
    </row>
    <row r="128" spans="1:8" ht="15" customHeight="1" x14ac:dyDescent="0.35">
      <c r="A128" s="64" t="str">
        <f t="shared" si="9"/>
        <v>204West 16</v>
      </c>
      <c r="B128" s="66">
        <v>6</v>
      </c>
      <c r="C128" s="66">
        <v>6</v>
      </c>
      <c r="D128" s="308" t="s">
        <v>75</v>
      </c>
      <c r="E128" s="309" t="s">
        <v>403</v>
      </c>
      <c r="F128" s="66">
        <v>204</v>
      </c>
      <c r="G128" s="66">
        <f t="shared" si="8"/>
        <v>6</v>
      </c>
      <c r="H128" s="85" t="s">
        <v>940</v>
      </c>
    </row>
    <row r="129" spans="1:8" ht="15" customHeight="1" x14ac:dyDescent="0.35">
      <c r="A129" s="64" t="str">
        <f t="shared" si="9"/>
        <v>207West 27</v>
      </c>
      <c r="B129" s="66">
        <v>7</v>
      </c>
      <c r="C129" s="66">
        <v>18</v>
      </c>
      <c r="D129" s="308" t="s">
        <v>731</v>
      </c>
      <c r="E129" s="309" t="s">
        <v>732</v>
      </c>
      <c r="F129" s="66">
        <v>207</v>
      </c>
      <c r="G129" s="66">
        <f t="shared" si="8"/>
        <v>7</v>
      </c>
      <c r="H129" s="85" t="s">
        <v>941</v>
      </c>
    </row>
    <row r="130" spans="1:8" ht="15" customHeight="1" x14ac:dyDescent="0.35">
      <c r="A130" s="64" t="str">
        <f t="shared" si="9"/>
        <v>232Division 1A6</v>
      </c>
      <c r="B130" s="66">
        <v>6</v>
      </c>
      <c r="C130" s="66">
        <v>128</v>
      </c>
      <c r="D130" s="308" t="s">
        <v>290</v>
      </c>
      <c r="E130" s="309" t="s">
        <v>526</v>
      </c>
      <c r="F130" s="66">
        <v>232</v>
      </c>
      <c r="G130" s="66">
        <f t="shared" si="8"/>
        <v>6</v>
      </c>
      <c r="H130" s="85" t="s">
        <v>936</v>
      </c>
    </row>
    <row r="131" spans="1:8" ht="15" customHeight="1" x14ac:dyDescent="0.35">
      <c r="A131" s="64" t="str">
        <f t="shared" si="9"/>
        <v>232Division 1A7</v>
      </c>
      <c r="B131" s="66">
        <v>7</v>
      </c>
      <c r="C131" s="66">
        <v>96</v>
      </c>
      <c r="D131" s="308" t="s">
        <v>553</v>
      </c>
      <c r="E131" s="309" t="s">
        <v>443</v>
      </c>
      <c r="F131" s="66">
        <v>232</v>
      </c>
      <c r="G131" s="66">
        <f t="shared" si="8"/>
        <v>7</v>
      </c>
      <c r="H131" s="85" t="s">
        <v>936</v>
      </c>
    </row>
    <row r="132" spans="1:8" ht="15" customHeight="1" x14ac:dyDescent="0.35">
      <c r="A132" s="64" t="str">
        <f t="shared" si="9"/>
        <v>202Premier West6</v>
      </c>
      <c r="B132" s="66">
        <v>6</v>
      </c>
      <c r="C132" s="66">
        <v>70</v>
      </c>
      <c r="D132" s="308" t="s">
        <v>76</v>
      </c>
      <c r="E132" s="309" t="s">
        <v>406</v>
      </c>
      <c r="F132" s="66">
        <v>202</v>
      </c>
      <c r="G132" s="66">
        <f t="shared" si="8"/>
        <v>6</v>
      </c>
      <c r="H132" s="85" t="s">
        <v>939</v>
      </c>
    </row>
    <row r="133" spans="1:8" ht="15" customHeight="1" x14ac:dyDescent="0.35">
      <c r="A133" s="64" t="str">
        <f t="shared" si="9"/>
        <v>236Division 3A4</v>
      </c>
      <c r="B133" s="66">
        <v>4</v>
      </c>
      <c r="C133" s="66">
        <v>129</v>
      </c>
      <c r="D133" s="308" t="s">
        <v>291</v>
      </c>
      <c r="E133" s="309" t="s">
        <v>527</v>
      </c>
      <c r="F133" s="66">
        <v>236</v>
      </c>
      <c r="G133" s="66">
        <f t="shared" si="8"/>
        <v>4</v>
      </c>
      <c r="H133" s="85" t="s">
        <v>934</v>
      </c>
    </row>
    <row r="134" spans="1:8" ht="15" customHeight="1" x14ac:dyDescent="0.35">
      <c r="A134" s="64" t="str">
        <f t="shared" si="9"/>
        <v>216North-East Division D5</v>
      </c>
      <c r="B134" s="66">
        <v>5</v>
      </c>
      <c r="C134" s="66">
        <v>243</v>
      </c>
      <c r="D134" s="308" t="s">
        <v>307</v>
      </c>
      <c r="E134" s="309" t="s">
        <v>528</v>
      </c>
      <c r="F134" s="66">
        <v>216</v>
      </c>
      <c r="G134" s="66">
        <f t="shared" si="8"/>
        <v>5</v>
      </c>
      <c r="H134" s="85" t="s">
        <v>1070</v>
      </c>
    </row>
    <row r="135" spans="1:8" ht="15" customHeight="1" x14ac:dyDescent="0.35">
      <c r="A135" s="64" t="str">
        <f t="shared" si="9"/>
        <v>233Division 1B7</v>
      </c>
      <c r="B135" s="66">
        <v>7</v>
      </c>
      <c r="C135" s="317">
        <v>320</v>
      </c>
      <c r="D135" s="308" t="s">
        <v>733</v>
      </c>
      <c r="E135" s="309" t="s">
        <v>734</v>
      </c>
      <c r="F135" s="66">
        <v>233</v>
      </c>
      <c r="G135" s="66">
        <f t="shared" si="8"/>
        <v>7</v>
      </c>
      <c r="H135" s="85" t="s">
        <v>931</v>
      </c>
    </row>
    <row r="136" spans="1:8" ht="15" customHeight="1" x14ac:dyDescent="0.35">
      <c r="A136" s="64" t="str">
        <f t="shared" si="9"/>
        <v>216North-East Division D6</v>
      </c>
      <c r="B136" s="66">
        <v>6</v>
      </c>
      <c r="C136" s="66">
        <v>230</v>
      </c>
      <c r="D136" s="308" t="s">
        <v>329</v>
      </c>
      <c r="E136" s="309" t="s">
        <v>529</v>
      </c>
      <c r="F136" s="66">
        <v>216</v>
      </c>
      <c r="G136" s="66">
        <f t="shared" si="8"/>
        <v>6</v>
      </c>
      <c r="H136" s="85" t="s">
        <v>1070</v>
      </c>
    </row>
    <row r="137" spans="1:8" ht="15" customHeight="1" x14ac:dyDescent="0.35">
      <c r="A137" s="64" t="str">
        <f t="shared" si="9"/>
        <v>206West 3S5</v>
      </c>
      <c r="B137" s="66">
        <v>5</v>
      </c>
      <c r="C137" s="66">
        <v>33</v>
      </c>
      <c r="D137" s="64" t="s">
        <v>555</v>
      </c>
      <c r="E137" s="66" t="s">
        <v>414</v>
      </c>
      <c r="F137" s="66">
        <v>206</v>
      </c>
      <c r="G137" s="66">
        <f t="shared" si="8"/>
        <v>5</v>
      </c>
      <c r="H137" s="85" t="s">
        <v>943</v>
      </c>
    </row>
    <row r="138" spans="1:8" ht="15" customHeight="1" x14ac:dyDescent="0.35">
      <c r="A138" s="64" t="str">
        <f t="shared" si="9"/>
        <v>236Division 3A5</v>
      </c>
      <c r="B138" s="66">
        <v>5</v>
      </c>
      <c r="C138" s="66">
        <v>111</v>
      </c>
      <c r="D138" s="308" t="s">
        <v>760</v>
      </c>
      <c r="E138" s="309" t="s">
        <v>530</v>
      </c>
      <c r="F138" s="66">
        <v>236</v>
      </c>
      <c r="G138" s="66">
        <f t="shared" si="8"/>
        <v>5</v>
      </c>
      <c r="H138" s="85" t="s">
        <v>934</v>
      </c>
    </row>
    <row r="139" spans="1:8" ht="15" customHeight="1" x14ac:dyDescent="0.35">
      <c r="A139" s="64" t="str">
        <f t="shared" si="9"/>
        <v>212Premier South-West6</v>
      </c>
      <c r="B139" s="66">
        <v>6</v>
      </c>
      <c r="C139" s="66">
        <v>491</v>
      </c>
      <c r="D139" s="308" t="s">
        <v>326</v>
      </c>
      <c r="E139" s="309" t="s">
        <v>574</v>
      </c>
      <c r="F139" s="66">
        <v>212</v>
      </c>
      <c r="G139" s="66">
        <f t="shared" si="8"/>
        <v>6</v>
      </c>
      <c r="H139" s="85" t="s">
        <v>1071</v>
      </c>
    </row>
    <row r="140" spans="1:8" ht="15" customHeight="1" x14ac:dyDescent="0.35">
      <c r="A140" s="64" t="str">
        <f t="shared" si="9"/>
        <v>214North-East Division B2</v>
      </c>
      <c r="B140" s="66">
        <v>2</v>
      </c>
      <c r="C140" s="66">
        <v>208</v>
      </c>
      <c r="D140" s="308" t="s">
        <v>767</v>
      </c>
      <c r="E140" s="309" t="s">
        <v>503</v>
      </c>
      <c r="F140" s="66">
        <v>214</v>
      </c>
      <c r="G140" s="66">
        <f t="shared" si="8"/>
        <v>2</v>
      </c>
      <c r="H140" s="310" t="s">
        <v>1066</v>
      </c>
    </row>
    <row r="141" spans="1:8" ht="15" customHeight="1" x14ac:dyDescent="0.35">
      <c r="A141" s="64" t="str">
        <f t="shared" si="9"/>
        <v>222Division 24</v>
      </c>
      <c r="B141" s="66">
        <v>4</v>
      </c>
      <c r="C141" s="66">
        <v>120</v>
      </c>
      <c r="D141" s="308" t="s">
        <v>762</v>
      </c>
      <c r="E141" s="309" t="s">
        <v>763</v>
      </c>
      <c r="F141" s="66">
        <v>222</v>
      </c>
      <c r="G141" s="66">
        <f t="shared" si="8"/>
        <v>4</v>
      </c>
      <c r="H141" s="85" t="s">
        <v>937</v>
      </c>
    </row>
    <row r="142" spans="1:8" ht="15" customHeight="1" x14ac:dyDescent="0.35">
      <c r="A142" s="64" t="str">
        <f t="shared" si="9"/>
        <v>218South-West A3</v>
      </c>
      <c r="B142" s="66">
        <v>3</v>
      </c>
      <c r="C142" s="66">
        <v>511</v>
      </c>
      <c r="D142" s="64" t="s">
        <v>914</v>
      </c>
      <c r="E142" s="66" t="s">
        <v>915</v>
      </c>
      <c r="F142" s="66">
        <v>218</v>
      </c>
      <c r="G142" s="66">
        <f t="shared" si="8"/>
        <v>3</v>
      </c>
      <c r="H142" s="85" t="s">
        <v>1068</v>
      </c>
    </row>
    <row r="143" spans="1:8" ht="15" customHeight="1" x14ac:dyDescent="0.35">
      <c r="A143" s="64" t="str">
        <f t="shared" si="9"/>
        <v>218South-West A5</v>
      </c>
      <c r="B143" s="66">
        <v>5</v>
      </c>
      <c r="C143" s="314">
        <v>510</v>
      </c>
      <c r="D143" s="64" t="s">
        <v>916</v>
      </c>
      <c r="E143" s="66" t="s">
        <v>917</v>
      </c>
      <c r="F143" s="66">
        <v>218</v>
      </c>
      <c r="G143" s="66">
        <f t="shared" si="8"/>
        <v>5</v>
      </c>
      <c r="H143" s="85" t="s">
        <v>1068</v>
      </c>
    </row>
    <row r="144" spans="1:8" ht="15" customHeight="1" x14ac:dyDescent="0.35">
      <c r="A144" s="64" t="str">
        <f t="shared" si="9"/>
        <v>217North-East Division E4</v>
      </c>
      <c r="B144" s="66">
        <v>4</v>
      </c>
      <c r="C144" s="66">
        <v>509</v>
      </c>
      <c r="D144" s="308" t="s">
        <v>918</v>
      </c>
      <c r="E144" s="309" t="s">
        <v>919</v>
      </c>
      <c r="F144" s="66">
        <v>217</v>
      </c>
      <c r="G144" s="66">
        <f t="shared" si="8"/>
        <v>4</v>
      </c>
      <c r="H144" s="85" t="s">
        <v>1069</v>
      </c>
    </row>
    <row r="145" spans="1:8" ht="15" customHeight="1" x14ac:dyDescent="0.35">
      <c r="A145" s="64" t="str">
        <f t="shared" si="9"/>
        <v>219South-West B2</v>
      </c>
      <c r="B145" s="66">
        <v>2</v>
      </c>
      <c r="C145" s="66">
        <v>442</v>
      </c>
      <c r="D145" s="64" t="s">
        <v>920</v>
      </c>
      <c r="E145" s="66" t="s">
        <v>921</v>
      </c>
      <c r="F145" s="66">
        <v>219</v>
      </c>
      <c r="G145" s="66">
        <f t="shared" si="8"/>
        <v>2</v>
      </c>
      <c r="H145" s="85" t="s">
        <v>1072</v>
      </c>
    </row>
    <row r="146" spans="1:8" ht="15" customHeight="1" x14ac:dyDescent="0.35">
      <c r="A146" s="64" t="str">
        <f t="shared" si="9"/>
        <v>222Division 22</v>
      </c>
      <c r="B146" s="66">
        <v>2</v>
      </c>
      <c r="C146" s="66">
        <v>291</v>
      </c>
      <c r="D146" s="308" t="s">
        <v>922</v>
      </c>
      <c r="E146" s="309" t="s">
        <v>923</v>
      </c>
      <c r="F146" s="66">
        <v>222</v>
      </c>
      <c r="G146" s="66">
        <f t="shared" si="8"/>
        <v>2</v>
      </c>
      <c r="H146" s="310" t="s">
        <v>937</v>
      </c>
    </row>
    <row r="147" spans="1:8" ht="15" customHeight="1" x14ac:dyDescent="0.35">
      <c r="A147" s="64" t="str">
        <f t="shared" si="9"/>
        <v>223North-East6</v>
      </c>
      <c r="B147" s="66">
        <v>6</v>
      </c>
      <c r="C147" s="66">
        <v>305</v>
      </c>
      <c r="D147" s="64" t="s">
        <v>971</v>
      </c>
      <c r="E147" s="66" t="s">
        <v>924</v>
      </c>
      <c r="F147" s="66">
        <v>223</v>
      </c>
      <c r="G147" s="66">
        <f t="shared" si="8"/>
        <v>6</v>
      </c>
      <c r="H147" s="85" t="s">
        <v>1064</v>
      </c>
    </row>
    <row r="148" spans="1:8" ht="15" customHeight="1" x14ac:dyDescent="0.35">
      <c r="A148" s="64" t="str">
        <f t="shared" si="9"/>
        <v>221Division 16</v>
      </c>
      <c r="B148" s="66">
        <v>6</v>
      </c>
      <c r="C148" s="66">
        <v>512</v>
      </c>
      <c r="D148" s="308" t="s">
        <v>925</v>
      </c>
      <c r="E148" s="309" t="s">
        <v>926</v>
      </c>
      <c r="F148" s="66">
        <v>221</v>
      </c>
      <c r="G148" s="66">
        <f t="shared" si="8"/>
        <v>6</v>
      </c>
      <c r="H148" s="85" t="s">
        <v>935</v>
      </c>
    </row>
    <row r="149" spans="1:8" ht="15" customHeight="1" x14ac:dyDescent="0.35">
      <c r="A149" s="64" t="str">
        <f t="shared" si="9"/>
        <v>222Division 28</v>
      </c>
      <c r="B149" s="66">
        <v>8</v>
      </c>
      <c r="C149" s="66">
        <v>513</v>
      </c>
      <c r="D149" s="308" t="s">
        <v>927</v>
      </c>
      <c r="E149" s="309" t="s">
        <v>928</v>
      </c>
      <c r="F149" s="66">
        <v>222</v>
      </c>
      <c r="G149" s="66">
        <f t="shared" si="8"/>
        <v>8</v>
      </c>
      <c r="H149" s="85" t="s">
        <v>937</v>
      </c>
    </row>
    <row r="150" spans="1:8" ht="15" customHeight="1" x14ac:dyDescent="0.35">
      <c r="A150" s="64" t="str">
        <f t="shared" si="9"/>
        <v>234Division 2A2</v>
      </c>
      <c r="B150" s="66">
        <v>2</v>
      </c>
      <c r="C150" s="66">
        <v>125</v>
      </c>
      <c r="D150" s="308" t="s">
        <v>929</v>
      </c>
      <c r="E150" s="309" t="s">
        <v>930</v>
      </c>
      <c r="F150" s="66">
        <v>234</v>
      </c>
      <c r="G150" s="66">
        <f t="shared" si="8"/>
        <v>2</v>
      </c>
      <c r="H150" s="85" t="s">
        <v>938</v>
      </c>
    </row>
    <row r="151" spans="1:8" ht="15" customHeight="1" x14ac:dyDescent="0.35">
      <c r="A151" s="64" t="str">
        <f t="shared" si="9"/>
        <v>222Division 25</v>
      </c>
      <c r="B151" s="66">
        <v>5</v>
      </c>
      <c r="C151" s="66">
        <v>138</v>
      </c>
      <c r="D151" s="308" t="s">
        <v>972</v>
      </c>
      <c r="E151" s="309" t="s">
        <v>973</v>
      </c>
      <c r="F151" s="66">
        <v>222</v>
      </c>
      <c r="G151" s="66">
        <f t="shared" si="8"/>
        <v>5</v>
      </c>
      <c r="H151" s="85" t="s">
        <v>937</v>
      </c>
    </row>
    <row r="152" spans="1:8" ht="15" customHeight="1" x14ac:dyDescent="0.35">
      <c r="A152" s="64" t="str">
        <f t="shared" si="9"/>
        <v>236Division 3A2</v>
      </c>
      <c r="B152" s="66">
        <v>2</v>
      </c>
      <c r="C152" s="66">
        <v>460</v>
      </c>
      <c r="D152" s="308" t="s">
        <v>974</v>
      </c>
      <c r="E152" s="309" t="s">
        <v>975</v>
      </c>
      <c r="F152" s="66">
        <v>236</v>
      </c>
      <c r="G152" s="66">
        <f t="shared" si="8"/>
        <v>2</v>
      </c>
      <c r="H152" s="310" t="s">
        <v>934</v>
      </c>
    </row>
    <row r="153" spans="1:8" ht="15" customHeight="1" x14ac:dyDescent="0.35">
      <c r="A153" s="64" t="str">
        <f t="shared" si="9"/>
        <v/>
      </c>
      <c r="D153" s="308"/>
      <c r="E153" s="309"/>
    </row>
    <row r="154" spans="1:8" ht="15" customHeight="1" x14ac:dyDescent="0.35">
      <c r="A154" s="64" t="str">
        <f t="shared" si="9"/>
        <v/>
      </c>
    </row>
    <row r="155" spans="1:8" ht="15" customHeight="1" x14ac:dyDescent="0.35">
      <c r="A155" s="64" t="str">
        <f t="shared" si="9"/>
        <v/>
      </c>
    </row>
    <row r="156" spans="1:8" ht="15" customHeight="1" x14ac:dyDescent="0.35">
      <c r="A156" s="64" t="str">
        <f t="shared" si="9"/>
        <v/>
      </c>
      <c r="D156" s="308"/>
      <c r="E156" s="309"/>
    </row>
    <row r="157" spans="1:8" ht="15" customHeight="1" x14ac:dyDescent="0.35">
      <c r="A157" s="64" t="str">
        <f t="shared" si="9"/>
        <v/>
      </c>
      <c r="D157" s="308"/>
      <c r="E157" s="309"/>
    </row>
    <row r="158" spans="1:8" ht="15" customHeight="1" x14ac:dyDescent="0.35">
      <c r="A158" s="64" t="str">
        <f t="shared" si="9"/>
        <v/>
      </c>
      <c r="D158" s="308"/>
      <c r="E158" s="309"/>
    </row>
    <row r="159" spans="1:8" ht="15" customHeight="1" x14ac:dyDescent="0.35">
      <c r="A159" s="64" t="str">
        <f t="shared" si="9"/>
        <v/>
      </c>
      <c r="D159" s="308"/>
      <c r="E159" s="309"/>
    </row>
    <row r="160" spans="1:8" ht="15" customHeight="1" x14ac:dyDescent="0.35">
      <c r="A160" s="64" t="str">
        <f t="shared" si="9"/>
        <v/>
      </c>
      <c r="D160" s="308"/>
      <c r="E160" s="309"/>
    </row>
    <row r="161" spans="1:5" ht="15" customHeight="1" x14ac:dyDescent="0.35">
      <c r="A161" s="64" t="str">
        <f t="shared" si="9"/>
        <v/>
      </c>
      <c r="D161" s="308"/>
      <c r="E161" s="309"/>
    </row>
    <row r="162" spans="1:5" ht="15" customHeight="1" x14ac:dyDescent="0.35">
      <c r="A162" s="64" t="str">
        <f t="shared" si="9"/>
        <v/>
      </c>
    </row>
    <row r="163" spans="1:5" ht="15" customHeight="1" x14ac:dyDescent="0.35">
      <c r="A163" s="64" t="str">
        <f t="shared" si="9"/>
        <v/>
      </c>
    </row>
    <row r="164" spans="1:5" ht="15" customHeight="1" x14ac:dyDescent="0.35">
      <c r="A164" s="64" t="str">
        <f t="shared" si="9"/>
        <v/>
      </c>
      <c r="D164" s="308"/>
      <c r="E164" s="309"/>
    </row>
    <row r="165" spans="1:5" ht="15" customHeight="1" x14ac:dyDescent="0.35">
      <c r="A165" s="64" t="str">
        <f t="shared" si="9"/>
        <v/>
      </c>
      <c r="D165" s="308"/>
      <c r="E165" s="309"/>
    </row>
    <row r="166" spans="1:5" ht="15" customHeight="1" x14ac:dyDescent="0.35">
      <c r="A166" s="64" t="str">
        <f t="shared" si="9"/>
        <v/>
      </c>
      <c r="D166" s="308"/>
      <c r="E166" s="309"/>
    </row>
    <row r="167" spans="1:5" ht="15" customHeight="1" x14ac:dyDescent="0.35">
      <c r="A167" s="64" t="str">
        <f t="shared" si="9"/>
        <v/>
      </c>
      <c r="D167" s="308"/>
      <c r="E167" s="309"/>
    </row>
    <row r="168" spans="1:5" ht="15" customHeight="1" x14ac:dyDescent="0.35">
      <c r="A168" s="64" t="str">
        <f t="shared" si="9"/>
        <v/>
      </c>
      <c r="D168" s="308"/>
      <c r="E168" s="309"/>
    </row>
    <row r="169" spans="1:5" ht="15" customHeight="1" x14ac:dyDescent="0.35">
      <c r="A169" s="64" t="str">
        <f t="shared" si="9"/>
        <v/>
      </c>
      <c r="D169" s="308"/>
      <c r="E169" s="309"/>
    </row>
    <row r="170" spans="1:5" ht="15" customHeight="1" x14ac:dyDescent="0.35">
      <c r="A170" s="64" t="str">
        <f t="shared" si="9"/>
        <v/>
      </c>
    </row>
    <row r="171" spans="1:5" ht="15" customHeight="1" x14ac:dyDescent="0.35">
      <c r="A171" s="64" t="str">
        <f t="shared" si="9"/>
        <v/>
      </c>
    </row>
    <row r="172" spans="1:5" ht="15" customHeight="1" x14ac:dyDescent="0.35">
      <c r="A172" s="64" t="str">
        <f t="shared" si="9"/>
        <v/>
      </c>
      <c r="D172" s="308"/>
      <c r="E172" s="309"/>
    </row>
    <row r="173" spans="1:5" ht="15" customHeight="1" x14ac:dyDescent="0.35">
      <c r="A173" s="64" t="str">
        <f t="shared" si="9"/>
        <v/>
      </c>
      <c r="D173" s="308"/>
      <c r="E173" s="309"/>
    </row>
    <row r="174" spans="1:5" ht="15" customHeight="1" x14ac:dyDescent="0.35">
      <c r="A174" s="64" t="str">
        <f t="shared" si="9"/>
        <v/>
      </c>
      <c r="D174" s="308"/>
      <c r="E174" s="309"/>
    </row>
    <row r="175" spans="1:5" ht="15" customHeight="1" x14ac:dyDescent="0.35">
      <c r="A175" s="64" t="str">
        <f t="shared" si="9"/>
        <v/>
      </c>
      <c r="D175" s="308"/>
      <c r="E175" s="309"/>
    </row>
    <row r="176" spans="1:5" ht="15" customHeight="1" x14ac:dyDescent="0.35">
      <c r="A176" s="64" t="str">
        <f t="shared" si="9"/>
        <v/>
      </c>
      <c r="C176" s="315"/>
      <c r="D176" s="308"/>
      <c r="E176" s="309"/>
    </row>
    <row r="177" spans="1:5" ht="15" customHeight="1" x14ac:dyDescent="0.35">
      <c r="A177" s="64" t="str">
        <f t="shared" si="9"/>
        <v/>
      </c>
      <c r="D177" s="308"/>
      <c r="E177" s="309"/>
    </row>
    <row r="178" spans="1:5" ht="15" customHeight="1" x14ac:dyDescent="0.35">
      <c r="A178" s="64" t="str">
        <f t="shared" si="9"/>
        <v/>
      </c>
      <c r="D178" s="308"/>
      <c r="E178" s="309"/>
    </row>
    <row r="179" spans="1:5" ht="15" customHeight="1" x14ac:dyDescent="0.35">
      <c r="A179" s="64" t="str">
        <f t="shared" ref="A179:A217" si="10">F179&amp;H179&amp;B179</f>
        <v/>
      </c>
    </row>
    <row r="180" spans="1:5" ht="15" customHeight="1" x14ac:dyDescent="0.35">
      <c r="A180" s="64" t="str">
        <f t="shared" si="10"/>
        <v/>
      </c>
    </row>
    <row r="181" spans="1:5" ht="15" customHeight="1" x14ac:dyDescent="0.35">
      <c r="A181" s="64" t="str">
        <f t="shared" si="10"/>
        <v/>
      </c>
      <c r="D181" s="308"/>
      <c r="E181" s="309"/>
    </row>
    <row r="182" spans="1:5" ht="15" customHeight="1" x14ac:dyDescent="0.35">
      <c r="A182" s="64" t="str">
        <f t="shared" si="10"/>
        <v/>
      </c>
      <c r="D182" s="308"/>
      <c r="E182" s="309"/>
    </row>
    <row r="183" spans="1:5" ht="15" customHeight="1" x14ac:dyDescent="0.35">
      <c r="A183" s="64" t="str">
        <f t="shared" si="10"/>
        <v/>
      </c>
      <c r="D183" s="308"/>
      <c r="E183" s="309"/>
    </row>
    <row r="184" spans="1:5" ht="15" customHeight="1" x14ac:dyDescent="0.35">
      <c r="A184" s="64" t="str">
        <f t="shared" si="10"/>
        <v/>
      </c>
      <c r="D184" s="308"/>
      <c r="E184" s="309"/>
    </row>
    <row r="185" spans="1:5" ht="15" customHeight="1" x14ac:dyDescent="0.35">
      <c r="A185" s="64" t="str">
        <f t="shared" si="10"/>
        <v/>
      </c>
      <c r="D185" s="308"/>
      <c r="E185" s="309"/>
    </row>
    <row r="186" spans="1:5" ht="15" customHeight="1" x14ac:dyDescent="0.35">
      <c r="A186" s="64" t="str">
        <f t="shared" si="10"/>
        <v/>
      </c>
      <c r="D186" s="308"/>
      <c r="E186" s="309"/>
    </row>
    <row r="187" spans="1:5" ht="15" customHeight="1" x14ac:dyDescent="0.35">
      <c r="A187" s="64" t="str">
        <f t="shared" si="10"/>
        <v/>
      </c>
      <c r="D187" s="308"/>
      <c r="E187" s="309"/>
    </row>
    <row r="188" spans="1:5" ht="15" customHeight="1" x14ac:dyDescent="0.35">
      <c r="A188" s="64" t="str">
        <f t="shared" si="10"/>
        <v/>
      </c>
    </row>
    <row r="189" spans="1:5" ht="15" customHeight="1" x14ac:dyDescent="0.35">
      <c r="A189" s="64" t="str">
        <f t="shared" si="10"/>
        <v/>
      </c>
    </row>
    <row r="190" spans="1:5" ht="15" customHeight="1" x14ac:dyDescent="0.35">
      <c r="A190" s="64" t="str">
        <f t="shared" si="10"/>
        <v/>
      </c>
      <c r="D190" s="308"/>
      <c r="E190" s="309"/>
    </row>
    <row r="191" spans="1:5" ht="15" customHeight="1" x14ac:dyDescent="0.35">
      <c r="A191" s="64" t="str">
        <f t="shared" si="10"/>
        <v/>
      </c>
      <c r="D191" s="308"/>
      <c r="E191" s="309"/>
    </row>
    <row r="192" spans="1:5" ht="15" customHeight="1" x14ac:dyDescent="0.35">
      <c r="A192" s="64" t="str">
        <f t="shared" si="10"/>
        <v/>
      </c>
      <c r="C192" s="314"/>
      <c r="D192" s="308"/>
      <c r="E192" s="309"/>
    </row>
    <row r="193" spans="1:5" ht="15" customHeight="1" x14ac:dyDescent="0.35">
      <c r="A193" s="64" t="str">
        <f t="shared" si="10"/>
        <v/>
      </c>
      <c r="C193" s="318"/>
      <c r="D193" s="308"/>
      <c r="E193" s="309"/>
    </row>
    <row r="194" spans="1:5" ht="15" customHeight="1" x14ac:dyDescent="0.35">
      <c r="A194" s="64" t="str">
        <f t="shared" si="10"/>
        <v/>
      </c>
      <c r="C194" s="314"/>
      <c r="D194" s="308"/>
      <c r="E194" s="309"/>
    </row>
    <row r="195" spans="1:5" ht="15" customHeight="1" x14ac:dyDescent="0.35">
      <c r="A195" s="64" t="str">
        <f t="shared" si="10"/>
        <v/>
      </c>
      <c r="C195" s="314"/>
      <c r="D195" s="308"/>
      <c r="E195" s="309"/>
    </row>
    <row r="196" spans="1:5" ht="15" customHeight="1" x14ac:dyDescent="0.35">
      <c r="A196" s="64" t="str">
        <f t="shared" si="10"/>
        <v/>
      </c>
      <c r="C196" s="314"/>
      <c r="D196" s="308"/>
      <c r="E196" s="309"/>
    </row>
    <row r="197" spans="1:5" ht="15" customHeight="1" x14ac:dyDescent="0.35">
      <c r="A197" s="64" t="str">
        <f t="shared" si="10"/>
        <v/>
      </c>
      <c r="C197" s="314"/>
      <c r="D197" s="308"/>
      <c r="E197" s="309"/>
    </row>
    <row r="198" spans="1:5" ht="15" customHeight="1" x14ac:dyDescent="0.35">
      <c r="A198" s="64" t="str">
        <f t="shared" si="10"/>
        <v/>
      </c>
    </row>
    <row r="199" spans="1:5" ht="15" customHeight="1" x14ac:dyDescent="0.35">
      <c r="A199" s="64" t="str">
        <f t="shared" si="10"/>
        <v/>
      </c>
    </row>
    <row r="200" spans="1:5" ht="15" customHeight="1" x14ac:dyDescent="0.35">
      <c r="A200" s="64" t="str">
        <f t="shared" si="10"/>
        <v/>
      </c>
      <c r="C200" s="314"/>
      <c r="D200" s="308"/>
      <c r="E200" s="309"/>
    </row>
    <row r="201" spans="1:5" ht="15" customHeight="1" x14ac:dyDescent="0.35">
      <c r="A201" s="64" t="str">
        <f t="shared" si="10"/>
        <v/>
      </c>
      <c r="C201" s="315"/>
      <c r="D201" s="308"/>
      <c r="E201" s="309"/>
    </row>
    <row r="202" spans="1:5" ht="15" customHeight="1" x14ac:dyDescent="0.35">
      <c r="A202" s="64" t="str">
        <f t="shared" si="10"/>
        <v/>
      </c>
      <c r="D202" s="308"/>
      <c r="E202" s="309"/>
    </row>
    <row r="203" spans="1:5" ht="15" customHeight="1" x14ac:dyDescent="0.35">
      <c r="A203" s="64" t="str">
        <f t="shared" si="10"/>
        <v/>
      </c>
      <c r="D203" s="308"/>
      <c r="E203" s="309"/>
    </row>
    <row r="204" spans="1:5" ht="15" customHeight="1" x14ac:dyDescent="0.35">
      <c r="A204" s="64" t="str">
        <f t="shared" si="10"/>
        <v/>
      </c>
      <c r="C204" s="315"/>
      <c r="D204" s="308"/>
      <c r="E204" s="309"/>
    </row>
    <row r="205" spans="1:5" ht="15" customHeight="1" x14ac:dyDescent="0.35">
      <c r="A205" s="64" t="str">
        <f t="shared" si="10"/>
        <v/>
      </c>
      <c r="C205" s="314"/>
      <c r="D205" s="308"/>
      <c r="E205" s="309"/>
    </row>
    <row r="206" spans="1:5" ht="15" customHeight="1" x14ac:dyDescent="0.35">
      <c r="A206" s="64" t="str">
        <f t="shared" si="10"/>
        <v/>
      </c>
      <c r="D206" s="308"/>
      <c r="E206" s="309"/>
    </row>
    <row r="207" spans="1:5" ht="15" customHeight="1" x14ac:dyDescent="0.35">
      <c r="A207" s="64" t="str">
        <f t="shared" si="10"/>
        <v/>
      </c>
      <c r="C207" s="314"/>
      <c r="D207" s="308"/>
      <c r="E207" s="309"/>
    </row>
    <row r="208" spans="1:5" ht="15" customHeight="1" x14ac:dyDescent="0.35">
      <c r="A208" s="64" t="str">
        <f t="shared" si="10"/>
        <v/>
      </c>
    </row>
    <row r="209" spans="1:5" ht="15" customHeight="1" x14ac:dyDescent="0.35">
      <c r="A209" s="64" t="str">
        <f t="shared" si="10"/>
        <v/>
      </c>
    </row>
    <row r="210" spans="1:5" ht="15" customHeight="1" x14ac:dyDescent="0.35">
      <c r="A210" s="64" t="str">
        <f t="shared" si="10"/>
        <v/>
      </c>
      <c r="D210" s="308"/>
      <c r="E210" s="309"/>
    </row>
    <row r="211" spans="1:5" ht="15" customHeight="1" x14ac:dyDescent="0.35">
      <c r="A211" s="64" t="str">
        <f t="shared" si="10"/>
        <v/>
      </c>
      <c r="D211" s="308"/>
      <c r="E211" s="309"/>
    </row>
    <row r="212" spans="1:5" ht="15" customHeight="1" x14ac:dyDescent="0.35">
      <c r="A212" s="64" t="str">
        <f t="shared" si="10"/>
        <v/>
      </c>
      <c r="D212" s="308"/>
      <c r="E212" s="309"/>
    </row>
    <row r="213" spans="1:5" ht="15" customHeight="1" x14ac:dyDescent="0.35">
      <c r="A213" s="64" t="str">
        <f t="shared" si="10"/>
        <v/>
      </c>
      <c r="D213" s="308"/>
      <c r="E213" s="309"/>
    </row>
    <row r="214" spans="1:5" ht="15" customHeight="1" x14ac:dyDescent="0.35">
      <c r="A214" s="64" t="str">
        <f t="shared" si="10"/>
        <v/>
      </c>
      <c r="D214" s="308"/>
      <c r="E214" s="309"/>
    </row>
    <row r="215" spans="1:5" ht="15" customHeight="1" x14ac:dyDescent="0.35">
      <c r="A215" s="64" t="str">
        <f t="shared" si="10"/>
        <v/>
      </c>
      <c r="C215" s="314"/>
      <c r="D215" s="308"/>
      <c r="E215" s="309"/>
    </row>
    <row r="216" spans="1:5" ht="15" customHeight="1" x14ac:dyDescent="0.35">
      <c r="A216" s="64" t="str">
        <f t="shared" si="10"/>
        <v/>
      </c>
      <c r="C216" s="315"/>
      <c r="D216" s="308"/>
      <c r="E216" s="309"/>
    </row>
    <row r="217" spans="1:5" ht="15" customHeight="1" x14ac:dyDescent="0.35">
      <c r="A217" s="64" t="str">
        <f t="shared" si="10"/>
        <v/>
      </c>
      <c r="C217" s="315"/>
      <c r="D217" s="308"/>
      <c r="E217" s="309"/>
    </row>
    <row r="219" spans="1:5" ht="15" customHeight="1" x14ac:dyDescent="0.35">
      <c r="A219" s="64" t="str">
        <f t="shared" ref="A219:A228" si="11">F219&amp;G219&amp;H219&amp;B219</f>
        <v/>
      </c>
    </row>
    <row r="220" spans="1:5" ht="15" customHeight="1" x14ac:dyDescent="0.35">
      <c r="A220" s="64" t="str">
        <f t="shared" si="11"/>
        <v/>
      </c>
    </row>
    <row r="221" spans="1:5" ht="15" customHeight="1" x14ac:dyDescent="0.35">
      <c r="A221" s="64" t="str">
        <f t="shared" si="11"/>
        <v/>
      </c>
      <c r="D221" s="308"/>
      <c r="E221" s="309"/>
    </row>
    <row r="222" spans="1:5" ht="15" customHeight="1" x14ac:dyDescent="0.35">
      <c r="A222" s="64" t="str">
        <f t="shared" si="11"/>
        <v/>
      </c>
      <c r="D222" s="308"/>
      <c r="E222" s="309"/>
    </row>
    <row r="223" spans="1:5" ht="15" customHeight="1" x14ac:dyDescent="0.35">
      <c r="A223" s="64" t="str">
        <f t="shared" si="11"/>
        <v/>
      </c>
      <c r="C223" s="318"/>
      <c r="D223" s="308"/>
      <c r="E223" s="309"/>
    </row>
    <row r="224" spans="1:5" ht="15" customHeight="1" x14ac:dyDescent="0.35">
      <c r="A224" s="64" t="str">
        <f t="shared" si="11"/>
        <v/>
      </c>
      <c r="D224" s="308"/>
      <c r="E224" s="309"/>
    </row>
    <row r="225" spans="1:5" ht="15" customHeight="1" x14ac:dyDescent="0.35">
      <c r="A225" s="64" t="str">
        <f t="shared" si="11"/>
        <v/>
      </c>
      <c r="D225" s="308"/>
      <c r="E225" s="309"/>
    </row>
    <row r="226" spans="1:5" ht="15" customHeight="1" x14ac:dyDescent="0.35">
      <c r="A226" s="64" t="str">
        <f t="shared" si="11"/>
        <v/>
      </c>
      <c r="D226" s="308"/>
      <c r="E226" s="309"/>
    </row>
    <row r="227" spans="1:5" ht="15" customHeight="1" x14ac:dyDescent="0.35">
      <c r="A227" s="64" t="str">
        <f t="shared" si="11"/>
        <v/>
      </c>
      <c r="D227" s="308"/>
      <c r="E227" s="309"/>
    </row>
    <row r="228" spans="1:5" ht="15" customHeight="1" x14ac:dyDescent="0.35">
      <c r="A228" s="64" t="str">
        <f t="shared" si="11"/>
        <v/>
      </c>
      <c r="D228" s="308"/>
      <c r="E228" s="309"/>
    </row>
    <row r="230" spans="1:5" ht="15" customHeight="1" x14ac:dyDescent="0.35">
      <c r="A230" s="64" t="str">
        <f t="shared" ref="A230:A255" si="12">F230&amp;G230&amp;H230&amp;B230</f>
        <v/>
      </c>
    </row>
    <row r="231" spans="1:5" ht="15" customHeight="1" x14ac:dyDescent="0.35">
      <c r="A231" s="64" t="str">
        <f t="shared" si="12"/>
        <v/>
      </c>
      <c r="D231" s="308"/>
      <c r="E231" s="309"/>
    </row>
    <row r="232" spans="1:5" ht="15" customHeight="1" x14ac:dyDescent="0.35">
      <c r="A232" s="64" t="str">
        <f t="shared" si="12"/>
        <v/>
      </c>
      <c r="D232" s="308"/>
      <c r="E232" s="309"/>
    </row>
    <row r="233" spans="1:5" ht="15" customHeight="1" x14ac:dyDescent="0.35">
      <c r="A233" s="64" t="str">
        <f t="shared" si="12"/>
        <v/>
      </c>
      <c r="D233" s="308"/>
      <c r="E233" s="309"/>
    </row>
    <row r="234" spans="1:5" ht="15" customHeight="1" x14ac:dyDescent="0.35">
      <c r="A234" s="64" t="str">
        <f t="shared" si="12"/>
        <v/>
      </c>
      <c r="D234" s="308"/>
      <c r="E234" s="309"/>
    </row>
    <row r="235" spans="1:5" ht="15" customHeight="1" x14ac:dyDescent="0.35">
      <c r="A235" s="64" t="str">
        <f t="shared" si="12"/>
        <v/>
      </c>
      <c r="D235" s="308"/>
      <c r="E235" s="309"/>
    </row>
    <row r="236" spans="1:5" ht="15" customHeight="1" x14ac:dyDescent="0.35">
      <c r="A236" s="64" t="str">
        <f t="shared" si="12"/>
        <v/>
      </c>
      <c r="D236" s="308"/>
      <c r="E236" s="309"/>
    </row>
    <row r="237" spans="1:5" ht="15" customHeight="1" x14ac:dyDescent="0.35">
      <c r="A237" s="64" t="str">
        <f t="shared" si="12"/>
        <v/>
      </c>
    </row>
    <row r="238" spans="1:5" ht="15" customHeight="1" x14ac:dyDescent="0.35">
      <c r="A238" s="64" t="str">
        <f t="shared" si="12"/>
        <v/>
      </c>
    </row>
    <row r="239" spans="1:5" ht="15" customHeight="1" x14ac:dyDescent="0.35">
      <c r="A239" s="64" t="str">
        <f t="shared" si="12"/>
        <v/>
      </c>
      <c r="D239" s="308"/>
      <c r="E239" s="309"/>
    </row>
    <row r="240" spans="1:5" ht="15" customHeight="1" x14ac:dyDescent="0.35">
      <c r="A240" s="64" t="str">
        <f t="shared" si="12"/>
        <v/>
      </c>
      <c r="D240" s="308"/>
      <c r="E240" s="309"/>
    </row>
    <row r="241" spans="1:5" ht="15" customHeight="1" x14ac:dyDescent="0.35">
      <c r="A241" s="64" t="str">
        <f t="shared" si="12"/>
        <v/>
      </c>
      <c r="D241" s="308"/>
      <c r="E241" s="309"/>
    </row>
    <row r="242" spans="1:5" ht="15" customHeight="1" x14ac:dyDescent="0.35">
      <c r="A242" s="64" t="str">
        <f t="shared" si="12"/>
        <v/>
      </c>
      <c r="D242" s="308"/>
      <c r="E242" s="309"/>
    </row>
    <row r="243" spans="1:5" ht="15" customHeight="1" x14ac:dyDescent="0.35">
      <c r="A243" s="64" t="str">
        <f t="shared" si="12"/>
        <v/>
      </c>
      <c r="D243" s="308"/>
      <c r="E243" s="309"/>
    </row>
    <row r="244" spans="1:5" ht="15" customHeight="1" x14ac:dyDescent="0.35">
      <c r="A244" s="64" t="str">
        <f t="shared" si="12"/>
        <v/>
      </c>
      <c r="D244" s="308"/>
      <c r="E244" s="309"/>
    </row>
    <row r="245" spans="1:5" ht="15" customHeight="1" x14ac:dyDescent="0.35">
      <c r="A245" s="64" t="str">
        <f t="shared" ref="A245" si="13">F245&amp;G245&amp;H245&amp;B245</f>
        <v/>
      </c>
      <c r="D245" s="308"/>
      <c r="E245" s="309"/>
    </row>
    <row r="246" spans="1:5" ht="15" customHeight="1" x14ac:dyDescent="0.35">
      <c r="A246" s="64" t="str">
        <f t="shared" si="12"/>
        <v/>
      </c>
    </row>
    <row r="247" spans="1:5" ht="15" customHeight="1" x14ac:dyDescent="0.35">
      <c r="A247" s="64" t="str">
        <f t="shared" si="12"/>
        <v/>
      </c>
    </row>
    <row r="248" spans="1:5" ht="15" customHeight="1" x14ac:dyDescent="0.35">
      <c r="A248" s="64" t="str">
        <f t="shared" si="12"/>
        <v/>
      </c>
      <c r="D248" s="308"/>
      <c r="E248" s="309"/>
    </row>
    <row r="249" spans="1:5" ht="15" customHeight="1" x14ac:dyDescent="0.35">
      <c r="A249" s="64" t="str">
        <f t="shared" si="12"/>
        <v/>
      </c>
      <c r="D249" s="308"/>
      <c r="E249" s="309"/>
    </row>
    <row r="250" spans="1:5" ht="15" customHeight="1" x14ac:dyDescent="0.35">
      <c r="A250" s="64" t="str">
        <f t="shared" si="12"/>
        <v/>
      </c>
      <c r="D250" s="308"/>
      <c r="E250" s="309"/>
    </row>
    <row r="251" spans="1:5" ht="15" customHeight="1" x14ac:dyDescent="0.35">
      <c r="A251" s="64" t="str">
        <f t="shared" si="12"/>
        <v/>
      </c>
      <c r="D251" s="308"/>
      <c r="E251" s="309"/>
    </row>
    <row r="252" spans="1:5" ht="15" customHeight="1" x14ac:dyDescent="0.35">
      <c r="A252" s="64" t="str">
        <f t="shared" si="12"/>
        <v/>
      </c>
      <c r="D252" s="308"/>
      <c r="E252" s="309"/>
    </row>
    <row r="253" spans="1:5" ht="15" customHeight="1" x14ac:dyDescent="0.35">
      <c r="A253" s="64" t="str">
        <f t="shared" si="12"/>
        <v/>
      </c>
      <c r="D253" s="308"/>
      <c r="E253" s="309"/>
    </row>
    <row r="254" spans="1:5" ht="15" customHeight="1" x14ac:dyDescent="0.35">
      <c r="A254" s="64" t="str">
        <f t="shared" si="12"/>
        <v/>
      </c>
      <c r="D254" s="308"/>
      <c r="E254" s="309"/>
    </row>
    <row r="255" spans="1:5" ht="15" customHeight="1" x14ac:dyDescent="0.35">
      <c r="A255" s="64" t="str">
        <f t="shared" si="12"/>
        <v/>
      </c>
      <c r="D255" s="308"/>
      <c r="E255" s="309"/>
    </row>
    <row r="257" spans="1:8" ht="15" customHeight="1" x14ac:dyDescent="0.35">
      <c r="A257" s="64" t="str">
        <f t="shared" ref="A257:A264" si="14">F257&amp;G257&amp;H257&amp;B257</f>
        <v/>
      </c>
      <c r="B257" s="311"/>
      <c r="C257" s="311"/>
      <c r="D257" s="312"/>
      <c r="E257" s="311"/>
      <c r="F257" s="311"/>
      <c r="G257" s="311"/>
      <c r="H257" s="313"/>
    </row>
    <row r="258" spans="1:8" ht="15" customHeight="1" x14ac:dyDescent="0.35">
      <c r="A258" s="64" t="str">
        <f t="shared" si="14"/>
        <v/>
      </c>
      <c r="D258" s="308"/>
      <c r="E258" s="309"/>
    </row>
    <row r="259" spans="1:8" ht="15" customHeight="1" x14ac:dyDescent="0.35">
      <c r="A259" s="64" t="str">
        <f t="shared" si="14"/>
        <v/>
      </c>
      <c r="D259" s="308"/>
      <c r="E259" s="309"/>
    </row>
    <row r="260" spans="1:8" ht="15" customHeight="1" x14ac:dyDescent="0.35">
      <c r="A260" s="64" t="str">
        <f t="shared" si="14"/>
        <v/>
      </c>
      <c r="D260" s="308"/>
      <c r="E260" s="309"/>
    </row>
    <row r="261" spans="1:8" ht="15" customHeight="1" x14ac:dyDescent="0.35">
      <c r="A261" s="64" t="str">
        <f t="shared" si="14"/>
        <v/>
      </c>
      <c r="D261" s="308"/>
      <c r="E261" s="309"/>
    </row>
    <row r="262" spans="1:8" ht="15" customHeight="1" x14ac:dyDescent="0.35">
      <c r="A262" s="64" t="str">
        <f t="shared" si="14"/>
        <v/>
      </c>
      <c r="D262" s="308"/>
      <c r="E262" s="309"/>
    </row>
    <row r="263" spans="1:8" ht="15" customHeight="1" x14ac:dyDescent="0.35">
      <c r="A263" s="64" t="str">
        <f t="shared" si="14"/>
        <v/>
      </c>
      <c r="D263" s="308"/>
      <c r="E263" s="309"/>
    </row>
    <row r="264" spans="1:8" ht="15" customHeight="1" x14ac:dyDescent="0.35">
      <c r="A264" s="64" t="str">
        <f t="shared" si="14"/>
        <v/>
      </c>
      <c r="D264" s="308"/>
      <c r="E264" s="309"/>
    </row>
  </sheetData>
  <sheetProtection algorithmName="SHA-512" hashValue="UwFVhQFhZOBKhDjuJa5p7cX9TFEMUpKAezQ9EWQgtGMaWo2c+LN4eyMNDiuK0/mn/uG+YNecGnLZyTwn+1SdoQ==" saltValue="LgloHZC/LFXlIx2XeBzZ9g==" spinCount="100000" sheet="1" objects="1" scenarios="1" formatCells="0" formatColumns="0" formatRows="0" sort="0" autoFilter="0"/>
  <autoFilter ref="A1:AC264" xr:uid="{00000000-0009-0000-0000-000014000000}"/>
  <sortState xmlns:xlrd2="http://schemas.microsoft.com/office/spreadsheetml/2017/richdata2" ref="Q3:Q7">
    <sortCondition ref="Q3:Q7"/>
  </sortState>
  <phoneticPr fontId="46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8"/>
  <dimension ref="A1:O92"/>
  <sheetViews>
    <sheetView zoomScaleNormal="100" zoomScalePageLayoutView="168" workbookViewId="0">
      <selection activeCell="L94" sqref="L94"/>
    </sheetView>
  </sheetViews>
  <sheetFormatPr defaultColWidth="8.7109375" defaultRowHeight="15" x14ac:dyDescent="0.35"/>
  <cols>
    <col min="1" max="1" width="46.5703125" style="64" bestFit="1" customWidth="1"/>
    <col min="2" max="3" width="8.7109375" style="64" customWidth="1"/>
    <col min="4" max="4" width="22.7109375" style="64" bestFit="1" customWidth="1"/>
    <col min="5" max="5" width="9.28515625" style="66" bestFit="1" customWidth="1"/>
    <col min="6" max="6" width="11" style="86" bestFit="1" customWidth="1"/>
    <col min="7" max="7" width="38.28515625" style="64" bestFit="1" customWidth="1"/>
    <col min="8" max="8" width="55" style="64" bestFit="1" customWidth="1"/>
    <col min="9" max="9" width="8.28515625" style="66" bestFit="1" customWidth="1"/>
    <col min="10" max="10" width="8.7109375" style="64" customWidth="1"/>
    <col min="11" max="11" width="30.42578125" style="66" bestFit="1" customWidth="1"/>
    <col min="12" max="12" width="30.28515625" style="64" bestFit="1" customWidth="1"/>
    <col min="13" max="16384" width="8.7109375" style="64"/>
  </cols>
  <sheetData>
    <row r="1" spans="1:15" x14ac:dyDescent="0.35">
      <c r="A1" s="64" t="s">
        <v>769</v>
      </c>
      <c r="C1" s="302" t="s">
        <v>970</v>
      </c>
      <c r="D1" s="64" t="s">
        <v>68</v>
      </c>
      <c r="E1" s="66" t="s">
        <v>770</v>
      </c>
      <c r="F1" s="86" t="s">
        <v>771</v>
      </c>
      <c r="G1" s="64" t="s">
        <v>772</v>
      </c>
      <c r="H1" s="64" t="s">
        <v>568</v>
      </c>
      <c r="I1" s="66" t="s">
        <v>773</v>
      </c>
    </row>
    <row r="2" spans="1:15" x14ac:dyDescent="0.35">
      <c r="A2" s="64" t="str">
        <f t="shared" ref="A2:A28" si="0">C2&amp;D2&amp;E2</f>
        <v>MidlandNorth-East Division A1</v>
      </c>
      <c r="C2" s="64" t="s">
        <v>968</v>
      </c>
      <c r="D2" s="302" t="s">
        <v>1065</v>
      </c>
      <c r="E2" s="66">
        <v>1</v>
      </c>
      <c r="F2" s="86">
        <v>45053</v>
      </c>
      <c r="G2" s="268" t="s">
        <v>315</v>
      </c>
      <c r="H2" s="269" t="s">
        <v>1047</v>
      </c>
      <c r="I2" s="66">
        <v>213</v>
      </c>
      <c r="O2" s="267"/>
    </row>
    <row r="3" spans="1:15" x14ac:dyDescent="0.35">
      <c r="A3" s="64" t="str">
        <f t="shared" si="0"/>
        <v>MidlandNorth-East Division A2</v>
      </c>
      <c r="C3" s="64" t="s">
        <v>968</v>
      </c>
      <c r="D3" s="302" t="s">
        <v>1065</v>
      </c>
      <c r="E3" s="66">
        <v>2</v>
      </c>
      <c r="F3" s="86">
        <v>45080</v>
      </c>
      <c r="G3" s="64" t="s">
        <v>314</v>
      </c>
      <c r="H3" s="269" t="s">
        <v>1048</v>
      </c>
      <c r="I3" s="66">
        <v>213</v>
      </c>
      <c r="O3" s="267"/>
    </row>
    <row r="4" spans="1:15" x14ac:dyDescent="0.35">
      <c r="A4" s="64" t="str">
        <f t="shared" si="0"/>
        <v>MidlandNorth-East Division A3</v>
      </c>
      <c r="C4" s="64" t="s">
        <v>968</v>
      </c>
      <c r="D4" s="302" t="s">
        <v>1065</v>
      </c>
      <c r="E4" s="66">
        <v>3</v>
      </c>
      <c r="F4" s="86">
        <v>45115</v>
      </c>
      <c r="G4" s="64" t="s">
        <v>965</v>
      </c>
      <c r="H4" s="64" t="s">
        <v>1049</v>
      </c>
      <c r="I4" s="66">
        <v>213</v>
      </c>
      <c r="O4" s="267"/>
    </row>
    <row r="5" spans="1:15" x14ac:dyDescent="0.35">
      <c r="A5" s="64" t="str">
        <f t="shared" si="0"/>
        <v>MidlandNorth-East Division B1</v>
      </c>
      <c r="C5" s="64" t="s">
        <v>968</v>
      </c>
      <c r="D5" s="302" t="s">
        <v>1066</v>
      </c>
      <c r="E5" s="66">
        <v>1</v>
      </c>
      <c r="F5" s="86">
        <v>45053</v>
      </c>
      <c r="G5" s="64" t="s">
        <v>322</v>
      </c>
      <c r="H5" s="269" t="s">
        <v>1050</v>
      </c>
      <c r="I5" s="66">
        <v>214</v>
      </c>
      <c r="O5" s="267"/>
    </row>
    <row r="6" spans="1:15" x14ac:dyDescent="0.35">
      <c r="A6" s="64" t="str">
        <f t="shared" si="0"/>
        <v>MidlandNorth-East Division B2</v>
      </c>
      <c r="C6" s="64" t="s">
        <v>968</v>
      </c>
      <c r="D6" s="302" t="s">
        <v>1066</v>
      </c>
      <c r="E6" s="66">
        <v>2</v>
      </c>
      <c r="F6" s="86">
        <v>45080</v>
      </c>
      <c r="G6" s="64" t="s">
        <v>322</v>
      </c>
      <c r="H6" s="269" t="s">
        <v>1050</v>
      </c>
      <c r="I6" s="66">
        <v>214</v>
      </c>
    </row>
    <row r="7" spans="1:15" x14ac:dyDescent="0.35">
      <c r="A7" s="64" t="str">
        <f t="shared" si="0"/>
        <v>MidlandNorth-East Division B3</v>
      </c>
      <c r="C7" s="64" t="s">
        <v>968</v>
      </c>
      <c r="D7" s="302" t="s">
        <v>1066</v>
      </c>
      <c r="E7" s="66">
        <v>3</v>
      </c>
      <c r="F7" s="86">
        <v>45115</v>
      </c>
      <c r="G7" s="64" t="s">
        <v>316</v>
      </c>
      <c r="H7" s="269" t="s">
        <v>1051</v>
      </c>
      <c r="I7" s="66">
        <v>214</v>
      </c>
    </row>
    <row r="8" spans="1:15" x14ac:dyDescent="0.35">
      <c r="A8" s="64" t="str">
        <f t="shared" si="0"/>
        <v>MidlandNorth-East Division C1</v>
      </c>
      <c r="C8" s="64" t="s">
        <v>968</v>
      </c>
      <c r="D8" s="302" t="s">
        <v>1073</v>
      </c>
      <c r="E8" s="66">
        <v>1</v>
      </c>
      <c r="F8" s="86">
        <v>45053</v>
      </c>
      <c r="G8" s="64" t="s">
        <v>714</v>
      </c>
      <c r="H8" s="64" t="s">
        <v>1050</v>
      </c>
      <c r="I8" s="66">
        <v>215</v>
      </c>
    </row>
    <row r="9" spans="1:15" x14ac:dyDescent="0.35">
      <c r="A9" s="64" t="str">
        <f t="shared" si="0"/>
        <v>MidlandNorth-East Division C2</v>
      </c>
      <c r="C9" s="64" t="s">
        <v>968</v>
      </c>
      <c r="D9" s="302" t="s">
        <v>1073</v>
      </c>
      <c r="E9" s="66">
        <v>2</v>
      </c>
      <c r="F9" s="86">
        <v>45080</v>
      </c>
      <c r="G9" s="64" t="s">
        <v>311</v>
      </c>
      <c r="H9" s="64" t="s">
        <v>1050</v>
      </c>
      <c r="I9" s="66">
        <v>215</v>
      </c>
    </row>
    <row r="10" spans="1:15" x14ac:dyDescent="0.35">
      <c r="A10" s="64" t="str">
        <f t="shared" si="0"/>
        <v>MidlandNorth-East Division C3</v>
      </c>
      <c r="C10" s="64" t="s">
        <v>968</v>
      </c>
      <c r="D10" s="302" t="s">
        <v>1073</v>
      </c>
      <c r="E10" s="66">
        <v>3</v>
      </c>
      <c r="F10" s="86">
        <v>45115</v>
      </c>
      <c r="G10" s="64" t="s">
        <v>706</v>
      </c>
      <c r="H10" s="269" t="s">
        <v>1051</v>
      </c>
      <c r="I10" s="66">
        <v>215</v>
      </c>
    </row>
    <row r="11" spans="1:15" x14ac:dyDescent="0.35">
      <c r="A11" s="64" t="str">
        <f t="shared" si="0"/>
        <v>MidlandNorth-East Division D1</v>
      </c>
      <c r="C11" s="64" t="s">
        <v>968</v>
      </c>
      <c r="D11" s="302" t="s">
        <v>1070</v>
      </c>
      <c r="E11" s="66">
        <v>1</v>
      </c>
      <c r="F11" s="86">
        <v>45053</v>
      </c>
      <c r="G11" s="64" t="s">
        <v>329</v>
      </c>
      <c r="H11" s="64" t="s">
        <v>1052</v>
      </c>
      <c r="I11" s="66">
        <v>216</v>
      </c>
    </row>
    <row r="12" spans="1:15" x14ac:dyDescent="0.35">
      <c r="A12" s="64" t="str">
        <f t="shared" si="0"/>
        <v>MidlandNorth-East Division D2</v>
      </c>
      <c r="C12" s="64" t="s">
        <v>968</v>
      </c>
      <c r="D12" s="302" t="s">
        <v>1070</v>
      </c>
      <c r="E12" s="66">
        <v>2</v>
      </c>
      <c r="F12" s="86">
        <v>45080</v>
      </c>
      <c r="G12" s="64" t="s">
        <v>323</v>
      </c>
      <c r="H12" s="269" t="s">
        <v>1053</v>
      </c>
      <c r="I12" s="66">
        <v>216</v>
      </c>
    </row>
    <row r="13" spans="1:15" x14ac:dyDescent="0.35">
      <c r="A13" s="64" t="str">
        <f t="shared" si="0"/>
        <v>MidlandNorth-East Division D3</v>
      </c>
      <c r="C13" s="64" t="s">
        <v>968</v>
      </c>
      <c r="D13" s="302" t="s">
        <v>1070</v>
      </c>
      <c r="E13" s="66">
        <v>3</v>
      </c>
      <c r="F13" s="86">
        <v>45115</v>
      </c>
      <c r="G13" s="64" t="s">
        <v>324</v>
      </c>
      <c r="H13" s="64" t="s">
        <v>1054</v>
      </c>
      <c r="I13" s="66">
        <v>216</v>
      </c>
    </row>
    <row r="14" spans="1:15" x14ac:dyDescent="0.35">
      <c r="A14" s="64" t="str">
        <f t="shared" si="0"/>
        <v>MidlandNorth-East Division E1</v>
      </c>
      <c r="C14" s="64" t="s">
        <v>968</v>
      </c>
      <c r="D14" s="302" t="s">
        <v>1069</v>
      </c>
      <c r="E14" s="66">
        <v>1</v>
      </c>
      <c r="F14" s="86">
        <v>45053</v>
      </c>
      <c r="G14" s="64" t="s">
        <v>329</v>
      </c>
      <c r="H14" s="269" t="s">
        <v>1052</v>
      </c>
      <c r="I14" s="66">
        <v>217</v>
      </c>
    </row>
    <row r="15" spans="1:15" x14ac:dyDescent="0.35">
      <c r="A15" s="64" t="str">
        <f t="shared" si="0"/>
        <v>MidlandNorth-East Division E2</v>
      </c>
      <c r="C15" s="64" t="s">
        <v>968</v>
      </c>
      <c r="D15" s="302" t="s">
        <v>1069</v>
      </c>
      <c r="E15" s="66">
        <v>2</v>
      </c>
      <c r="F15" s="86">
        <v>45080</v>
      </c>
      <c r="G15" s="64" t="s">
        <v>323</v>
      </c>
      <c r="H15" s="269" t="s">
        <v>1053</v>
      </c>
      <c r="I15" s="66">
        <v>217</v>
      </c>
    </row>
    <row r="16" spans="1:15" x14ac:dyDescent="0.35">
      <c r="A16" s="64" t="str">
        <f t="shared" si="0"/>
        <v>MidlandNorth-East Division E3</v>
      </c>
      <c r="C16" s="64" t="s">
        <v>968</v>
      </c>
      <c r="D16" s="302" t="s">
        <v>1069</v>
      </c>
      <c r="E16" s="66">
        <v>3</v>
      </c>
      <c r="F16" s="86">
        <v>45115</v>
      </c>
      <c r="G16" s="64" t="s">
        <v>324</v>
      </c>
      <c r="H16" s="269" t="s">
        <v>1054</v>
      </c>
      <c r="I16" s="66">
        <v>217</v>
      </c>
    </row>
    <row r="17" spans="1:15" x14ac:dyDescent="0.35">
      <c r="A17" s="64" t="str">
        <f t="shared" si="0"/>
        <v>MidlandPremier North-East1</v>
      </c>
      <c r="C17" s="64" t="s">
        <v>968</v>
      </c>
      <c r="D17" s="64" t="s">
        <v>1067</v>
      </c>
      <c r="E17" s="66">
        <v>1</v>
      </c>
      <c r="F17" s="86">
        <v>45053</v>
      </c>
      <c r="G17" s="64" t="s">
        <v>304</v>
      </c>
      <c r="H17" s="269" t="s">
        <v>1055</v>
      </c>
      <c r="I17" s="66">
        <v>211</v>
      </c>
    </row>
    <row r="18" spans="1:15" x14ac:dyDescent="0.35">
      <c r="A18" s="64" t="str">
        <f t="shared" si="0"/>
        <v>MidlandPremier North-East2</v>
      </c>
      <c r="C18" s="64" t="s">
        <v>968</v>
      </c>
      <c r="D18" s="64" t="s">
        <v>1067</v>
      </c>
      <c r="E18" s="66">
        <v>2</v>
      </c>
      <c r="F18" s="86">
        <v>45080</v>
      </c>
      <c r="G18" s="64" t="s">
        <v>302</v>
      </c>
      <c r="H18" s="87" t="s">
        <v>1056</v>
      </c>
      <c r="I18" s="66">
        <v>211</v>
      </c>
    </row>
    <row r="19" spans="1:15" x14ac:dyDescent="0.35">
      <c r="A19" s="64" t="str">
        <f t="shared" si="0"/>
        <v>MidlandPremier North-East3</v>
      </c>
      <c r="C19" s="64" t="s">
        <v>968</v>
      </c>
      <c r="D19" s="64" t="s">
        <v>1067</v>
      </c>
      <c r="E19" s="66">
        <v>3</v>
      </c>
      <c r="F19" s="86">
        <v>45115</v>
      </c>
      <c r="G19" s="268" t="s">
        <v>310</v>
      </c>
      <c r="H19" s="269" t="s">
        <v>1057</v>
      </c>
      <c r="I19" s="66">
        <v>211</v>
      </c>
    </row>
    <row r="20" spans="1:15" x14ac:dyDescent="0.35">
      <c r="A20" s="64" t="str">
        <f t="shared" si="0"/>
        <v>MidlandPremier South-West1</v>
      </c>
      <c r="C20" s="64" t="s">
        <v>968</v>
      </c>
      <c r="D20" s="64" t="s">
        <v>1071</v>
      </c>
      <c r="E20" s="66">
        <v>1</v>
      </c>
      <c r="F20" s="86">
        <v>45053</v>
      </c>
      <c r="G20" s="268" t="s">
        <v>581</v>
      </c>
      <c r="H20" s="64" t="s">
        <v>1058</v>
      </c>
      <c r="I20" s="66">
        <v>212</v>
      </c>
    </row>
    <row r="21" spans="1:15" x14ac:dyDescent="0.35">
      <c r="A21" s="64" t="str">
        <f t="shared" si="0"/>
        <v>MidlandPremier South-West2</v>
      </c>
      <c r="C21" s="64" t="s">
        <v>968</v>
      </c>
      <c r="D21" s="64" t="s">
        <v>1071</v>
      </c>
      <c r="E21" s="66">
        <v>2</v>
      </c>
      <c r="F21" s="86">
        <v>45080</v>
      </c>
      <c r="G21" s="64" t="s">
        <v>328</v>
      </c>
      <c r="H21" s="269" t="s">
        <v>1059</v>
      </c>
      <c r="I21" s="66">
        <v>212</v>
      </c>
      <c r="O21" s="267"/>
    </row>
    <row r="22" spans="1:15" x14ac:dyDescent="0.35">
      <c r="A22" s="64" t="str">
        <f t="shared" si="0"/>
        <v>MidlandPremier South-West3</v>
      </c>
      <c r="C22" s="64" t="s">
        <v>968</v>
      </c>
      <c r="D22" s="64" t="s">
        <v>1071</v>
      </c>
      <c r="E22" s="66">
        <v>3</v>
      </c>
      <c r="F22" s="86">
        <v>45115</v>
      </c>
      <c r="G22" s="64" t="s">
        <v>768</v>
      </c>
      <c r="H22" s="64" t="s">
        <v>1060</v>
      </c>
      <c r="I22" s="66">
        <v>212</v>
      </c>
      <c r="O22" s="267"/>
    </row>
    <row r="23" spans="1:15" x14ac:dyDescent="0.35">
      <c r="A23" s="64" t="str">
        <f t="shared" si="0"/>
        <v>MidlandSouth-West A1</v>
      </c>
      <c r="B23" s="385"/>
      <c r="C23" s="385" t="s">
        <v>968</v>
      </c>
      <c r="D23" s="385" t="s">
        <v>1068</v>
      </c>
      <c r="E23" s="386">
        <v>1</v>
      </c>
      <c r="F23" s="387">
        <v>45053</v>
      </c>
      <c r="G23" s="385" t="s">
        <v>327</v>
      </c>
      <c r="H23" s="385" t="s">
        <v>1061</v>
      </c>
      <c r="I23" s="386">
        <v>218</v>
      </c>
      <c r="O23" s="267"/>
    </row>
    <row r="24" spans="1:15" x14ac:dyDescent="0.35">
      <c r="A24" s="64" t="str">
        <f t="shared" si="0"/>
        <v>MidlandSouth-West A2</v>
      </c>
      <c r="B24" s="385"/>
      <c r="C24" s="385" t="s">
        <v>968</v>
      </c>
      <c r="D24" s="385" t="s">
        <v>1068</v>
      </c>
      <c r="E24" s="386">
        <v>2</v>
      </c>
      <c r="F24" s="387">
        <v>45080</v>
      </c>
      <c r="G24" s="385" t="s">
        <v>596</v>
      </c>
      <c r="H24" s="385" t="s">
        <v>1062</v>
      </c>
      <c r="I24" s="386">
        <v>218</v>
      </c>
      <c r="O24" s="267"/>
    </row>
    <row r="25" spans="1:15" x14ac:dyDescent="0.35">
      <c r="A25" s="64" t="str">
        <f t="shared" si="0"/>
        <v>MidlandSouth-West A3</v>
      </c>
      <c r="B25" s="385"/>
      <c r="C25" s="385" t="s">
        <v>968</v>
      </c>
      <c r="D25" s="385" t="s">
        <v>1068</v>
      </c>
      <c r="E25" s="386">
        <v>3</v>
      </c>
      <c r="F25" s="387">
        <v>45115</v>
      </c>
      <c r="G25" s="385" t="s">
        <v>330</v>
      </c>
      <c r="H25" s="385" t="s">
        <v>1063</v>
      </c>
      <c r="I25" s="386">
        <v>218</v>
      </c>
    </row>
    <row r="26" spans="1:15" x14ac:dyDescent="0.35">
      <c r="A26" s="64" t="str">
        <f t="shared" si="0"/>
        <v>MidlandSouth-West B1</v>
      </c>
      <c r="B26" s="385"/>
      <c r="C26" s="385" t="s">
        <v>968</v>
      </c>
      <c r="D26" s="385" t="s">
        <v>1072</v>
      </c>
      <c r="E26" s="386">
        <v>1</v>
      </c>
      <c r="F26" s="387">
        <v>45053</v>
      </c>
      <c r="G26" s="385" t="s">
        <v>327</v>
      </c>
      <c r="H26" s="388" t="s">
        <v>1061</v>
      </c>
      <c r="I26" s="386">
        <v>219</v>
      </c>
    </row>
    <row r="27" spans="1:15" x14ac:dyDescent="0.35">
      <c r="A27" s="64" t="str">
        <f t="shared" si="0"/>
        <v>MidlandSouth-West B2</v>
      </c>
      <c r="B27" s="385"/>
      <c r="C27" s="385" t="s">
        <v>968</v>
      </c>
      <c r="D27" s="385" t="s">
        <v>1072</v>
      </c>
      <c r="E27" s="386">
        <v>2</v>
      </c>
      <c r="F27" s="387">
        <v>45080</v>
      </c>
      <c r="G27" s="385" t="s">
        <v>596</v>
      </c>
      <c r="H27" s="388" t="s">
        <v>1062</v>
      </c>
      <c r="I27" s="386">
        <v>219</v>
      </c>
    </row>
    <row r="28" spans="1:15" x14ac:dyDescent="0.35">
      <c r="A28" s="64" t="str">
        <f t="shared" si="0"/>
        <v>MidlandSouth-West B3</v>
      </c>
      <c r="B28" s="385"/>
      <c r="C28" s="385" t="s">
        <v>968</v>
      </c>
      <c r="D28" s="385" t="s">
        <v>1072</v>
      </c>
      <c r="E28" s="386">
        <v>3</v>
      </c>
      <c r="F28" s="387">
        <v>45115</v>
      </c>
      <c r="G28" s="385" t="s">
        <v>330</v>
      </c>
      <c r="H28" s="385" t="s">
        <v>1063</v>
      </c>
      <c r="I28" s="386">
        <v>219</v>
      </c>
    </row>
    <row r="29" spans="1:15" x14ac:dyDescent="0.35">
      <c r="B29" s="385"/>
      <c r="C29" s="385"/>
      <c r="D29" s="385"/>
      <c r="E29" s="386"/>
      <c r="F29" s="387"/>
      <c r="G29" s="385"/>
      <c r="H29" s="385"/>
      <c r="I29" s="386"/>
    </row>
    <row r="30" spans="1:15" x14ac:dyDescent="0.35">
      <c r="A30" s="64" t="str">
        <f t="shared" ref="A30:A57" si="1">C30&amp;D30&amp;E30</f>
        <v>NorthEast 11</v>
      </c>
      <c r="C30" s="64" t="s">
        <v>966</v>
      </c>
      <c r="D30" s="267" t="s">
        <v>942</v>
      </c>
      <c r="E30" s="66">
        <v>1</v>
      </c>
      <c r="F30" s="86">
        <v>45053</v>
      </c>
      <c r="G30" s="64" t="s">
        <v>71</v>
      </c>
      <c r="H30" s="269" t="s">
        <v>1007</v>
      </c>
      <c r="I30" s="66">
        <v>203</v>
      </c>
    </row>
    <row r="31" spans="1:15" x14ac:dyDescent="0.35">
      <c r="A31" s="64" t="str">
        <f t="shared" si="1"/>
        <v>NorthEast 12</v>
      </c>
      <c r="C31" s="64" t="s">
        <v>966</v>
      </c>
      <c r="D31" s="267" t="s">
        <v>942</v>
      </c>
      <c r="E31" s="66">
        <v>2</v>
      </c>
      <c r="F31" s="86">
        <v>45080</v>
      </c>
      <c r="G31" s="64" t="s">
        <v>757</v>
      </c>
      <c r="H31" s="64" t="s">
        <v>1033</v>
      </c>
      <c r="I31" s="66">
        <f>I30</f>
        <v>203</v>
      </c>
    </row>
    <row r="32" spans="1:15" x14ac:dyDescent="0.35">
      <c r="A32" s="64" t="str">
        <f t="shared" si="1"/>
        <v>NorthEast 13</v>
      </c>
      <c r="C32" s="64" t="s">
        <v>966</v>
      </c>
      <c r="D32" s="267" t="s">
        <v>942</v>
      </c>
      <c r="E32" s="66">
        <v>3</v>
      </c>
      <c r="F32" s="86">
        <v>45115</v>
      </c>
      <c r="G32" s="64" t="s">
        <v>77</v>
      </c>
      <c r="H32" s="269" t="s">
        <v>1034</v>
      </c>
      <c r="I32" s="66">
        <f>I31</f>
        <v>203</v>
      </c>
    </row>
    <row r="33" spans="1:9" x14ac:dyDescent="0.35">
      <c r="A33" s="64" t="str">
        <f t="shared" si="1"/>
        <v>NorthEast 14</v>
      </c>
      <c r="C33" s="64" t="s">
        <v>966</v>
      </c>
      <c r="D33" s="267" t="s">
        <v>942</v>
      </c>
      <c r="E33" s="66">
        <v>4</v>
      </c>
      <c r="F33" s="86">
        <v>45129</v>
      </c>
      <c r="G33" s="64" t="s">
        <v>77</v>
      </c>
      <c r="H33" s="64" t="s">
        <v>1034</v>
      </c>
      <c r="I33" s="66">
        <f>I32</f>
        <v>203</v>
      </c>
    </row>
    <row r="34" spans="1:9" x14ac:dyDescent="0.35">
      <c r="A34" s="64" t="str">
        <f t="shared" si="1"/>
        <v>NorthPremier East1</v>
      </c>
      <c r="C34" s="64" t="s">
        <v>966</v>
      </c>
      <c r="D34" s="302" t="s">
        <v>964</v>
      </c>
      <c r="E34" s="66">
        <v>1</v>
      </c>
      <c r="F34" s="86">
        <v>45053</v>
      </c>
      <c r="G34" s="64" t="s">
        <v>78</v>
      </c>
      <c r="H34" s="269" t="s">
        <v>1004</v>
      </c>
      <c r="I34" s="66">
        <v>201</v>
      </c>
    </row>
    <row r="35" spans="1:9" x14ac:dyDescent="0.35">
      <c r="A35" s="64" t="str">
        <f t="shared" si="1"/>
        <v>NorthPremier East2</v>
      </c>
      <c r="C35" s="64" t="s">
        <v>966</v>
      </c>
      <c r="D35" s="302" t="s">
        <v>964</v>
      </c>
      <c r="E35" s="66">
        <v>2</v>
      </c>
      <c r="F35" s="86">
        <v>45080</v>
      </c>
      <c r="G35" s="64" t="s">
        <v>73</v>
      </c>
      <c r="H35" s="269" t="s">
        <v>1005</v>
      </c>
      <c r="I35" s="66">
        <f>I34</f>
        <v>201</v>
      </c>
    </row>
    <row r="36" spans="1:9" x14ac:dyDescent="0.35">
      <c r="A36" s="64" t="str">
        <f t="shared" si="1"/>
        <v>NorthPremier East3</v>
      </c>
      <c r="C36" s="64" t="s">
        <v>966</v>
      </c>
      <c r="D36" s="302" t="s">
        <v>964</v>
      </c>
      <c r="E36" s="66">
        <v>3</v>
      </c>
      <c r="F36" s="86">
        <v>45115</v>
      </c>
      <c r="G36" s="64" t="s">
        <v>74</v>
      </c>
      <c r="H36" s="64" t="s">
        <v>1006</v>
      </c>
      <c r="I36" s="66">
        <f>I35</f>
        <v>201</v>
      </c>
    </row>
    <row r="37" spans="1:9" x14ac:dyDescent="0.35">
      <c r="A37" s="64" t="str">
        <f t="shared" si="1"/>
        <v>NorthPremier East4</v>
      </c>
      <c r="C37" s="64" t="s">
        <v>966</v>
      </c>
      <c r="D37" s="302" t="s">
        <v>964</v>
      </c>
      <c r="E37" s="66">
        <v>4</v>
      </c>
      <c r="F37" s="86">
        <v>45129</v>
      </c>
      <c r="G37" s="64" t="s">
        <v>756</v>
      </c>
      <c r="H37" s="269" t="s">
        <v>1007</v>
      </c>
      <c r="I37" s="66">
        <v>201</v>
      </c>
    </row>
    <row r="38" spans="1:9" x14ac:dyDescent="0.35">
      <c r="A38" s="64" t="str">
        <f t="shared" si="1"/>
        <v>NorthPremier West1</v>
      </c>
      <c r="C38" s="64" t="s">
        <v>966</v>
      </c>
      <c r="D38" s="302" t="s">
        <v>939</v>
      </c>
      <c r="E38" s="66">
        <v>1</v>
      </c>
      <c r="F38" s="86">
        <v>45053</v>
      </c>
      <c r="G38" s="64" t="s">
        <v>81</v>
      </c>
      <c r="H38" s="64" t="s">
        <v>1035</v>
      </c>
      <c r="I38" s="66">
        <v>202</v>
      </c>
    </row>
    <row r="39" spans="1:9" x14ac:dyDescent="0.35">
      <c r="A39" s="64" t="str">
        <f t="shared" si="1"/>
        <v>NorthPremier West2</v>
      </c>
      <c r="C39" s="64" t="s">
        <v>966</v>
      </c>
      <c r="D39" s="302" t="s">
        <v>939</v>
      </c>
      <c r="E39" s="66">
        <v>2</v>
      </c>
      <c r="F39" s="86">
        <v>45080</v>
      </c>
      <c r="G39" s="64" t="s">
        <v>720</v>
      </c>
      <c r="H39" s="269" t="s">
        <v>1035</v>
      </c>
      <c r="I39" s="66">
        <f>I38</f>
        <v>202</v>
      </c>
    </row>
    <row r="40" spans="1:9" x14ac:dyDescent="0.35">
      <c r="A40" s="64" t="str">
        <f t="shared" si="1"/>
        <v>NorthPremier West3</v>
      </c>
      <c r="C40" s="64" t="s">
        <v>966</v>
      </c>
      <c r="D40" s="302" t="s">
        <v>939</v>
      </c>
      <c r="E40" s="66">
        <v>3</v>
      </c>
      <c r="F40" s="86">
        <v>45115</v>
      </c>
      <c r="G40" s="64" t="s">
        <v>76</v>
      </c>
      <c r="H40" s="269" t="s">
        <v>1036</v>
      </c>
      <c r="I40" s="66">
        <f>I39</f>
        <v>202</v>
      </c>
    </row>
    <row r="41" spans="1:9" x14ac:dyDescent="0.35">
      <c r="A41" s="64" t="str">
        <f t="shared" si="1"/>
        <v>NorthPremier West3</v>
      </c>
      <c r="C41" s="64" t="s">
        <v>966</v>
      </c>
      <c r="D41" s="302" t="s">
        <v>939</v>
      </c>
      <c r="E41" s="66">
        <v>3</v>
      </c>
      <c r="F41" s="86">
        <v>45129</v>
      </c>
      <c r="G41" s="64" t="s">
        <v>76</v>
      </c>
      <c r="H41" s="302" t="s">
        <v>1036</v>
      </c>
      <c r="I41" s="66">
        <v>202</v>
      </c>
    </row>
    <row r="42" spans="1:9" x14ac:dyDescent="0.35">
      <c r="A42" s="64" t="str">
        <f t="shared" si="1"/>
        <v>NorthWest 11</v>
      </c>
      <c r="C42" s="64" t="s">
        <v>966</v>
      </c>
      <c r="D42" s="302" t="s">
        <v>940</v>
      </c>
      <c r="E42" s="66">
        <v>1</v>
      </c>
      <c r="F42" s="86">
        <v>45053</v>
      </c>
      <c r="G42" s="64" t="s">
        <v>554</v>
      </c>
      <c r="H42" s="87" t="s">
        <v>1037</v>
      </c>
      <c r="I42" s="66">
        <v>204</v>
      </c>
    </row>
    <row r="43" spans="1:9" x14ac:dyDescent="0.35">
      <c r="A43" s="64" t="str">
        <f t="shared" si="1"/>
        <v>NorthWest 12</v>
      </c>
      <c r="C43" s="64" t="s">
        <v>966</v>
      </c>
      <c r="D43" s="302" t="s">
        <v>940</v>
      </c>
      <c r="E43" s="66">
        <v>2</v>
      </c>
      <c r="F43" s="86">
        <v>45080</v>
      </c>
      <c r="G43" s="64" t="s">
        <v>84</v>
      </c>
      <c r="H43" s="87" t="s">
        <v>1038</v>
      </c>
      <c r="I43" s="66">
        <f>I42</f>
        <v>204</v>
      </c>
    </row>
    <row r="44" spans="1:9" x14ac:dyDescent="0.35">
      <c r="A44" s="64" t="str">
        <f t="shared" si="1"/>
        <v>NorthWest 13</v>
      </c>
      <c r="C44" s="64" t="s">
        <v>966</v>
      </c>
      <c r="D44" s="302" t="s">
        <v>940</v>
      </c>
      <c r="E44" s="66">
        <v>3</v>
      </c>
      <c r="F44" s="86">
        <v>45115</v>
      </c>
      <c r="G44" s="64" t="s">
        <v>75</v>
      </c>
      <c r="H44" s="64" t="s">
        <v>1037</v>
      </c>
      <c r="I44" s="66">
        <f>I43</f>
        <v>204</v>
      </c>
    </row>
    <row r="45" spans="1:9" x14ac:dyDescent="0.35">
      <c r="A45" s="64" t="str">
        <f t="shared" si="1"/>
        <v>NorthWest 14</v>
      </c>
      <c r="C45" s="64" t="s">
        <v>966</v>
      </c>
      <c r="D45" s="302" t="s">
        <v>940</v>
      </c>
      <c r="E45" s="66">
        <v>4</v>
      </c>
      <c r="F45" s="86">
        <v>45129</v>
      </c>
      <c r="G45" s="64" t="s">
        <v>86</v>
      </c>
      <c r="H45" s="302" t="s">
        <v>1039</v>
      </c>
      <c r="I45" s="66">
        <f>I44</f>
        <v>204</v>
      </c>
    </row>
    <row r="46" spans="1:9" x14ac:dyDescent="0.35">
      <c r="A46" s="64" t="str">
        <f t="shared" si="1"/>
        <v>NorthWest 21</v>
      </c>
      <c r="C46" s="64" t="s">
        <v>966</v>
      </c>
      <c r="D46" s="302" t="s">
        <v>941</v>
      </c>
      <c r="E46" s="66">
        <v>1</v>
      </c>
      <c r="F46" s="86">
        <v>45053</v>
      </c>
      <c r="G46" s="64" t="s">
        <v>80</v>
      </c>
      <c r="H46" s="64" t="s">
        <v>1040</v>
      </c>
      <c r="I46" s="66">
        <v>207</v>
      </c>
    </row>
    <row r="47" spans="1:9" x14ac:dyDescent="0.35">
      <c r="A47" s="64" t="str">
        <f t="shared" si="1"/>
        <v>NorthWest 22</v>
      </c>
      <c r="C47" s="64" t="s">
        <v>966</v>
      </c>
      <c r="D47" s="302" t="s">
        <v>941</v>
      </c>
      <c r="E47" s="66">
        <v>2</v>
      </c>
      <c r="F47" s="86">
        <v>45080</v>
      </c>
      <c r="G47" s="64" t="s">
        <v>748</v>
      </c>
      <c r="H47" s="64" t="s">
        <v>1041</v>
      </c>
      <c r="I47" s="66">
        <f>I46</f>
        <v>207</v>
      </c>
    </row>
    <row r="48" spans="1:9" x14ac:dyDescent="0.35">
      <c r="A48" s="64" t="str">
        <f t="shared" si="1"/>
        <v>NorthWest 23</v>
      </c>
      <c r="C48" s="64" t="s">
        <v>966</v>
      </c>
      <c r="D48" s="302" t="s">
        <v>941</v>
      </c>
      <c r="E48" s="66">
        <v>3</v>
      </c>
      <c r="F48" s="86">
        <v>45115</v>
      </c>
      <c r="G48" s="64" t="s">
        <v>749</v>
      </c>
      <c r="H48" s="269" t="s">
        <v>1040</v>
      </c>
      <c r="I48" s="66">
        <f>I47</f>
        <v>207</v>
      </c>
    </row>
    <row r="49" spans="1:9" x14ac:dyDescent="0.35">
      <c r="A49" s="64" t="str">
        <f t="shared" si="1"/>
        <v>NorthWest 24</v>
      </c>
      <c r="C49" s="64" t="s">
        <v>966</v>
      </c>
      <c r="D49" s="302" t="s">
        <v>941</v>
      </c>
      <c r="E49" s="66">
        <v>4</v>
      </c>
      <c r="F49" s="86">
        <v>45129</v>
      </c>
      <c r="G49" s="64" t="s">
        <v>387</v>
      </c>
      <c r="H49" s="269" t="s">
        <v>1042</v>
      </c>
      <c r="I49" s="66">
        <f>I48</f>
        <v>207</v>
      </c>
    </row>
    <row r="50" spans="1:9" x14ac:dyDescent="0.35">
      <c r="A50" s="64" t="str">
        <f t="shared" si="1"/>
        <v>NorthWest 3N1</v>
      </c>
      <c r="C50" s="64" t="s">
        <v>966</v>
      </c>
      <c r="D50" s="267" t="s">
        <v>944</v>
      </c>
      <c r="E50" s="66">
        <v>1</v>
      </c>
      <c r="F50" s="86">
        <v>45053</v>
      </c>
      <c r="G50" s="64" t="s">
        <v>83</v>
      </c>
      <c r="H50" s="269" t="s">
        <v>1043</v>
      </c>
      <c r="I50" s="66">
        <v>205</v>
      </c>
    </row>
    <row r="51" spans="1:9" x14ac:dyDescent="0.35">
      <c r="A51" s="64" t="str">
        <f t="shared" si="1"/>
        <v>NorthWest 3N2</v>
      </c>
      <c r="C51" s="64" t="s">
        <v>966</v>
      </c>
      <c r="D51" s="267" t="s">
        <v>944</v>
      </c>
      <c r="E51" s="66">
        <v>2</v>
      </c>
      <c r="F51" s="86">
        <v>45080</v>
      </c>
      <c r="G51" s="64" t="s">
        <v>85</v>
      </c>
      <c r="H51" s="269" t="s">
        <v>1044</v>
      </c>
      <c r="I51" s="66">
        <f>I50</f>
        <v>205</v>
      </c>
    </row>
    <row r="52" spans="1:9" x14ac:dyDescent="0.35">
      <c r="A52" s="64" t="str">
        <f t="shared" si="1"/>
        <v>NorthWest 3N3</v>
      </c>
      <c r="C52" s="64" t="s">
        <v>966</v>
      </c>
      <c r="D52" s="267" t="s">
        <v>944</v>
      </c>
      <c r="E52" s="66">
        <v>3</v>
      </c>
      <c r="F52" s="86">
        <v>45115</v>
      </c>
      <c r="G52" s="64" t="s">
        <v>396</v>
      </c>
      <c r="H52" s="64" t="s">
        <v>1045</v>
      </c>
      <c r="I52" s="66">
        <f>I51</f>
        <v>205</v>
      </c>
    </row>
    <row r="53" spans="1:9" x14ac:dyDescent="0.35">
      <c r="A53" s="64" t="str">
        <f t="shared" si="1"/>
        <v>NorthWest 3N4</v>
      </c>
      <c r="C53" s="64" t="s">
        <v>966</v>
      </c>
      <c r="D53" s="267" t="s">
        <v>944</v>
      </c>
      <c r="E53" s="66">
        <v>4</v>
      </c>
      <c r="F53" s="86">
        <v>45129</v>
      </c>
      <c r="G53" s="64" t="s">
        <v>83</v>
      </c>
      <c r="H53" s="269" t="s">
        <v>1035</v>
      </c>
      <c r="I53" s="66">
        <f>I52</f>
        <v>205</v>
      </c>
    </row>
    <row r="54" spans="1:9" x14ac:dyDescent="0.35">
      <c r="A54" s="64" t="str">
        <f t="shared" si="1"/>
        <v>NorthWest 3S1</v>
      </c>
      <c r="C54" s="64" t="s">
        <v>966</v>
      </c>
      <c r="D54" s="302" t="s">
        <v>943</v>
      </c>
      <c r="E54" s="66">
        <v>1</v>
      </c>
      <c r="F54" s="86">
        <v>45053</v>
      </c>
      <c r="G54" s="64" t="s">
        <v>580</v>
      </c>
      <c r="H54" s="269" t="s">
        <v>1043</v>
      </c>
      <c r="I54" s="66">
        <v>206</v>
      </c>
    </row>
    <row r="55" spans="1:9" x14ac:dyDescent="0.35">
      <c r="A55" s="64" t="str">
        <f t="shared" si="1"/>
        <v>NorthWest 3S2</v>
      </c>
      <c r="C55" s="64" t="s">
        <v>966</v>
      </c>
      <c r="D55" s="302" t="s">
        <v>943</v>
      </c>
      <c r="E55" s="66">
        <v>2</v>
      </c>
      <c r="F55" s="86">
        <v>45080</v>
      </c>
      <c r="G55" s="64" t="s">
        <v>88</v>
      </c>
      <c r="H55" s="269" t="s">
        <v>1044</v>
      </c>
      <c r="I55" s="66">
        <f>I54</f>
        <v>206</v>
      </c>
    </row>
    <row r="56" spans="1:9" x14ac:dyDescent="0.35">
      <c r="A56" s="64" t="str">
        <f t="shared" si="1"/>
        <v>NorthWest 3S3</v>
      </c>
      <c r="C56" s="64" t="s">
        <v>966</v>
      </c>
      <c r="D56" s="302" t="s">
        <v>943</v>
      </c>
      <c r="E56" s="66">
        <v>3</v>
      </c>
      <c r="F56" s="86">
        <v>45115</v>
      </c>
      <c r="G56" s="64" t="s">
        <v>555</v>
      </c>
      <c r="H56" s="269" t="s">
        <v>1046</v>
      </c>
      <c r="I56" s="66">
        <f>I55</f>
        <v>206</v>
      </c>
    </row>
    <row r="57" spans="1:9" x14ac:dyDescent="0.35">
      <c r="A57" s="64" t="str">
        <f t="shared" si="1"/>
        <v>NorthWest 3S4</v>
      </c>
      <c r="C57" s="64" t="s">
        <v>966</v>
      </c>
      <c r="D57" s="302" t="s">
        <v>943</v>
      </c>
      <c r="E57" s="66">
        <v>4</v>
      </c>
      <c r="F57" s="86">
        <v>45129</v>
      </c>
      <c r="G57" s="64" t="s">
        <v>87</v>
      </c>
      <c r="H57" s="354" t="s">
        <v>1035</v>
      </c>
      <c r="I57" s="66">
        <f>I56</f>
        <v>206</v>
      </c>
    </row>
    <row r="58" spans="1:9" x14ac:dyDescent="0.35">
      <c r="D58" s="302"/>
      <c r="G58" s="302"/>
      <c r="H58" s="354"/>
    </row>
    <row r="59" spans="1:9" x14ac:dyDescent="0.35">
      <c r="A59" s="64" t="str">
        <f t="shared" ref="A59:A67" si="2">C59&amp;D59&amp;E59</f>
        <v>ScotlandDivision 11</v>
      </c>
      <c r="C59" s="64" t="s">
        <v>969</v>
      </c>
      <c r="D59" s="64" t="s">
        <v>935</v>
      </c>
      <c r="E59" s="66">
        <v>1</v>
      </c>
      <c r="F59" s="86">
        <v>45053</v>
      </c>
      <c r="G59" s="64" t="s">
        <v>557</v>
      </c>
      <c r="H59" s="64" t="s">
        <v>1027</v>
      </c>
      <c r="I59" s="66">
        <v>221</v>
      </c>
    </row>
    <row r="60" spans="1:9" x14ac:dyDescent="0.35">
      <c r="A60" s="64" t="str">
        <f t="shared" si="2"/>
        <v>ScotlandDivision 12</v>
      </c>
      <c r="C60" s="64" t="s">
        <v>969</v>
      </c>
      <c r="D60" s="64" t="s">
        <v>935</v>
      </c>
      <c r="E60" s="66">
        <v>2</v>
      </c>
      <c r="F60" s="86">
        <v>45081</v>
      </c>
      <c r="G60" s="64" t="s">
        <v>761</v>
      </c>
      <c r="H60" s="64" t="s">
        <v>1028</v>
      </c>
      <c r="I60" s="66">
        <f>I59</f>
        <v>221</v>
      </c>
    </row>
    <row r="61" spans="1:9" x14ac:dyDescent="0.35">
      <c r="A61" s="64" t="str">
        <f t="shared" si="2"/>
        <v>ScotlandDivision 13</v>
      </c>
      <c r="C61" s="64" t="s">
        <v>969</v>
      </c>
      <c r="D61" s="64" t="s">
        <v>935</v>
      </c>
      <c r="E61" s="66">
        <v>3</v>
      </c>
      <c r="F61" s="86">
        <v>45109</v>
      </c>
      <c r="G61" s="64" t="s">
        <v>444</v>
      </c>
      <c r="H61" s="87" t="s">
        <v>1029</v>
      </c>
      <c r="I61" s="66">
        <f>I60</f>
        <v>221</v>
      </c>
    </row>
    <row r="62" spans="1:9" x14ac:dyDescent="0.35">
      <c r="A62" s="64" t="str">
        <f t="shared" si="2"/>
        <v>ScotlandDivision 21</v>
      </c>
      <c r="C62" s="64" t="s">
        <v>969</v>
      </c>
      <c r="D62" s="64" t="s">
        <v>937</v>
      </c>
      <c r="E62" s="66">
        <v>1</v>
      </c>
      <c r="F62" s="86">
        <v>45053</v>
      </c>
      <c r="G62" s="64" t="s">
        <v>927</v>
      </c>
      <c r="H62" s="269" t="s">
        <v>1027</v>
      </c>
      <c r="I62" s="66">
        <v>222</v>
      </c>
    </row>
    <row r="63" spans="1:9" ht="15" customHeight="1" x14ac:dyDescent="0.35">
      <c r="A63" s="64" t="str">
        <f t="shared" si="2"/>
        <v>ScotlandDivision 22</v>
      </c>
      <c r="C63" s="64" t="s">
        <v>969</v>
      </c>
      <c r="D63" s="302" t="s">
        <v>937</v>
      </c>
      <c r="E63" s="66">
        <v>2</v>
      </c>
      <c r="F63" s="86">
        <v>45081</v>
      </c>
      <c r="G63" s="64" t="s">
        <v>392</v>
      </c>
      <c r="H63" s="64" t="s">
        <v>1028</v>
      </c>
      <c r="I63" s="66">
        <v>222</v>
      </c>
    </row>
    <row r="64" spans="1:9" ht="15" customHeight="1" x14ac:dyDescent="0.35">
      <c r="A64" s="64" t="str">
        <f t="shared" si="2"/>
        <v>ScotlandDivision 23</v>
      </c>
      <c r="C64" s="64" t="s">
        <v>969</v>
      </c>
      <c r="D64" s="302" t="s">
        <v>937</v>
      </c>
      <c r="E64" s="66">
        <v>3</v>
      </c>
      <c r="F64" s="86">
        <v>45109</v>
      </c>
      <c r="G64" s="64" t="s">
        <v>696</v>
      </c>
      <c r="H64" s="269" t="s">
        <v>1029</v>
      </c>
      <c r="I64" s="66">
        <f>I63</f>
        <v>222</v>
      </c>
    </row>
    <row r="65" spans="1:9" ht="15" customHeight="1" x14ac:dyDescent="0.35">
      <c r="A65" s="64" t="str">
        <f t="shared" si="2"/>
        <v>ScotlandNorth-East1</v>
      </c>
      <c r="C65" s="64" t="s">
        <v>969</v>
      </c>
      <c r="D65" s="302" t="s">
        <v>1064</v>
      </c>
      <c r="E65" s="66">
        <v>1</v>
      </c>
      <c r="F65" s="86">
        <v>45053</v>
      </c>
      <c r="G65" s="64" t="s">
        <v>382</v>
      </c>
      <c r="H65" s="269" t="s">
        <v>1030</v>
      </c>
      <c r="I65" s="66">
        <v>223</v>
      </c>
    </row>
    <row r="66" spans="1:9" ht="15" customHeight="1" x14ac:dyDescent="0.35">
      <c r="A66" s="64" t="str">
        <f t="shared" si="2"/>
        <v>ScotlandNorth-East2</v>
      </c>
      <c r="C66" s="64" t="s">
        <v>969</v>
      </c>
      <c r="D66" s="302" t="s">
        <v>1064</v>
      </c>
      <c r="E66" s="66">
        <v>2</v>
      </c>
      <c r="F66" s="86">
        <v>45081</v>
      </c>
      <c r="G66" s="64" t="s">
        <v>598</v>
      </c>
      <c r="H66" s="64" t="s">
        <v>1031</v>
      </c>
      <c r="I66" s="66">
        <v>223</v>
      </c>
    </row>
    <row r="67" spans="1:9" ht="15" customHeight="1" x14ac:dyDescent="0.35">
      <c r="A67" s="64" t="str">
        <f t="shared" si="2"/>
        <v>ScotlandNorth-East3</v>
      </c>
      <c r="C67" s="64" t="s">
        <v>969</v>
      </c>
      <c r="D67" s="302" t="s">
        <v>1064</v>
      </c>
      <c r="E67" s="66">
        <v>3</v>
      </c>
      <c r="F67" s="86">
        <v>45109</v>
      </c>
      <c r="G67" s="64" t="s">
        <v>384</v>
      </c>
      <c r="H67" s="64" t="s">
        <v>1032</v>
      </c>
      <c r="I67" s="66">
        <v>223</v>
      </c>
    </row>
    <row r="68" spans="1:9" ht="15" customHeight="1" x14ac:dyDescent="0.35">
      <c r="D68" s="302"/>
      <c r="G68" s="268"/>
    </row>
    <row r="69" spans="1:9" ht="15" customHeight="1" x14ac:dyDescent="0.35">
      <c r="A69" s="64" t="str">
        <f t="shared" ref="A69:A92" si="3">C69&amp;D69&amp;E69</f>
        <v>SouthDivision 1A1</v>
      </c>
      <c r="C69" s="64" t="s">
        <v>967</v>
      </c>
      <c r="D69" s="267" t="s">
        <v>936</v>
      </c>
      <c r="E69" s="66">
        <v>1</v>
      </c>
      <c r="F69" s="86">
        <v>45053</v>
      </c>
      <c r="G69" s="267" t="s">
        <v>290</v>
      </c>
      <c r="H69" s="64" t="s">
        <v>1008</v>
      </c>
      <c r="I69" s="66">
        <v>232</v>
      </c>
    </row>
    <row r="70" spans="1:9" ht="15" customHeight="1" x14ac:dyDescent="0.35">
      <c r="A70" s="64" t="str">
        <f t="shared" si="3"/>
        <v>SouthDivision 1A2</v>
      </c>
      <c r="C70" s="64" t="s">
        <v>967</v>
      </c>
      <c r="D70" s="267" t="s">
        <v>936</v>
      </c>
      <c r="E70" s="66">
        <v>2</v>
      </c>
      <c r="F70" s="86">
        <v>45080</v>
      </c>
      <c r="G70" s="267" t="s">
        <v>759</v>
      </c>
      <c r="H70" s="269" t="s">
        <v>1009</v>
      </c>
      <c r="I70" s="66">
        <v>232</v>
      </c>
    </row>
    <row r="71" spans="1:9" ht="15" customHeight="1" x14ac:dyDescent="0.35">
      <c r="A71" s="64" t="str">
        <f t="shared" si="3"/>
        <v>SouthDivision 1A3</v>
      </c>
      <c r="C71" s="64" t="s">
        <v>967</v>
      </c>
      <c r="D71" s="267" t="s">
        <v>936</v>
      </c>
      <c r="E71" s="66">
        <v>3</v>
      </c>
      <c r="F71" s="86">
        <v>45115</v>
      </c>
      <c r="G71" s="64" t="s">
        <v>285</v>
      </c>
      <c r="H71" s="269" t="s">
        <v>1010</v>
      </c>
      <c r="I71" s="66">
        <v>232</v>
      </c>
    </row>
    <row r="72" spans="1:9" ht="15" customHeight="1" x14ac:dyDescent="0.35">
      <c r="A72" s="64" t="str">
        <f t="shared" si="3"/>
        <v>SouthDivision 1A4</v>
      </c>
      <c r="C72" s="64" t="s">
        <v>967</v>
      </c>
      <c r="D72" s="267" t="s">
        <v>936</v>
      </c>
      <c r="E72" s="66">
        <v>4</v>
      </c>
      <c r="F72" s="86">
        <v>45129</v>
      </c>
      <c r="G72" s="64" t="s">
        <v>553</v>
      </c>
      <c r="H72" s="269" t="s">
        <v>1011</v>
      </c>
      <c r="I72" s="66">
        <v>232</v>
      </c>
    </row>
    <row r="73" spans="1:9" ht="15" customHeight="1" x14ac:dyDescent="0.35">
      <c r="A73" s="64" t="str">
        <f t="shared" si="3"/>
        <v>SouthDivision 1B1</v>
      </c>
      <c r="C73" s="64" t="s">
        <v>967</v>
      </c>
      <c r="D73" s="267" t="s">
        <v>931</v>
      </c>
      <c r="E73" s="66">
        <v>1</v>
      </c>
      <c r="F73" s="86">
        <v>45053</v>
      </c>
      <c r="G73" s="64" t="s">
        <v>599</v>
      </c>
      <c r="H73" s="269" t="s">
        <v>1012</v>
      </c>
      <c r="I73" s="66">
        <v>233</v>
      </c>
    </row>
    <row r="74" spans="1:9" ht="15" customHeight="1" x14ac:dyDescent="0.35">
      <c r="A74" s="64" t="str">
        <f t="shared" si="3"/>
        <v>SouthDivision 1B2</v>
      </c>
      <c r="C74" s="64" t="s">
        <v>967</v>
      </c>
      <c r="D74" s="64" t="s">
        <v>931</v>
      </c>
      <c r="E74" s="66">
        <v>2</v>
      </c>
      <c r="F74" s="86">
        <v>45080</v>
      </c>
      <c r="G74" s="64" t="s">
        <v>733</v>
      </c>
      <c r="H74" s="64" t="s">
        <v>1013</v>
      </c>
      <c r="I74" s="66">
        <v>233</v>
      </c>
    </row>
    <row r="75" spans="1:9" ht="15" customHeight="1" x14ac:dyDescent="0.35">
      <c r="A75" s="64" t="str">
        <f t="shared" si="3"/>
        <v>SouthDivision 1B3</v>
      </c>
      <c r="C75" s="64" t="s">
        <v>967</v>
      </c>
      <c r="D75" s="64" t="s">
        <v>931</v>
      </c>
      <c r="E75" s="66">
        <v>3</v>
      </c>
      <c r="F75" s="86">
        <v>45115</v>
      </c>
      <c r="G75" s="64" t="s">
        <v>286</v>
      </c>
      <c r="H75" s="64" t="s">
        <v>1014</v>
      </c>
      <c r="I75" s="66">
        <v>233</v>
      </c>
    </row>
    <row r="76" spans="1:9" ht="15" customHeight="1" x14ac:dyDescent="0.35">
      <c r="A76" s="64" t="str">
        <f t="shared" si="3"/>
        <v>SouthDivision 1B4</v>
      </c>
      <c r="C76" s="64" t="s">
        <v>967</v>
      </c>
      <c r="D76" s="64" t="s">
        <v>931</v>
      </c>
      <c r="E76" s="66">
        <v>4</v>
      </c>
      <c r="F76" s="86">
        <v>45129</v>
      </c>
      <c r="G76" s="302" t="s">
        <v>299</v>
      </c>
      <c r="H76" s="354" t="s">
        <v>1015</v>
      </c>
      <c r="I76" s="66">
        <v>233</v>
      </c>
    </row>
    <row r="77" spans="1:9" ht="15" customHeight="1" x14ac:dyDescent="0.35">
      <c r="A77" s="64" t="str">
        <f t="shared" si="3"/>
        <v>SouthDivision 2A1</v>
      </c>
      <c r="C77" s="64" t="s">
        <v>967</v>
      </c>
      <c r="D77" s="302" t="s">
        <v>938</v>
      </c>
      <c r="E77" s="66">
        <v>1</v>
      </c>
      <c r="F77" s="86">
        <v>45053</v>
      </c>
      <c r="G77" s="64" t="s">
        <v>291</v>
      </c>
      <c r="H77" s="87" t="s">
        <v>1016</v>
      </c>
      <c r="I77" s="66">
        <v>234</v>
      </c>
    </row>
    <row r="78" spans="1:9" ht="15" customHeight="1" x14ac:dyDescent="0.35">
      <c r="A78" s="64" t="str">
        <f t="shared" si="3"/>
        <v>SouthDivision 2A2</v>
      </c>
      <c r="C78" s="64" t="s">
        <v>967</v>
      </c>
      <c r="D78" s="302" t="s">
        <v>938</v>
      </c>
      <c r="E78" s="66">
        <v>2</v>
      </c>
      <c r="F78" s="86">
        <v>45080</v>
      </c>
      <c r="G78" s="64" t="s">
        <v>758</v>
      </c>
      <c r="H78" s="269" t="s">
        <v>1017</v>
      </c>
      <c r="I78" s="66">
        <v>234</v>
      </c>
    </row>
    <row r="79" spans="1:9" ht="15" customHeight="1" x14ac:dyDescent="0.35">
      <c r="A79" s="64" t="str">
        <f t="shared" si="3"/>
        <v>SouthDivision 2A3</v>
      </c>
      <c r="C79" s="64" t="s">
        <v>967</v>
      </c>
      <c r="D79" s="302" t="s">
        <v>938</v>
      </c>
      <c r="E79" s="66">
        <v>3</v>
      </c>
      <c r="F79" s="86">
        <v>45115</v>
      </c>
      <c r="G79" s="64" t="s">
        <v>760</v>
      </c>
      <c r="H79" s="269" t="s">
        <v>774</v>
      </c>
      <c r="I79" s="66">
        <v>234</v>
      </c>
    </row>
    <row r="80" spans="1:9" ht="15" customHeight="1" x14ac:dyDescent="0.35">
      <c r="A80" s="64" t="str">
        <f t="shared" si="3"/>
        <v>SouthDivision 2A4</v>
      </c>
      <c r="C80" s="64" t="s">
        <v>967</v>
      </c>
      <c r="D80" s="64" t="s">
        <v>938</v>
      </c>
      <c r="E80" s="66">
        <v>4</v>
      </c>
      <c r="F80" s="86">
        <v>45130</v>
      </c>
      <c r="G80" s="64" t="s">
        <v>296</v>
      </c>
      <c r="H80" s="269" t="s">
        <v>1018</v>
      </c>
      <c r="I80" s="66">
        <v>234</v>
      </c>
    </row>
    <row r="81" spans="1:9" ht="15" customHeight="1" x14ac:dyDescent="0.35">
      <c r="A81" s="64" t="str">
        <f t="shared" si="3"/>
        <v>SouthDivision 2B1</v>
      </c>
      <c r="C81" s="64" t="s">
        <v>967</v>
      </c>
      <c r="D81" s="302" t="s">
        <v>932</v>
      </c>
      <c r="E81" s="66">
        <v>1</v>
      </c>
      <c r="F81" s="86">
        <v>45053</v>
      </c>
      <c r="G81" s="85" t="s">
        <v>705</v>
      </c>
      <c r="H81" s="64" t="s">
        <v>1022</v>
      </c>
      <c r="I81" s="66">
        <v>235</v>
      </c>
    </row>
    <row r="82" spans="1:9" ht="15" customHeight="1" x14ac:dyDescent="0.35">
      <c r="A82" s="64" t="str">
        <f t="shared" si="3"/>
        <v>SouthDivision 2B2</v>
      </c>
      <c r="C82" s="64" t="s">
        <v>967</v>
      </c>
      <c r="D82" s="302" t="s">
        <v>932</v>
      </c>
      <c r="E82" s="66">
        <v>2</v>
      </c>
      <c r="F82" s="86">
        <v>45080</v>
      </c>
      <c r="G82" s="302" t="s">
        <v>287</v>
      </c>
      <c r="H82" s="354" t="s">
        <v>1020</v>
      </c>
      <c r="I82" s="66">
        <v>235</v>
      </c>
    </row>
    <row r="83" spans="1:9" ht="15" customHeight="1" x14ac:dyDescent="0.35">
      <c r="A83" s="64" t="str">
        <f t="shared" si="3"/>
        <v>SouthDivision 2B3</v>
      </c>
      <c r="C83" s="64" t="s">
        <v>967</v>
      </c>
      <c r="D83" s="302" t="s">
        <v>932</v>
      </c>
      <c r="E83" s="66">
        <v>3</v>
      </c>
      <c r="F83" s="86">
        <v>45115</v>
      </c>
      <c r="G83" s="302" t="s">
        <v>601</v>
      </c>
      <c r="H83" s="302" t="s">
        <v>1021</v>
      </c>
      <c r="I83" s="66">
        <v>235</v>
      </c>
    </row>
    <row r="84" spans="1:9" ht="15" customHeight="1" x14ac:dyDescent="0.35">
      <c r="A84" s="64" t="str">
        <f t="shared" si="3"/>
        <v>SouthDivision 2B4</v>
      </c>
      <c r="C84" s="64" t="s">
        <v>967</v>
      </c>
      <c r="D84" s="302" t="s">
        <v>932</v>
      </c>
      <c r="E84" s="66">
        <v>4</v>
      </c>
      <c r="F84" s="86">
        <v>45129</v>
      </c>
      <c r="G84" s="302" t="s">
        <v>293</v>
      </c>
      <c r="H84" s="269" t="s">
        <v>1019</v>
      </c>
      <c r="I84" s="66">
        <v>235</v>
      </c>
    </row>
    <row r="85" spans="1:9" x14ac:dyDescent="0.35">
      <c r="A85" s="64" t="str">
        <f t="shared" si="3"/>
        <v>SouthDivision 3A1</v>
      </c>
      <c r="C85" s="64" t="s">
        <v>967</v>
      </c>
      <c r="D85" s="64" t="s">
        <v>934</v>
      </c>
      <c r="E85" s="66">
        <v>1</v>
      </c>
      <c r="F85" s="86">
        <v>45053</v>
      </c>
      <c r="G85" s="64" t="s">
        <v>291</v>
      </c>
      <c r="H85" s="269" t="s">
        <v>1016</v>
      </c>
      <c r="I85" s="66">
        <v>236</v>
      </c>
    </row>
    <row r="86" spans="1:9" x14ac:dyDescent="0.35">
      <c r="A86" s="64" t="str">
        <f t="shared" si="3"/>
        <v>SouthDivision 3A2</v>
      </c>
      <c r="C86" s="64" t="s">
        <v>967</v>
      </c>
      <c r="D86" s="64" t="s">
        <v>934</v>
      </c>
      <c r="E86" s="66">
        <v>2</v>
      </c>
      <c r="F86" s="86">
        <v>45080</v>
      </c>
      <c r="G86" s="64" t="s">
        <v>578</v>
      </c>
      <c r="H86" s="269" t="s">
        <v>1017</v>
      </c>
      <c r="I86" s="66">
        <v>236</v>
      </c>
    </row>
    <row r="87" spans="1:9" x14ac:dyDescent="0.35">
      <c r="A87" s="64" t="str">
        <f t="shared" si="3"/>
        <v>SouthDivision 3A3</v>
      </c>
      <c r="C87" s="64" t="s">
        <v>967</v>
      </c>
      <c r="D87" s="64" t="s">
        <v>934</v>
      </c>
      <c r="E87" s="66">
        <v>3</v>
      </c>
      <c r="F87" s="86">
        <v>45115</v>
      </c>
      <c r="G87" s="64" t="s">
        <v>760</v>
      </c>
      <c r="H87" s="269" t="s">
        <v>774</v>
      </c>
      <c r="I87" s="66">
        <v>236</v>
      </c>
    </row>
    <row r="88" spans="1:9" x14ac:dyDescent="0.35">
      <c r="A88" s="64" t="str">
        <f t="shared" si="3"/>
        <v>SouthDivision 3A4</v>
      </c>
      <c r="C88" s="64" t="s">
        <v>967</v>
      </c>
      <c r="D88" s="64" t="s">
        <v>934</v>
      </c>
      <c r="E88" s="66">
        <v>4</v>
      </c>
      <c r="F88" s="86">
        <v>45130</v>
      </c>
      <c r="G88" s="64" t="s">
        <v>296</v>
      </c>
      <c r="H88" s="269" t="s">
        <v>1018</v>
      </c>
      <c r="I88" s="66">
        <v>236</v>
      </c>
    </row>
    <row r="89" spans="1:9" x14ac:dyDescent="0.35">
      <c r="A89" s="64" t="str">
        <f t="shared" si="3"/>
        <v>SouthPremier1</v>
      </c>
      <c r="C89" s="64" t="s">
        <v>967</v>
      </c>
      <c r="D89" s="302" t="s">
        <v>933</v>
      </c>
      <c r="E89" s="66">
        <v>1</v>
      </c>
      <c r="F89" s="86">
        <v>45053</v>
      </c>
      <c r="G89" s="302" t="s">
        <v>586</v>
      </c>
      <c r="H89" s="354" t="s">
        <v>1023</v>
      </c>
      <c r="I89" s="66">
        <v>231</v>
      </c>
    </row>
    <row r="90" spans="1:9" x14ac:dyDescent="0.35">
      <c r="A90" s="64" t="str">
        <f t="shared" si="3"/>
        <v>SouthPremier2</v>
      </c>
      <c r="C90" s="64" t="s">
        <v>967</v>
      </c>
      <c r="D90" s="302" t="s">
        <v>933</v>
      </c>
      <c r="E90" s="66">
        <v>2</v>
      </c>
      <c r="F90" s="86">
        <v>45080</v>
      </c>
      <c r="G90" s="302" t="s">
        <v>388</v>
      </c>
      <c r="H90" s="302" t="s">
        <v>1024</v>
      </c>
      <c r="I90" s="307">
        <v>231</v>
      </c>
    </row>
    <row r="91" spans="1:9" x14ac:dyDescent="0.35">
      <c r="A91" s="64" t="str">
        <f t="shared" si="3"/>
        <v>SouthPremier3</v>
      </c>
      <c r="C91" s="64" t="s">
        <v>967</v>
      </c>
      <c r="D91" s="302" t="s">
        <v>933</v>
      </c>
      <c r="E91" s="66">
        <v>3</v>
      </c>
      <c r="F91" s="86">
        <v>45115</v>
      </c>
      <c r="G91" s="302" t="s">
        <v>288</v>
      </c>
      <c r="H91" s="354" t="s">
        <v>1025</v>
      </c>
      <c r="I91" s="66">
        <v>231</v>
      </c>
    </row>
    <row r="92" spans="1:9" x14ac:dyDescent="0.35">
      <c r="A92" s="64" t="str">
        <f t="shared" si="3"/>
        <v>SouthPremier4</v>
      </c>
      <c r="C92" s="64" t="s">
        <v>967</v>
      </c>
      <c r="D92" s="302" t="s">
        <v>933</v>
      </c>
      <c r="E92" s="66">
        <v>4</v>
      </c>
      <c r="F92" s="86">
        <v>45129</v>
      </c>
      <c r="G92" s="64" t="s">
        <v>289</v>
      </c>
      <c r="H92" s="269" t="s">
        <v>1026</v>
      </c>
      <c r="I92" s="66">
        <v>231</v>
      </c>
    </row>
  </sheetData>
  <sheetProtection algorithmName="SHA-512" hashValue="hNAhvF6fmRb6/e4Wf+98WzQFj5dURqnVR4rDx0WNVP9y9r+7xgXqmr6jr3xFNNW4e0kSYwyajCjJ30GfvBb1bQ==" saltValue="0+04FgqdXcjdS+MFW0ph7g==" spinCount="100000" sheet="1" objects="1" scenarios="1" formatCells="0" formatColumns="0" formatRows="0" sort="0" autoFilter="0"/>
  <autoFilter ref="A1:I92" xr:uid="{00000000-0009-0000-0000-000015000000}"/>
  <sortState xmlns:xlrd2="http://schemas.microsoft.com/office/spreadsheetml/2017/richdata2" ref="A2:I100">
    <sortCondition ref="C2:C100"/>
    <sortCondition ref="D2:D100"/>
    <sortCondition ref="E2:E100"/>
  </sortState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0"/>
  <dimension ref="A1:AM28"/>
  <sheetViews>
    <sheetView workbookViewId="0">
      <pane xSplit="3" ySplit="2" topLeftCell="D3" activePane="bottomRight" state="frozen"/>
      <selection activeCell="N45" sqref="N45"/>
      <selection pane="topRight" activeCell="N45" sqref="N45"/>
      <selection pane="bottomLeft" activeCell="N45" sqref="N45"/>
      <selection pane="bottomRight" activeCell="A6" sqref="A6"/>
    </sheetView>
  </sheetViews>
  <sheetFormatPr defaultColWidth="8.7109375" defaultRowHeight="15" customHeight="1" x14ac:dyDescent="0.25"/>
  <cols>
    <col min="1" max="1" width="6.42578125" style="88" bestFit="1" customWidth="1"/>
    <col min="2" max="2" width="10.28515625" style="88" customWidth="1"/>
    <col min="3" max="3" width="8.7109375" style="88" customWidth="1"/>
    <col min="4" max="4" width="8.7109375" style="88"/>
    <col min="5" max="33" width="3.7109375" style="91" customWidth="1"/>
    <col min="34" max="34" width="8.7109375" style="91"/>
    <col min="35" max="39" width="8.7109375" style="91" customWidth="1"/>
    <col min="40" max="16384" width="8.7109375" style="88"/>
  </cols>
  <sheetData>
    <row r="1" spans="1:39" ht="15" customHeight="1" x14ac:dyDescent="0.25">
      <c r="E1" s="89" t="s">
        <v>737</v>
      </c>
      <c r="F1" s="90"/>
      <c r="G1" s="90"/>
      <c r="H1" s="90"/>
      <c r="I1" s="90"/>
      <c r="J1" s="89" t="s">
        <v>738</v>
      </c>
      <c r="K1" s="90"/>
      <c r="L1" s="90"/>
      <c r="M1" s="90"/>
      <c r="N1" s="90"/>
      <c r="O1" s="89" t="s">
        <v>152</v>
      </c>
      <c r="P1" s="90"/>
      <c r="Q1" s="90"/>
      <c r="R1" s="90"/>
      <c r="S1" s="90"/>
      <c r="T1" s="89" t="s">
        <v>153</v>
      </c>
      <c r="U1" s="90"/>
      <c r="V1" s="90"/>
      <c r="W1" s="90"/>
      <c r="X1" s="90"/>
      <c r="Y1" s="89" t="s">
        <v>154</v>
      </c>
      <c r="Z1" s="90"/>
      <c r="AA1" s="90"/>
      <c r="AB1" s="90"/>
      <c r="AC1" s="90"/>
      <c r="AD1" s="89" t="s">
        <v>155</v>
      </c>
      <c r="AE1" s="90"/>
      <c r="AF1" s="90"/>
      <c r="AG1" s="90"/>
    </row>
    <row r="2" spans="1:39" ht="15" customHeight="1" x14ac:dyDescent="0.25">
      <c r="E2" s="90">
        <v>1</v>
      </c>
      <c r="F2" s="90">
        <v>2</v>
      </c>
      <c r="G2" s="90">
        <v>3</v>
      </c>
      <c r="H2" s="90">
        <v>4</v>
      </c>
      <c r="I2" s="90"/>
      <c r="J2" s="90">
        <v>1</v>
      </c>
      <c r="K2" s="90">
        <v>2</v>
      </c>
      <c r="L2" s="90">
        <v>3</v>
      </c>
      <c r="M2" s="90">
        <v>4</v>
      </c>
      <c r="N2" s="90"/>
      <c r="O2" s="90">
        <v>1</v>
      </c>
      <c r="P2" s="90">
        <v>2</v>
      </c>
      <c r="Q2" s="90">
        <v>3</v>
      </c>
      <c r="R2" s="90">
        <v>4</v>
      </c>
      <c r="S2" s="90"/>
      <c r="T2" s="90">
        <v>1</v>
      </c>
      <c r="U2" s="90">
        <v>2</v>
      </c>
      <c r="V2" s="90">
        <v>3</v>
      </c>
      <c r="W2" s="90">
        <v>4</v>
      </c>
      <c r="X2" s="90"/>
      <c r="Y2" s="90">
        <v>1</v>
      </c>
      <c r="Z2" s="90">
        <v>2</v>
      </c>
      <c r="AA2" s="90">
        <v>3</v>
      </c>
      <c r="AB2" s="90">
        <v>4</v>
      </c>
      <c r="AC2" s="90"/>
      <c r="AD2" s="90">
        <v>1</v>
      </c>
      <c r="AE2" s="90">
        <v>2</v>
      </c>
      <c r="AF2" s="90">
        <v>3</v>
      </c>
      <c r="AG2" s="90">
        <v>4</v>
      </c>
    </row>
    <row r="3" spans="1:39" ht="15" customHeight="1" x14ac:dyDescent="0.35">
      <c r="A3" s="88" t="s">
        <v>178</v>
      </c>
      <c r="B3" s="88" t="s">
        <v>21</v>
      </c>
      <c r="C3" s="88" t="s">
        <v>9</v>
      </c>
      <c r="E3" s="284">
        <v>3</v>
      </c>
      <c r="F3" s="284">
        <v>6</v>
      </c>
      <c r="G3" s="284">
        <v>4</v>
      </c>
      <c r="H3" s="284">
        <v>5</v>
      </c>
      <c r="J3" s="91">
        <v>6</v>
      </c>
      <c r="K3" s="91">
        <v>1</v>
      </c>
      <c r="L3" s="91">
        <v>2</v>
      </c>
      <c r="M3" s="91">
        <v>3</v>
      </c>
      <c r="O3" s="91">
        <v>2</v>
      </c>
      <c r="P3" s="91">
        <v>4</v>
      </c>
      <c r="Q3" s="91">
        <v>3</v>
      </c>
      <c r="R3" s="91">
        <v>5</v>
      </c>
      <c r="T3" s="284">
        <v>4</v>
      </c>
      <c r="U3" s="284">
        <v>3</v>
      </c>
      <c r="V3" s="284">
        <v>1</v>
      </c>
      <c r="W3" s="284">
        <v>5</v>
      </c>
      <c r="Y3" s="91">
        <v>3</v>
      </c>
      <c r="Z3" s="91">
        <v>5</v>
      </c>
      <c r="AA3" s="91">
        <v>7</v>
      </c>
      <c r="AB3" s="91">
        <v>4</v>
      </c>
      <c r="AD3" s="91">
        <v>7</v>
      </c>
      <c r="AE3" s="91">
        <v>1</v>
      </c>
      <c r="AF3" s="91">
        <v>4</v>
      </c>
      <c r="AG3" s="91">
        <v>6</v>
      </c>
      <c r="AI3" s="285" t="s">
        <v>116</v>
      </c>
      <c r="AJ3" s="285" t="s">
        <v>98</v>
      </c>
      <c r="AK3" s="285" t="s">
        <v>90</v>
      </c>
      <c r="AL3" s="285" t="s">
        <v>99</v>
      </c>
      <c r="AM3" s="285" t="s">
        <v>100</v>
      </c>
    </row>
    <row r="4" spans="1:39" ht="15" customHeight="1" x14ac:dyDescent="0.35">
      <c r="A4" s="88" t="s">
        <v>179</v>
      </c>
      <c r="B4" s="88" t="s">
        <v>21</v>
      </c>
      <c r="C4" s="88" t="s">
        <v>7</v>
      </c>
      <c r="E4" s="284">
        <v>4</v>
      </c>
      <c r="F4" s="284">
        <v>3</v>
      </c>
      <c r="G4" s="284">
        <v>6</v>
      </c>
      <c r="H4" s="284">
        <v>2</v>
      </c>
      <c r="J4" s="284">
        <v>4</v>
      </c>
      <c r="K4" s="284">
        <v>3</v>
      </c>
      <c r="L4" s="284">
        <v>7</v>
      </c>
      <c r="M4" s="284">
        <v>2</v>
      </c>
      <c r="O4" s="91">
        <v>2</v>
      </c>
      <c r="P4" s="91">
        <v>4</v>
      </c>
      <c r="Q4" s="91">
        <v>3</v>
      </c>
      <c r="R4" s="91">
        <v>5</v>
      </c>
      <c r="T4" s="284">
        <v>4</v>
      </c>
      <c r="U4" s="284">
        <v>3</v>
      </c>
      <c r="V4" s="284">
        <v>1</v>
      </c>
      <c r="W4" s="284">
        <v>5</v>
      </c>
      <c r="Y4" s="91">
        <v>3</v>
      </c>
      <c r="Z4" s="91">
        <v>5</v>
      </c>
      <c r="AA4" s="91">
        <v>7</v>
      </c>
      <c r="AB4" s="91">
        <v>4</v>
      </c>
      <c r="AD4" s="91">
        <v>7</v>
      </c>
      <c r="AE4" s="91">
        <v>1</v>
      </c>
      <c r="AF4" s="91">
        <v>4</v>
      </c>
      <c r="AG4" s="91">
        <v>6</v>
      </c>
      <c r="AI4" s="285">
        <f>AJ4*10+AK4</f>
        <v>81</v>
      </c>
      <c r="AJ4" s="285">
        <v>8</v>
      </c>
      <c r="AK4" s="285">
        <v>1</v>
      </c>
      <c r="AL4" s="285" t="s">
        <v>739</v>
      </c>
      <c r="AM4" s="285">
        <v>30</v>
      </c>
    </row>
    <row r="5" spans="1:39" ht="15" customHeight="1" x14ac:dyDescent="0.35">
      <c r="A5" s="88" t="s">
        <v>244</v>
      </c>
      <c r="B5" s="88" t="s">
        <v>22</v>
      </c>
      <c r="C5" s="88" t="s">
        <v>6</v>
      </c>
      <c r="E5" s="284">
        <f>E11</f>
        <v>2</v>
      </c>
      <c r="F5" s="284">
        <f t="shared" ref="F5:H5" si="0">F11</f>
        <v>5</v>
      </c>
      <c r="G5" s="284">
        <f t="shared" si="0"/>
        <v>1</v>
      </c>
      <c r="H5" s="284">
        <f t="shared" si="0"/>
        <v>4</v>
      </c>
      <c r="J5" s="91">
        <v>6</v>
      </c>
      <c r="K5" s="91">
        <v>1</v>
      </c>
      <c r="L5" s="91">
        <v>2</v>
      </c>
      <c r="M5" s="91">
        <v>3</v>
      </c>
      <c r="O5" s="91">
        <v>5</v>
      </c>
      <c r="P5" s="91">
        <v>2</v>
      </c>
      <c r="Q5" s="91">
        <v>4</v>
      </c>
      <c r="R5" s="91">
        <v>1</v>
      </c>
      <c r="T5" s="284">
        <v>2</v>
      </c>
      <c r="U5" s="284">
        <v>5</v>
      </c>
      <c r="V5" s="284">
        <v>4</v>
      </c>
      <c r="W5" s="284">
        <v>6</v>
      </c>
      <c r="Y5" s="91">
        <v>5</v>
      </c>
      <c r="Z5" s="91">
        <v>7</v>
      </c>
      <c r="AA5" s="91">
        <v>1</v>
      </c>
      <c r="AB5" s="91">
        <v>6</v>
      </c>
      <c r="AD5" s="91">
        <v>2</v>
      </c>
      <c r="AE5" s="91">
        <v>4</v>
      </c>
      <c r="AF5" s="91">
        <v>7</v>
      </c>
      <c r="AG5" s="91">
        <v>1</v>
      </c>
      <c r="AI5" s="285">
        <f>AJ4*10+AK5</f>
        <v>82</v>
      </c>
      <c r="AJ5" s="285"/>
      <c r="AK5" s="285">
        <v>2</v>
      </c>
      <c r="AL5" s="285" t="s">
        <v>740</v>
      </c>
      <c r="AM5" s="285">
        <f>AM4+1</f>
        <v>31</v>
      </c>
    </row>
    <row r="6" spans="1:39" ht="15" customHeight="1" x14ac:dyDescent="0.35">
      <c r="A6" s="88" t="s">
        <v>180</v>
      </c>
      <c r="B6" s="88" t="s">
        <v>23</v>
      </c>
      <c r="C6" s="88" t="s">
        <v>7</v>
      </c>
      <c r="E6" s="284">
        <f>E4</f>
        <v>4</v>
      </c>
      <c r="F6" s="284">
        <f t="shared" ref="F6:H6" si="1">F4</f>
        <v>3</v>
      </c>
      <c r="G6" s="284">
        <f t="shared" si="1"/>
        <v>6</v>
      </c>
      <c r="H6" s="284">
        <f t="shared" si="1"/>
        <v>2</v>
      </c>
      <c r="J6" s="284">
        <v>1</v>
      </c>
      <c r="K6" s="284">
        <v>2</v>
      </c>
      <c r="L6" s="284">
        <v>5</v>
      </c>
      <c r="M6" s="284">
        <v>6</v>
      </c>
      <c r="O6" s="91">
        <v>4</v>
      </c>
      <c r="P6" s="91">
        <v>1</v>
      </c>
      <c r="Q6" s="91">
        <v>5</v>
      </c>
      <c r="R6" s="91">
        <v>3</v>
      </c>
      <c r="T6" s="284">
        <v>5</v>
      </c>
      <c r="U6" s="284">
        <v>2</v>
      </c>
      <c r="V6" s="284">
        <v>6</v>
      </c>
      <c r="W6" s="284">
        <v>4</v>
      </c>
      <c r="Y6" s="91">
        <v>4</v>
      </c>
      <c r="Z6" s="91">
        <v>6</v>
      </c>
      <c r="AA6" s="91">
        <v>2</v>
      </c>
      <c r="AB6" s="91">
        <v>3</v>
      </c>
      <c r="AD6" s="91">
        <v>1</v>
      </c>
      <c r="AE6" s="91">
        <v>3</v>
      </c>
      <c r="AF6" s="91">
        <v>6</v>
      </c>
      <c r="AG6" s="91">
        <v>8</v>
      </c>
      <c r="AI6" s="285">
        <f>AJ4*10+AK6</f>
        <v>83</v>
      </c>
      <c r="AJ6" s="285"/>
      <c r="AK6" s="285">
        <v>3</v>
      </c>
      <c r="AL6" s="285" t="s">
        <v>741</v>
      </c>
      <c r="AM6" s="285">
        <f>AM5+1</f>
        <v>32</v>
      </c>
    </row>
    <row r="7" spans="1:39" ht="15" customHeight="1" x14ac:dyDescent="0.35">
      <c r="A7" s="88" t="s">
        <v>183</v>
      </c>
      <c r="B7" s="88" t="s">
        <v>24</v>
      </c>
      <c r="C7" s="88" t="s">
        <v>4</v>
      </c>
      <c r="E7" s="284">
        <f>E9</f>
        <v>5</v>
      </c>
      <c r="F7" s="284">
        <f t="shared" ref="F7:H7" si="2">F9</f>
        <v>4</v>
      </c>
      <c r="G7" s="284">
        <f t="shared" si="2"/>
        <v>3</v>
      </c>
      <c r="H7" s="284">
        <f t="shared" si="2"/>
        <v>1</v>
      </c>
      <c r="J7" s="284">
        <v>4</v>
      </c>
      <c r="K7" s="284">
        <v>3</v>
      </c>
      <c r="L7" s="284">
        <v>7</v>
      </c>
      <c r="M7" s="284">
        <v>2</v>
      </c>
      <c r="O7" s="91">
        <v>3</v>
      </c>
      <c r="P7" s="91">
        <v>5</v>
      </c>
      <c r="Q7" s="91">
        <v>1</v>
      </c>
      <c r="R7" s="91">
        <v>2</v>
      </c>
      <c r="T7" s="284">
        <v>6</v>
      </c>
      <c r="U7" s="284">
        <v>1</v>
      </c>
      <c r="V7" s="284">
        <v>2</v>
      </c>
      <c r="W7" s="284">
        <v>3</v>
      </c>
      <c r="Y7" s="91">
        <v>7</v>
      </c>
      <c r="Z7" s="91">
        <v>2</v>
      </c>
      <c r="AA7" s="91">
        <v>4</v>
      </c>
      <c r="AB7" s="91">
        <v>1</v>
      </c>
      <c r="AD7" s="91">
        <v>4</v>
      </c>
      <c r="AE7" s="91">
        <v>6</v>
      </c>
      <c r="AF7" s="91">
        <v>1</v>
      </c>
      <c r="AG7" s="91">
        <v>2</v>
      </c>
      <c r="AI7" s="285">
        <f>AJ4*10+AK7</f>
        <v>84</v>
      </c>
      <c r="AJ7" s="285"/>
      <c r="AK7" s="285">
        <v>4</v>
      </c>
      <c r="AL7" s="285" t="s">
        <v>103</v>
      </c>
      <c r="AM7" s="285">
        <f>AM6+1</f>
        <v>33</v>
      </c>
    </row>
    <row r="8" spans="1:39" ht="15" customHeight="1" x14ac:dyDescent="0.35">
      <c r="A8" s="88" t="s">
        <v>184</v>
      </c>
      <c r="B8" s="88" t="s">
        <v>25</v>
      </c>
      <c r="C8" s="88" t="s">
        <v>26</v>
      </c>
      <c r="E8" s="284">
        <v>6</v>
      </c>
      <c r="F8" s="284">
        <v>1</v>
      </c>
      <c r="G8" s="284">
        <v>2</v>
      </c>
      <c r="H8" s="284">
        <v>3</v>
      </c>
      <c r="J8" s="91">
        <v>2</v>
      </c>
      <c r="K8" s="91">
        <v>7</v>
      </c>
      <c r="L8" s="91">
        <v>6</v>
      </c>
      <c r="M8" s="91">
        <v>1</v>
      </c>
      <c r="O8" s="91">
        <v>1</v>
      </c>
      <c r="P8" s="91">
        <v>3</v>
      </c>
      <c r="Q8" s="91">
        <v>2</v>
      </c>
      <c r="R8" s="91">
        <v>4</v>
      </c>
      <c r="T8" s="284">
        <v>1</v>
      </c>
      <c r="U8" s="284">
        <v>4</v>
      </c>
      <c r="V8" s="284">
        <v>3</v>
      </c>
      <c r="W8" s="284">
        <v>2</v>
      </c>
      <c r="Y8" s="91">
        <v>1</v>
      </c>
      <c r="Z8" s="91">
        <v>3</v>
      </c>
      <c r="AA8" s="91">
        <v>5</v>
      </c>
      <c r="AB8" s="91">
        <v>2</v>
      </c>
      <c r="AD8" s="91">
        <v>5</v>
      </c>
      <c r="AE8" s="91">
        <v>7</v>
      </c>
      <c r="AF8" s="91">
        <v>2</v>
      </c>
      <c r="AG8" s="91">
        <v>3</v>
      </c>
      <c r="AI8" s="285">
        <f>AJ8*10+AK8</f>
        <v>71</v>
      </c>
      <c r="AJ8" s="285">
        <v>7</v>
      </c>
      <c r="AK8" s="285">
        <v>1</v>
      </c>
      <c r="AL8" s="285" t="s">
        <v>102</v>
      </c>
      <c r="AM8" s="285">
        <v>25</v>
      </c>
    </row>
    <row r="9" spans="1:39" ht="15" customHeight="1" x14ac:dyDescent="0.35">
      <c r="A9" s="88" t="s">
        <v>245</v>
      </c>
      <c r="B9" s="88" t="s">
        <v>22</v>
      </c>
      <c r="C9" s="88" t="s">
        <v>7</v>
      </c>
      <c r="E9" s="284">
        <v>5</v>
      </c>
      <c r="F9" s="284">
        <v>4</v>
      </c>
      <c r="G9" s="284">
        <v>3</v>
      </c>
      <c r="H9" s="284">
        <v>1</v>
      </c>
      <c r="J9" s="284">
        <v>5</v>
      </c>
      <c r="K9" s="284">
        <v>4</v>
      </c>
      <c r="L9" s="284">
        <v>3</v>
      </c>
      <c r="M9" s="284">
        <v>7</v>
      </c>
      <c r="O9" s="91">
        <v>2</v>
      </c>
      <c r="P9" s="91">
        <v>4</v>
      </c>
      <c r="Q9" s="91">
        <v>3</v>
      </c>
      <c r="R9" s="91">
        <v>5</v>
      </c>
      <c r="T9" s="284">
        <v>4</v>
      </c>
      <c r="U9" s="284">
        <v>3</v>
      </c>
      <c r="V9" s="284">
        <v>1</v>
      </c>
      <c r="W9" s="284">
        <v>5</v>
      </c>
      <c r="Y9" s="91">
        <v>6</v>
      </c>
      <c r="Z9" s="91">
        <v>1</v>
      </c>
      <c r="AA9" s="91">
        <v>3</v>
      </c>
      <c r="AB9" s="91">
        <v>7</v>
      </c>
      <c r="AD9" s="91">
        <v>3</v>
      </c>
      <c r="AE9" s="91">
        <v>5</v>
      </c>
      <c r="AF9" s="91">
        <v>8</v>
      </c>
      <c r="AG9" s="91">
        <v>4</v>
      </c>
      <c r="AI9" s="285">
        <f>AJ8*10+AK9</f>
        <v>72</v>
      </c>
      <c r="AJ9" s="285"/>
      <c r="AK9" s="285">
        <v>2</v>
      </c>
      <c r="AL9" s="285" t="s">
        <v>156</v>
      </c>
      <c r="AM9" s="285">
        <f>AM8+1</f>
        <v>26</v>
      </c>
    </row>
    <row r="10" spans="1:39" ht="15" customHeight="1" x14ac:dyDescent="0.35">
      <c r="A10" s="88" t="s">
        <v>181</v>
      </c>
      <c r="B10" s="88" t="s">
        <v>23</v>
      </c>
      <c r="C10" s="88" t="s">
        <v>6</v>
      </c>
      <c r="E10" s="284">
        <f>E4</f>
        <v>4</v>
      </c>
      <c r="F10" s="284">
        <f t="shared" ref="F10:H10" si="3">F4</f>
        <v>3</v>
      </c>
      <c r="G10" s="284">
        <f t="shared" si="3"/>
        <v>6</v>
      </c>
      <c r="H10" s="284">
        <f t="shared" si="3"/>
        <v>2</v>
      </c>
      <c r="J10" s="91">
        <v>6</v>
      </c>
      <c r="K10" s="91">
        <v>1</v>
      </c>
      <c r="L10" s="91">
        <v>2</v>
      </c>
      <c r="M10" s="91">
        <v>3</v>
      </c>
      <c r="O10" s="91">
        <v>5</v>
      </c>
      <c r="P10" s="91">
        <v>2</v>
      </c>
      <c r="Q10" s="91">
        <v>4</v>
      </c>
      <c r="R10" s="91">
        <v>1</v>
      </c>
      <c r="T10" s="284">
        <v>2</v>
      </c>
      <c r="U10" s="284">
        <v>5</v>
      </c>
      <c r="V10" s="284">
        <v>4</v>
      </c>
      <c r="W10" s="284">
        <v>6</v>
      </c>
      <c r="Y10" s="91">
        <v>3</v>
      </c>
      <c r="Z10" s="91">
        <v>5</v>
      </c>
      <c r="AA10" s="91">
        <v>7</v>
      </c>
      <c r="AB10" s="91">
        <v>4</v>
      </c>
      <c r="AD10" s="91">
        <v>8</v>
      </c>
      <c r="AE10" s="91">
        <v>2</v>
      </c>
      <c r="AF10" s="91">
        <v>5</v>
      </c>
      <c r="AG10" s="91">
        <v>7</v>
      </c>
      <c r="AI10" s="285">
        <f>AJ8*10+AK10</f>
        <v>73</v>
      </c>
      <c r="AJ10" s="285"/>
      <c r="AK10" s="285">
        <v>3</v>
      </c>
      <c r="AL10" s="285" t="s">
        <v>157</v>
      </c>
      <c r="AM10" s="285">
        <f>AM9+1</f>
        <v>27</v>
      </c>
    </row>
    <row r="11" spans="1:39" ht="15" customHeight="1" x14ac:dyDescent="0.35">
      <c r="A11" s="88" t="s">
        <v>185</v>
      </c>
      <c r="B11" s="88" t="s">
        <v>23</v>
      </c>
      <c r="C11" s="88" t="s">
        <v>4</v>
      </c>
      <c r="E11" s="284">
        <v>2</v>
      </c>
      <c r="F11" s="284">
        <v>5</v>
      </c>
      <c r="G11" s="284">
        <v>1</v>
      </c>
      <c r="H11" s="284">
        <v>4</v>
      </c>
      <c r="J11" s="284">
        <v>1</v>
      </c>
      <c r="K11" s="284">
        <v>2</v>
      </c>
      <c r="L11" s="284">
        <v>5</v>
      </c>
      <c r="M11" s="284">
        <v>6</v>
      </c>
      <c r="O11" s="91">
        <v>5</v>
      </c>
      <c r="P11" s="91">
        <v>2</v>
      </c>
      <c r="Q11" s="91">
        <v>4</v>
      </c>
      <c r="R11" s="91">
        <v>1</v>
      </c>
      <c r="T11" s="284">
        <v>2</v>
      </c>
      <c r="U11" s="284">
        <v>5</v>
      </c>
      <c r="V11" s="284">
        <v>4</v>
      </c>
      <c r="W11" s="284">
        <v>6</v>
      </c>
      <c r="Y11" s="91">
        <v>3</v>
      </c>
      <c r="Z11" s="91">
        <v>5</v>
      </c>
      <c r="AA11" s="91">
        <v>7</v>
      </c>
      <c r="AB11" s="91">
        <v>4</v>
      </c>
      <c r="AD11" s="91">
        <v>8</v>
      </c>
      <c r="AE11" s="91">
        <v>2</v>
      </c>
      <c r="AF11" s="91">
        <v>5</v>
      </c>
      <c r="AG11" s="91">
        <v>7</v>
      </c>
      <c r="AI11" s="285">
        <f>AJ8*10+AK11</f>
        <v>74</v>
      </c>
      <c r="AJ11" s="285"/>
      <c r="AK11" s="285">
        <v>4</v>
      </c>
      <c r="AL11" s="285" t="s">
        <v>158</v>
      </c>
      <c r="AM11" s="285">
        <f>AM10+1</f>
        <v>28</v>
      </c>
    </row>
    <row r="12" spans="1:39" ht="15" customHeight="1" x14ac:dyDescent="0.35">
      <c r="A12" s="88" t="s">
        <v>186</v>
      </c>
      <c r="B12" s="88" t="s">
        <v>27</v>
      </c>
      <c r="C12" s="88" t="s">
        <v>9</v>
      </c>
      <c r="E12" s="284">
        <f>E3</f>
        <v>3</v>
      </c>
      <c r="F12" s="284">
        <f t="shared" ref="F12:H12" si="4">F3</f>
        <v>6</v>
      </c>
      <c r="G12" s="284">
        <f t="shared" si="4"/>
        <v>4</v>
      </c>
      <c r="H12" s="284">
        <f t="shared" si="4"/>
        <v>5</v>
      </c>
      <c r="J12" s="284">
        <v>7</v>
      </c>
      <c r="K12" s="284">
        <v>5</v>
      </c>
      <c r="L12" s="284">
        <v>1</v>
      </c>
      <c r="M12" s="284">
        <v>4</v>
      </c>
      <c r="O12" s="91">
        <v>3</v>
      </c>
      <c r="P12" s="91">
        <v>5</v>
      </c>
      <c r="Q12" s="91">
        <v>1</v>
      </c>
      <c r="R12" s="91">
        <v>2</v>
      </c>
      <c r="T12" s="284">
        <v>3</v>
      </c>
      <c r="U12" s="284">
        <v>6</v>
      </c>
      <c r="V12" s="284">
        <v>5</v>
      </c>
      <c r="W12" s="284">
        <v>1</v>
      </c>
      <c r="Y12" s="91">
        <v>2</v>
      </c>
      <c r="Z12" s="91">
        <v>4</v>
      </c>
      <c r="AA12" s="91">
        <v>6</v>
      </c>
      <c r="AB12" s="91">
        <v>5</v>
      </c>
      <c r="AD12" s="91">
        <v>8</v>
      </c>
      <c r="AE12" s="91">
        <v>2</v>
      </c>
      <c r="AF12" s="91">
        <v>5</v>
      </c>
      <c r="AG12" s="91">
        <v>7</v>
      </c>
      <c r="AI12" s="285">
        <f>AJ12*10+AK12</f>
        <v>61</v>
      </c>
      <c r="AJ12" s="285">
        <v>6</v>
      </c>
      <c r="AK12" s="285">
        <v>1</v>
      </c>
      <c r="AL12" s="285" t="s">
        <v>159</v>
      </c>
      <c r="AM12" s="285">
        <v>20</v>
      </c>
    </row>
    <row r="13" spans="1:39" ht="15" customHeight="1" x14ac:dyDescent="0.35">
      <c r="A13" s="88" t="s">
        <v>187</v>
      </c>
      <c r="B13" s="88" t="s">
        <v>27</v>
      </c>
      <c r="C13" s="88" t="s">
        <v>7</v>
      </c>
      <c r="E13" s="284">
        <f>E3</f>
        <v>3</v>
      </c>
      <c r="F13" s="284">
        <f t="shared" ref="F13:H13" si="5">F3</f>
        <v>6</v>
      </c>
      <c r="G13" s="284">
        <f t="shared" si="5"/>
        <v>4</v>
      </c>
      <c r="H13" s="284">
        <f t="shared" si="5"/>
        <v>5</v>
      </c>
      <c r="J13" s="284">
        <v>7</v>
      </c>
      <c r="K13" s="284">
        <v>5</v>
      </c>
      <c r="L13" s="284">
        <v>1</v>
      </c>
      <c r="M13" s="284">
        <v>4</v>
      </c>
      <c r="O13" s="91">
        <v>3</v>
      </c>
      <c r="P13" s="91">
        <v>5</v>
      </c>
      <c r="Q13" s="91">
        <v>1</v>
      </c>
      <c r="R13" s="91">
        <v>2</v>
      </c>
      <c r="T13" s="284">
        <v>3</v>
      </c>
      <c r="U13" s="284">
        <v>6</v>
      </c>
      <c r="V13" s="284">
        <v>5</v>
      </c>
      <c r="W13" s="284">
        <v>1</v>
      </c>
      <c r="Y13" s="91">
        <v>2</v>
      </c>
      <c r="Z13" s="91">
        <v>4</v>
      </c>
      <c r="AA13" s="91">
        <v>6</v>
      </c>
      <c r="AB13" s="91">
        <v>5</v>
      </c>
      <c r="AD13" s="91">
        <v>8</v>
      </c>
      <c r="AE13" s="91">
        <v>2</v>
      </c>
      <c r="AF13" s="91">
        <v>5</v>
      </c>
      <c r="AG13" s="91">
        <v>7</v>
      </c>
      <c r="AI13" s="285">
        <f>AJ12*10+AK13</f>
        <v>62</v>
      </c>
      <c r="AJ13" s="285"/>
      <c r="AK13" s="285">
        <v>2</v>
      </c>
      <c r="AL13" s="285" t="s">
        <v>160</v>
      </c>
      <c r="AM13" s="285">
        <f>AM12+1</f>
        <v>21</v>
      </c>
    </row>
    <row r="14" spans="1:39" ht="15" customHeight="1" x14ac:dyDescent="0.35">
      <c r="A14" s="88" t="s">
        <v>182</v>
      </c>
      <c r="B14" s="88" t="s">
        <v>25</v>
      </c>
      <c r="C14" s="88" t="s">
        <v>7</v>
      </c>
      <c r="E14" s="284">
        <f>E11</f>
        <v>2</v>
      </c>
      <c r="F14" s="284">
        <f t="shared" ref="F14:H14" si="6">F11</f>
        <v>5</v>
      </c>
      <c r="G14" s="284">
        <f t="shared" si="6"/>
        <v>1</v>
      </c>
      <c r="H14" s="284">
        <f t="shared" si="6"/>
        <v>4</v>
      </c>
      <c r="J14" s="284">
        <v>5</v>
      </c>
      <c r="K14" s="284">
        <v>4</v>
      </c>
      <c r="L14" s="284">
        <v>3</v>
      </c>
      <c r="M14" s="284">
        <v>7</v>
      </c>
      <c r="O14" s="91">
        <v>4</v>
      </c>
      <c r="P14" s="91">
        <v>1</v>
      </c>
      <c r="Q14" s="91">
        <v>5</v>
      </c>
      <c r="R14" s="91">
        <v>3</v>
      </c>
      <c r="T14" s="284">
        <v>6</v>
      </c>
      <c r="U14" s="284">
        <v>1</v>
      </c>
      <c r="V14" s="284">
        <v>2</v>
      </c>
      <c r="W14" s="284">
        <v>3</v>
      </c>
      <c r="Y14" s="91">
        <v>5</v>
      </c>
      <c r="Z14" s="91">
        <v>7</v>
      </c>
      <c r="AA14" s="91">
        <v>1</v>
      </c>
      <c r="AB14" s="91">
        <v>6</v>
      </c>
      <c r="AD14" s="91">
        <v>1</v>
      </c>
      <c r="AE14" s="91">
        <v>3</v>
      </c>
      <c r="AF14" s="91">
        <v>6</v>
      </c>
      <c r="AG14" s="91">
        <v>8</v>
      </c>
      <c r="AI14" s="285">
        <f>AJ12*10+AK14</f>
        <v>63</v>
      </c>
      <c r="AJ14" s="285"/>
      <c r="AK14" s="285">
        <v>3</v>
      </c>
      <c r="AL14" s="285" t="s">
        <v>161</v>
      </c>
      <c r="AM14" s="285">
        <f>AM13+1</f>
        <v>22</v>
      </c>
    </row>
    <row r="15" spans="1:39" ht="15" customHeight="1" x14ac:dyDescent="0.35">
      <c r="A15" s="88" t="s">
        <v>189</v>
      </c>
      <c r="B15" s="88" t="s">
        <v>24</v>
      </c>
      <c r="C15" s="88" t="s">
        <v>9</v>
      </c>
      <c r="E15" s="284">
        <f>E8</f>
        <v>6</v>
      </c>
      <c r="F15" s="284">
        <f t="shared" ref="F15:H15" si="7">F8</f>
        <v>1</v>
      </c>
      <c r="G15" s="284">
        <f t="shared" si="7"/>
        <v>2</v>
      </c>
      <c r="H15" s="284">
        <f t="shared" si="7"/>
        <v>3</v>
      </c>
      <c r="J15" s="91">
        <v>2</v>
      </c>
      <c r="K15" s="91">
        <v>7</v>
      </c>
      <c r="L15" s="91">
        <v>6</v>
      </c>
      <c r="M15" s="91">
        <v>1</v>
      </c>
      <c r="O15" s="91">
        <v>1</v>
      </c>
      <c r="P15" s="91">
        <v>3</v>
      </c>
      <c r="Q15" s="91">
        <v>2</v>
      </c>
      <c r="R15" s="91">
        <v>4</v>
      </c>
      <c r="T15" s="284">
        <v>5</v>
      </c>
      <c r="U15" s="284">
        <v>2</v>
      </c>
      <c r="V15" s="284">
        <v>6</v>
      </c>
      <c r="W15" s="284">
        <v>4</v>
      </c>
      <c r="Y15" s="91">
        <v>4</v>
      </c>
      <c r="Z15" s="91">
        <v>6</v>
      </c>
      <c r="AA15" s="91">
        <v>2</v>
      </c>
      <c r="AB15" s="91">
        <v>3</v>
      </c>
      <c r="AD15" s="91">
        <v>7</v>
      </c>
      <c r="AE15" s="91">
        <v>1</v>
      </c>
      <c r="AF15" s="91">
        <v>4</v>
      </c>
      <c r="AG15" s="91">
        <v>6</v>
      </c>
      <c r="AI15" s="285">
        <f>AJ12*10+AK15</f>
        <v>64</v>
      </c>
      <c r="AJ15" s="285"/>
      <c r="AK15" s="285">
        <v>4</v>
      </c>
      <c r="AL15" s="285" t="s">
        <v>162</v>
      </c>
      <c r="AM15" s="285">
        <f>AM14+1</f>
        <v>23</v>
      </c>
    </row>
    <row r="16" spans="1:39" ht="15" customHeight="1" x14ac:dyDescent="0.35">
      <c r="A16" s="88" t="s">
        <v>190</v>
      </c>
      <c r="B16" s="88" t="s">
        <v>28</v>
      </c>
      <c r="C16" s="88" t="s">
        <v>9</v>
      </c>
      <c r="E16" s="284">
        <f>E8</f>
        <v>6</v>
      </c>
      <c r="F16" s="284">
        <f t="shared" ref="F16:H16" si="8">F8</f>
        <v>1</v>
      </c>
      <c r="G16" s="284">
        <f t="shared" si="8"/>
        <v>2</v>
      </c>
      <c r="H16" s="284">
        <f t="shared" si="8"/>
        <v>3</v>
      </c>
      <c r="J16" s="284">
        <v>1</v>
      </c>
      <c r="K16" s="284">
        <v>2</v>
      </c>
      <c r="L16" s="284">
        <v>5</v>
      </c>
      <c r="M16" s="284">
        <v>6</v>
      </c>
      <c r="O16" s="91">
        <v>2</v>
      </c>
      <c r="P16" s="91">
        <v>4</v>
      </c>
      <c r="Q16" s="91">
        <v>3</v>
      </c>
      <c r="R16" s="91">
        <v>5</v>
      </c>
      <c r="T16" s="284">
        <v>1</v>
      </c>
      <c r="U16" s="284">
        <v>4</v>
      </c>
      <c r="V16" s="284">
        <v>3</v>
      </c>
      <c r="W16" s="284">
        <v>2</v>
      </c>
      <c r="Y16" s="91">
        <v>7</v>
      </c>
      <c r="Z16" s="91">
        <v>2</v>
      </c>
      <c r="AA16" s="91">
        <v>4</v>
      </c>
      <c r="AB16" s="91">
        <v>1</v>
      </c>
      <c r="AD16" s="91">
        <v>2</v>
      </c>
      <c r="AE16" s="91">
        <v>4</v>
      </c>
      <c r="AF16" s="91">
        <v>7</v>
      </c>
      <c r="AG16" s="91">
        <v>1</v>
      </c>
      <c r="AI16" s="285">
        <f>AJ16*10+AK16</f>
        <v>51</v>
      </c>
      <c r="AJ16" s="285">
        <v>5</v>
      </c>
      <c r="AK16" s="285">
        <v>1</v>
      </c>
      <c r="AL16" s="285" t="s">
        <v>163</v>
      </c>
      <c r="AM16" s="285">
        <v>14</v>
      </c>
    </row>
    <row r="17" spans="1:39" ht="15" customHeight="1" x14ac:dyDescent="0.35">
      <c r="A17" s="88" t="s">
        <v>191</v>
      </c>
      <c r="B17" s="88" t="s">
        <v>28</v>
      </c>
      <c r="C17" s="88" t="s">
        <v>7</v>
      </c>
      <c r="E17" s="284">
        <f>E20</f>
        <v>1</v>
      </c>
      <c r="F17" s="284">
        <f t="shared" ref="F17:H17" si="9">F20</f>
        <v>2</v>
      </c>
      <c r="G17" s="284">
        <f t="shared" si="9"/>
        <v>5</v>
      </c>
      <c r="H17" s="284">
        <f t="shared" si="9"/>
        <v>6</v>
      </c>
      <c r="J17" s="284">
        <v>3</v>
      </c>
      <c r="K17" s="284">
        <v>6</v>
      </c>
      <c r="L17" s="284">
        <v>4</v>
      </c>
      <c r="M17" s="284">
        <v>5</v>
      </c>
      <c r="O17" s="91">
        <v>5</v>
      </c>
      <c r="P17" s="91">
        <v>2</v>
      </c>
      <c r="Q17" s="91">
        <v>4</v>
      </c>
      <c r="R17" s="91">
        <v>1</v>
      </c>
      <c r="T17" s="284">
        <v>4</v>
      </c>
      <c r="U17" s="284">
        <v>3</v>
      </c>
      <c r="V17" s="284">
        <v>1</v>
      </c>
      <c r="W17" s="284">
        <v>5</v>
      </c>
      <c r="Y17" s="91">
        <v>4</v>
      </c>
      <c r="Z17" s="91">
        <v>6</v>
      </c>
      <c r="AA17" s="91">
        <v>2</v>
      </c>
      <c r="AB17" s="91">
        <v>3</v>
      </c>
      <c r="AD17" s="91">
        <v>4</v>
      </c>
      <c r="AE17" s="91">
        <v>6</v>
      </c>
      <c r="AF17" s="91">
        <v>1</v>
      </c>
      <c r="AG17" s="91">
        <v>2</v>
      </c>
      <c r="AI17" s="285">
        <f>AJ16*10+AK17</f>
        <v>52</v>
      </c>
      <c r="AJ17" s="285"/>
      <c r="AK17" s="285">
        <v>2</v>
      </c>
      <c r="AL17" s="285" t="s">
        <v>164</v>
      </c>
      <c r="AM17" s="285">
        <f>AM16+1</f>
        <v>15</v>
      </c>
    </row>
    <row r="18" spans="1:39" ht="15" customHeight="1" x14ac:dyDescent="0.35">
      <c r="A18" s="88" t="s">
        <v>246</v>
      </c>
      <c r="B18" s="88" t="s">
        <v>22</v>
      </c>
      <c r="C18" s="88" t="s">
        <v>4</v>
      </c>
      <c r="E18" s="284">
        <f>E3</f>
        <v>3</v>
      </c>
      <c r="F18" s="284">
        <f t="shared" ref="F18:H18" si="10">F3</f>
        <v>6</v>
      </c>
      <c r="G18" s="284">
        <f t="shared" si="10"/>
        <v>4</v>
      </c>
      <c r="H18" s="284">
        <f t="shared" si="10"/>
        <v>5</v>
      </c>
      <c r="J18" s="284">
        <v>4</v>
      </c>
      <c r="K18" s="284">
        <v>3</v>
      </c>
      <c r="L18" s="284">
        <v>7</v>
      </c>
      <c r="M18" s="284">
        <v>2</v>
      </c>
      <c r="O18" s="91">
        <v>4</v>
      </c>
      <c r="P18" s="91">
        <v>1</v>
      </c>
      <c r="Q18" s="91">
        <v>5</v>
      </c>
      <c r="R18" s="91">
        <v>3</v>
      </c>
      <c r="T18" s="284">
        <v>5</v>
      </c>
      <c r="U18" s="284">
        <v>2</v>
      </c>
      <c r="V18" s="284">
        <v>6</v>
      </c>
      <c r="W18" s="284">
        <v>4</v>
      </c>
      <c r="Y18" s="91">
        <v>1</v>
      </c>
      <c r="Z18" s="91">
        <v>3</v>
      </c>
      <c r="AA18" s="91">
        <v>5</v>
      </c>
      <c r="AB18" s="91">
        <v>2</v>
      </c>
      <c r="AD18" s="91">
        <v>5</v>
      </c>
      <c r="AE18" s="91">
        <v>7</v>
      </c>
      <c r="AF18" s="91">
        <v>2</v>
      </c>
      <c r="AG18" s="91">
        <v>3</v>
      </c>
      <c r="AI18" s="285">
        <f>AJ16*10+AK18</f>
        <v>53</v>
      </c>
      <c r="AJ18" s="285"/>
      <c r="AK18" s="285">
        <v>3</v>
      </c>
      <c r="AL18" s="285" t="s">
        <v>101</v>
      </c>
      <c r="AM18" s="285">
        <f>AM17+1</f>
        <v>16</v>
      </c>
    </row>
    <row r="19" spans="1:39" ht="15" customHeight="1" x14ac:dyDescent="0.35">
      <c r="A19" s="88" t="s">
        <v>188</v>
      </c>
      <c r="B19" s="88" t="s">
        <v>23</v>
      </c>
      <c r="C19" s="88" t="s">
        <v>9</v>
      </c>
      <c r="E19" s="284">
        <f>E9</f>
        <v>5</v>
      </c>
      <c r="F19" s="284">
        <f t="shared" ref="F19:H19" si="11">F9</f>
        <v>4</v>
      </c>
      <c r="G19" s="284">
        <f t="shared" si="11"/>
        <v>3</v>
      </c>
      <c r="H19" s="284">
        <f t="shared" si="11"/>
        <v>1</v>
      </c>
      <c r="J19" s="91">
        <v>2</v>
      </c>
      <c r="K19" s="91">
        <v>7</v>
      </c>
      <c r="L19" s="91">
        <v>6</v>
      </c>
      <c r="M19" s="91">
        <v>1</v>
      </c>
      <c r="O19" s="91">
        <v>3</v>
      </c>
      <c r="P19" s="91">
        <v>5</v>
      </c>
      <c r="Q19" s="91">
        <v>1</v>
      </c>
      <c r="R19" s="91">
        <v>2</v>
      </c>
      <c r="T19" s="284">
        <v>6</v>
      </c>
      <c r="U19" s="284">
        <v>1</v>
      </c>
      <c r="V19" s="284">
        <v>2</v>
      </c>
      <c r="W19" s="284">
        <v>3</v>
      </c>
      <c r="Y19" s="91">
        <v>5</v>
      </c>
      <c r="Z19" s="91">
        <v>7</v>
      </c>
      <c r="AA19" s="91">
        <v>1</v>
      </c>
      <c r="AB19" s="91">
        <v>6</v>
      </c>
      <c r="AD19" s="91">
        <v>3</v>
      </c>
      <c r="AE19" s="91">
        <v>5</v>
      </c>
      <c r="AF19" s="91">
        <v>8</v>
      </c>
      <c r="AG19" s="91">
        <v>4</v>
      </c>
      <c r="AI19" s="285">
        <f>AJ16*10+AK19</f>
        <v>54</v>
      </c>
      <c r="AJ19" s="285"/>
      <c r="AK19" s="285">
        <v>4</v>
      </c>
      <c r="AL19" s="285" t="s">
        <v>165</v>
      </c>
      <c r="AM19" s="285">
        <f>AM18+1</f>
        <v>17</v>
      </c>
    </row>
    <row r="20" spans="1:39" ht="15" customHeight="1" x14ac:dyDescent="0.35">
      <c r="A20" s="88" t="s">
        <v>192</v>
      </c>
      <c r="B20" s="88" t="s">
        <v>24</v>
      </c>
      <c r="C20" s="88" t="s">
        <v>6</v>
      </c>
      <c r="E20" s="284">
        <v>1</v>
      </c>
      <c r="F20" s="284">
        <v>2</v>
      </c>
      <c r="G20" s="284">
        <v>5</v>
      </c>
      <c r="H20" s="284">
        <v>6</v>
      </c>
      <c r="J20" s="284">
        <v>3</v>
      </c>
      <c r="K20" s="284">
        <v>6</v>
      </c>
      <c r="L20" s="284">
        <v>4</v>
      </c>
      <c r="M20" s="284">
        <v>5</v>
      </c>
      <c r="O20" s="91">
        <v>1</v>
      </c>
      <c r="P20" s="91">
        <v>3</v>
      </c>
      <c r="Q20" s="91">
        <v>2</v>
      </c>
      <c r="R20" s="91">
        <v>4</v>
      </c>
      <c r="T20" s="284">
        <v>3</v>
      </c>
      <c r="U20" s="284">
        <v>6</v>
      </c>
      <c r="V20" s="284">
        <v>5</v>
      </c>
      <c r="W20" s="284">
        <v>1</v>
      </c>
      <c r="Y20" s="91">
        <v>6</v>
      </c>
      <c r="Z20" s="91">
        <v>1</v>
      </c>
      <c r="AA20" s="91">
        <v>3</v>
      </c>
      <c r="AB20" s="91">
        <v>7</v>
      </c>
      <c r="AD20" s="91">
        <v>1</v>
      </c>
      <c r="AE20" s="91">
        <v>3</v>
      </c>
      <c r="AF20" s="91">
        <v>6</v>
      </c>
      <c r="AG20" s="91">
        <v>8</v>
      </c>
      <c r="AI20" s="285"/>
      <c r="AJ20" s="285"/>
      <c r="AK20" s="285"/>
      <c r="AL20" s="285"/>
      <c r="AM20" s="285"/>
    </row>
    <row r="21" spans="1:39" ht="15" customHeight="1" x14ac:dyDescent="0.25">
      <c r="A21" s="88" t="s">
        <v>193</v>
      </c>
      <c r="B21" s="88" t="s">
        <v>28</v>
      </c>
      <c r="C21" s="88" t="s">
        <v>6</v>
      </c>
      <c r="E21" s="284">
        <f>E4</f>
        <v>4</v>
      </c>
      <c r="F21" s="284">
        <f t="shared" ref="F21:H21" si="12">F4</f>
        <v>3</v>
      </c>
      <c r="G21" s="284">
        <f t="shared" si="12"/>
        <v>6</v>
      </c>
      <c r="H21" s="284">
        <f t="shared" si="12"/>
        <v>2</v>
      </c>
      <c r="J21" s="284">
        <v>5</v>
      </c>
      <c r="K21" s="284">
        <v>4</v>
      </c>
      <c r="L21" s="284">
        <v>3</v>
      </c>
      <c r="M21" s="284">
        <v>7</v>
      </c>
      <c r="O21" s="91">
        <v>2</v>
      </c>
      <c r="P21" s="91">
        <v>4</v>
      </c>
      <c r="Q21" s="91">
        <v>3</v>
      </c>
      <c r="R21" s="91">
        <v>5</v>
      </c>
      <c r="T21" s="284">
        <v>2</v>
      </c>
      <c r="U21" s="284">
        <v>5</v>
      </c>
      <c r="V21" s="284">
        <v>4</v>
      </c>
      <c r="W21" s="284">
        <v>6</v>
      </c>
      <c r="Y21" s="91">
        <v>2</v>
      </c>
      <c r="Z21" s="91">
        <v>4</v>
      </c>
      <c r="AA21" s="91">
        <v>6</v>
      </c>
      <c r="AB21" s="91">
        <v>5</v>
      </c>
      <c r="AD21" s="91">
        <v>8</v>
      </c>
      <c r="AE21" s="91">
        <v>2</v>
      </c>
      <c r="AF21" s="91">
        <v>5</v>
      </c>
      <c r="AG21" s="91">
        <v>7</v>
      </c>
      <c r="AI21" s="91">
        <v>61</v>
      </c>
      <c r="AJ21" s="91">
        <v>6</v>
      </c>
      <c r="AK21" s="91">
        <v>1</v>
      </c>
      <c r="AL21" s="91" t="s">
        <v>170</v>
      </c>
      <c r="AM21" s="91">
        <v>5</v>
      </c>
    </row>
    <row r="22" spans="1:39" ht="15" customHeight="1" x14ac:dyDescent="0.25">
      <c r="A22" s="88" t="s">
        <v>247</v>
      </c>
      <c r="B22" s="88" t="s">
        <v>22</v>
      </c>
      <c r="C22" s="88" t="s">
        <v>9</v>
      </c>
      <c r="E22" s="284">
        <f>E20</f>
        <v>1</v>
      </c>
      <c r="F22" s="284">
        <f t="shared" ref="F22:H22" si="13">F20</f>
        <v>2</v>
      </c>
      <c r="G22" s="284">
        <f t="shared" si="13"/>
        <v>5</v>
      </c>
      <c r="H22" s="284">
        <f t="shared" si="13"/>
        <v>6</v>
      </c>
      <c r="J22" s="284">
        <v>3</v>
      </c>
      <c r="K22" s="284">
        <v>6</v>
      </c>
      <c r="L22" s="284">
        <v>4</v>
      </c>
      <c r="M22" s="284">
        <v>5</v>
      </c>
      <c r="O22" s="91">
        <v>5</v>
      </c>
      <c r="P22" s="91">
        <v>2</v>
      </c>
      <c r="Q22" s="91">
        <v>4</v>
      </c>
      <c r="R22" s="91">
        <v>1</v>
      </c>
      <c r="T22" s="284">
        <v>1</v>
      </c>
      <c r="U22" s="284">
        <v>4</v>
      </c>
      <c r="V22" s="284">
        <v>3</v>
      </c>
      <c r="W22" s="284">
        <v>2</v>
      </c>
      <c r="Y22" s="91">
        <v>3</v>
      </c>
      <c r="Z22" s="91">
        <v>5</v>
      </c>
      <c r="AA22" s="91">
        <v>7</v>
      </c>
      <c r="AB22" s="91">
        <v>4</v>
      </c>
      <c r="AD22" s="91">
        <v>7</v>
      </c>
      <c r="AE22" s="91">
        <v>1</v>
      </c>
      <c r="AF22" s="91">
        <v>4</v>
      </c>
      <c r="AG22" s="91">
        <v>6</v>
      </c>
      <c r="AI22" s="91">
        <v>62</v>
      </c>
      <c r="AK22" s="91">
        <v>2</v>
      </c>
      <c r="AL22" s="91" t="s">
        <v>171</v>
      </c>
      <c r="AM22" s="91">
        <f>AM21+1</f>
        <v>6</v>
      </c>
    </row>
    <row r="23" spans="1:39" ht="15" customHeight="1" x14ac:dyDescent="0.25">
      <c r="A23" s="88" t="s">
        <v>194</v>
      </c>
      <c r="B23" s="88" t="s">
        <v>24</v>
      </c>
      <c r="C23" s="88" t="s">
        <v>7</v>
      </c>
      <c r="E23" s="284">
        <f>E11</f>
        <v>2</v>
      </c>
      <c r="F23" s="284">
        <f t="shared" ref="F23:H23" si="14">F11</f>
        <v>5</v>
      </c>
      <c r="G23" s="284">
        <f t="shared" si="14"/>
        <v>1</v>
      </c>
      <c r="H23" s="284">
        <f t="shared" si="14"/>
        <v>4</v>
      </c>
      <c r="J23" s="284">
        <v>7</v>
      </c>
      <c r="K23" s="284">
        <v>5</v>
      </c>
      <c r="L23" s="284">
        <v>1</v>
      </c>
      <c r="M23" s="284">
        <v>4</v>
      </c>
      <c r="O23" s="91">
        <v>4</v>
      </c>
      <c r="P23" s="91">
        <v>1</v>
      </c>
      <c r="Q23" s="91">
        <v>5</v>
      </c>
      <c r="R23" s="91">
        <v>3</v>
      </c>
      <c r="T23" s="284">
        <v>4</v>
      </c>
      <c r="U23" s="284">
        <v>3</v>
      </c>
      <c r="V23" s="284">
        <v>1</v>
      </c>
      <c r="W23" s="284">
        <v>5</v>
      </c>
      <c r="Y23" s="91">
        <v>7</v>
      </c>
      <c r="Z23" s="91">
        <v>2</v>
      </c>
      <c r="AA23" s="91">
        <v>4</v>
      </c>
      <c r="AB23" s="91">
        <v>1</v>
      </c>
      <c r="AD23" s="91">
        <v>2</v>
      </c>
      <c r="AE23" s="91">
        <v>4</v>
      </c>
      <c r="AF23" s="91">
        <v>7</v>
      </c>
      <c r="AG23" s="91">
        <v>1</v>
      </c>
      <c r="AI23" s="91">
        <v>63</v>
      </c>
      <c r="AK23" s="91">
        <v>3</v>
      </c>
      <c r="AL23" s="91" t="s">
        <v>172</v>
      </c>
      <c r="AM23" s="91">
        <f>AM22+1</f>
        <v>7</v>
      </c>
    </row>
    <row r="24" spans="1:39" ht="15" customHeight="1" x14ac:dyDescent="0.25">
      <c r="A24" s="88" t="s">
        <v>195</v>
      </c>
      <c r="B24" s="88" t="s">
        <v>28</v>
      </c>
      <c r="C24" s="88" t="s">
        <v>4</v>
      </c>
      <c r="E24" s="284">
        <f>E9</f>
        <v>5</v>
      </c>
      <c r="F24" s="284">
        <f t="shared" ref="F24:H24" si="15">F9</f>
        <v>4</v>
      </c>
      <c r="G24" s="284">
        <f t="shared" si="15"/>
        <v>3</v>
      </c>
      <c r="H24" s="284">
        <f t="shared" si="15"/>
        <v>1</v>
      </c>
      <c r="J24" s="284">
        <v>7</v>
      </c>
      <c r="K24" s="284">
        <v>5</v>
      </c>
      <c r="L24" s="284">
        <v>1</v>
      </c>
      <c r="M24" s="284">
        <v>4</v>
      </c>
      <c r="O24" s="91">
        <v>1</v>
      </c>
      <c r="P24" s="91">
        <v>3</v>
      </c>
      <c r="Q24" s="91">
        <v>2</v>
      </c>
      <c r="R24" s="91">
        <v>4</v>
      </c>
      <c r="T24" s="284">
        <v>3</v>
      </c>
      <c r="U24" s="284">
        <v>6</v>
      </c>
      <c r="V24" s="284">
        <v>5</v>
      </c>
      <c r="W24" s="284">
        <v>1</v>
      </c>
      <c r="Y24" s="91">
        <v>1</v>
      </c>
      <c r="Z24" s="91">
        <v>3</v>
      </c>
      <c r="AA24" s="91">
        <v>5</v>
      </c>
      <c r="AB24" s="91">
        <v>2</v>
      </c>
      <c r="AD24" s="91">
        <v>8</v>
      </c>
      <c r="AE24" s="91">
        <v>2</v>
      </c>
      <c r="AF24" s="91">
        <v>5</v>
      </c>
      <c r="AG24" s="91">
        <v>7</v>
      </c>
      <c r="AI24" s="91">
        <v>64</v>
      </c>
      <c r="AK24" s="91">
        <v>4</v>
      </c>
      <c r="AL24" s="91" t="s">
        <v>173</v>
      </c>
      <c r="AM24" s="91">
        <f>AM23+1</f>
        <v>8</v>
      </c>
    </row>
    <row r="25" spans="1:39" ht="15" customHeight="1" x14ac:dyDescent="0.25">
      <c r="AI25" s="91">
        <v>71</v>
      </c>
      <c r="AJ25" s="91">
        <v>7</v>
      </c>
      <c r="AK25" s="91">
        <v>1</v>
      </c>
      <c r="AL25" s="91" t="s">
        <v>166</v>
      </c>
      <c r="AM25" s="91">
        <v>10</v>
      </c>
    </row>
    <row r="26" spans="1:39" ht="15" customHeight="1" x14ac:dyDescent="0.25">
      <c r="AI26" s="91">
        <v>72</v>
      </c>
      <c r="AK26" s="91">
        <v>2</v>
      </c>
      <c r="AL26" s="91" t="s">
        <v>167</v>
      </c>
      <c r="AM26" s="91">
        <f>AM25+1</f>
        <v>11</v>
      </c>
    </row>
    <row r="27" spans="1:39" ht="15" customHeight="1" x14ac:dyDescent="0.25">
      <c r="AI27" s="91">
        <v>73</v>
      </c>
      <c r="AK27" s="91">
        <v>3</v>
      </c>
      <c r="AL27" s="91" t="s">
        <v>168</v>
      </c>
      <c r="AM27" s="91">
        <f>AM26+1</f>
        <v>12</v>
      </c>
    </row>
    <row r="28" spans="1:39" ht="15" customHeight="1" x14ac:dyDescent="0.25">
      <c r="AI28" s="91">
        <v>74</v>
      </c>
      <c r="AK28" s="91">
        <v>4</v>
      </c>
      <c r="AL28" s="91" t="s">
        <v>169</v>
      </c>
      <c r="AM28" s="91">
        <f>AM27+1</f>
        <v>13</v>
      </c>
    </row>
  </sheetData>
  <sheetProtection algorithmName="SHA-512" hashValue="4pMBXIFEizmYpjVzwWJoVpwi61uuEWbcA2PuYgcuH5toV5TQY4ytB6Q6HlHUwTJyYKFh255KEpC2GptMdDYy+Q==" saltValue="uQkVX9EKZ41w1CU5lqy3bw==" spinCount="100000" sheet="1" objects="1" scenarios="1" formatCells="0" formatColumns="0" formatRows="0" sort="0" autoFilter="0"/>
  <autoFilter ref="A1:C24" xr:uid="{00000000-0009-0000-0000-000016000000}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9"/>
  <dimension ref="A1:A2"/>
  <sheetViews>
    <sheetView workbookViewId="0">
      <selection activeCell="A3" sqref="A3"/>
    </sheetView>
  </sheetViews>
  <sheetFormatPr defaultRowHeight="15" x14ac:dyDescent="0.25"/>
  <sheetData>
    <row r="1" spans="1:1" x14ac:dyDescent="0.25">
      <c r="A1" s="330" t="e">
        <f ca="1">LEFT(CELL("filename"),FIND("[",CELL("filename"),1)-1)</f>
        <v>#N/A</v>
      </c>
    </row>
    <row r="2" spans="1:1" x14ac:dyDescent="0.25">
      <c r="A2" s="330" t="str">
        <f>"23 LAG "&amp;LEFT(MatchDay!C3,2)&amp;" "&amp;MatchDay!C4&amp;" M"&amp;MatchDay!C5&amp;" "&amp;MatchDay!C9</f>
        <v>23 LAG NO West 2 M1 Crewe &amp; Nantwich AC</v>
      </c>
    </row>
  </sheetData>
  <sheetProtection algorithmName="SHA-512" hashValue="dIEIB7+fX/pFsxTTqJUFkcgoezMjwIRpkDQnkO29xyYKBGOkQ3AbwevTbY/6/dan4c35ASx+jM4hfWDDbmlX+Q==" saltValue="nurJUV+pejuq8gblHsCZDw==" spinCount="100000" sheet="1" objects="1" scenarios="1" formatCells="0" formatColumns="0" formatRows="0" sort="0" autoFilter="0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tabColor rgb="FFC00000"/>
    <pageSetUpPr fitToPage="1"/>
  </sheetPr>
  <dimension ref="A1:AH43"/>
  <sheetViews>
    <sheetView showGridLines="0" showZeros="0" topLeftCell="B16" workbookViewId="0">
      <selection activeCell="D35" sqref="D35"/>
    </sheetView>
  </sheetViews>
  <sheetFormatPr defaultColWidth="8.7109375" defaultRowHeight="15" customHeight="1" x14ac:dyDescent="0.25"/>
  <cols>
    <col min="1" max="1" width="8.7109375" style="153" hidden="1" customWidth="1"/>
    <col min="2" max="2" width="9" style="153" customWidth="1"/>
    <col min="3" max="3" width="38.42578125" style="153" bestFit="1" customWidth="1"/>
    <col min="4" max="4" width="10.28515625" style="155" customWidth="1"/>
    <col min="5" max="9" width="8.7109375" style="153" customWidth="1"/>
    <col min="10" max="10" width="9.42578125" style="153" bestFit="1" customWidth="1"/>
    <col min="11" max="11" width="8.7109375" style="153" hidden="1" customWidth="1"/>
    <col min="12" max="12" width="7.42578125" style="153" hidden="1" customWidth="1"/>
    <col min="13" max="17" width="8.7109375" style="153" hidden="1" customWidth="1"/>
    <col min="18" max="18" width="9.7109375" style="153" hidden="1" customWidth="1"/>
    <col min="19" max="25" width="8.7109375" style="153" hidden="1" customWidth="1"/>
    <col min="26" max="26" width="8.7109375" style="153" customWidth="1"/>
    <col min="27" max="16384" width="8.7109375" style="153"/>
  </cols>
  <sheetData>
    <row r="1" spans="1:34" ht="15" customHeight="1" x14ac:dyDescent="0.25">
      <c r="AA1" s="359" t="s">
        <v>963</v>
      </c>
    </row>
    <row r="2" spans="1:34" ht="20.100000000000001" customHeight="1" x14ac:dyDescent="0.35">
      <c r="B2" s="154" t="s">
        <v>377</v>
      </c>
      <c r="C2" s="244" t="s">
        <v>69</v>
      </c>
      <c r="D2" s="452" t="s">
        <v>693</v>
      </c>
      <c r="M2" s="64" t="s">
        <v>89</v>
      </c>
      <c r="N2" s="64" t="s">
        <v>67</v>
      </c>
      <c r="O2" s="66" t="s">
        <v>90</v>
      </c>
      <c r="P2" s="270" t="s">
        <v>736</v>
      </c>
      <c r="S2" s="153" t="s">
        <v>91</v>
      </c>
      <c r="U2" s="156">
        <f>IFERROR(COUNTIFS(Teams!$F:$F,MatchDay!O9),"X")</f>
        <v>7</v>
      </c>
      <c r="W2" s="153" t="str">
        <f>IFERROR(CONCATENATE("points",U2),"")</f>
        <v>points7</v>
      </c>
      <c r="Y2" s="153" t="str">
        <f>LEFT(C2,1)&amp;"AG"&amp;LEFT(C3,2)</f>
        <v>LAGNO</v>
      </c>
    </row>
    <row r="3" spans="1:34" ht="20.100000000000001" customHeight="1" x14ac:dyDescent="0.35">
      <c r="B3" s="154" t="s">
        <v>376</v>
      </c>
      <c r="C3" s="243" t="s">
        <v>148</v>
      </c>
      <c r="D3" s="452"/>
      <c r="G3" s="156"/>
      <c r="H3" s="156"/>
      <c r="M3" s="64" t="s">
        <v>69</v>
      </c>
      <c r="N3" s="64" t="s">
        <v>148</v>
      </c>
      <c r="O3" s="66">
        <v>1</v>
      </c>
      <c r="P3" s="156">
        <v>1</v>
      </c>
      <c r="S3" s="153" t="s">
        <v>454</v>
      </c>
      <c r="U3" s="156">
        <v>36</v>
      </c>
      <c r="AE3"/>
    </row>
    <row r="4" spans="1:34" ht="20.100000000000001" customHeight="1" x14ac:dyDescent="0.35">
      <c r="B4" s="154" t="s">
        <v>378</v>
      </c>
      <c r="C4" s="243" t="s">
        <v>941</v>
      </c>
      <c r="D4" s="452"/>
      <c r="M4" s="64"/>
      <c r="N4" s="64" t="s">
        <v>282</v>
      </c>
      <c r="O4" s="66">
        <v>2</v>
      </c>
      <c r="P4" s="156">
        <f>IF(U2=8,1,2)</f>
        <v>2</v>
      </c>
      <c r="R4" s="238"/>
      <c r="S4" s="238" t="s">
        <v>117</v>
      </c>
      <c r="T4" s="238"/>
      <c r="U4" s="270">
        <f>IFERROR(VLOOKUP(U2*10+C5,Timetables!$ED$3:$EH$22,5,FALSE),"X")</f>
        <v>42</v>
      </c>
      <c r="AA4"/>
    </row>
    <row r="5" spans="1:34" ht="20.100000000000001" customHeight="1" x14ac:dyDescent="0.35">
      <c r="B5" s="154" t="s">
        <v>379</v>
      </c>
      <c r="C5" s="157">
        <v>1</v>
      </c>
      <c r="D5" s="452"/>
      <c r="M5" s="64"/>
      <c r="N5" s="64" t="s">
        <v>333</v>
      </c>
      <c r="O5" s="66">
        <v>3</v>
      </c>
    </row>
    <row r="6" spans="1:34" ht="20.100000000000001" customHeight="1" x14ac:dyDescent="0.35">
      <c r="B6" s="224" t="s">
        <v>570</v>
      </c>
      <c r="C6" s="227" t="s">
        <v>571</v>
      </c>
      <c r="D6" s="259">
        <v>1</v>
      </c>
      <c r="M6" s="64"/>
      <c r="N6" s="64" t="s">
        <v>380</v>
      </c>
      <c r="O6" s="66">
        <v>4</v>
      </c>
      <c r="S6" s="153" t="s">
        <v>146</v>
      </c>
      <c r="U6" s="156" t="str">
        <f>IFERROR(SEARCH("Premier",C4),"X")</f>
        <v>X</v>
      </c>
      <c r="AA6" s="363" t="s">
        <v>945</v>
      </c>
      <c r="AE6" s="257"/>
      <c r="AF6" s="257"/>
      <c r="AG6" s="257"/>
      <c r="AH6" s="257"/>
    </row>
    <row r="7" spans="1:34" ht="20.100000000000001" customHeight="1" x14ac:dyDescent="0.25">
      <c r="B7" s="153" t="s">
        <v>92</v>
      </c>
      <c r="C7" s="258">
        <f>IFERROR(VLOOKUP($C$3&amp;$C$4&amp;$C$5,'Dates &amp; Venues'!$A:$H,6,FALSE),"")</f>
        <v>45053</v>
      </c>
      <c r="N7" s="236"/>
      <c r="O7" s="156"/>
      <c r="S7" s="187" t="s">
        <v>543</v>
      </c>
      <c r="U7" s="260">
        <f>IFERROR(SEARCH("Premier",C4),0)</f>
        <v>0</v>
      </c>
      <c r="AE7" s="257"/>
      <c r="AF7" s="257"/>
      <c r="AG7" s="257"/>
      <c r="AH7" s="257"/>
    </row>
    <row r="8" spans="1:34" ht="20.100000000000001" customHeight="1" x14ac:dyDescent="0.25">
      <c r="B8" s="153" t="s">
        <v>93</v>
      </c>
      <c r="C8" s="153" t="str">
        <f>IFERROR(VLOOKUP($C$3&amp;$C$4&amp;$C$5,'Dates &amp; Venues'!$A:$H,8,FALSE),"")</f>
        <v>Macclesfield Leisure Centre</v>
      </c>
      <c r="S8" s="223" t="s">
        <v>571</v>
      </c>
      <c r="U8" s="156" t="str">
        <f>IFERROR(VLOOKUP(S8,$C$6,1,FALSE),"X")</f>
        <v>YES</v>
      </c>
      <c r="AE8" s="257"/>
      <c r="AF8" s="257"/>
      <c r="AG8" s="257"/>
      <c r="AH8" s="257"/>
    </row>
    <row r="9" spans="1:34" ht="20.100000000000001" customHeight="1" x14ac:dyDescent="0.25">
      <c r="B9" s="153" t="s">
        <v>94</v>
      </c>
      <c r="C9" s="153" t="str">
        <f>IFERROR(VLOOKUP($C$3&amp;$C$4&amp;$C$5,'Dates &amp; Venues'!$A:$H,7,FALSE),"")</f>
        <v>Crewe &amp; Nantwich AC</v>
      </c>
      <c r="M9" s="200" t="s">
        <v>562</v>
      </c>
      <c r="N9" s="200"/>
      <c r="O9" s="201">
        <f>IFERROR(VLOOKUP($C$3&amp;$C$4&amp;$C$5,'Dates &amp; Venues'!$A:$J,9,FALSE),"")</f>
        <v>207</v>
      </c>
      <c r="S9" s="223" t="s">
        <v>572</v>
      </c>
      <c r="U9" s="156" t="str">
        <f>IFERROR(VLOOKUP(S9,$C$6,1,FALSE),"X")</f>
        <v>X</v>
      </c>
      <c r="AE9" s="257"/>
      <c r="AF9" s="257"/>
      <c r="AG9" s="257"/>
      <c r="AH9" s="257"/>
    </row>
    <row r="10" spans="1:34" ht="15" customHeight="1" x14ac:dyDescent="0.25">
      <c r="AE10" s="257"/>
      <c r="AF10" s="257"/>
      <c r="AG10" s="257"/>
      <c r="AH10" s="257"/>
    </row>
    <row r="11" spans="1:34" ht="15" customHeight="1" x14ac:dyDescent="0.25">
      <c r="F11" s="158"/>
      <c r="G11" s="158"/>
      <c r="H11" s="158"/>
      <c r="I11" s="158"/>
      <c r="J11" s="158"/>
      <c r="AA11" s="245" t="s">
        <v>777</v>
      </c>
      <c r="AE11" s="257"/>
      <c r="AF11" s="257"/>
      <c r="AG11" s="257"/>
      <c r="AH11" s="257"/>
    </row>
    <row r="12" spans="1:34" ht="15" customHeight="1" x14ac:dyDescent="0.25">
      <c r="B12" s="169" t="s">
        <v>118</v>
      </c>
      <c r="C12" s="150" t="s">
        <v>95</v>
      </c>
      <c r="D12" s="169" t="s">
        <v>96</v>
      </c>
      <c r="E12" s="158" t="s">
        <v>365</v>
      </c>
      <c r="F12" s="158" t="s">
        <v>360</v>
      </c>
      <c r="G12" s="158" t="s">
        <v>359</v>
      </c>
      <c r="H12" s="158" t="s">
        <v>364</v>
      </c>
      <c r="I12" s="158" t="s">
        <v>201</v>
      </c>
      <c r="J12" s="158" t="s">
        <v>202</v>
      </c>
      <c r="K12" s="156" t="s">
        <v>177</v>
      </c>
      <c r="Q12" s="156"/>
      <c r="AA12" s="245" t="s">
        <v>778</v>
      </c>
    </row>
    <row r="13" spans="1:34" ht="15" customHeight="1" x14ac:dyDescent="0.25">
      <c r="A13" s="156">
        <f ca="1">IFERROR(RANK(L13,$L$13:$L$20),"")</f>
        <v>1</v>
      </c>
      <c r="B13" s="156">
        <v>1</v>
      </c>
      <c r="C13" s="153" t="str">
        <f>IFERROR(VLOOKUP($O$9&amp;$C$4&amp;$B13,Teams!$A:$E,4,FALSE),"")</f>
        <v>Crewe &amp; Nantwich AC</v>
      </c>
      <c r="D13" s="156" t="str">
        <f>IFERROR(VLOOKUP($O$9&amp;$C$4&amp;$B13,Teams!$A:$E,5,FALSE),"")</f>
        <v>C&amp;N</v>
      </c>
      <c r="E13" s="234">
        <v>40</v>
      </c>
      <c r="F13" s="166">
        <f ca="1">SUMIF(Track1!$G:$G,MatchDay!D13,Track1!$R:$R)+SUMIF(Track1!$N:$N,MatchDay!D13,Track1!$S:$S)</f>
        <v>198</v>
      </c>
      <c r="G13" s="166">
        <f ca="1">SUMIF(Track2!$G:$G,MatchDay!D13,Track2!$R:$R)+SUMIF(Track2!$N:$N,MatchDay!D13,Track2!$S:$S)</f>
        <v>12</v>
      </c>
      <c r="H13" s="166">
        <f ca="1">SUMIF(Relays!$D:$D,MatchDay!D13,Relays!$L:$L)</f>
        <v>37</v>
      </c>
      <c r="I13" s="166">
        <f ca="1">SUMIF(Field!$G:$G,MatchDay!D13,Field!$R:$R)+SUMIF(Field!$N:$N,MatchDay!D13,Field!$S:$S)</f>
        <v>260</v>
      </c>
      <c r="J13" s="166">
        <f ca="1">IFERROR(IF(F13+I13+G13+H13+I13=0,"",F13+I13+G13+H13+E13),"")</f>
        <v>547</v>
      </c>
      <c r="K13" s="156">
        <f ca="1">IFERROR(RANK(J13,$J$13:$J$20,0),"")</f>
        <v>1</v>
      </c>
      <c r="L13" s="159">
        <f t="shared" ref="L13:L20" ca="1" si="0">IFERROR(J13+B13/100000,"")</f>
        <v>547.00000999999997</v>
      </c>
      <c r="M13" s="160" t="str">
        <f t="shared" ref="M13:M20" si="1">C13</f>
        <v>Crewe &amp; Nantwich AC</v>
      </c>
      <c r="N13" s="153">
        <f>IFERROR(VLOOKUP(Table1[[#This Row],[Bib]],downloads!$Q$3:$S$11,2,FALSE),0)</f>
        <v>0</v>
      </c>
      <c r="O13" s="153">
        <f>IFERROR(VLOOKUP(Table1[[#This Row],[Bib]],downloads!$Q$3:$S$11,3,FALSE),0)</f>
        <v>0</v>
      </c>
      <c r="P13" s="156">
        <v>1</v>
      </c>
      <c r="Q13" s="156">
        <f>U2</f>
        <v>7</v>
      </c>
      <c r="R13" s="156">
        <f ca="1">COUNTIF(Table2[Posn],P13)</f>
        <v>1</v>
      </c>
      <c r="S13" s="153">
        <f ca="1">IF(R13=2,(Q13+Q14)/2,IF(R13=3,(Q13+Q14+Q15)/3,IF(R13=4,(Q13+Q14+Q15+Q16)/4,IF(R13=5,(Q13+Q14+Q15+Q16+Q17)/5,IF(R13=6,(Q13+Q14+Q15+Q16+Q17+Q18)/6,IF(R13=7,(Q13+Q14+Q15+Q16+Q17+Q18+Q19)/7,IF(R13=8,(Q13+Q14+Q15+Q16+Q17+Q18+Q19+Q20)/8,Q13)))))))</f>
        <v>7</v>
      </c>
      <c r="AA13" s="245" t="s">
        <v>779</v>
      </c>
    </row>
    <row r="14" spans="1:34" ht="15" customHeight="1" x14ac:dyDescent="0.25">
      <c r="A14" s="156">
        <f t="shared" ref="A14:A19" ca="1" si="2">IFERROR(RANK(L14,$L$13:$L$20),"")</f>
        <v>3</v>
      </c>
      <c r="B14" s="156">
        <v>2</v>
      </c>
      <c r="C14" s="153" t="str">
        <f>IFERROR(VLOOKUP($O$9&amp;$C$4&amp;$B14,Teams!$A:$E,4,FALSE),"")</f>
        <v>East Cheshire H &amp; Tameside AC</v>
      </c>
      <c r="D14" s="156" t="str">
        <f>IFERROR(VLOOKUP($O$9&amp;$C$4&amp;$B14,Teams!$A:$E,5,FALSE),"")</f>
        <v>ECHT</v>
      </c>
      <c r="E14" s="234">
        <v>48</v>
      </c>
      <c r="F14" s="166">
        <f ca="1">SUMIF(Track1!$G:$G,MatchDay!D14,Track1!$R:$R)+SUMIF(Track1!$N:$N,MatchDay!D14,Track1!$S:$S)</f>
        <v>184</v>
      </c>
      <c r="G14" s="166">
        <f ca="1">SUMIF(Track2!$G:$G,MatchDay!D14,Track2!$R:$R)+SUMIF(Track2!$N:$N,MatchDay!D14,Track2!$S:$S)</f>
        <v>56</v>
      </c>
      <c r="H14" s="166">
        <f ca="1">SUMIF(Relays!$D:$D,MatchDay!D14,Relays!$L:$L)</f>
        <v>37</v>
      </c>
      <c r="I14" s="166">
        <f ca="1">SUMIF(Field!$G:$G,MatchDay!D14,Field!$R:$R)+SUMIF(Field!$N:$N,MatchDay!D14,Field!$S:$S)</f>
        <v>129.5</v>
      </c>
      <c r="J14" s="166">
        <f t="shared" ref="J14:J20" ca="1" si="3">IFERROR(IF(F14+I14+G14+H14+I14=0,"",F14+I14+G14+H14+E14),"")</f>
        <v>454.5</v>
      </c>
      <c r="K14" s="156">
        <f t="shared" ref="K14:K20" ca="1" si="4">IFERROR(RANK(J14,$J$13:$J$20,0),"")</f>
        <v>3</v>
      </c>
      <c r="L14" s="159">
        <f t="shared" ca="1" si="0"/>
        <v>454.50002000000001</v>
      </c>
      <c r="M14" s="160" t="str">
        <f t="shared" si="1"/>
        <v>East Cheshire H &amp; Tameside AC</v>
      </c>
      <c r="N14" s="153">
        <f>IFERROR(VLOOKUP(Table1[[#This Row],[Bib]],downloads!$Q$3:$S$11,2,FALSE),0)</f>
        <v>0</v>
      </c>
      <c r="O14" s="153">
        <f>IFERROR(VLOOKUP(Table1[[#This Row],[Bib]],downloads!$Q$3:$S$11,3,FALSE),0)</f>
        <v>0</v>
      </c>
      <c r="P14" s="156">
        <v>2</v>
      </c>
      <c r="Q14" s="156">
        <f>(IF(Q13-1&lt;0,0,Q13-1))</f>
        <v>6</v>
      </c>
      <c r="R14" s="156">
        <f ca="1">COUNTIF(Table2[Posn],P14)</f>
        <v>1</v>
      </c>
      <c r="S14" s="153">
        <f ca="1">IF(R14=2,(Q14+Q15)/2,IF(R14=3,(Q14+Q15+Q16)/3,IF(R14=4,(Q14+Q15+Q16+Q17)/4,IF(R14=5,(Q14+Q15+Q16+Q17+Q18)/5,IF(R14=6,(Q14+Q15+Q16+Q17+Q18+Q19)/6,IF(R14=7,(Q14+Q15+Q16+Q17+Q18+Q19+Q20)/7,Q14))))))</f>
        <v>6</v>
      </c>
    </row>
    <row r="15" spans="1:34" ht="15" customHeight="1" x14ac:dyDescent="0.25">
      <c r="A15" s="156">
        <f t="shared" ca="1" si="2"/>
        <v>2</v>
      </c>
      <c r="B15" s="156">
        <v>3</v>
      </c>
      <c r="C15" s="153" t="str">
        <f>IFERROR(VLOOKUP($O$9&amp;$C$4&amp;$B15,Teams!$A:$E,4,FALSE),"")</f>
        <v>Leigh Harriers &amp; AC</v>
      </c>
      <c r="D15" s="156" t="str">
        <f>IFERROR(VLOOKUP($O$9&amp;$C$4&amp;$B15,Teams!$A:$E,5,FALSE),"")</f>
        <v>Leigh</v>
      </c>
      <c r="E15" s="234">
        <v>48</v>
      </c>
      <c r="F15" s="166">
        <f ca="1">SUMIF(Track1!$G:$G,MatchDay!D15,Track1!$R:$R)+SUMIF(Track1!$N:$N,MatchDay!D15,Track1!$S:$S)</f>
        <v>218</v>
      </c>
      <c r="G15" s="166">
        <f ca="1">SUMIF(Track2!$G:$G,MatchDay!D15,Track2!$R:$R)+SUMIF(Track2!$N:$N,MatchDay!D15,Track2!$S:$S)</f>
        <v>43</v>
      </c>
      <c r="H15" s="166">
        <f ca="1">SUMIF(Relays!$D:$D,MatchDay!D15,Relays!$L:$L)</f>
        <v>45</v>
      </c>
      <c r="I15" s="166">
        <f ca="1">SUMIF(Field!$G:$G,MatchDay!D15,Field!$R:$R)+SUMIF(Field!$N:$N,MatchDay!D15,Field!$S:$S)</f>
        <v>171</v>
      </c>
      <c r="J15" s="166">
        <f t="shared" ca="1" si="3"/>
        <v>525</v>
      </c>
      <c r="K15" s="156">
        <f t="shared" ca="1" si="4"/>
        <v>2</v>
      </c>
      <c r="L15" s="159">
        <f t="shared" ca="1" si="0"/>
        <v>525.00003000000004</v>
      </c>
      <c r="M15" s="160" t="str">
        <f t="shared" si="1"/>
        <v>Leigh Harriers &amp; AC</v>
      </c>
      <c r="N15" s="153">
        <f>IFERROR(VLOOKUP(Table1[[#This Row],[Bib]],downloads!$Q$3:$S$11,2,FALSE),0)</f>
        <v>0</v>
      </c>
      <c r="O15" s="153">
        <f>IFERROR(VLOOKUP(Table1[[#This Row],[Bib]],downloads!$Q$3:$S$11,3,FALSE),0)</f>
        <v>0</v>
      </c>
      <c r="P15" s="156">
        <v>3</v>
      </c>
      <c r="Q15" s="156">
        <f t="shared" ref="Q15:Q20" si="5">(IF(Q14-1&lt;0,0,Q14-1))</f>
        <v>5</v>
      </c>
      <c r="R15" s="156">
        <f ca="1">COUNTIF(Table2[Posn],P15)</f>
        <v>1</v>
      </c>
      <c r="S15" s="153">
        <f ca="1">IF(R15=2,(Q15+Q16)/2,IF(R15=3,(Q15+Q16+Q17)/3,IF(R15=4,(Q15+Q16+Q17+Q18)/4,IF(R15=5,(Q15+Q16+Q17+Q18+Q19)/5,IF(R15=6,(Q15+Q16+Q17+Q18+Q19+Q20)/6,Q15)))))</f>
        <v>5</v>
      </c>
    </row>
    <row r="16" spans="1:34" ht="15" customHeight="1" x14ac:dyDescent="0.25">
      <c r="A16" s="156">
        <f t="shared" ca="1" si="2"/>
        <v>5</v>
      </c>
      <c r="B16" s="156">
        <v>4</v>
      </c>
      <c r="C16" s="153" t="str">
        <f>IFERROR(VLOOKUP($O$9&amp;$C$4&amp;$B16,Teams!$A:$E,4,FALSE),"")</f>
        <v>Macclesfield Harriers &amp; AC</v>
      </c>
      <c r="D16" s="156" t="str">
        <f>IFERROR(VLOOKUP($O$9&amp;$C$4&amp;$B16,Teams!$A:$E,5,FALSE),"")</f>
        <v>Macc</v>
      </c>
      <c r="E16" s="234">
        <v>44</v>
      </c>
      <c r="F16" s="166">
        <f ca="1">SUMIF(Track1!$G:$G,MatchDay!D16,Track1!$R:$R)+SUMIF(Track1!$N:$N,MatchDay!D16,Track1!$S:$S)</f>
        <v>133</v>
      </c>
      <c r="G16" s="166">
        <f ca="1">SUMIF(Track2!$G:$G,MatchDay!D16,Track2!$R:$R)+SUMIF(Track2!$N:$N,MatchDay!D16,Track2!$S:$S)</f>
        <v>29</v>
      </c>
      <c r="H16" s="166">
        <f ca="1">SUMIF(Relays!$D:$D,MatchDay!D16,Relays!$L:$L)</f>
        <v>24</v>
      </c>
      <c r="I16" s="166">
        <f ca="1">SUMIF(Field!$G:$G,MatchDay!D16,Field!$R:$R)+SUMIF(Field!$N:$N,MatchDay!D16,Field!$S:$S)</f>
        <v>126</v>
      </c>
      <c r="J16" s="166">
        <f t="shared" ca="1" si="3"/>
        <v>356</v>
      </c>
      <c r="K16" s="156">
        <f t="shared" ca="1" si="4"/>
        <v>5</v>
      </c>
      <c r="L16" s="159">
        <f t="shared" ca="1" si="0"/>
        <v>356.00004000000001</v>
      </c>
      <c r="M16" s="160" t="str">
        <f t="shared" si="1"/>
        <v>Macclesfield Harriers &amp; AC</v>
      </c>
      <c r="N16" s="153">
        <f>IFERROR(VLOOKUP(Table1[[#This Row],[Bib]],downloads!$Q$3:$S$11,2,FALSE),0)</f>
        <v>0</v>
      </c>
      <c r="O16" s="153">
        <f>IFERROR(VLOOKUP(Table1[[#This Row],[Bib]],downloads!$Q$3:$S$11,3,FALSE),0)</f>
        <v>0</v>
      </c>
      <c r="P16" s="156">
        <v>4</v>
      </c>
      <c r="Q16" s="156">
        <f t="shared" si="5"/>
        <v>4</v>
      </c>
      <c r="R16" s="156">
        <f ca="1">COUNTIF(Table2[Posn],P16)</f>
        <v>1</v>
      </c>
      <c r="S16" s="153">
        <f ca="1">IF(R16=2,(Q16+Q17)/2,IF(R16=3,(Q16+Q17+Q18)/3,IF(R16=4,(Q16+Q17+Q18+Q19)/4,IF(R16=5,(Q16+Q17+Q18+Q19+Q20)/5,Q16))))</f>
        <v>4</v>
      </c>
      <c r="AC16" s="245" t="s">
        <v>946</v>
      </c>
    </row>
    <row r="17" spans="1:29" ht="15" customHeight="1" x14ac:dyDescent="0.25">
      <c r="A17" s="156">
        <f t="shared" ca="1" si="2"/>
        <v>7</v>
      </c>
      <c r="B17" s="156">
        <f>IF(5&gt;U2,"-",5)</f>
        <v>5</v>
      </c>
      <c r="C17" s="153" t="str">
        <f>IFERROR(VLOOKUP($O$9&amp;$C$4&amp;$B17,Teams!$A:$E,4,FALSE),"")</f>
        <v>Menai Track &amp; Field</v>
      </c>
      <c r="D17" s="156" t="str">
        <f>IFERROR(VLOOKUP($O$9&amp;$C$4&amp;$B17,Teams!$A:$E,5,FALSE),"")</f>
        <v>Menai</v>
      </c>
      <c r="E17" s="234">
        <v>28</v>
      </c>
      <c r="F17" s="166">
        <f ca="1">SUMIF(Track1!$G:$G,MatchDay!D17,Track1!$R:$R)+SUMIF(Track1!$N:$N,MatchDay!D17,Track1!$S:$S)</f>
        <v>92</v>
      </c>
      <c r="G17" s="166">
        <f ca="1">SUMIF(Track2!$G:$G,MatchDay!D17,Track2!$R:$R)+SUMIF(Track2!$N:$N,MatchDay!D17,Track2!$S:$S)</f>
        <v>31</v>
      </c>
      <c r="H17" s="166">
        <f ca="1">SUMIF(Relays!$D:$D,MatchDay!D17,Relays!$L:$L)</f>
        <v>17</v>
      </c>
      <c r="I17" s="166">
        <f ca="1">SUMIF(Field!$G:$G,MatchDay!D17,Field!$R:$R)+SUMIF(Field!$N:$N,MatchDay!D17,Field!$S:$S)</f>
        <v>88.5</v>
      </c>
      <c r="J17" s="166">
        <f t="shared" ca="1" si="3"/>
        <v>256.5</v>
      </c>
      <c r="K17" s="156">
        <f t="shared" ca="1" si="4"/>
        <v>7</v>
      </c>
      <c r="L17" s="159">
        <f t="shared" ca="1" si="0"/>
        <v>256.50004999999999</v>
      </c>
      <c r="M17" s="160" t="str">
        <f t="shared" si="1"/>
        <v>Menai Track &amp; Field</v>
      </c>
      <c r="N17" s="153">
        <f>IFERROR(VLOOKUP(Table1[[#This Row],[Bib]],downloads!$Q$3:$S$11,2,FALSE),0)</f>
        <v>0</v>
      </c>
      <c r="O17" s="153">
        <f>IFERROR(VLOOKUP(Table1[[#This Row],[Bib]],downloads!$Q$3:$S$11,3,FALSE),0)</f>
        <v>0</v>
      </c>
      <c r="P17" s="156">
        <v>5</v>
      </c>
      <c r="Q17" s="156">
        <f t="shared" si="5"/>
        <v>3</v>
      </c>
      <c r="R17" s="156">
        <f ca="1">COUNTIF(Table2[Posn],P17)</f>
        <v>1</v>
      </c>
      <c r="S17" s="153">
        <f ca="1">IF(R17=2,(Q17+Q18)/2,IF(R17=3,(Q17+Q18+Q19)/3,IF(R17=4,(Q17+Q18+Q19+Q20)/4,Q17)))</f>
        <v>3</v>
      </c>
      <c r="AC17" s="245" t="s">
        <v>947</v>
      </c>
    </row>
    <row r="18" spans="1:29" ht="15" customHeight="1" x14ac:dyDescent="0.25">
      <c r="A18" s="156">
        <f t="shared" ca="1" si="2"/>
        <v>6</v>
      </c>
      <c r="B18" s="156">
        <f>IF(6&gt;U2,"-",6)</f>
        <v>6</v>
      </c>
      <c r="C18" s="153" t="str">
        <f>IFERROR(VLOOKUP($O$9&amp;$C$4&amp;$B18,Teams!$A:$E,4,FALSE),"")</f>
        <v>Stockport Harriers &amp; AC</v>
      </c>
      <c r="D18" s="156" t="str">
        <f>IFERROR(VLOOKUP($O$9&amp;$C$4&amp;$B18,Teams!$A:$E,5,FALSE),"")</f>
        <v>Stock</v>
      </c>
      <c r="E18" s="234">
        <v>32</v>
      </c>
      <c r="F18" s="166">
        <f ca="1">SUMIF(Track1!$G:$G,MatchDay!D18,Track1!$R:$R)+SUMIF(Track1!$N:$N,MatchDay!D18,Track1!$S:$S)</f>
        <v>119</v>
      </c>
      <c r="G18" s="166">
        <f ca="1">SUMIF(Track2!$G:$G,MatchDay!D18,Track2!$R:$R)+SUMIF(Track2!$N:$N,MatchDay!D18,Track2!$S:$S)</f>
        <v>24</v>
      </c>
      <c r="H18" s="166">
        <f ca="1">SUMIF(Relays!$D:$D,MatchDay!D18,Relays!$L:$L)</f>
        <v>16</v>
      </c>
      <c r="I18" s="166">
        <f ca="1">SUMIF(Field!$G:$G,MatchDay!D18,Field!$R:$R)+SUMIF(Field!$N:$N,MatchDay!D18,Field!$S:$S)</f>
        <v>135</v>
      </c>
      <c r="J18" s="166">
        <f t="shared" ca="1" si="3"/>
        <v>326</v>
      </c>
      <c r="K18" s="156">
        <f t="shared" ca="1" si="4"/>
        <v>6</v>
      </c>
      <c r="L18" s="159">
        <f t="shared" ca="1" si="0"/>
        <v>326.00006000000002</v>
      </c>
      <c r="M18" s="160" t="str">
        <f t="shared" si="1"/>
        <v>Stockport Harriers &amp; AC</v>
      </c>
      <c r="N18" s="153">
        <f>IFERROR(VLOOKUP(Table1[[#This Row],[Bib]],downloads!$Q$3:$S$11,2,FALSE),0)</f>
        <v>0</v>
      </c>
      <c r="O18" s="153">
        <f>IFERROR(VLOOKUP(Table1[[#This Row],[Bib]],downloads!$Q$3:$S$11,3,FALSE),0)</f>
        <v>0</v>
      </c>
      <c r="P18" s="156">
        <v>6</v>
      </c>
      <c r="Q18" s="156">
        <f t="shared" si="5"/>
        <v>2</v>
      </c>
      <c r="R18" s="156">
        <f ca="1">COUNTIF(Table2[Posn],P18)</f>
        <v>1</v>
      </c>
      <c r="S18" s="153">
        <f ca="1">IF(R18=2,(Q18+Q19)/2,IF(R18=3,(Q18+Q19+Q20)/3,Q18))</f>
        <v>2</v>
      </c>
      <c r="AC18" s="245" t="s">
        <v>948</v>
      </c>
    </row>
    <row r="19" spans="1:29" ht="15" customHeight="1" x14ac:dyDescent="0.25">
      <c r="A19" s="156">
        <f t="shared" ca="1" si="2"/>
        <v>4</v>
      </c>
      <c r="B19" s="156">
        <f>IF(7&gt;U2,"-",7)</f>
        <v>7</v>
      </c>
      <c r="C19" s="153" t="str">
        <f>IFERROR(VLOOKUP($O$9&amp;$C$4&amp;$B19,Teams!$A:$E,4,FALSE),"")</f>
        <v>Wigan &amp; District H &amp; AC</v>
      </c>
      <c r="D19" s="156" t="str">
        <f>IFERROR(VLOOKUP($O$9&amp;$C$4&amp;$B19,Teams!$A:$E,5,FALSE),"")</f>
        <v>Wigan</v>
      </c>
      <c r="E19" s="234">
        <v>0</v>
      </c>
      <c r="F19" s="166">
        <f ca="1">SUMIF(Track1!$G:$G,MatchDay!D19,Track1!$R:$R)+SUMIF(Track1!$N:$N,MatchDay!D19,Track1!$S:$S)</f>
        <v>182</v>
      </c>
      <c r="G19" s="166">
        <f ca="1">SUMIF(Track2!$G:$G,MatchDay!D19,Track2!$R:$R)+SUMIF(Track2!$N:$N,MatchDay!D19,Track2!$S:$S)</f>
        <v>31</v>
      </c>
      <c r="H19" s="166">
        <f ca="1">SUMIF(Relays!$D:$D,MatchDay!D19,Relays!$L:$L)</f>
        <v>28</v>
      </c>
      <c r="I19" s="166">
        <f ca="1">SUMIF(Field!$G:$G,MatchDay!D19,Field!$R:$R)+SUMIF(Field!$N:$N,MatchDay!D19,Field!$S:$S)</f>
        <v>154</v>
      </c>
      <c r="J19" s="166">
        <f t="shared" ca="1" si="3"/>
        <v>395</v>
      </c>
      <c r="K19" s="156">
        <f t="shared" ca="1" si="4"/>
        <v>4</v>
      </c>
      <c r="L19" s="159">
        <f t="shared" ca="1" si="0"/>
        <v>395.00006999999999</v>
      </c>
      <c r="M19" s="160" t="str">
        <f t="shared" si="1"/>
        <v>Wigan &amp; District H &amp; AC</v>
      </c>
      <c r="N19" s="153">
        <f>IFERROR(VLOOKUP(Table1[[#This Row],[Bib]],downloads!$Q$3:$S$11,2,FALSE),0)</f>
        <v>0</v>
      </c>
      <c r="O19" s="153">
        <f>IFERROR(VLOOKUP(Table1[[#This Row],[Bib]],downloads!$Q$3:$S$11,3,FALSE),0)</f>
        <v>0</v>
      </c>
      <c r="P19" s="156">
        <v>7</v>
      </c>
      <c r="Q19" s="156">
        <f t="shared" si="5"/>
        <v>1</v>
      </c>
      <c r="R19" s="156">
        <f ca="1">COUNTIF(Table2[Posn],P19)</f>
        <v>1</v>
      </c>
      <c r="S19" s="153">
        <f ca="1">IF(R19=2,(Q19+Q20)/2,Q19)</f>
        <v>1</v>
      </c>
    </row>
    <row r="20" spans="1:29" ht="15" customHeight="1" x14ac:dyDescent="0.25">
      <c r="A20" s="156" t="str">
        <f ca="1">IFERROR(RANK(L20,$L$13:$L$20),"")</f>
        <v/>
      </c>
      <c r="B20" s="156" t="str">
        <f>IF(8&gt;U2,"-",8)</f>
        <v>-</v>
      </c>
      <c r="C20" s="153" t="str">
        <f>IFERROR(VLOOKUP($O$9&amp;$C$4&amp;$B20,Teams!$A:$E,4,FALSE),"")</f>
        <v/>
      </c>
      <c r="D20" s="156" t="str">
        <f>IFERROR(VLOOKUP($O$9&amp;$C$4&amp;$B20,Teams!$A:$E,5,FALSE),"")</f>
        <v/>
      </c>
      <c r="E20" s="234">
        <v>0</v>
      </c>
      <c r="F20" s="166">
        <f ca="1">SUMIF(Track1!$G:$G,MatchDay!D20,Track1!$R:$R)+SUMIF(Track1!$N:$N,MatchDay!D20,Track1!$S:$S)</f>
        <v>0</v>
      </c>
      <c r="G20" s="166">
        <f ca="1">SUMIF(Track2!$G:$G,MatchDay!D20,Track2!$R:$R)+SUMIF(Track2!$N:$N,MatchDay!D20,Track2!$S:$S)</f>
        <v>0</v>
      </c>
      <c r="H20" s="166">
        <f ca="1">SUMIF(Relays!$D:$D,MatchDay!D20,Relays!$L:$L)</f>
        <v>0</v>
      </c>
      <c r="I20" s="166">
        <f ca="1">SUMIF(Field!$G:$G,MatchDay!D20,Field!$R:$R)+SUMIF(Field!$N:$N,MatchDay!D20,Field!$S:$S)</f>
        <v>0</v>
      </c>
      <c r="J20" s="166" t="str">
        <f t="shared" ca="1" si="3"/>
        <v/>
      </c>
      <c r="K20" s="156" t="str">
        <f t="shared" ca="1" si="4"/>
        <v/>
      </c>
      <c r="L20" s="159" t="str">
        <f t="shared" ca="1" si="0"/>
        <v/>
      </c>
      <c r="M20" s="160" t="str">
        <f t="shared" si="1"/>
        <v/>
      </c>
      <c r="N20" s="153">
        <f>IFERROR(VLOOKUP(Table1[[#This Row],[Bib]],downloads!$Q$3:$S$11,2,FALSE),0)</f>
        <v>0</v>
      </c>
      <c r="O20" s="153">
        <f>IFERROR(VLOOKUP(Table1[[#This Row],[Bib]],downloads!$Q$3:$S$11,3,FALSE),0)</f>
        <v>0</v>
      </c>
      <c r="P20" s="156">
        <v>8</v>
      </c>
      <c r="Q20" s="156">
        <f t="shared" si="5"/>
        <v>0</v>
      </c>
      <c r="R20" s="156">
        <f ca="1">COUNTIF(Table2[Posn],P20)</f>
        <v>0</v>
      </c>
      <c r="S20" s="153">
        <f>Q20</f>
        <v>0</v>
      </c>
    </row>
    <row r="21" spans="1:29" ht="15" customHeight="1" x14ac:dyDescent="0.25">
      <c r="E21" s="235"/>
    </row>
    <row r="22" spans="1:29" ht="15" customHeight="1" x14ac:dyDescent="0.25">
      <c r="B22" s="162" t="s">
        <v>177</v>
      </c>
      <c r="C22" s="163" t="s">
        <v>95</v>
      </c>
      <c r="D22" s="364" t="s">
        <v>200</v>
      </c>
      <c r="E22" s="364" t="s">
        <v>370</v>
      </c>
      <c r="F22" s="377" t="s">
        <v>692</v>
      </c>
      <c r="G22" s="377" t="s">
        <v>371</v>
      </c>
      <c r="H22" s="364" t="s">
        <v>691</v>
      </c>
      <c r="I22" s="364" t="s">
        <v>372</v>
      </c>
      <c r="J22" s="365" t="s">
        <v>575</v>
      </c>
    </row>
    <row r="23" spans="1:29" ht="15" customHeight="1" x14ac:dyDescent="0.25">
      <c r="A23" s="156">
        <v>1</v>
      </c>
      <c r="B23" s="156">
        <f ca="1">IFERROR(VLOOKUP(A23,$A$13:$M$20,11,FALSE),"")</f>
        <v>1</v>
      </c>
      <c r="C23" s="238" t="str">
        <f ca="1">IFERROR(IF($D$35=58,VLOOKUP(A23,downloads!$Z$3:$AD$10,2,FALSE),VLOOKUP($A23,$A$13:$M$20,3,FALSE)),"")</f>
        <v>Crewe &amp; Nantwich AC</v>
      </c>
      <c r="D23" s="366">
        <f t="shared" ref="D23:D30" ca="1" si="6">IFERROR(VLOOKUP($A23,$A$13:$M$20,10,FALSE),0)</f>
        <v>547</v>
      </c>
      <c r="E23" s="367">
        <f ca="1">IFERROR(VLOOKUP(Table2[[#This Row],[Posn]],$P$13:$S$20,4,FALSE),0)</f>
        <v>7</v>
      </c>
      <c r="F23" s="368">
        <f ca="1">IFERROR(VLOOKUP(Table2[[#This Row],[Team Name]],downloads!$T$2:$AF$9,13,FALSE),0)</f>
        <v>0</v>
      </c>
      <c r="G23" s="368">
        <f ca="1">IFERROR(VLOOKUP(Table2[[#This Row],[Team Name]],downloads!$T$2:$AF$9,12,FALSE),0)</f>
        <v>0</v>
      </c>
      <c r="H23" s="367">
        <f ca="1">Table2[[#This Row],[Points]]+Table2[[#This Row],[B/fwd M]]</f>
        <v>547</v>
      </c>
      <c r="I23" s="367">
        <f ca="1">Table2[[#This Row],[League]]+Table2[[#This Row],[B/fwd L]]</f>
        <v>7</v>
      </c>
      <c r="J23" s="232">
        <f ca="1">IF(Table2[[#This Row],[Posn]]="","",IF(RANK(M23,$M$23:$M$30,0)&gt;$U$2,"",RANK(M23,$M$23:$M$30,0)))</f>
        <v>2</v>
      </c>
      <c r="M23" s="153">
        <f ca="1">Table2[[#This Row],[Total L]]+(Table2[[#This Row],[Total Pts]]/100000)</f>
        <v>7.0054699999999999</v>
      </c>
    </row>
    <row r="24" spans="1:29" ht="15" customHeight="1" x14ac:dyDescent="0.25">
      <c r="A24" s="156">
        <v>2</v>
      </c>
      <c r="B24" s="156">
        <f t="shared" ref="B24:B30" ca="1" si="7">IFERROR(VLOOKUP(A24,$A$13:$M$20,11,FALSE),"")</f>
        <v>2</v>
      </c>
      <c r="C24" s="153" t="str">
        <f ca="1">IFERROR(IF($D$35=58,VLOOKUP(A24,downloads!$Z$3:$AD$10,2,FALSE),VLOOKUP($A24,$A$13:$M$20,3,FALSE)),"")</f>
        <v>Leigh Harriers &amp; AC</v>
      </c>
      <c r="D24" s="366">
        <f t="shared" ca="1" si="6"/>
        <v>525</v>
      </c>
      <c r="E24" s="367">
        <f ca="1">IFERROR(VLOOKUP(Table2[[#This Row],[Posn]],$P$13:$S$20,4,FALSE),0)</f>
        <v>6</v>
      </c>
      <c r="F24" s="368">
        <f ca="1">IFERROR(VLOOKUP(Table2[[#This Row],[Team Name]],downloads!$T$2:$AF$9,13,FALSE),0)</f>
        <v>0</v>
      </c>
      <c r="G24" s="368">
        <f ca="1">IFERROR(VLOOKUP(Table2[[#This Row],[Team Name]],downloads!$T$2:$AF$9,12,FALSE),0)</f>
        <v>0</v>
      </c>
      <c r="H24" s="367">
        <f ca="1">Table2[[#This Row],[Points]]+Table2[[#This Row],[B/fwd M]]</f>
        <v>525</v>
      </c>
      <c r="I24" s="367">
        <f ca="1">Table2[[#This Row],[League]]+Table2[[#This Row],[B/fwd L]]</f>
        <v>6</v>
      </c>
      <c r="J24" s="232">
        <f ca="1">IF(Table2[[#This Row],[Posn]]="","",IF(RANK(M24,$M$23:$M$30,0)&gt;$U$2,"",RANK(M24,$M$23:$M$30,0)))</f>
        <v>3</v>
      </c>
      <c r="M24" s="153">
        <f ca="1">Table2[[#This Row],[Total L]]+(Table2[[#This Row],[Total Pts]]/100000)</f>
        <v>6.0052500000000002</v>
      </c>
    </row>
    <row r="25" spans="1:29" ht="15" customHeight="1" x14ac:dyDescent="0.25">
      <c r="A25" s="156">
        <v>3</v>
      </c>
      <c r="B25" s="156">
        <f t="shared" ca="1" si="7"/>
        <v>3</v>
      </c>
      <c r="C25" s="153" t="str">
        <f ca="1">IFERROR(IF($D$35=58,VLOOKUP(A25,downloads!$Z$3:$AD$10,2,FALSE),VLOOKUP($A25,$A$13:$M$20,3,FALSE)),"")</f>
        <v>East Cheshire H &amp; Tameside AC</v>
      </c>
      <c r="D25" s="366">
        <f t="shared" ca="1" si="6"/>
        <v>454.5</v>
      </c>
      <c r="E25" s="367">
        <f ca="1">IFERROR(VLOOKUP(Table2[[#This Row],[Posn]],$P$13:$S$20,4,FALSE),0)</f>
        <v>5</v>
      </c>
      <c r="F25" s="368">
        <f ca="1">IFERROR(VLOOKUP(Table2[[#This Row],[Team Name]],downloads!$T$2:$AF$9,13,FALSE),0)</f>
        <v>1108</v>
      </c>
      <c r="G25" s="368">
        <f ca="1">IFERROR(VLOOKUP(Table2[[#This Row],[Team Name]],downloads!$T$2:$AF$9,12,FALSE),0)</f>
        <v>14</v>
      </c>
      <c r="H25" s="367">
        <f ca="1">Table2[[#This Row],[Points]]+Table2[[#This Row],[B/fwd M]]</f>
        <v>1562.5</v>
      </c>
      <c r="I25" s="367">
        <f ca="1">Table2[[#This Row],[League]]+Table2[[#This Row],[B/fwd L]]</f>
        <v>19</v>
      </c>
      <c r="J25" s="232">
        <f ca="1">IF(Table2[[#This Row],[Posn]]="","",IF(RANK(M25,$M$23:$M$30,0)&gt;$U$2,"",RANK(M25,$M$23:$M$30,0)))</f>
        <v>1</v>
      </c>
      <c r="M25" s="153">
        <f ca="1">Table2[[#This Row],[Total L]]+(Table2[[#This Row],[Total Pts]]/100000)</f>
        <v>19.015625</v>
      </c>
    </row>
    <row r="26" spans="1:29" ht="15" customHeight="1" x14ac:dyDescent="0.25">
      <c r="A26" s="156">
        <v>4</v>
      </c>
      <c r="B26" s="156">
        <f t="shared" ca="1" si="7"/>
        <v>4</v>
      </c>
      <c r="C26" s="153" t="str">
        <f ca="1">IFERROR(IF($D$35=58,VLOOKUP(A26,downloads!$Z$3:$AD$10,2,FALSE),VLOOKUP($A26,$A$13:$M$20,3,FALSE)),"")</f>
        <v>Wigan &amp; District H &amp; AC</v>
      </c>
      <c r="D26" s="366">
        <f t="shared" ca="1" si="6"/>
        <v>395</v>
      </c>
      <c r="E26" s="367">
        <f ca="1">IFERROR(VLOOKUP(Table2[[#This Row],[Posn]],$P$13:$S$20,4,FALSE),0)</f>
        <v>4</v>
      </c>
      <c r="F26" s="368">
        <f ca="1">IFERROR(VLOOKUP(Table2[[#This Row],[Team Name]],downloads!$T$2:$AF$9,13,FALSE),0)</f>
        <v>0</v>
      </c>
      <c r="G26" s="368">
        <f ca="1">IFERROR(VLOOKUP(Table2[[#This Row],[Team Name]],downloads!$T$2:$AF$9,12,FALSE),0)</f>
        <v>0</v>
      </c>
      <c r="H26" s="367">
        <f ca="1">Table2[[#This Row],[Points]]+Table2[[#This Row],[B/fwd M]]</f>
        <v>395</v>
      </c>
      <c r="I26" s="367">
        <f ca="1">Table2[[#This Row],[League]]+Table2[[#This Row],[B/fwd L]]</f>
        <v>4</v>
      </c>
      <c r="J26" s="232">
        <f ca="1">IF(Table2[[#This Row],[Posn]]="","",IF(RANK(M26,$M$23:$M$30,0)&gt;$U$2,"",RANK(M26,$M$23:$M$30,0)))</f>
        <v>4</v>
      </c>
      <c r="M26" s="153">
        <f ca="1">Table2[[#This Row],[Total L]]+(Table2[[#This Row],[Total Pts]]/100000)</f>
        <v>4.0039499999999997</v>
      </c>
    </row>
    <row r="27" spans="1:29" ht="15" customHeight="1" x14ac:dyDescent="0.25">
      <c r="A27" s="156">
        <v>5</v>
      </c>
      <c r="B27" s="156">
        <f t="shared" ca="1" si="7"/>
        <v>5</v>
      </c>
      <c r="C27" s="153" t="str">
        <f ca="1">IFERROR(IF($D$35=58,VLOOKUP(A27,downloads!$Z$3:$AD$10,2,FALSE),VLOOKUP($A27,$A$13:$M$20,3,FALSE)),"")</f>
        <v>Macclesfield Harriers &amp; AC</v>
      </c>
      <c r="D27" s="366">
        <f t="shared" ca="1" si="6"/>
        <v>356</v>
      </c>
      <c r="E27" s="367">
        <f ca="1">IFERROR(VLOOKUP(Table2[[#This Row],[Posn]],$P$13:$S$20,4,FALSE),0)</f>
        <v>3</v>
      </c>
      <c r="F27" s="368">
        <f ca="1">IFERROR(VLOOKUP(Table2[[#This Row],[Team Name]],downloads!$T$2:$AF$9,13,FALSE),0)</f>
        <v>0</v>
      </c>
      <c r="G27" s="368">
        <f ca="1">IFERROR(VLOOKUP(Table2[[#This Row],[Team Name]],downloads!$T$2:$AF$9,12,FALSE),0)</f>
        <v>0</v>
      </c>
      <c r="H27" s="367">
        <f ca="1">Table2[[#This Row],[Points]]+Table2[[#This Row],[B/fwd M]]</f>
        <v>356</v>
      </c>
      <c r="I27" s="367">
        <f ca="1">Table2[[#This Row],[League]]+Table2[[#This Row],[B/fwd L]]</f>
        <v>3</v>
      </c>
      <c r="J27" s="232">
        <f ca="1">IF(Table2[[#This Row],[Posn]]="","",IF(RANK(M27,$M$23:$M$30,0)&gt;$U$2,"",RANK(M27,$M$23:$M$30,0)))</f>
        <v>5</v>
      </c>
      <c r="M27" s="153">
        <f ca="1">Table2[[#This Row],[Total L]]+(Table2[[#This Row],[Total Pts]]/100000)</f>
        <v>3.0035599999999998</v>
      </c>
    </row>
    <row r="28" spans="1:29" ht="15" customHeight="1" x14ac:dyDescent="0.25">
      <c r="A28" s="156">
        <v>6</v>
      </c>
      <c r="B28" s="156">
        <f t="shared" ca="1" si="7"/>
        <v>6</v>
      </c>
      <c r="C28" s="153" t="str">
        <f ca="1">IFERROR(IF($D$35=58,VLOOKUP(A28,downloads!$Z$3:$AD$10,2,FALSE),VLOOKUP($A28,$A$13:$M$20,3,FALSE)),"")</f>
        <v>Stockport Harriers &amp; AC</v>
      </c>
      <c r="D28" s="366">
        <f t="shared" ca="1" si="6"/>
        <v>326</v>
      </c>
      <c r="E28" s="367">
        <f ca="1">IFERROR(VLOOKUP(Table2[[#This Row],[Posn]],$P$13:$S$20,4,FALSE),0)</f>
        <v>2</v>
      </c>
      <c r="F28" s="368">
        <f ca="1">IFERROR(VLOOKUP(Table2[[#This Row],[Team Name]],downloads!$T$2:$AF$9,13,FALSE),0)</f>
        <v>0</v>
      </c>
      <c r="G28" s="368">
        <f ca="1">IFERROR(VLOOKUP(Table2[[#This Row],[Team Name]],downloads!$T$2:$AF$9,12,FALSE),0)</f>
        <v>0</v>
      </c>
      <c r="H28" s="367">
        <f ca="1">Table2[[#This Row],[Points]]+Table2[[#This Row],[B/fwd M]]</f>
        <v>326</v>
      </c>
      <c r="I28" s="367">
        <f ca="1">Table2[[#This Row],[League]]+Table2[[#This Row],[B/fwd L]]</f>
        <v>2</v>
      </c>
      <c r="J28" s="232">
        <f ca="1">IF(Table2[[#This Row],[Posn]]="","",IF(RANK(M28,$M$23:$M$30,0)&gt;$U$2,"",RANK(M28,$M$23:$M$30,0)))</f>
        <v>6</v>
      </c>
      <c r="M28" s="153">
        <f ca="1">Table2[[#This Row],[Total L]]+(Table2[[#This Row],[Total Pts]]/100000)</f>
        <v>2.00326</v>
      </c>
    </row>
    <row r="29" spans="1:29" ht="15" customHeight="1" x14ac:dyDescent="0.25">
      <c r="A29" s="156">
        <v>7</v>
      </c>
      <c r="B29" s="156">
        <f t="shared" ca="1" si="7"/>
        <v>7</v>
      </c>
      <c r="C29" s="153" t="str">
        <f ca="1">IFERROR(IF($D$35=58,VLOOKUP(A29,downloads!$Z$3:$AD$10,2,FALSE),VLOOKUP($A29,$A$13:$M$20,3,FALSE)),"")</f>
        <v>Menai Track &amp; Field</v>
      </c>
      <c r="D29" s="366">
        <f t="shared" ca="1" si="6"/>
        <v>256.5</v>
      </c>
      <c r="E29" s="367">
        <f ca="1">IFERROR(VLOOKUP(Table2[[#This Row],[Posn]],$P$13:$S$20,4,FALSE),0)</f>
        <v>1</v>
      </c>
      <c r="F29" s="368">
        <f ca="1">IFERROR(VLOOKUP(Table2[[#This Row],[Team Name]],downloads!$T$2:$AF$9,13,FALSE),0)</f>
        <v>0</v>
      </c>
      <c r="G29" s="368">
        <f ca="1">IFERROR(VLOOKUP(Table2[[#This Row],[Team Name]],downloads!$T$2:$AF$9,12,FALSE),0)</f>
        <v>0</v>
      </c>
      <c r="H29" s="367">
        <f ca="1">Table2[[#This Row],[Points]]+Table2[[#This Row],[B/fwd M]]</f>
        <v>256.5</v>
      </c>
      <c r="I29" s="367">
        <f ca="1">Table2[[#This Row],[League]]+Table2[[#This Row],[B/fwd L]]</f>
        <v>1</v>
      </c>
      <c r="J29" s="232">
        <f ca="1">IF(Table2[[#This Row],[Posn]]="","",IF(RANK(M29,$M$23:$M$30,0)&gt;$U$2,"",RANK(M29,$M$23:$M$30,0)))</f>
        <v>7</v>
      </c>
      <c r="M29" s="153">
        <f ca="1">Table2[[#This Row],[Total L]]+(Table2[[#This Row],[Total Pts]]/100000)</f>
        <v>1.0025649999999999</v>
      </c>
    </row>
    <row r="30" spans="1:29" ht="15" customHeight="1" x14ac:dyDescent="0.25">
      <c r="A30" s="156">
        <v>8</v>
      </c>
      <c r="B30" s="156" t="str">
        <f t="shared" ca="1" si="7"/>
        <v/>
      </c>
      <c r="C30" s="153" t="str">
        <f ca="1">IFERROR(IF($D$35=58,VLOOKUP(A30,downloads!$Z$3:$AD$10,2,FALSE),VLOOKUP($A30,$A$13:$M$20,3,FALSE)),"")</f>
        <v/>
      </c>
      <c r="D30" s="366">
        <f t="shared" ca="1" si="6"/>
        <v>0</v>
      </c>
      <c r="E30" s="367">
        <f ca="1">IFERROR(VLOOKUP(Table2[[#This Row],[Posn]],$P$13:$S$20,4,FALSE),0)</f>
        <v>0</v>
      </c>
      <c r="F30" s="368">
        <f ca="1">IFERROR(VLOOKUP(Table2[[#This Row],[Team Name]],downloads!$T$2:$AF$9,13,FALSE),0)</f>
        <v>0</v>
      </c>
      <c r="G30" s="368">
        <f ca="1">IFERROR(VLOOKUP(Table2[[#This Row],[Team Name]],downloads!$T$2:$AF$9,12,FALSE),0)</f>
        <v>0</v>
      </c>
      <c r="H30" s="367">
        <f ca="1">Table2[[#This Row],[Points]]+Table2[[#This Row],[B/fwd M]]</f>
        <v>0</v>
      </c>
      <c r="I30" s="367">
        <f ca="1">Table2[[#This Row],[League]]+Table2[[#This Row],[B/fwd L]]</f>
        <v>0</v>
      </c>
      <c r="J30" s="232" t="str">
        <f ca="1">IF(Table2[[#This Row],[Posn]]="","",IF(RANK(M30,$M$23:$M$30,0)&gt;$U$2,"",RANK(M30,$M$23:$M$30,0)))</f>
        <v/>
      </c>
      <c r="M30" s="153">
        <f ca="1">Table2[[#This Row],[Total L]]+(Table2[[#This Row],[Total Pts]]/100000)</f>
        <v>0</v>
      </c>
    </row>
    <row r="31" spans="1:29" ht="15" customHeight="1" x14ac:dyDescent="0.25">
      <c r="D31" s="161"/>
    </row>
    <row r="32" spans="1:29" ht="15" customHeight="1" x14ac:dyDescent="0.25">
      <c r="C32" s="153" t="s">
        <v>373</v>
      </c>
      <c r="D32" s="164">
        <v>58</v>
      </c>
    </row>
    <row r="33" spans="3:5" ht="15" customHeight="1" x14ac:dyDescent="0.25">
      <c r="C33" s="223" t="s">
        <v>573</v>
      </c>
      <c r="D33" s="164">
        <f ca="1">Track1!U1+Track2!U1+Relays!N1+Field!U1</f>
        <v>1</v>
      </c>
    </row>
    <row r="34" spans="3:5" ht="15" customHeight="1" x14ac:dyDescent="0.25">
      <c r="C34" s="153" t="s">
        <v>374</v>
      </c>
      <c r="D34" s="164">
        <f ca="1">Track1!T1+Track2!T1+Relays!M1+Field!T1-D33</f>
        <v>57</v>
      </c>
    </row>
    <row r="35" spans="3:5" ht="15" customHeight="1" thickBot="1" x14ac:dyDescent="0.3">
      <c r="C35" s="153" t="s">
        <v>375</v>
      </c>
      <c r="D35" s="165">
        <f ca="1">D32-D33-D34</f>
        <v>0</v>
      </c>
    </row>
    <row r="36" spans="3:5" ht="15" customHeight="1" thickTop="1" x14ac:dyDescent="0.25"/>
    <row r="37" spans="3:5" ht="15" customHeight="1" x14ac:dyDescent="0.25">
      <c r="C37" s="170"/>
    </row>
    <row r="38" spans="3:5" ht="15" customHeight="1" x14ac:dyDescent="0.25">
      <c r="E38" s="239"/>
    </row>
    <row r="39" spans="3:5" ht="15" customHeight="1" x14ac:dyDescent="0.25">
      <c r="C39" s="238"/>
    </row>
    <row r="40" spans="3:5" ht="15" customHeight="1" x14ac:dyDescent="0.25">
      <c r="C40" s="170"/>
    </row>
    <row r="42" spans="3:5" ht="15" customHeight="1" x14ac:dyDescent="0.25">
      <c r="C42" s="238"/>
    </row>
    <row r="43" spans="3:5" ht="51" customHeight="1" x14ac:dyDescent="0.25">
      <c r="C43" s="170"/>
    </row>
  </sheetData>
  <sheetProtection algorithmName="SHA-512" hashValue="bKQ12CIpRYF/KMEmVUCog0mwE2RoPY1KBRfyqO9B8Ae431wnPusEDqGKcWbXBIeNdNGSFeW2riVedbfErvXLcA==" saltValue="TnkXM274cNZzv/oAvxxsFQ==" spinCount="100000" sheet="1" objects="1" scenarios="1" formatCells="0" formatColumns="0" formatRows="0" sort="0" autoFilter="0"/>
  <mergeCells count="1">
    <mergeCell ref="D2:D5"/>
  </mergeCells>
  <dataValidations count="5">
    <dataValidation type="list" allowBlank="1" showInputMessage="1" showErrorMessage="1" sqref="C4" xr:uid="{00000000-0002-0000-0200-000000000000}">
      <formula1>INDIRECT($Y$2)</formula1>
    </dataValidation>
    <dataValidation type="list" allowBlank="1" showInputMessage="1" showErrorMessage="1" sqref="C3" xr:uid="{00000000-0002-0000-0200-000001000000}">
      <formula1>$N$3:$N$7</formula1>
    </dataValidation>
    <dataValidation type="list" allowBlank="1" showInputMessage="1" showErrorMessage="1" sqref="C5" xr:uid="{00000000-0002-0000-0200-000002000000}">
      <formula1>$O$3:$O$6</formula1>
    </dataValidation>
    <dataValidation type="list" allowBlank="1" showInputMessage="1" showErrorMessage="1" sqref="C6" xr:uid="{00000000-0002-0000-0200-000003000000}">
      <formula1>$S$8:$S$9</formula1>
    </dataValidation>
    <dataValidation type="list" allowBlank="1" showInputMessage="1" showErrorMessage="1" sqref="D6" xr:uid="{00000000-0002-0000-0200-000004000000}">
      <formula1>$P$3:$P$4</formula1>
    </dataValidation>
  </dataValidations>
  <printOptions horizontalCentered="1"/>
  <pageMargins left="0.31496062992125984" right="0.31496062992125984" top="1.1417322834645669" bottom="0.74803149606299213" header="0.31496062992125984" footer="0.31496062992125984"/>
  <pageSetup paperSize="9" scale="87" orientation="portrait" r:id="rId1"/>
  <headerFooter>
    <oddHeader>&amp;L&amp;G&amp;C&amp;"+,Regular"&amp;12UK ATHLETICS :: YOUTH DEVELOPMENT LEAGUE 2023</oddHeader>
    <oddFooter>&amp;L&amp;9&amp;D &amp;T&amp;C&amp;G&amp;R&amp;9&amp;A
Page &amp;P of &amp;N</oddFooter>
  </headerFooter>
  <drawing r:id="rId2"/>
  <legacyDrawingHF r:id="rId3"/>
  <tableParts count="2">
    <tablePart r:id="rId4"/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7">
    <tabColor rgb="FFFFFF00"/>
  </sheetPr>
  <dimension ref="A1:AB352"/>
  <sheetViews>
    <sheetView showZeros="0" zoomScaleNormal="100" workbookViewId="0">
      <pane ySplit="1" topLeftCell="A2" activePane="bottomLeft" state="frozen"/>
      <selection activeCell="F7" sqref="F7"/>
      <selection pane="bottomLeft" activeCell="M114" sqref="M114"/>
    </sheetView>
  </sheetViews>
  <sheetFormatPr defaultColWidth="8.7109375" defaultRowHeight="15" x14ac:dyDescent="0.35"/>
  <cols>
    <col min="1" max="1" width="8.7109375" style="66" customWidth="1"/>
    <col min="2" max="3" width="3.7109375" style="66" customWidth="1"/>
    <col min="4" max="4" width="20.7109375" style="85" customWidth="1"/>
    <col min="5" max="5" width="7.7109375" style="85" customWidth="1"/>
    <col min="6" max="6" width="7.42578125" style="65" bestFit="1" customWidth="1"/>
    <col min="7" max="7" width="4" style="108" customWidth="1"/>
    <col min="8" max="8" width="1.7109375" style="64" customWidth="1"/>
    <col min="9" max="10" width="3.7109375" style="66" customWidth="1"/>
    <col min="11" max="11" width="20.7109375" style="64" customWidth="1"/>
    <col min="12" max="12" width="7.7109375" style="85" customWidth="1"/>
    <col min="13" max="13" width="7.42578125" style="67" bestFit="1" customWidth="1"/>
    <col min="14" max="14" width="4" style="108" customWidth="1"/>
    <col min="15" max="17" width="8.7109375" style="64"/>
    <col min="18" max="18" width="8.7109375" style="64" customWidth="1"/>
    <col min="19" max="19" width="8.7109375" style="64"/>
    <col min="20" max="21" width="0" style="64" hidden="1" customWidth="1"/>
    <col min="22" max="23" width="0" style="266" hidden="1" customWidth="1"/>
    <col min="24" max="28" width="8.7109375" style="266"/>
    <col min="29" max="16384" width="8.7109375" style="64"/>
  </cols>
  <sheetData>
    <row r="1" spans="1:26" ht="45" customHeight="1" x14ac:dyDescent="0.35">
      <c r="A1" s="150" t="s">
        <v>540</v>
      </c>
      <c r="B1" s="170" t="str">
        <f>Dashboard!E1</f>
        <v>LOWER NORTH West 2 Macclesfield Leisure Centre</v>
      </c>
      <c r="D1" s="193"/>
      <c r="G1" s="147"/>
      <c r="I1" s="64"/>
      <c r="J1" s="64"/>
      <c r="K1" s="151"/>
      <c r="L1" s="453">
        <f>Dashboard!E2</f>
        <v>45053</v>
      </c>
      <c r="M1" s="454"/>
      <c r="N1" s="149"/>
      <c r="P1" s="79"/>
      <c r="Q1" s="70"/>
      <c r="R1" s="79">
        <f ca="1">SUM(R2:R300)</f>
        <v>132</v>
      </c>
    </row>
    <row r="2" spans="1:26" x14ac:dyDescent="0.35">
      <c r="A2" s="66" t="s">
        <v>44</v>
      </c>
      <c r="B2" s="102" t="str">
        <f ca="1">IFERROR(INDIRECT(CONCATENATE("Track1!D",A3)),"")</f>
        <v>100m U15 Boys A</v>
      </c>
      <c r="E2" s="85" t="s">
        <v>206</v>
      </c>
      <c r="F2" s="195">
        <f ca="1">IFERROR(INDIRECT(CONCATENATE("Track1!h",A3)),"")</f>
        <v>0</v>
      </c>
      <c r="G2" s="108" t="str">
        <f ca="1">IFERROR(INDIRECT(CONCATENATE("Track1!i",A3)),"")</f>
        <v/>
      </c>
      <c r="I2" s="102" t="str">
        <f ca="1">IFERROR(INDIRECT(CONCATENATE("Track1!k",A3)),"")</f>
        <v>100m U15 Boys B</v>
      </c>
      <c r="L2" s="85" t="s">
        <v>206</v>
      </c>
      <c r="M2" s="195">
        <f ca="1">IFERROR(INDIRECT(CONCATENATE("Track1!o",A3)),"")</f>
        <v>0</v>
      </c>
    </row>
    <row r="3" spans="1:26" x14ac:dyDescent="0.35">
      <c r="A3" s="66">
        <f>IFERROR(MATCH(A2,Track1!C:C,0),"")</f>
        <v>123</v>
      </c>
      <c r="B3" s="45" t="str">
        <f ca="1">IFERROR(INDIRECT(CONCATENATE("Track1!D",A3+1)),"")</f>
        <v>Posn</v>
      </c>
      <c r="C3" s="45" t="str">
        <f ca="1">IFERROR(INDIRECT(CONCATENATE("Track1!e",A3+1)),"")</f>
        <v>No.</v>
      </c>
      <c r="D3" s="139" t="str">
        <f ca="1">IFERROR(INDIRECT(CONCATENATE("Track1!f",A3+1)),"")</f>
        <v>Athlete</v>
      </c>
      <c r="E3" s="139" t="str">
        <f ca="1">IFERROR(INDIRECT(CONCATENATE("Track1!g",A3+1)),"")</f>
        <v>Club</v>
      </c>
      <c r="F3" s="133" t="str">
        <f ca="1">IFERROR(INDIRECT(CONCATENATE("Track1!h",A3+1)),"")</f>
        <v>Perf</v>
      </c>
      <c r="G3" s="167" t="str">
        <f ca="1">IFERROR(INDIRECT(CONCATENATE("Track1!i",A3+1)),"")</f>
        <v>EA</v>
      </c>
      <c r="H3" s="45"/>
      <c r="I3" s="45" t="str">
        <f ca="1">IFERROR(INDIRECT(CONCATENATE("Track1!k",A3+1)),"")</f>
        <v>Posn</v>
      </c>
      <c r="J3" s="45" t="str">
        <f ca="1">IFERROR(INDIRECT(CONCATENATE("Track1!l",A3+1)),"")</f>
        <v>No.</v>
      </c>
      <c r="K3" s="139" t="str">
        <f ca="1">IFERROR(INDIRECT(CONCATENATE("Track1!m",A3+1)),"")</f>
        <v>Athlete</v>
      </c>
      <c r="L3" s="139" t="str">
        <f ca="1">IFERROR(INDIRECT(CONCATENATE("Track1!n",A3+1)),"")</f>
        <v>Club</v>
      </c>
      <c r="M3" s="133" t="str">
        <f ca="1">IFERROR(INDIRECT(CONCATENATE("Track1!o",A3+1)),"")</f>
        <v>Perf</v>
      </c>
      <c r="N3" s="167" t="str">
        <f ca="1">IFERROR(INDIRECT(CONCATENATE("Track1!p",A3+1)),"")</f>
        <v>EA</v>
      </c>
      <c r="O3" s="67"/>
    </row>
    <row r="4" spans="1:26" x14ac:dyDescent="0.35">
      <c r="B4" s="66">
        <f ca="1">IFERROR(INDIRECT(CONCATENATE("Track1!D",A3+2)),"")</f>
        <v>1</v>
      </c>
      <c r="C4" s="66">
        <f ca="1">IFERROR(INDIRECT(CONCATENATE("Track1!e",A3+2)),"")</f>
        <v>2</v>
      </c>
      <c r="D4" s="85" t="str">
        <f ca="1">IFERROR(INDIRECT(CONCATENATE("Track1!f",A3+2)),"")</f>
        <v>Max ORMSTON</v>
      </c>
      <c r="E4" s="85" t="str">
        <f ca="1">IFERROR(INDIRECT(CONCATENATE("Track1!g",A3+2)),"")</f>
        <v>ECHT</v>
      </c>
      <c r="F4" s="395">
        <f ca="1">IFERROR(INDIRECT(CONCATENATE("Track1!h",A3+2)),"")</f>
        <v>12.2</v>
      </c>
      <c r="G4" s="108">
        <f ca="1">IFERROR(INDIRECT(CONCATENATE("Track1!i",A3+2)),"")</f>
        <v>7</v>
      </c>
      <c r="H4" s="66"/>
      <c r="I4" s="66">
        <f ca="1">IFERROR(INDIRECT(CONCATENATE("Track1!k",A3+2)),"")</f>
        <v>1</v>
      </c>
      <c r="J4" s="66">
        <f ca="1">IFERROR(INDIRECT(CONCATENATE("Track1!l",A3+2)),"")</f>
        <v>22</v>
      </c>
      <c r="K4" s="85" t="str">
        <f ca="1">IFERROR(INDIRECT(CONCATENATE("Track1!m",A3+2)),"")</f>
        <v>James ROOK</v>
      </c>
      <c r="L4" s="85" t="str">
        <f ca="1">IFERROR(INDIRECT(CONCATENATE("Track1!n",A3+2)),"")</f>
        <v>ECHT</v>
      </c>
      <c r="M4" s="395">
        <f ca="1">IFERROR(INDIRECT(CONCATENATE("Track1!o",A3+2)),"")</f>
        <v>13.5</v>
      </c>
      <c r="N4" s="108">
        <f ca="1">IFERROR(INDIRECT(CONCATENATE("Track1!p",A3+2)),"")</f>
        <v>3</v>
      </c>
      <c r="R4" s="168">
        <f ca="1">IFERROR(INDIRECT(CONCATENATE("Track1!r",A3+2)),"")</f>
        <v>10</v>
      </c>
      <c r="T4" s="64">
        <f ca="1">IF(OR(D4=0,D4="",D4="Athlete"),"",COUNTIF($D$4:$D$352,D4))</f>
        <v>3</v>
      </c>
      <c r="U4" s="64">
        <f ca="1">IF(OR(K4=0,K4="",K4="Athlete"),"",COUNTIF($D$4:$D$352,K4))</f>
        <v>2</v>
      </c>
      <c r="V4" s="266">
        <f ca="1">IF(OR(D4=0,D4="",D4="Athlete"),"",COUNTIF($D$4:$D4,D4))</f>
        <v>1</v>
      </c>
      <c r="W4" s="266" t="str">
        <f ca="1">IF(OR(D4=0,D4="",D4="Athlete"),"",E4)</f>
        <v>ECHT</v>
      </c>
      <c r="Z4" s="266">
        <f ca="1">IF(OR(G4=0,G4="",G4="Athlete"),"",H4)</f>
        <v>0</v>
      </c>
    </row>
    <row r="5" spans="1:26" x14ac:dyDescent="0.35">
      <c r="B5" s="66">
        <f ca="1">IFERROR(INDIRECT(CONCATENATE("Track1!D",A3+3)),"")</f>
        <v>2</v>
      </c>
      <c r="C5" s="66">
        <f ca="1">IFERROR(INDIRECT(CONCATENATE("Track1!e",A3+3)),"")</f>
        <v>1</v>
      </c>
      <c r="D5" s="85" t="str">
        <f ca="1">IFERROR(INDIRECT(CONCATENATE("Track1!f",A3+3)),"")</f>
        <v>James HOWARTH</v>
      </c>
      <c r="E5" s="85" t="str">
        <f ca="1">IFERROR(INDIRECT(CONCATENATE("Track1!g",A3+3)),"")</f>
        <v>C&amp;N</v>
      </c>
      <c r="F5" s="395">
        <f ca="1">IFERROR(INDIRECT(CONCATENATE("Track1!h",A3+3)),"")</f>
        <v>12.4</v>
      </c>
      <c r="G5" s="108">
        <f ca="1">IFERROR(INDIRECT(CONCATENATE("Track1!i",A3+3)),"")</f>
        <v>7</v>
      </c>
      <c r="H5" s="66"/>
      <c r="I5" s="66">
        <f ca="1">IFERROR(INDIRECT(CONCATENATE("Track1!k",A3+3)),"")</f>
        <v>2</v>
      </c>
      <c r="J5" s="66">
        <f ca="1">IFERROR(INDIRECT(CONCATENATE("Track1!l",A3+3)),"")</f>
        <v>44</v>
      </c>
      <c r="K5" s="85" t="str">
        <f ca="1">IFERROR(INDIRECT(CONCATENATE("Track1!m",A3+3)),"")</f>
        <v>Will HAMMOND</v>
      </c>
      <c r="L5" s="85" t="str">
        <f ca="1">IFERROR(INDIRECT(CONCATENATE("Track1!n",A3+3)),"")</f>
        <v>Macc</v>
      </c>
      <c r="M5" s="395">
        <f ca="1">IFERROR(INDIRECT(CONCATENATE("Track1!o",A3+3)),"")</f>
        <v>14</v>
      </c>
      <c r="N5" s="108">
        <f ca="1">IFERROR(INDIRECT(CONCATENATE("Track1!p",A3+3)),"")</f>
        <v>2</v>
      </c>
      <c r="T5" s="64">
        <f t="shared" ref="T5:T68" ca="1" si="0">IF(OR(D5=0,D5="",D5="Athlete"),"",COUNTIF($D$4:$D$352,D5))</f>
        <v>2</v>
      </c>
      <c r="U5" s="64">
        <f t="shared" ref="U5:U68" ca="1" si="1">IF(OR(K5=0,K5="",K5="Athlete"),"",COUNTIF($D$4:$D$352,K5))</f>
        <v>3</v>
      </c>
      <c r="V5" s="266">
        <f ca="1">IF(OR(D5=0,D5="",D5="Athlete"),"",COUNTIF($D$4:$D5,D5))</f>
        <v>1</v>
      </c>
      <c r="W5" s="266" t="str">
        <f t="shared" ref="W5:W68" ca="1" si="2">IF(OR(D5=0,D5="",D5="Athlete"),"",E5)</f>
        <v>C&amp;N</v>
      </c>
      <c r="Z5" s="266">
        <f t="shared" ref="Z5:Z68" ca="1" si="3">IF(OR(G5=0,G5="",G5="Athlete"),"",H5)</f>
        <v>0</v>
      </c>
    </row>
    <row r="6" spans="1:26" x14ac:dyDescent="0.35">
      <c r="B6" s="66">
        <f ca="1">IFERROR(INDIRECT(CONCATENATE("Track1!D",A3+4)),"")</f>
        <v>3</v>
      </c>
      <c r="C6" s="66">
        <f ca="1">IFERROR(INDIRECT(CONCATENATE("Track1!e",A3+4)),"")</f>
        <v>7</v>
      </c>
      <c r="D6" s="85" t="str">
        <f ca="1">IFERROR(INDIRECT(CONCATENATE("Track1!f",A3+4)),"")</f>
        <v>Matthew HAYTON</v>
      </c>
      <c r="E6" s="85" t="str">
        <f ca="1">IFERROR(INDIRECT(CONCATENATE("Track1!g",A3+4)),"")</f>
        <v>Wigan</v>
      </c>
      <c r="F6" s="395">
        <f ca="1">IFERROR(INDIRECT(CONCATENATE("Track1!h",A3+4)),"")</f>
        <v>12.5</v>
      </c>
      <c r="G6" s="108">
        <f ca="1">IFERROR(INDIRECT(CONCATENATE("Track1!i",A3+4)),"")</f>
        <v>6</v>
      </c>
      <c r="H6" s="66"/>
      <c r="I6" s="66">
        <f ca="1">IFERROR(INDIRECT(CONCATENATE("Track1!k",A3+4)),"")</f>
        <v>3</v>
      </c>
      <c r="J6" s="66">
        <f ca="1">IFERROR(INDIRECT(CONCATENATE("Track1!l",A3+4)),"")</f>
        <v>77</v>
      </c>
      <c r="K6" s="85" t="str">
        <f ca="1">IFERROR(INDIRECT(CONCATENATE("Track1!m",A3+4)),"")</f>
        <v>Joshua BOURNE</v>
      </c>
      <c r="L6" s="85" t="str">
        <f ca="1">IFERROR(INDIRECT(CONCATENATE("Track1!n",A3+4)),"")</f>
        <v>Wigan</v>
      </c>
      <c r="M6" s="395">
        <f ca="1">IFERROR(INDIRECT(CONCATENATE("Track1!o",A3+4)),"")</f>
        <v>14.2</v>
      </c>
      <c r="N6" s="108">
        <f ca="1">IFERROR(INDIRECT(CONCATENATE("Track1!p",A3+4)),"")</f>
        <v>1</v>
      </c>
      <c r="T6" s="64">
        <f t="shared" ca="1" si="0"/>
        <v>3</v>
      </c>
      <c r="U6" s="64">
        <f t="shared" ca="1" si="1"/>
        <v>3</v>
      </c>
      <c r="V6" s="266">
        <f ca="1">IF(OR(D6=0,D6="",D6="Athlete"),"",COUNTIF($D$4:$D6,D6))</f>
        <v>1</v>
      </c>
      <c r="W6" s="266" t="str">
        <f t="shared" ca="1" si="2"/>
        <v>Wigan</v>
      </c>
      <c r="Z6" s="266">
        <f t="shared" ca="1" si="3"/>
        <v>0</v>
      </c>
    </row>
    <row r="7" spans="1:26" x14ac:dyDescent="0.35">
      <c r="B7" s="66">
        <f ca="1">IFERROR(INDIRECT(CONCATENATE("Track1!D",A3+5)),"")</f>
        <v>4</v>
      </c>
      <c r="C7" s="66">
        <f ca="1">IFERROR(INDIRECT(CONCATENATE("Track1!e",A3+5)),"")</f>
        <v>6</v>
      </c>
      <c r="D7" s="85" t="str">
        <f ca="1">IFERROR(INDIRECT(CONCATENATE("Track1!f",A3+5)),"")</f>
        <v>Quaid SIN</v>
      </c>
      <c r="E7" s="85" t="str">
        <f ca="1">IFERROR(INDIRECT(CONCATENATE("Track1!g",A3+5)),"")</f>
        <v>Stock</v>
      </c>
      <c r="F7" s="395">
        <f ca="1">IFERROR(INDIRECT(CONCATENATE("Track1!h",A3+5)),"")</f>
        <v>12.7</v>
      </c>
      <c r="G7" s="108">
        <f ca="1">IFERROR(INDIRECT(CONCATENATE("Track1!i",A3+5)),"")</f>
        <v>5</v>
      </c>
      <c r="H7" s="66"/>
      <c r="I7" s="66">
        <f ca="1">IFERROR(INDIRECT(CONCATENATE("Track1!k",A3+5)),"")</f>
        <v>4</v>
      </c>
      <c r="J7" s="66">
        <f ca="1">IFERROR(INDIRECT(CONCATENATE("Track1!l",A3+5)),"")</f>
        <v>66</v>
      </c>
      <c r="K7" s="85" t="str">
        <f ca="1">IFERROR(INDIRECT(CONCATENATE("Track1!m",A3+5)),"")</f>
        <v>Luc BRADBURY</v>
      </c>
      <c r="L7" s="85" t="str">
        <f ca="1">IFERROR(INDIRECT(CONCATENATE("Track1!n",A3+5)),"")</f>
        <v>Stock</v>
      </c>
      <c r="M7" s="395">
        <f ca="1">IFERROR(INDIRECT(CONCATENATE("Track1!o",A3+5)),"")</f>
        <v>14.4</v>
      </c>
      <c r="N7" s="108" t="str">
        <f ca="1">IFERROR(INDIRECT(CONCATENATE("Track1!p",A3+5)),"")</f>
        <v/>
      </c>
      <c r="T7" s="64">
        <f t="shared" ca="1" si="0"/>
        <v>3</v>
      </c>
      <c r="U7" s="64">
        <f t="shared" ca="1" si="1"/>
        <v>2</v>
      </c>
      <c r="V7" s="266">
        <f ca="1">IF(OR(D7=0,D7="",D7="Athlete"),"",COUNTIF($D$4:$D7,D7))</f>
        <v>1</v>
      </c>
      <c r="W7" s="266" t="str">
        <f t="shared" ca="1" si="2"/>
        <v>Stock</v>
      </c>
      <c r="Z7" s="266">
        <f t="shared" ca="1" si="3"/>
        <v>0</v>
      </c>
    </row>
    <row r="8" spans="1:26" x14ac:dyDescent="0.35">
      <c r="B8" s="66">
        <f ca="1">IFERROR(INDIRECT(CONCATENATE("Track1!D",A3+6)),"")</f>
        <v>5</v>
      </c>
      <c r="C8" s="66">
        <f ca="1">IFERROR(INDIRECT(CONCATENATE("Track1!e",A3+6)),"")</f>
        <v>4</v>
      </c>
      <c r="D8" s="85" t="str">
        <f ca="1">IFERROR(INDIRECT(CONCATENATE("Track1!f",A3+6)),"")</f>
        <v>Tristan LAMPRECHT</v>
      </c>
      <c r="E8" s="85" t="str">
        <f ca="1">IFERROR(INDIRECT(CONCATENATE("Track1!g",A3+6)),"")</f>
        <v>Macc</v>
      </c>
      <c r="F8" s="395">
        <f ca="1">IFERROR(INDIRECT(CONCATENATE("Track1!h",A3+6)),"")</f>
        <v>13.1</v>
      </c>
      <c r="G8" s="108">
        <f ca="1">IFERROR(INDIRECT(CONCATENATE("Track1!i",A3+6)),"")</f>
        <v>4</v>
      </c>
      <c r="H8" s="66"/>
      <c r="I8" s="66">
        <f ca="1">IFERROR(INDIRECT(CONCATENATE("Track1!k",A3+6)),"")</f>
        <v>5</v>
      </c>
      <c r="J8" s="66">
        <f ca="1">IFERROR(INDIRECT(CONCATENATE("Track1!l",A3+6)),"")</f>
        <v>11</v>
      </c>
      <c r="K8" s="85" t="str">
        <f ca="1">IFERROR(INDIRECT(CONCATENATE("Track1!m",A3+6)),"")</f>
        <v>Lucas BEECH</v>
      </c>
      <c r="L8" s="85" t="str">
        <f ca="1">IFERROR(INDIRECT(CONCATENATE("Track1!n",A3+6)),"")</f>
        <v>C&amp;N</v>
      </c>
      <c r="M8" s="395">
        <f ca="1">IFERROR(INDIRECT(CONCATENATE("Track1!o",A3+6)),"")</f>
        <v>14.6</v>
      </c>
      <c r="N8" s="108" t="str">
        <f ca="1">IFERROR(INDIRECT(CONCATENATE("Track1!p",A3+6)),"")</f>
        <v/>
      </c>
      <c r="T8" s="64">
        <f t="shared" ca="1" si="0"/>
        <v>3</v>
      </c>
      <c r="U8" s="64">
        <f t="shared" ca="1" si="1"/>
        <v>3</v>
      </c>
      <c r="V8" s="266">
        <f ca="1">IF(OR(D8=0,D8="",D8="Athlete"),"",COUNTIF($D$4:$D8,D8))</f>
        <v>1</v>
      </c>
      <c r="W8" s="266" t="str">
        <f t="shared" ca="1" si="2"/>
        <v>Macc</v>
      </c>
      <c r="Z8" s="266">
        <f t="shared" ca="1" si="3"/>
        <v>0</v>
      </c>
    </row>
    <row r="9" spans="1:26" x14ac:dyDescent="0.35">
      <c r="B9" s="66">
        <f ca="1">IFERROR(INDIRECT(CONCATENATE("Track1!D",A3+7)),"")</f>
        <v>6</v>
      </c>
      <c r="C9" s="66">
        <f ca="1">IFERROR(INDIRECT(CONCATENATE("Track1!e",A3+7)),"")</f>
        <v>5</v>
      </c>
      <c r="D9" s="85" t="str">
        <f ca="1">IFERROR(INDIRECT(CONCATENATE("Track1!f",A3+7)),"")</f>
        <v>Morgan JONES</v>
      </c>
      <c r="E9" s="85" t="str">
        <f ca="1">IFERROR(INDIRECT(CONCATENATE("Track1!g",A3+7)),"")</f>
        <v>Menai</v>
      </c>
      <c r="F9" s="395">
        <f ca="1">IFERROR(INDIRECT(CONCATENATE("Track1!h",A3+7)),"")</f>
        <v>13.3</v>
      </c>
      <c r="G9" s="108">
        <f ca="1">IFERROR(INDIRECT(CONCATENATE("Track1!i",A3+7)),"")</f>
        <v>4</v>
      </c>
      <c r="H9" s="66"/>
      <c r="I9" s="66">
        <f ca="1">IFERROR(INDIRECT(CONCATENATE("Track1!k",A3+7)),"")</f>
        <v>6</v>
      </c>
      <c r="J9" s="66">
        <f ca="1">IFERROR(INDIRECT(CONCATENATE("Track1!l",A3+7)),"")</f>
        <v>0</v>
      </c>
      <c r="K9" s="85" t="str">
        <f ca="1">IFERROR(INDIRECT(CONCATENATE("Track1!m",A3+7)),"")</f>
        <v/>
      </c>
      <c r="L9" s="85" t="str">
        <f ca="1">IFERROR(INDIRECT(CONCATENATE("Track1!n",A3+7)),"")</f>
        <v/>
      </c>
      <c r="M9" s="395">
        <f ca="1">IFERROR(INDIRECT(CONCATENATE("Track1!o",A3+7)),"")</f>
        <v>0</v>
      </c>
      <c r="N9" s="108" t="str">
        <f ca="1">IFERROR(INDIRECT(CONCATENATE("Track1!p",A3+7)),"")</f>
        <v/>
      </c>
      <c r="T9" s="64">
        <f t="shared" ca="1" si="0"/>
        <v>3</v>
      </c>
      <c r="U9" s="64" t="str">
        <f t="shared" ca="1" si="1"/>
        <v/>
      </c>
      <c r="V9" s="266">
        <f ca="1">IF(OR(D9=0,D9="",D9="Athlete"),"",COUNTIF($D$4:$D9,D9))</f>
        <v>1</v>
      </c>
      <c r="W9" s="266" t="str">
        <f t="shared" ca="1" si="2"/>
        <v>Menai</v>
      </c>
      <c r="Z9" s="266">
        <f t="shared" ca="1" si="3"/>
        <v>0</v>
      </c>
    </row>
    <row r="10" spans="1:26" x14ac:dyDescent="0.35">
      <c r="B10" s="66">
        <f ca="1">IFERROR(INDIRECT(CONCATENATE("Track1!D",A3+8)),"")</f>
        <v>7</v>
      </c>
      <c r="C10" s="66">
        <f ca="1">IFERROR(INDIRECT(CONCATENATE("Track1!e",A3+8)),"")</f>
        <v>3</v>
      </c>
      <c r="D10" s="85" t="str">
        <f ca="1">IFERROR(INDIRECT(CONCATENATE("Track1!f",A3+8)),"")</f>
        <v>Ben JAYATILLEKE</v>
      </c>
      <c r="E10" s="85" t="str">
        <f ca="1">IFERROR(INDIRECT(CONCATENATE("Track1!g",A3+8)),"")</f>
        <v>Leigh</v>
      </c>
      <c r="F10" s="395">
        <f ca="1">IFERROR(INDIRECT(CONCATENATE("Track1!h",A3+8)),"")</f>
        <v>13.7</v>
      </c>
      <c r="G10" s="108">
        <f ca="1">IFERROR(INDIRECT(CONCATENATE("Track1!i",A3+8)),"")</f>
        <v>3</v>
      </c>
      <c r="H10" s="66"/>
      <c r="I10" s="66">
        <f ca="1">IFERROR(INDIRECT(CONCATENATE("Track1!k",A3+8)),"")</f>
        <v>7</v>
      </c>
      <c r="J10" s="66">
        <f ca="1">IFERROR(INDIRECT(CONCATENATE("Track1!l",A3+8)),"")</f>
        <v>0</v>
      </c>
      <c r="K10" s="85" t="str">
        <f ca="1">IFERROR(INDIRECT(CONCATENATE("Track1!m",A3+8)),"")</f>
        <v/>
      </c>
      <c r="L10" s="85" t="str">
        <f ca="1">IFERROR(INDIRECT(CONCATENATE("Track1!n",A3+8)),"")</f>
        <v/>
      </c>
      <c r="M10" s="395">
        <f ca="1">IFERROR(INDIRECT(CONCATENATE("Track1!o",A3+8)),"")</f>
        <v>0</v>
      </c>
      <c r="N10" s="108" t="str">
        <f ca="1">IFERROR(INDIRECT(CONCATENATE("Track1!p",A3+8)),"")</f>
        <v/>
      </c>
      <c r="T10" s="64">
        <f t="shared" ca="1" si="0"/>
        <v>2</v>
      </c>
      <c r="U10" s="64" t="str">
        <f t="shared" ca="1" si="1"/>
        <v/>
      </c>
      <c r="V10" s="266">
        <f ca="1">IF(OR(D10=0,D10="",D10="Athlete"),"",COUNTIF($D$4:$D10,D10))</f>
        <v>1</v>
      </c>
      <c r="W10" s="266" t="str">
        <f t="shared" ca="1" si="2"/>
        <v>Leigh</v>
      </c>
      <c r="Z10" s="266">
        <f t="shared" ca="1" si="3"/>
        <v>0</v>
      </c>
    </row>
    <row r="11" spans="1:26" x14ac:dyDescent="0.35">
      <c r="B11" s="66">
        <f ca="1">IFERROR(INDIRECT(CONCATENATE("Track1!D",A3+9)),"")</f>
        <v>8</v>
      </c>
      <c r="C11" s="66">
        <f ca="1">IFERROR(INDIRECT(CONCATENATE("Track1!e",A3+9)),"")</f>
        <v>0</v>
      </c>
      <c r="D11" s="85" t="str">
        <f ca="1">IFERROR(INDIRECT(CONCATENATE("Track1!f",A3+9)),"")</f>
        <v/>
      </c>
      <c r="E11" s="85" t="str">
        <f ca="1">IFERROR(INDIRECT(CONCATENATE("Track1!g",A3+9)),"")</f>
        <v/>
      </c>
      <c r="F11" s="395">
        <f ca="1">IFERROR(INDIRECT(CONCATENATE("Track1!h",A3+9)),"")</f>
        <v>0</v>
      </c>
      <c r="G11" s="108" t="str">
        <f ca="1">IFERROR(INDIRECT(CONCATENATE("Track1!i",A3+9)),"")</f>
        <v/>
      </c>
      <c r="H11" s="66"/>
      <c r="I11" s="66">
        <f ca="1">IFERROR(INDIRECT(CONCATENATE("Track1!k",A3+9)),"")</f>
        <v>8</v>
      </c>
      <c r="J11" s="66">
        <f ca="1">IFERROR(INDIRECT(CONCATENATE("Track1!l",A3+9)),"")</f>
        <v>0</v>
      </c>
      <c r="K11" s="85" t="str">
        <f ca="1">IFERROR(INDIRECT(CONCATENATE("Track1!m",A3+9)),"")</f>
        <v/>
      </c>
      <c r="L11" s="85" t="str">
        <f ca="1">IFERROR(INDIRECT(CONCATENATE("Track1!n",A3+9)),"")</f>
        <v/>
      </c>
      <c r="M11" s="395">
        <f ca="1">IFERROR(INDIRECT(CONCATENATE("Track1!o",A3+9)),"")</f>
        <v>0</v>
      </c>
      <c r="N11" s="108" t="str">
        <f ca="1">IFERROR(INDIRECT(CONCATENATE("Track1!p",A3+9)),"")</f>
        <v/>
      </c>
      <c r="T11" s="64" t="str">
        <f t="shared" ca="1" si="0"/>
        <v/>
      </c>
      <c r="U11" s="64" t="str">
        <f t="shared" ca="1" si="1"/>
        <v/>
      </c>
      <c r="V11" s="266" t="str">
        <f ca="1">IF(OR(D11=0,D11="",D11="Athlete"),"",COUNTIF($D$4:$D11,D11))</f>
        <v/>
      </c>
      <c r="W11" s="266" t="str">
        <f t="shared" ca="1" si="2"/>
        <v/>
      </c>
      <c r="Z11" s="266" t="str">
        <f t="shared" ca="1" si="3"/>
        <v/>
      </c>
    </row>
    <row r="12" spans="1:26" x14ac:dyDescent="0.35">
      <c r="F12" s="395"/>
      <c r="M12" s="407"/>
      <c r="T12" s="64" t="str">
        <f t="shared" si="0"/>
        <v/>
      </c>
      <c r="U12" s="64" t="str">
        <f t="shared" si="1"/>
        <v/>
      </c>
      <c r="V12" s="266" t="str">
        <f>IF(OR(D12=0,D12="",D12="Athlete"),"",COUNTIF($D$4:$D12,D12))</f>
        <v/>
      </c>
      <c r="W12" s="266" t="str">
        <f t="shared" si="2"/>
        <v/>
      </c>
      <c r="Z12" s="266" t="str">
        <f t="shared" si="3"/>
        <v/>
      </c>
    </row>
    <row r="13" spans="1:26" x14ac:dyDescent="0.35">
      <c r="A13" s="66" t="s">
        <v>47</v>
      </c>
      <c r="B13" s="102" t="str">
        <f ca="1">IFERROR(INDIRECT(CONCATENATE("Track1!D",A14)),"")</f>
        <v>100m NS U15 Boys A</v>
      </c>
      <c r="E13" s="85" t="s">
        <v>206</v>
      </c>
      <c r="F13" s="395">
        <f ca="1">IFERROR(INDIRECT(CONCATENATE("Track1!h",A14)),"")</f>
        <v>0</v>
      </c>
      <c r="G13" s="108" t="str">
        <f ca="1">IFERROR(INDIRECT(CONCATENATE("Track1!i",A14)),"")</f>
        <v/>
      </c>
      <c r="I13" s="102" t="str">
        <f ca="1">IFERROR(INDIRECT(CONCATENATE("Track1!k",A14)),"")</f>
        <v>100m NS U15 Boys B</v>
      </c>
      <c r="L13" s="85" t="s">
        <v>206</v>
      </c>
      <c r="M13" s="395">
        <f ca="1">IFERROR(INDIRECT(CONCATENATE("Track1!o",A14)),"")</f>
        <v>0</v>
      </c>
      <c r="T13" s="64" t="str">
        <f t="shared" si="0"/>
        <v/>
      </c>
      <c r="U13" s="64" t="str">
        <f t="shared" si="1"/>
        <v/>
      </c>
      <c r="V13" s="266" t="str">
        <f>IF(OR(D13=0,D13="",D13="Athlete"),"",COUNTIF($D$4:$D13,D13))</f>
        <v/>
      </c>
      <c r="W13" s="266" t="str">
        <f t="shared" si="2"/>
        <v/>
      </c>
      <c r="Z13" s="266" t="str">
        <f t="shared" ca="1" si="3"/>
        <v/>
      </c>
    </row>
    <row r="14" spans="1:26" x14ac:dyDescent="0.35">
      <c r="A14" s="66">
        <f>IFERROR(MATCH(A13,Track1!C:C,0),"")</f>
        <v>167</v>
      </c>
      <c r="B14" s="45" t="str">
        <f ca="1">IFERROR(INDIRECT(CONCATENATE("Track1!D",A14+1)),"")</f>
        <v>Posn</v>
      </c>
      <c r="C14" s="45" t="str">
        <f ca="1">IFERROR(INDIRECT(CONCATENATE("Track1!e",A14+1)),"")</f>
        <v>No.</v>
      </c>
      <c r="D14" s="139" t="str">
        <f ca="1">IFERROR(INDIRECT(CONCATENATE("Track1!f",A14+1)),"")</f>
        <v>Athlete</v>
      </c>
      <c r="E14" s="139" t="str">
        <f ca="1">IFERROR(INDIRECT(CONCATENATE("Track1!g",A14+1)),"")</f>
        <v>Club</v>
      </c>
      <c r="F14" s="392" t="str">
        <f ca="1">IFERROR(INDIRECT(CONCATENATE("Track1!h",A14+1)),"")</f>
        <v>Perf</v>
      </c>
      <c r="G14" s="167" t="str">
        <f ca="1">IFERROR(INDIRECT(CONCATENATE("Track1!i",A14+1)),"")</f>
        <v>EA</v>
      </c>
      <c r="H14" s="45"/>
      <c r="I14" s="45" t="str">
        <f ca="1">IFERROR(INDIRECT(CONCATENATE("Track1!k",A14+1)),"")</f>
        <v>Posn</v>
      </c>
      <c r="J14" s="45" t="str">
        <f ca="1">IFERROR(INDIRECT(CONCATENATE("Track1!l",A14+1)),"")</f>
        <v>No.</v>
      </c>
      <c r="K14" s="139" t="str">
        <f ca="1">IFERROR(INDIRECT(CONCATENATE("Track1!m",A14+1)),"")</f>
        <v>Athlete</v>
      </c>
      <c r="L14" s="139" t="str">
        <f ca="1">IFERROR(INDIRECT(CONCATENATE("Track1!n",A14+1)),"")</f>
        <v>Club</v>
      </c>
      <c r="M14" s="392" t="str">
        <f ca="1">IFERROR(INDIRECT(CONCATENATE("Track1!o",A14+1)),"")</f>
        <v>Perf</v>
      </c>
      <c r="N14" s="167" t="str">
        <f ca="1">IFERROR(INDIRECT(CONCATENATE("Track1!p",A14+1)),"")</f>
        <v>EA</v>
      </c>
      <c r="T14" s="64" t="str">
        <f t="shared" ca="1" si="0"/>
        <v/>
      </c>
      <c r="U14" s="64" t="str">
        <f t="shared" ca="1" si="1"/>
        <v/>
      </c>
      <c r="V14" s="266" t="str">
        <f ca="1">IF(OR(D14=0,D14="",D14="Athlete"),"",COUNTIF($D$4:$D14,D14))</f>
        <v/>
      </c>
      <c r="W14" s="266" t="str">
        <f t="shared" ca="1" si="2"/>
        <v/>
      </c>
      <c r="Z14" s="266">
        <f t="shared" ca="1" si="3"/>
        <v>0</v>
      </c>
    </row>
    <row r="15" spans="1:26" x14ac:dyDescent="0.35">
      <c r="B15" s="66">
        <f ca="1">IFERROR(INDIRECT(CONCATENATE("Track1!D",A14+2)),"")</f>
        <v>1</v>
      </c>
      <c r="C15" s="66">
        <f ca="1">IFERROR(INDIRECT(CONCATENATE("Track1!e",A14+2)),"")</f>
        <v>44</v>
      </c>
      <c r="D15" s="85" t="str">
        <f ca="1">IFERROR(INDIRECT(CONCATENATE("Track1!f",A14+2)),"")</f>
        <v>Oliver STEWART</v>
      </c>
      <c r="E15" s="85" t="str">
        <f ca="1">IFERROR(INDIRECT(CONCATENATE("Track1!g",A14+2)),"")</f>
        <v>Macc</v>
      </c>
      <c r="F15" s="395">
        <f ca="1">IFERROR(INDIRECT(CONCATENATE("Track1!h",A14+2)),"")</f>
        <v>14</v>
      </c>
      <c r="G15" s="108">
        <f ca="1">IFERROR(INDIRECT(CONCATENATE("Track1!i",A14+2)),"")</f>
        <v>2</v>
      </c>
      <c r="H15" s="66"/>
      <c r="I15" s="66">
        <f ca="1">IFERROR(INDIRECT(CONCATENATE("Track1!k",A14+2)),"")</f>
        <v>1</v>
      </c>
      <c r="J15" s="66">
        <f ca="1">IFERROR(INDIRECT(CONCATENATE("Track1!l",A14+2)),"")</f>
        <v>0</v>
      </c>
      <c r="K15" s="85" t="str">
        <f ca="1">IFERROR(INDIRECT(CONCATENATE("Track1!m",A14+2)),"")</f>
        <v/>
      </c>
      <c r="L15" s="85" t="str">
        <f ca="1">IFERROR(INDIRECT(CONCATENATE("Track1!n",A14+2)),"")</f>
        <v/>
      </c>
      <c r="M15" s="395">
        <f ca="1">IFERROR(INDIRECT(CONCATENATE("Track1!o",A14+2)),"")</f>
        <v>0</v>
      </c>
      <c r="N15" s="108" t="str">
        <f ca="1">IFERROR(INDIRECT(CONCATENATE("Track1!p",A14+2)),"")</f>
        <v/>
      </c>
      <c r="R15" s="168">
        <f ca="1">IFERROR(INDIRECT(CONCATENATE("Track1!r",A14+2)),"")</f>
        <v>0</v>
      </c>
      <c r="T15" s="64">
        <f t="shared" ca="1" si="0"/>
        <v>2</v>
      </c>
      <c r="U15" s="64" t="str">
        <f t="shared" ca="1" si="1"/>
        <v/>
      </c>
      <c r="V15" s="266">
        <f ca="1">IF(OR(D15=0,D15="",D15="Athlete"),"",COUNTIF($D$4:$D15,D15))</f>
        <v>1</v>
      </c>
      <c r="W15" s="266" t="str">
        <f t="shared" ca="1" si="2"/>
        <v>Macc</v>
      </c>
      <c r="Z15" s="266">
        <f t="shared" ca="1" si="3"/>
        <v>0</v>
      </c>
    </row>
    <row r="16" spans="1:26" x14ac:dyDescent="0.35">
      <c r="B16" s="66">
        <f ca="1">IFERROR(INDIRECT(CONCATENATE("Track1!D",A14+3)),"")</f>
        <v>2</v>
      </c>
      <c r="C16" s="66">
        <f ca="1">IFERROR(INDIRECT(CONCATENATE("Track1!e",A14+3)),"")</f>
        <v>4</v>
      </c>
      <c r="D16" s="85" t="str">
        <f ca="1">IFERROR(INDIRECT(CONCATENATE("Track1!f",A14+3)),"")</f>
        <v>Toby BROADRICK</v>
      </c>
      <c r="E16" s="85" t="str">
        <f ca="1">IFERROR(INDIRECT(CONCATENATE("Track1!g",A14+3)),"")</f>
        <v>Macc</v>
      </c>
      <c r="F16" s="395">
        <f ca="1">IFERROR(INDIRECT(CONCATENATE("Track1!h",A14+3)),"")</f>
        <v>14.4</v>
      </c>
      <c r="G16" s="108" t="str">
        <f ca="1">IFERROR(INDIRECT(CONCATENATE("Track1!i",A14+3)),"")</f>
        <v/>
      </c>
      <c r="H16" s="66"/>
      <c r="I16" s="66">
        <f ca="1">IFERROR(INDIRECT(CONCATENATE("Track1!k",A14+3)),"")</f>
        <v>2</v>
      </c>
      <c r="J16" s="66">
        <f ca="1">IFERROR(INDIRECT(CONCATENATE("Track1!l",A14+3)),"")</f>
        <v>0</v>
      </c>
      <c r="K16" s="85" t="str">
        <f ca="1">IFERROR(INDIRECT(CONCATENATE("Track1!m",A14+3)),"")</f>
        <v/>
      </c>
      <c r="L16" s="85" t="str">
        <f ca="1">IFERROR(INDIRECT(CONCATENATE("Track1!n",A14+3)),"")</f>
        <v/>
      </c>
      <c r="M16" s="395">
        <f ca="1">IFERROR(INDIRECT(CONCATENATE("Track1!o",A14+3)),"")</f>
        <v>0</v>
      </c>
      <c r="N16" s="108" t="str">
        <f ca="1">IFERROR(INDIRECT(CONCATENATE("Track1!p",A14+3)),"")</f>
        <v/>
      </c>
      <c r="T16" s="64">
        <f t="shared" ca="1" si="0"/>
        <v>1</v>
      </c>
      <c r="U16" s="64" t="str">
        <f t="shared" ca="1" si="1"/>
        <v/>
      </c>
      <c r="V16" s="266">
        <f ca="1">IF(OR(D16=0,D16="",D16="Athlete"),"",COUNTIF($D$4:$D16,D16))</f>
        <v>1</v>
      </c>
      <c r="W16" s="266" t="str">
        <f t="shared" ca="1" si="2"/>
        <v>Macc</v>
      </c>
      <c r="Z16" s="266" t="str">
        <f t="shared" ca="1" si="3"/>
        <v/>
      </c>
    </row>
    <row r="17" spans="1:26" x14ac:dyDescent="0.35">
      <c r="B17" s="66">
        <f ca="1">IFERROR(INDIRECT(CONCATENATE("Track1!D",A14+4)),"")</f>
        <v>3</v>
      </c>
      <c r="C17" s="66">
        <f ca="1">IFERROR(INDIRECT(CONCATENATE("Track1!e",A14+4)),"")</f>
        <v>22</v>
      </c>
      <c r="D17" s="85" t="str">
        <f ca="1">IFERROR(INDIRECT(CONCATENATE("Track1!f",A14+4)),"")</f>
        <v/>
      </c>
      <c r="E17" s="85" t="str">
        <f ca="1">IFERROR(INDIRECT(CONCATENATE("Track1!g",A14+4)),"")</f>
        <v>ECHT</v>
      </c>
      <c r="F17" s="395">
        <f ca="1">IFERROR(INDIRECT(CONCATENATE("Track1!h",A14+4)),"")</f>
        <v>16.899999999999999</v>
      </c>
      <c r="G17" s="108" t="str">
        <f ca="1">IFERROR(INDIRECT(CONCATENATE("Track1!i",A14+4)),"")</f>
        <v/>
      </c>
      <c r="H17" s="66"/>
      <c r="I17" s="66">
        <f ca="1">IFERROR(INDIRECT(CONCATENATE("Track1!k",A14+4)),"")</f>
        <v>3</v>
      </c>
      <c r="J17" s="66">
        <f ca="1">IFERROR(INDIRECT(CONCATENATE("Track1!l",A14+4)),"")</f>
        <v>0</v>
      </c>
      <c r="K17" s="85" t="str">
        <f ca="1">IFERROR(INDIRECT(CONCATENATE("Track1!m",A14+4)),"")</f>
        <v/>
      </c>
      <c r="L17" s="85" t="str">
        <f ca="1">IFERROR(INDIRECT(CONCATENATE("Track1!n",A14+4)),"")</f>
        <v/>
      </c>
      <c r="M17" s="395">
        <f ca="1">IFERROR(INDIRECT(CONCATENATE("Track1!o",A14+4)),"")</f>
        <v>0</v>
      </c>
      <c r="N17" s="108" t="str">
        <f ca="1">IFERROR(INDIRECT(CONCATENATE("Track1!p",A14+4)),"")</f>
        <v/>
      </c>
      <c r="T17" s="64" t="str">
        <f t="shared" ca="1" si="0"/>
        <v/>
      </c>
      <c r="U17" s="64" t="str">
        <f t="shared" ca="1" si="1"/>
        <v/>
      </c>
      <c r="V17" s="266" t="str">
        <f ca="1">IF(OR(D17=0,D17="",D17="Athlete"),"",COUNTIF($D$4:$D17,D17))</f>
        <v/>
      </c>
      <c r="W17" s="266" t="str">
        <f t="shared" ca="1" si="2"/>
        <v/>
      </c>
      <c r="Z17" s="266" t="str">
        <f t="shared" ca="1" si="3"/>
        <v/>
      </c>
    </row>
    <row r="18" spans="1:26" x14ac:dyDescent="0.35">
      <c r="B18" s="66">
        <f ca="1">IFERROR(INDIRECT(CONCATENATE("Track1!D",A14+5)),"")</f>
        <v>4</v>
      </c>
      <c r="C18" s="66">
        <f ca="1">IFERROR(INDIRECT(CONCATENATE("Track1!e",A14+5)),"")</f>
        <v>0</v>
      </c>
      <c r="D18" s="85" t="str">
        <f ca="1">IFERROR(INDIRECT(CONCATENATE("Track1!f",A14+5)),"")</f>
        <v/>
      </c>
      <c r="E18" s="85" t="str">
        <f ca="1">IFERROR(INDIRECT(CONCATENATE("Track1!g",A14+5)),"")</f>
        <v/>
      </c>
      <c r="F18" s="395">
        <f ca="1">IFERROR(INDIRECT(CONCATENATE("Track1!h",A14+5)),"")</f>
        <v>0</v>
      </c>
      <c r="G18" s="108" t="str">
        <f ca="1">IFERROR(INDIRECT(CONCATENATE("Track1!i",A14+5)),"")</f>
        <v/>
      </c>
      <c r="H18" s="66"/>
      <c r="I18" s="66">
        <f ca="1">IFERROR(INDIRECT(CONCATENATE("Track1!k",A14+5)),"")</f>
        <v>4</v>
      </c>
      <c r="J18" s="66">
        <f ca="1">IFERROR(INDIRECT(CONCATENATE("Track1!l",A14+5)),"")</f>
        <v>0</v>
      </c>
      <c r="K18" s="85" t="str">
        <f ca="1">IFERROR(INDIRECT(CONCATENATE("Track1!m",A14+5)),"")</f>
        <v/>
      </c>
      <c r="L18" s="85" t="str">
        <f ca="1">IFERROR(INDIRECT(CONCATENATE("Track1!n",A14+5)),"")</f>
        <v/>
      </c>
      <c r="M18" s="395">
        <f ca="1">IFERROR(INDIRECT(CONCATENATE("Track1!o",A14+5)),"")</f>
        <v>0</v>
      </c>
      <c r="N18" s="108" t="str">
        <f ca="1">IFERROR(INDIRECT(CONCATENATE("Track1!p",A14+5)),"")</f>
        <v/>
      </c>
      <c r="T18" s="64" t="str">
        <f t="shared" ca="1" si="0"/>
        <v/>
      </c>
      <c r="U18" s="64" t="str">
        <f t="shared" ca="1" si="1"/>
        <v/>
      </c>
      <c r="V18" s="266" t="str">
        <f ca="1">IF(OR(D18=0,D18="",D18="Athlete"),"",COUNTIF($D$4:$D18,D18))</f>
        <v/>
      </c>
      <c r="W18" s="266" t="str">
        <f t="shared" ca="1" si="2"/>
        <v/>
      </c>
      <c r="Z18" s="266" t="str">
        <f t="shared" ca="1" si="3"/>
        <v/>
      </c>
    </row>
    <row r="19" spans="1:26" x14ac:dyDescent="0.35">
      <c r="B19" s="66">
        <f ca="1">IFERROR(INDIRECT(CONCATENATE("Track1!D",A14+6)),"")</f>
        <v>5</v>
      </c>
      <c r="C19" s="66">
        <f ca="1">IFERROR(INDIRECT(CONCATENATE("Track1!e",A14+6)),"")</f>
        <v>0</v>
      </c>
      <c r="D19" s="85" t="str">
        <f ca="1">IFERROR(INDIRECT(CONCATENATE("Track1!f",A14+6)),"")</f>
        <v/>
      </c>
      <c r="E19" s="85" t="str">
        <f ca="1">IFERROR(INDIRECT(CONCATENATE("Track1!g",A14+6)),"")</f>
        <v/>
      </c>
      <c r="F19" s="395">
        <f ca="1">IFERROR(INDIRECT(CONCATENATE("Track1!h",A14+6)),"")</f>
        <v>0</v>
      </c>
      <c r="G19" s="108" t="str">
        <f ca="1">IFERROR(INDIRECT(CONCATENATE("Track1!i",A14+6)),"")</f>
        <v/>
      </c>
      <c r="H19" s="66"/>
      <c r="I19" s="66">
        <f ca="1">IFERROR(INDIRECT(CONCATENATE("Track1!k",A14+6)),"")</f>
        <v>5</v>
      </c>
      <c r="J19" s="66">
        <f ca="1">IFERROR(INDIRECT(CONCATENATE("Track1!l",A14+6)),"")</f>
        <v>0</v>
      </c>
      <c r="K19" s="85" t="str">
        <f ca="1">IFERROR(INDIRECT(CONCATENATE("Track1!m",A14+6)),"")</f>
        <v/>
      </c>
      <c r="L19" s="85" t="str">
        <f ca="1">IFERROR(INDIRECT(CONCATENATE("Track1!n",A14+6)),"")</f>
        <v/>
      </c>
      <c r="M19" s="395">
        <f ca="1">IFERROR(INDIRECT(CONCATENATE("Track1!o",A14+6)),"")</f>
        <v>0</v>
      </c>
      <c r="N19" s="108" t="str">
        <f ca="1">IFERROR(INDIRECT(CONCATENATE("Track1!p",A14+6)),"")</f>
        <v/>
      </c>
      <c r="T19" s="64" t="str">
        <f t="shared" ca="1" si="0"/>
        <v/>
      </c>
      <c r="U19" s="64" t="str">
        <f t="shared" ca="1" si="1"/>
        <v/>
      </c>
      <c r="V19" s="266" t="str">
        <f ca="1">IF(OR(D19=0,D19="",D19="Athlete"),"",COUNTIF($D$4:$D19,D19))</f>
        <v/>
      </c>
      <c r="W19" s="266" t="str">
        <f t="shared" ca="1" si="2"/>
        <v/>
      </c>
      <c r="Z19" s="266" t="str">
        <f t="shared" ca="1" si="3"/>
        <v/>
      </c>
    </row>
    <row r="20" spans="1:26" x14ac:dyDescent="0.35">
      <c r="B20" s="66">
        <f ca="1">IFERROR(INDIRECT(CONCATENATE("Track1!D",A14+7)),"")</f>
        <v>6</v>
      </c>
      <c r="C20" s="66">
        <f ca="1">IFERROR(INDIRECT(CONCATENATE("Track1!e",A14+7)),"")</f>
        <v>0</v>
      </c>
      <c r="D20" s="85" t="str">
        <f ca="1">IFERROR(INDIRECT(CONCATENATE("Track1!f",A14+7)),"")</f>
        <v/>
      </c>
      <c r="E20" s="85" t="str">
        <f ca="1">IFERROR(INDIRECT(CONCATENATE("Track1!g",A14+7)),"")</f>
        <v/>
      </c>
      <c r="F20" s="395">
        <f ca="1">IFERROR(INDIRECT(CONCATENATE("Track1!h",A14+7)),"")</f>
        <v>0</v>
      </c>
      <c r="G20" s="108" t="str">
        <f ca="1">IFERROR(INDIRECT(CONCATENATE("Track1!i",A14+7)),"")</f>
        <v/>
      </c>
      <c r="H20" s="66"/>
      <c r="I20" s="66">
        <f ca="1">IFERROR(INDIRECT(CONCATENATE("Track1!k",A14+7)),"")</f>
        <v>6</v>
      </c>
      <c r="J20" s="66">
        <f ca="1">IFERROR(INDIRECT(CONCATENATE("Track1!l",A14+7)),"")</f>
        <v>0</v>
      </c>
      <c r="K20" s="85" t="str">
        <f ca="1">IFERROR(INDIRECT(CONCATENATE("Track1!m",A14+7)),"")</f>
        <v/>
      </c>
      <c r="L20" s="85" t="str">
        <f ca="1">IFERROR(INDIRECT(CONCATENATE("Track1!n",A14+7)),"")</f>
        <v/>
      </c>
      <c r="M20" s="395">
        <f ca="1">IFERROR(INDIRECT(CONCATENATE("Track1!o",A14+7)),"")</f>
        <v>0</v>
      </c>
      <c r="N20" s="108" t="str">
        <f ca="1">IFERROR(INDIRECT(CONCATENATE("Track1!p",A14+7)),"")</f>
        <v/>
      </c>
      <c r="T20" s="64" t="str">
        <f t="shared" ca="1" si="0"/>
        <v/>
      </c>
      <c r="U20" s="64" t="str">
        <f t="shared" ca="1" si="1"/>
        <v/>
      </c>
      <c r="V20" s="266" t="str">
        <f ca="1">IF(OR(D20=0,D20="",D20="Athlete"),"",COUNTIF($D$4:$D20,D20))</f>
        <v/>
      </c>
      <c r="W20" s="266" t="str">
        <f t="shared" ca="1" si="2"/>
        <v/>
      </c>
      <c r="Z20" s="266" t="str">
        <f t="shared" ca="1" si="3"/>
        <v/>
      </c>
    </row>
    <row r="21" spans="1:26" x14ac:dyDescent="0.35">
      <c r="B21" s="66">
        <f ca="1">IFERROR(INDIRECT(CONCATENATE("Track1!D",A14+8)),"")</f>
        <v>7</v>
      </c>
      <c r="C21" s="66">
        <f ca="1">IFERROR(INDIRECT(CONCATENATE("Track1!e",A14+8)),"")</f>
        <v>0</v>
      </c>
      <c r="D21" s="85" t="str">
        <f ca="1">IFERROR(INDIRECT(CONCATENATE("Track1!f",A14+8)),"")</f>
        <v/>
      </c>
      <c r="E21" s="85" t="str">
        <f ca="1">IFERROR(INDIRECT(CONCATENATE("Track1!g",A14+8)),"")</f>
        <v/>
      </c>
      <c r="F21" s="395">
        <f ca="1">IFERROR(INDIRECT(CONCATENATE("Track1!h",A14+8)),"")</f>
        <v>0</v>
      </c>
      <c r="G21" s="108" t="str">
        <f ca="1">IFERROR(INDIRECT(CONCATENATE("Track1!i",A14+8)),"")</f>
        <v/>
      </c>
      <c r="H21" s="66"/>
      <c r="I21" s="66">
        <f ca="1">IFERROR(INDIRECT(CONCATENATE("Track1!k",A14+8)),"")</f>
        <v>7</v>
      </c>
      <c r="J21" s="66">
        <f ca="1">IFERROR(INDIRECT(CONCATENATE("Track1!l",A14+8)),"")</f>
        <v>0</v>
      </c>
      <c r="K21" s="85" t="str">
        <f ca="1">IFERROR(INDIRECT(CONCATENATE("Track1!m",A14+8)),"")</f>
        <v/>
      </c>
      <c r="L21" s="85" t="str">
        <f ca="1">IFERROR(INDIRECT(CONCATENATE("Track1!n",A14+8)),"")</f>
        <v/>
      </c>
      <c r="M21" s="395">
        <f ca="1">IFERROR(INDIRECT(CONCATENATE("Track1!o",A14+8)),"")</f>
        <v>0</v>
      </c>
      <c r="N21" s="108" t="str">
        <f ca="1">IFERROR(INDIRECT(CONCATENATE("Track1!p",A14+8)),"")</f>
        <v/>
      </c>
      <c r="T21" s="64" t="str">
        <f t="shared" ca="1" si="0"/>
        <v/>
      </c>
      <c r="U21" s="64" t="str">
        <f t="shared" ca="1" si="1"/>
        <v/>
      </c>
      <c r="V21" s="266" t="str">
        <f ca="1">IF(OR(D21=0,D21="",D21="Athlete"),"",COUNTIF($D$4:$D21,D21))</f>
        <v/>
      </c>
      <c r="W21" s="266" t="str">
        <f t="shared" ca="1" si="2"/>
        <v/>
      </c>
      <c r="Z21" s="266" t="str">
        <f t="shared" ca="1" si="3"/>
        <v/>
      </c>
    </row>
    <row r="22" spans="1:26" x14ac:dyDescent="0.35">
      <c r="B22" s="66">
        <f ca="1">IFERROR(INDIRECT(CONCATENATE("Track1!D",A14+9)),"")</f>
        <v>8</v>
      </c>
      <c r="C22" s="66">
        <f ca="1">IFERROR(INDIRECT(CONCATENATE("Track1!e",A14+9)),"")</f>
        <v>0</v>
      </c>
      <c r="D22" s="85" t="str">
        <f ca="1">IFERROR(INDIRECT(CONCATENATE("Track1!f",A14+9)),"")</f>
        <v/>
      </c>
      <c r="E22" s="85" t="str">
        <f ca="1">IFERROR(INDIRECT(CONCATENATE("Track1!g",A14+9)),"")</f>
        <v/>
      </c>
      <c r="F22" s="395">
        <f ca="1">IFERROR(INDIRECT(CONCATENATE("Track1!h",A14+9)),"")</f>
        <v>0</v>
      </c>
      <c r="G22" s="108" t="str">
        <f ca="1">IFERROR(INDIRECT(CONCATENATE("Track1!i",A14+9)),"")</f>
        <v/>
      </c>
      <c r="H22" s="66"/>
      <c r="I22" s="66">
        <f ca="1">IFERROR(INDIRECT(CONCATENATE("Track1!k",A14+9)),"")</f>
        <v>8</v>
      </c>
      <c r="J22" s="66">
        <f ca="1">IFERROR(INDIRECT(CONCATENATE("Track1!l",A14+9)),"")</f>
        <v>0</v>
      </c>
      <c r="K22" s="85" t="str">
        <f ca="1">IFERROR(INDIRECT(CONCATENATE("Track1!m",A14+9)),"")</f>
        <v/>
      </c>
      <c r="L22" s="85" t="str">
        <f ca="1">IFERROR(INDIRECT(CONCATENATE("Track1!n",A14+9)),"")</f>
        <v/>
      </c>
      <c r="M22" s="395">
        <f ca="1">IFERROR(INDIRECT(CONCATENATE("Track1!o",A14+9)),"")</f>
        <v>0</v>
      </c>
      <c r="N22" s="108" t="str">
        <f ca="1">IFERROR(INDIRECT(CONCATENATE("Track1!p",A14+9)),"")</f>
        <v/>
      </c>
      <c r="T22" s="64" t="str">
        <f t="shared" ca="1" si="0"/>
        <v/>
      </c>
      <c r="U22" s="64" t="str">
        <f t="shared" ca="1" si="1"/>
        <v/>
      </c>
      <c r="V22" s="266" t="str">
        <f ca="1">IF(OR(D22=0,D22="",D22="Athlete"),"",COUNTIF($D$4:$D22,D22))</f>
        <v/>
      </c>
      <c r="W22" s="266" t="str">
        <f t="shared" ca="1" si="2"/>
        <v/>
      </c>
      <c r="Z22" s="266" t="str">
        <f t="shared" ca="1" si="3"/>
        <v/>
      </c>
    </row>
    <row r="23" spans="1:26" x14ac:dyDescent="0.35">
      <c r="F23" s="395"/>
      <c r="M23" s="407"/>
      <c r="T23" s="64" t="str">
        <f t="shared" si="0"/>
        <v/>
      </c>
      <c r="U23" s="64" t="str">
        <f t="shared" si="1"/>
        <v/>
      </c>
      <c r="V23" s="266" t="str">
        <f>IF(OR(D23=0,D23="",D23="Athlete"),"",COUNTIF($D$4:$D23,D23))</f>
        <v/>
      </c>
      <c r="W23" s="266" t="str">
        <f t="shared" si="2"/>
        <v/>
      </c>
      <c r="Z23" s="266" t="str">
        <f t="shared" si="3"/>
        <v/>
      </c>
    </row>
    <row r="24" spans="1:26" x14ac:dyDescent="0.35">
      <c r="A24" s="66" t="s">
        <v>39</v>
      </c>
      <c r="B24" s="102" t="str">
        <f ca="1">IFERROR(INDIRECT(CONCATENATE("Track1!D",A25)),"")</f>
        <v>200m U15 Boys A</v>
      </c>
      <c r="E24" s="85" t="s">
        <v>206</v>
      </c>
      <c r="F24" s="395">
        <f ca="1">IFERROR(INDIRECT(CONCATENATE("Track1!h",A25)),"")</f>
        <v>0</v>
      </c>
      <c r="G24" s="108" t="str">
        <f ca="1">IFERROR(INDIRECT(CONCATENATE("Track1!i",A25)),"")</f>
        <v/>
      </c>
      <c r="I24" s="102" t="str">
        <f ca="1">IFERROR(INDIRECT(CONCATENATE("Track1!k",A25)),"")</f>
        <v>200m U15 Boys B</v>
      </c>
      <c r="L24" s="85" t="s">
        <v>206</v>
      </c>
      <c r="M24" s="395">
        <f ca="1">IFERROR(INDIRECT(CONCATENATE("Track1!o",A25)),"")</f>
        <v>0</v>
      </c>
      <c r="T24" s="64" t="str">
        <f t="shared" si="0"/>
        <v/>
      </c>
      <c r="U24" s="64" t="str">
        <f t="shared" si="1"/>
        <v/>
      </c>
      <c r="V24" s="266" t="str">
        <f>IF(OR(D24=0,D24="",D24="Athlete"),"",COUNTIF($D$4:$D24,D24))</f>
        <v/>
      </c>
      <c r="W24" s="266" t="str">
        <f t="shared" si="2"/>
        <v/>
      </c>
      <c r="Z24" s="266" t="str">
        <f t="shared" ca="1" si="3"/>
        <v/>
      </c>
    </row>
    <row r="25" spans="1:26" x14ac:dyDescent="0.35">
      <c r="A25" s="66">
        <f>IFERROR(MATCH(A24,Track1!C:C,0),"")</f>
        <v>79</v>
      </c>
      <c r="B25" s="45" t="str">
        <f ca="1">IFERROR(INDIRECT(CONCATENATE("Track1!D",A25+1)),"")</f>
        <v>Posn</v>
      </c>
      <c r="C25" s="45" t="str">
        <f ca="1">IFERROR(INDIRECT(CONCATENATE("Track1!e",A25+1)),"")</f>
        <v>No.</v>
      </c>
      <c r="D25" s="139" t="str">
        <f ca="1">IFERROR(INDIRECT(CONCATENATE("Track1!f",A25+1)),"")</f>
        <v>Athlete</v>
      </c>
      <c r="E25" s="139" t="str">
        <f ca="1">IFERROR(INDIRECT(CONCATENATE("Track1!g",A25+1)),"")</f>
        <v>Club</v>
      </c>
      <c r="F25" s="392" t="str">
        <f ca="1">IFERROR(INDIRECT(CONCATENATE("Track1!h",A25+1)),"")</f>
        <v>Perf</v>
      </c>
      <c r="G25" s="167" t="str">
        <f ca="1">IFERROR(INDIRECT(CONCATENATE("Track1!i",A25+1)),"")</f>
        <v>EA</v>
      </c>
      <c r="H25" s="45"/>
      <c r="I25" s="45" t="str">
        <f ca="1">IFERROR(INDIRECT(CONCATENATE("Track1!k",A25+1)),"")</f>
        <v>Posn</v>
      </c>
      <c r="J25" s="45" t="str">
        <f ca="1">IFERROR(INDIRECT(CONCATENATE("Track1!l",A25+1)),"")</f>
        <v>No.</v>
      </c>
      <c r="K25" s="139" t="str">
        <f ca="1">IFERROR(INDIRECT(CONCATENATE("Track1!m",A25+1)),"")</f>
        <v>Athlete</v>
      </c>
      <c r="L25" s="139" t="str">
        <f ca="1">IFERROR(INDIRECT(CONCATENATE("Track1!n",A25+1)),"")</f>
        <v>Club</v>
      </c>
      <c r="M25" s="392" t="str">
        <f ca="1">IFERROR(INDIRECT(CONCATENATE("Track1!o",A25+1)),"")</f>
        <v>Perf</v>
      </c>
      <c r="N25" s="167" t="str">
        <f ca="1">IFERROR(INDIRECT(CONCATENATE("Track1!p",A25+1)),"")</f>
        <v>EA</v>
      </c>
      <c r="T25" s="64" t="str">
        <f t="shared" ca="1" si="0"/>
        <v/>
      </c>
      <c r="U25" s="64" t="str">
        <f t="shared" ca="1" si="1"/>
        <v/>
      </c>
      <c r="V25" s="266" t="str">
        <f ca="1">IF(OR(D25=0,D25="",D25="Athlete"),"",COUNTIF($D$4:$D25,D25))</f>
        <v/>
      </c>
      <c r="W25" s="266" t="str">
        <f t="shared" ca="1" si="2"/>
        <v/>
      </c>
      <c r="Z25" s="266">
        <f t="shared" ca="1" si="3"/>
        <v>0</v>
      </c>
    </row>
    <row r="26" spans="1:26" x14ac:dyDescent="0.35">
      <c r="B26" s="66">
        <f ca="1">IFERROR(INDIRECT(CONCATENATE("Track1!D",A25+2)),"")</f>
        <v>1</v>
      </c>
      <c r="C26" s="66">
        <f ca="1">IFERROR(INDIRECT(CONCATENATE("Track1!e",A25+2)),"")</f>
        <v>2</v>
      </c>
      <c r="D26" s="85" t="str">
        <f ca="1">IFERROR(INDIRECT(CONCATENATE("Track1!f",A25+2)),"")</f>
        <v>Max ORMSTON</v>
      </c>
      <c r="E26" s="85" t="str">
        <f ca="1">IFERROR(INDIRECT(CONCATENATE("Track1!g",A25+2)),"")</f>
        <v>ECHT</v>
      </c>
      <c r="F26" s="395">
        <f ca="1">IFERROR(INDIRECT(CONCATENATE("Track1!h",A25+2)),"")</f>
        <v>25.5</v>
      </c>
      <c r="G26" s="108">
        <f ca="1">IFERROR(INDIRECT(CONCATENATE("Track1!i",A25+2)),"")</f>
        <v>5</v>
      </c>
      <c r="H26" s="66"/>
      <c r="I26" s="66">
        <f ca="1">IFERROR(INDIRECT(CONCATENATE("Track1!k",A25+2)),"")</f>
        <v>1</v>
      </c>
      <c r="J26" s="66">
        <f ca="1">IFERROR(INDIRECT(CONCATENATE("Track1!l",A25+2)),"")</f>
        <v>77</v>
      </c>
      <c r="K26" s="85" t="str">
        <f ca="1">IFERROR(INDIRECT(CONCATENATE("Track1!m",A25+2)),"")</f>
        <v>Matthew HAYTON</v>
      </c>
      <c r="L26" s="85" t="str">
        <f ca="1">IFERROR(INDIRECT(CONCATENATE("Track1!n",A25+2)),"")</f>
        <v>Wigan</v>
      </c>
      <c r="M26" s="395">
        <f ca="1">IFERROR(INDIRECT(CONCATENATE("Track1!o",A25+2)),"")</f>
        <v>26.4</v>
      </c>
      <c r="N26" s="108">
        <f ca="1">IFERROR(INDIRECT(CONCATENATE("Track1!p",A25+2)),"")</f>
        <v>4</v>
      </c>
      <c r="R26" s="168">
        <f ca="1">IFERROR(INDIRECT(CONCATENATE("Track1!r",A25+2)),"")</f>
        <v>10</v>
      </c>
      <c r="T26" s="64">
        <f t="shared" ca="1" si="0"/>
        <v>3</v>
      </c>
      <c r="U26" s="64">
        <f t="shared" ca="1" si="1"/>
        <v>3</v>
      </c>
      <c r="V26" s="266">
        <f ca="1">IF(OR(D26=0,D26="",D26="Athlete"),"",COUNTIF($D$4:$D26,D26))</f>
        <v>2</v>
      </c>
      <c r="W26" s="266" t="str">
        <f t="shared" ca="1" si="2"/>
        <v>ECHT</v>
      </c>
      <c r="Z26" s="266">
        <f t="shared" ca="1" si="3"/>
        <v>0</v>
      </c>
    </row>
    <row r="27" spans="1:26" x14ac:dyDescent="0.35">
      <c r="B27" s="66">
        <f ca="1">IFERROR(INDIRECT(CONCATENATE("Track1!D",A25+3)),"")</f>
        <v>2</v>
      </c>
      <c r="C27" s="66">
        <f ca="1">IFERROR(INDIRECT(CONCATENATE("Track1!e",A25+3)),"")</f>
        <v>1</v>
      </c>
      <c r="D27" s="85" t="str">
        <f ca="1">IFERROR(INDIRECT(CONCATENATE("Track1!f",A25+3)),"")</f>
        <v>William CATTELL</v>
      </c>
      <c r="E27" s="85" t="str">
        <f ca="1">IFERROR(INDIRECT(CONCATENATE("Track1!g",A25+3)),"")</f>
        <v>C&amp;N</v>
      </c>
      <c r="F27" s="395">
        <f ca="1">IFERROR(INDIRECT(CONCATENATE("Track1!h",A25+3)),"")</f>
        <v>26.5</v>
      </c>
      <c r="G27" s="108">
        <f ca="1">IFERROR(INDIRECT(CONCATENATE("Track1!i",A25+3)),"")</f>
        <v>4</v>
      </c>
      <c r="H27" s="66"/>
      <c r="I27" s="66">
        <f ca="1">IFERROR(INDIRECT(CONCATENATE("Track1!k",A25+3)),"")</f>
        <v>2</v>
      </c>
      <c r="J27" s="66">
        <f ca="1">IFERROR(INDIRECT(CONCATENATE("Track1!l",A25+3)),"")</f>
        <v>11</v>
      </c>
      <c r="K27" s="85" t="str">
        <f ca="1">IFERROR(INDIRECT(CONCATENATE("Track1!m",A25+3)),"")</f>
        <v>Lucas BEECH</v>
      </c>
      <c r="L27" s="85" t="str">
        <f ca="1">IFERROR(INDIRECT(CONCATENATE("Track1!n",A25+3)),"")</f>
        <v>C&amp;N</v>
      </c>
      <c r="M27" s="395">
        <f ca="1">IFERROR(INDIRECT(CONCATENATE("Track1!o",A25+3)),"")</f>
        <v>27</v>
      </c>
      <c r="N27" s="108">
        <f ca="1">IFERROR(INDIRECT(CONCATENATE("Track1!p",A25+3)),"")</f>
        <v>3</v>
      </c>
      <c r="T27" s="64">
        <f t="shared" ca="1" si="0"/>
        <v>3</v>
      </c>
      <c r="U27" s="64">
        <f t="shared" ca="1" si="1"/>
        <v>3</v>
      </c>
      <c r="V27" s="266">
        <f ca="1">IF(OR(D27=0,D27="",D27="Athlete"),"",COUNTIF($D$4:$D27,D27))</f>
        <v>1</v>
      </c>
      <c r="W27" s="266" t="str">
        <f t="shared" ca="1" si="2"/>
        <v>C&amp;N</v>
      </c>
      <c r="Z27" s="266">
        <f t="shared" ca="1" si="3"/>
        <v>0</v>
      </c>
    </row>
    <row r="28" spans="1:26" x14ac:dyDescent="0.35">
      <c r="B28" s="66">
        <f ca="1">IFERROR(INDIRECT(CONCATENATE("Track1!D",A25+4)),"")</f>
        <v>3</v>
      </c>
      <c r="C28" s="66">
        <f ca="1">IFERROR(INDIRECT(CONCATENATE("Track1!e",A25+4)),"")</f>
        <v>4</v>
      </c>
      <c r="D28" s="85" t="str">
        <f ca="1">IFERROR(INDIRECT(CONCATENATE("Track1!f",A25+4)),"")</f>
        <v>Finley HAYES</v>
      </c>
      <c r="E28" s="85" t="str">
        <f ca="1">IFERROR(INDIRECT(CONCATENATE("Track1!g",A25+4)),"")</f>
        <v>Macc</v>
      </c>
      <c r="F28" s="395">
        <f ca="1">IFERROR(INDIRECT(CONCATENATE("Track1!h",A25+4)),"")</f>
        <v>26.8</v>
      </c>
      <c r="G28" s="108">
        <f ca="1">IFERROR(INDIRECT(CONCATENATE("Track1!i",A25+4)),"")</f>
        <v>4</v>
      </c>
      <c r="H28" s="66"/>
      <c r="I28" s="66">
        <f ca="1">IFERROR(INDIRECT(CONCATENATE("Track1!k",A25+4)),"")</f>
        <v>3</v>
      </c>
      <c r="J28" s="66">
        <f ca="1">IFERROR(INDIRECT(CONCATENATE("Track1!l",A25+4)),"")</f>
        <v>22</v>
      </c>
      <c r="K28" s="85" t="str">
        <f ca="1">IFERROR(INDIRECT(CONCATENATE("Track1!m",A25+4)),"")</f>
        <v>James ROOK</v>
      </c>
      <c r="L28" s="85" t="str">
        <f ca="1">IFERROR(INDIRECT(CONCATENATE("Track1!n",A25+4)),"")</f>
        <v>ECHT</v>
      </c>
      <c r="M28" s="395">
        <f ca="1">IFERROR(INDIRECT(CONCATENATE("Track1!o",A25+4)),"")</f>
        <v>27.9</v>
      </c>
      <c r="N28" s="108">
        <f ca="1">IFERROR(INDIRECT(CONCATENATE("Track1!p",A25+4)),"")</f>
        <v>3</v>
      </c>
      <c r="T28" s="64">
        <f t="shared" ca="1" si="0"/>
        <v>1</v>
      </c>
      <c r="U28" s="64">
        <f t="shared" ca="1" si="1"/>
        <v>2</v>
      </c>
      <c r="V28" s="266">
        <f ca="1">IF(OR(D28=0,D28="",D28="Athlete"),"",COUNTIF($D$4:$D28,D28))</f>
        <v>1</v>
      </c>
      <c r="W28" s="266" t="str">
        <f t="shared" ca="1" si="2"/>
        <v>Macc</v>
      </c>
      <c r="Z28" s="266">
        <f t="shared" ca="1" si="3"/>
        <v>0</v>
      </c>
    </row>
    <row r="29" spans="1:26" x14ac:dyDescent="0.35">
      <c r="B29" s="66">
        <f ca="1">IFERROR(INDIRECT(CONCATENATE("Track1!D",A25+5)),"")</f>
        <v>4</v>
      </c>
      <c r="C29" s="66">
        <f ca="1">IFERROR(INDIRECT(CONCATENATE("Track1!e",A25+5)),"")</f>
        <v>6</v>
      </c>
      <c r="D29" s="85" t="str">
        <f ca="1">IFERROR(INDIRECT(CONCATENATE("Track1!f",A25+5)),"")</f>
        <v>Joshua KANDA</v>
      </c>
      <c r="E29" s="85" t="str">
        <f ca="1">IFERROR(INDIRECT(CONCATENATE("Track1!g",A25+5)),"")</f>
        <v>Stock</v>
      </c>
      <c r="F29" s="395">
        <f ca="1">IFERROR(INDIRECT(CONCATENATE("Track1!h",A25+5)),"")</f>
        <v>27</v>
      </c>
      <c r="G29" s="108">
        <f ca="1">IFERROR(INDIRECT(CONCATENATE("Track1!i",A25+5)),"")</f>
        <v>3</v>
      </c>
      <c r="H29" s="66"/>
      <c r="I29" s="66">
        <f ca="1">IFERROR(INDIRECT(CONCATENATE("Track1!k",A25+5)),"")</f>
        <v>4</v>
      </c>
      <c r="J29" s="66">
        <f ca="1">IFERROR(INDIRECT(CONCATENATE("Track1!l",A25+5)),"")</f>
        <v>44</v>
      </c>
      <c r="K29" s="85" t="str">
        <f ca="1">IFERROR(INDIRECT(CONCATENATE("Track1!m",A25+5)),"")</f>
        <v>Oliver STEWART</v>
      </c>
      <c r="L29" s="85" t="str">
        <f ca="1">IFERROR(INDIRECT(CONCATENATE("Track1!n",A25+5)),"")</f>
        <v>Macc</v>
      </c>
      <c r="M29" s="395">
        <f ca="1">IFERROR(INDIRECT(CONCATENATE("Track1!o",A25+5)),"")</f>
        <v>29.5</v>
      </c>
      <c r="N29" s="108" t="str">
        <f ca="1">IFERROR(INDIRECT(CONCATENATE("Track1!p",A25+5)),"")</f>
        <v/>
      </c>
      <c r="T29" s="64">
        <f t="shared" ca="1" si="0"/>
        <v>2</v>
      </c>
      <c r="U29" s="64">
        <f t="shared" ca="1" si="1"/>
        <v>2</v>
      </c>
      <c r="V29" s="266">
        <f ca="1">IF(OR(D29=0,D29="",D29="Athlete"),"",COUNTIF($D$4:$D29,D29))</f>
        <v>1</v>
      </c>
      <c r="W29" s="266" t="str">
        <f t="shared" ca="1" si="2"/>
        <v>Stock</v>
      </c>
      <c r="Z29" s="266">
        <f t="shared" ca="1" si="3"/>
        <v>0</v>
      </c>
    </row>
    <row r="30" spans="1:26" x14ac:dyDescent="0.35">
      <c r="B30" s="66">
        <f ca="1">IFERROR(INDIRECT(CONCATENATE("Track1!D",A25+6)),"")</f>
        <v>5</v>
      </c>
      <c r="C30" s="66">
        <f ca="1">IFERROR(INDIRECT(CONCATENATE("Track1!e",A25+6)),"")</f>
        <v>7</v>
      </c>
      <c r="D30" s="85" t="str">
        <f ca="1">IFERROR(INDIRECT(CONCATENATE("Track1!f",A25+6)),"")</f>
        <v>Joshua ROBERTS</v>
      </c>
      <c r="E30" s="85" t="str">
        <f ca="1">IFERROR(INDIRECT(CONCATENATE("Track1!g",A25+6)),"")</f>
        <v>Wigan</v>
      </c>
      <c r="F30" s="395">
        <f ca="1">IFERROR(INDIRECT(CONCATENATE("Track1!h",A25+6)),"")</f>
        <v>27.3</v>
      </c>
      <c r="G30" s="108">
        <f ca="1">IFERROR(INDIRECT(CONCATENATE("Track1!i",A25+6)),"")</f>
        <v>3</v>
      </c>
      <c r="H30" s="66"/>
      <c r="I30" s="66">
        <f ca="1">IFERROR(INDIRECT(CONCATENATE("Track1!k",A25+6)),"")</f>
        <v>5</v>
      </c>
      <c r="J30" s="66">
        <f ca="1">IFERROR(INDIRECT(CONCATENATE("Track1!l",A25+6)),"")</f>
        <v>66</v>
      </c>
      <c r="K30" s="85" t="str">
        <f ca="1">IFERROR(INDIRECT(CONCATENATE("Track1!m",A25+6)),"")</f>
        <v>Luc BRADBURY</v>
      </c>
      <c r="L30" s="85" t="str">
        <f ca="1">IFERROR(INDIRECT(CONCATENATE("Track1!n",A25+6)),"")</f>
        <v>Stock</v>
      </c>
      <c r="M30" s="395">
        <f ca="1">IFERROR(INDIRECT(CONCATENATE("Track1!o",A25+6)),"")</f>
        <v>31.3</v>
      </c>
      <c r="N30" s="108" t="str">
        <f ca="1">IFERROR(INDIRECT(CONCATENATE("Track1!p",A25+6)),"")</f>
        <v/>
      </c>
      <c r="T30" s="64">
        <f t="shared" ca="1" si="0"/>
        <v>3</v>
      </c>
      <c r="U30" s="64">
        <f t="shared" ca="1" si="1"/>
        <v>2</v>
      </c>
      <c r="V30" s="266">
        <f ca="1">IF(OR(D30=0,D30="",D30="Athlete"),"",COUNTIF($D$4:$D30,D30))</f>
        <v>1</v>
      </c>
      <c r="W30" s="266" t="str">
        <f t="shared" ca="1" si="2"/>
        <v>Wigan</v>
      </c>
      <c r="Z30" s="266">
        <f t="shared" ca="1" si="3"/>
        <v>0</v>
      </c>
    </row>
    <row r="31" spans="1:26" x14ac:dyDescent="0.35">
      <c r="B31" s="66">
        <f ca="1">IFERROR(INDIRECT(CONCATENATE("Track1!D",A25+7)),"")</f>
        <v>6</v>
      </c>
      <c r="C31" s="66">
        <f ca="1">IFERROR(INDIRECT(CONCATENATE("Track1!e",A25+7)),"")</f>
        <v>3</v>
      </c>
      <c r="D31" s="85" t="str">
        <f ca="1">IFERROR(INDIRECT(CONCATENATE("Track1!f",A25+7)),"")</f>
        <v>Hugo JAMES</v>
      </c>
      <c r="E31" s="85" t="str">
        <f ca="1">IFERROR(INDIRECT(CONCATENATE("Track1!g",A25+7)),"")</f>
        <v>Leigh</v>
      </c>
      <c r="F31" s="395">
        <f ca="1">IFERROR(INDIRECT(CONCATENATE("Track1!h",A25+7)),"")</f>
        <v>27.4</v>
      </c>
      <c r="G31" s="108">
        <f ca="1">IFERROR(INDIRECT(CONCATENATE("Track1!i",A25+7)),"")</f>
        <v>3</v>
      </c>
      <c r="H31" s="66"/>
      <c r="I31" s="66">
        <f ca="1">IFERROR(INDIRECT(CONCATENATE("Track1!k",A25+7)),"")</f>
        <v>6</v>
      </c>
      <c r="J31" s="66">
        <f ca="1">IFERROR(INDIRECT(CONCATENATE("Track1!l",A25+7)),"")</f>
        <v>33</v>
      </c>
      <c r="K31" s="85" t="str">
        <f ca="1">IFERROR(INDIRECT(CONCATENATE("Track1!m",A25+7)),"")</f>
        <v>Barnaby CROMBLEHOLME</v>
      </c>
      <c r="L31" s="85" t="str">
        <f ca="1">IFERROR(INDIRECT(CONCATENATE("Track1!n",A25+7)),"")</f>
        <v>Leigh</v>
      </c>
      <c r="M31" s="395">
        <f ca="1">IFERROR(INDIRECT(CONCATENATE("Track1!o",A25+7)),"")</f>
        <v>31.9</v>
      </c>
      <c r="N31" s="108" t="str">
        <f ca="1">IFERROR(INDIRECT(CONCATENATE("Track1!p",A25+7)),"")</f>
        <v/>
      </c>
      <c r="T31" s="64">
        <f t="shared" ca="1" si="0"/>
        <v>3</v>
      </c>
      <c r="U31" s="64">
        <f t="shared" ca="1" si="1"/>
        <v>3</v>
      </c>
      <c r="V31" s="266">
        <f ca="1">IF(OR(D31=0,D31="",D31="Athlete"),"",COUNTIF($D$4:$D31,D31))</f>
        <v>1</v>
      </c>
      <c r="W31" s="266" t="str">
        <f t="shared" ca="1" si="2"/>
        <v>Leigh</v>
      </c>
      <c r="Z31" s="266">
        <f t="shared" ca="1" si="3"/>
        <v>0</v>
      </c>
    </row>
    <row r="32" spans="1:26" x14ac:dyDescent="0.35">
      <c r="B32" s="66">
        <f ca="1">IFERROR(INDIRECT(CONCATENATE("Track1!D",A25+8)),"")</f>
        <v>7</v>
      </c>
      <c r="C32" s="66">
        <f ca="1">IFERROR(INDIRECT(CONCATENATE("Track1!e",A25+8)),"")</f>
        <v>5</v>
      </c>
      <c r="D32" s="85" t="str">
        <f ca="1">IFERROR(INDIRECT(CONCATENATE("Track1!f",A25+8)),"")</f>
        <v>Owain WILLIAMS</v>
      </c>
      <c r="E32" s="85" t="str">
        <f ca="1">IFERROR(INDIRECT(CONCATENATE("Track1!g",A25+8)),"")</f>
        <v>Menai</v>
      </c>
      <c r="F32" s="395">
        <f ca="1">IFERROR(INDIRECT(CONCATENATE("Track1!h",A25+8)),"")</f>
        <v>32.700000000000003</v>
      </c>
      <c r="G32" s="108" t="str">
        <f ca="1">IFERROR(INDIRECT(CONCATENATE("Track1!i",A25+8)),"")</f>
        <v/>
      </c>
      <c r="H32" s="66"/>
      <c r="I32" s="66">
        <f ca="1">IFERROR(INDIRECT(CONCATENATE("Track1!k",A25+8)),"")</f>
        <v>7</v>
      </c>
      <c r="J32" s="66">
        <f ca="1">IFERROR(INDIRECT(CONCATENATE("Track1!l",A25+8)),"")</f>
        <v>0</v>
      </c>
      <c r="K32" s="85" t="str">
        <f ca="1">IFERROR(INDIRECT(CONCATENATE("Track1!m",A25+8)),"")</f>
        <v/>
      </c>
      <c r="L32" s="85" t="str">
        <f ca="1">IFERROR(INDIRECT(CONCATENATE("Track1!n",A25+8)),"")</f>
        <v/>
      </c>
      <c r="M32" s="395">
        <f ca="1">IFERROR(INDIRECT(CONCATENATE("Track1!o",A25+8)),"")</f>
        <v>0</v>
      </c>
      <c r="N32" s="108" t="str">
        <f ca="1">IFERROR(INDIRECT(CONCATENATE("Track1!p",A25+8)),"")</f>
        <v/>
      </c>
      <c r="T32" s="64">
        <f t="shared" ca="1" si="0"/>
        <v>3</v>
      </c>
      <c r="U32" s="64" t="str">
        <f t="shared" ca="1" si="1"/>
        <v/>
      </c>
      <c r="V32" s="266">
        <f ca="1">IF(OR(D32=0,D32="",D32="Athlete"),"",COUNTIF($D$4:$D32,D32))</f>
        <v>1</v>
      </c>
      <c r="W32" s="266" t="str">
        <f t="shared" ca="1" si="2"/>
        <v>Menai</v>
      </c>
      <c r="Z32" s="266" t="str">
        <f t="shared" ca="1" si="3"/>
        <v/>
      </c>
    </row>
    <row r="33" spans="1:26" x14ac:dyDescent="0.35">
      <c r="B33" s="66">
        <f ca="1">IFERROR(INDIRECT(CONCATENATE("Track1!D",A25+9)),"")</f>
        <v>8</v>
      </c>
      <c r="C33" s="66">
        <f ca="1">IFERROR(INDIRECT(CONCATENATE("Track1!e",A25+9)),"")</f>
        <v>0</v>
      </c>
      <c r="D33" s="85" t="str">
        <f ca="1">IFERROR(INDIRECT(CONCATENATE("Track1!f",A25+9)),"")</f>
        <v/>
      </c>
      <c r="E33" s="85" t="str">
        <f ca="1">IFERROR(INDIRECT(CONCATENATE("Track1!g",A25+9)),"")</f>
        <v/>
      </c>
      <c r="F33" s="395">
        <f ca="1">IFERROR(INDIRECT(CONCATENATE("Track1!h",A25+9)),"")</f>
        <v>0</v>
      </c>
      <c r="G33" s="108" t="str">
        <f ca="1">IFERROR(INDIRECT(CONCATENATE("Track1!i",A25+9)),"")</f>
        <v/>
      </c>
      <c r="H33" s="66"/>
      <c r="I33" s="66">
        <f ca="1">IFERROR(INDIRECT(CONCATENATE("Track1!k",A25+9)),"")</f>
        <v>8</v>
      </c>
      <c r="J33" s="66">
        <f ca="1">IFERROR(INDIRECT(CONCATENATE("Track1!l",A25+9)),"")</f>
        <v>0</v>
      </c>
      <c r="K33" s="85" t="str">
        <f ca="1">IFERROR(INDIRECT(CONCATENATE("Track1!m",A25+9)),"")</f>
        <v/>
      </c>
      <c r="L33" s="85" t="str">
        <f ca="1">IFERROR(INDIRECT(CONCATENATE("Track1!n",A25+9)),"")</f>
        <v/>
      </c>
      <c r="M33" s="395">
        <f ca="1">IFERROR(INDIRECT(CONCATENATE("Track1!o",A25+9)),"")</f>
        <v>0</v>
      </c>
      <c r="N33" s="108" t="str">
        <f ca="1">IFERROR(INDIRECT(CONCATENATE("Track1!p",A25+9)),"")</f>
        <v/>
      </c>
      <c r="T33" s="64" t="str">
        <f t="shared" ca="1" si="0"/>
        <v/>
      </c>
      <c r="U33" s="64" t="str">
        <f t="shared" ca="1" si="1"/>
        <v/>
      </c>
      <c r="V33" s="266" t="str">
        <f ca="1">IF(OR(D33=0,D33="",D33="Athlete"),"",COUNTIF($D$4:$D33,D33))</f>
        <v/>
      </c>
      <c r="W33" s="266" t="str">
        <f t="shared" ca="1" si="2"/>
        <v/>
      </c>
      <c r="Z33" s="266" t="str">
        <f t="shared" ca="1" si="3"/>
        <v/>
      </c>
    </row>
    <row r="34" spans="1:26" x14ac:dyDescent="0.35">
      <c r="F34" s="395"/>
      <c r="M34" s="407"/>
      <c r="T34" s="64" t="str">
        <f t="shared" si="0"/>
        <v/>
      </c>
      <c r="U34" s="64" t="str">
        <f t="shared" si="1"/>
        <v/>
      </c>
      <c r="V34" s="266" t="str">
        <f>IF(OR(D34=0,D34="",D34="Athlete"),"",COUNTIF($D$4:$D34,D34))</f>
        <v/>
      </c>
      <c r="W34" s="266" t="str">
        <f t="shared" si="2"/>
        <v/>
      </c>
      <c r="Z34" s="266" t="str">
        <f t="shared" si="3"/>
        <v/>
      </c>
    </row>
    <row r="35" spans="1:26" x14ac:dyDescent="0.35">
      <c r="A35" s="66" t="s">
        <v>356</v>
      </c>
      <c r="B35" s="102" t="str">
        <f ca="1">IFERROR(INDIRECT(CONCATENATE("Track1!D",A36)),"")</f>
        <v>300m U15 Boys A</v>
      </c>
      <c r="F35" s="395">
        <f ca="1">IFERROR(INDIRECT(CONCATENATE("Track1!h",A36)),"")</f>
        <v>0</v>
      </c>
      <c r="G35" s="108" t="str">
        <f ca="1">IFERROR(INDIRECT(CONCATENATE("Track1!i",A36)),"")</f>
        <v/>
      </c>
      <c r="I35" s="102" t="str">
        <f ca="1">IFERROR(INDIRECT(CONCATENATE("Track1!k",A36)),"")</f>
        <v>300m U15 Boys B</v>
      </c>
      <c r="M35" s="407"/>
      <c r="T35" s="64" t="str">
        <f t="shared" si="0"/>
        <v/>
      </c>
      <c r="U35" s="64" t="str">
        <f t="shared" si="1"/>
        <v/>
      </c>
      <c r="V35" s="266" t="str">
        <f>IF(OR(D35=0,D35="",D35="Athlete"),"",COUNTIF($D$4:$D35,D35))</f>
        <v/>
      </c>
      <c r="W35" s="266" t="str">
        <f t="shared" si="2"/>
        <v/>
      </c>
      <c r="Z35" s="266" t="str">
        <f t="shared" ca="1" si="3"/>
        <v/>
      </c>
    </row>
    <row r="36" spans="1:26" x14ac:dyDescent="0.35">
      <c r="A36" s="66">
        <f>IFERROR(MATCH(A35,Track1!C:C,0),"")</f>
        <v>189</v>
      </c>
      <c r="B36" s="45" t="str">
        <f ca="1">IFERROR(INDIRECT(CONCATENATE("Track1!D",A36+1)),"")</f>
        <v>Posn</v>
      </c>
      <c r="C36" s="45" t="str">
        <f ca="1">IFERROR(INDIRECT(CONCATENATE("Track1!e",A36+1)),"")</f>
        <v>No.</v>
      </c>
      <c r="D36" s="139" t="str">
        <f ca="1">IFERROR(INDIRECT(CONCATENATE("Track1!f",A36+1)),"")</f>
        <v>Athlete</v>
      </c>
      <c r="E36" s="139" t="str">
        <f ca="1">IFERROR(INDIRECT(CONCATENATE("Track1!g",A36+1)),"")</f>
        <v>Club</v>
      </c>
      <c r="F36" s="392" t="str">
        <f ca="1">IFERROR(INDIRECT(CONCATENATE("Track1!h",A36+1)),"")</f>
        <v>Perf</v>
      </c>
      <c r="G36" s="167" t="str">
        <f ca="1">IFERROR(INDIRECT(CONCATENATE("Track1!i",A36+1)),"")</f>
        <v>EA</v>
      </c>
      <c r="H36" s="45"/>
      <c r="I36" s="45" t="str">
        <f ca="1">IFERROR(INDIRECT(CONCATENATE("Track1!k",A36+1)),"")</f>
        <v>Posn</v>
      </c>
      <c r="J36" s="45" t="str">
        <f ca="1">IFERROR(INDIRECT(CONCATENATE("Track1!l",A36+1)),"")</f>
        <v>No.</v>
      </c>
      <c r="K36" s="139" t="str">
        <f ca="1">IFERROR(INDIRECT(CONCATENATE("Track1!m",A36+1)),"")</f>
        <v>Athlete</v>
      </c>
      <c r="L36" s="139" t="str">
        <f ca="1">IFERROR(INDIRECT(CONCATENATE("Track1!n",A36+1)),"")</f>
        <v>Club</v>
      </c>
      <c r="M36" s="392" t="str">
        <f ca="1">IFERROR(INDIRECT(CONCATENATE("Track1!o",A36+1)),"")</f>
        <v>Perf</v>
      </c>
      <c r="N36" s="167" t="str">
        <f ca="1">IFERROR(INDIRECT(CONCATENATE("Track1!p",A36+1)),"")</f>
        <v>EA</v>
      </c>
      <c r="T36" s="64" t="str">
        <f t="shared" ca="1" si="0"/>
        <v/>
      </c>
      <c r="U36" s="64" t="str">
        <f t="shared" ca="1" si="1"/>
        <v/>
      </c>
      <c r="V36" s="266" t="str">
        <f ca="1">IF(OR(D36=0,D36="",D36="Athlete"),"",COUNTIF($D$4:$D36,D36))</f>
        <v/>
      </c>
      <c r="W36" s="266" t="str">
        <f t="shared" ca="1" si="2"/>
        <v/>
      </c>
      <c r="Z36" s="266">
        <f t="shared" ca="1" si="3"/>
        <v>0</v>
      </c>
    </row>
    <row r="37" spans="1:26" x14ac:dyDescent="0.35">
      <c r="B37" s="66">
        <f ca="1">IFERROR(INDIRECT(CONCATENATE("Track1!D",A36+2)),"")</f>
        <v>1</v>
      </c>
      <c r="C37" s="66">
        <f ca="1">IFERROR(INDIRECT(CONCATENATE("Track1!e",A36+2)),"")</f>
        <v>7</v>
      </c>
      <c r="D37" s="85" t="str">
        <f ca="1">IFERROR(INDIRECT(CONCATENATE("Track1!f",A36+2)),"")</f>
        <v>Joshua ROBERTS</v>
      </c>
      <c r="E37" s="85" t="str">
        <f ca="1">IFERROR(INDIRECT(CONCATENATE("Track1!g",A36+2)),"")</f>
        <v>Wigan</v>
      </c>
      <c r="F37" s="395">
        <f ca="1">IFERROR(INDIRECT(CONCATENATE("Track1!h",A36+2)),"")</f>
        <v>44.2</v>
      </c>
      <c r="G37" s="108">
        <f ca="1">IFERROR(INDIRECT(CONCATENATE("Track1!i",A36+2)),"")</f>
        <v>5</v>
      </c>
      <c r="H37" s="66"/>
      <c r="I37" s="66">
        <f ca="1">IFERROR(INDIRECT(CONCATENATE("Track1!k",A36+2)),"")</f>
        <v>1</v>
      </c>
      <c r="J37" s="66">
        <f ca="1">IFERROR(INDIRECT(CONCATENATE("Track1!l",A36+2)),"")</f>
        <v>66</v>
      </c>
      <c r="K37" s="85" t="str">
        <f ca="1">IFERROR(INDIRECT(CONCATENATE("Track1!m",A36+2)),"")</f>
        <v>Joshua KANDA</v>
      </c>
      <c r="L37" s="85" t="str">
        <f ca="1">IFERROR(INDIRECT(CONCATENATE("Track1!n",A36+2)),"")</f>
        <v>Stock</v>
      </c>
      <c r="M37" s="395">
        <f ca="1">IFERROR(INDIRECT(CONCATENATE("Track1!o",A36+2)),"")</f>
        <v>44.7</v>
      </c>
      <c r="N37" s="108">
        <f ca="1">IFERROR(INDIRECT(CONCATENATE("Track1!p",A36+2)),"")</f>
        <v>5</v>
      </c>
      <c r="R37" s="168">
        <f ca="1">IFERROR(INDIRECT(CONCATENATE("Track1!r",A36+2)),"")</f>
        <v>10</v>
      </c>
      <c r="T37" s="64">
        <f t="shared" ca="1" si="0"/>
        <v>3</v>
      </c>
      <c r="U37" s="64">
        <f t="shared" ca="1" si="1"/>
        <v>2</v>
      </c>
      <c r="V37" s="266">
        <f ca="1">IF(OR(D37=0,D37="",D37="Athlete"),"",COUNTIF($D$4:$D37,D37))</f>
        <v>2</v>
      </c>
      <c r="W37" s="266" t="str">
        <f t="shared" ca="1" si="2"/>
        <v>Wigan</v>
      </c>
      <c r="Z37" s="266">
        <f t="shared" ca="1" si="3"/>
        <v>0</v>
      </c>
    </row>
    <row r="38" spans="1:26" x14ac:dyDescent="0.35">
      <c r="B38" s="66">
        <f ca="1">IFERROR(INDIRECT(CONCATENATE("Track1!D",A36+3)),"")</f>
        <v>2</v>
      </c>
      <c r="C38" s="66">
        <f ca="1">IFERROR(INDIRECT(CONCATENATE("Track1!e",A36+3)),"")</f>
        <v>2</v>
      </c>
      <c r="D38" s="85" t="str">
        <f ca="1">IFERROR(INDIRECT(CONCATENATE("Track1!f",A36+3)),"")</f>
        <v>Alfie MANSER</v>
      </c>
      <c r="E38" s="85" t="str">
        <f ca="1">IFERROR(INDIRECT(CONCATENATE("Track1!g",A36+3)),"")</f>
        <v>ECHT</v>
      </c>
      <c r="F38" s="395">
        <f ca="1">IFERROR(INDIRECT(CONCATENATE("Track1!h",A36+3)),"")</f>
        <v>45.8</v>
      </c>
      <c r="G38" s="108">
        <f ca="1">IFERROR(INDIRECT(CONCATENATE("Track1!i",A36+3)),"")</f>
        <v>4</v>
      </c>
      <c r="H38" s="66"/>
      <c r="I38" s="66">
        <f ca="1">IFERROR(INDIRECT(CONCATENATE("Track1!k",A36+3)),"")</f>
        <v>2</v>
      </c>
      <c r="J38" s="66">
        <f ca="1">IFERROR(INDIRECT(CONCATENATE("Track1!l",A36+3)),"")</f>
        <v>22</v>
      </c>
      <c r="K38" s="85" t="str">
        <f ca="1">IFERROR(INDIRECT(CONCATENATE("Track1!m",A36+3)),"")</f>
        <v>Sebastian STEWART</v>
      </c>
      <c r="L38" s="85" t="str">
        <f ca="1">IFERROR(INDIRECT(CONCATENATE("Track1!n",A36+3)),"")</f>
        <v>ECHT</v>
      </c>
      <c r="M38" s="395">
        <f ca="1">IFERROR(INDIRECT(CONCATENATE("Track1!o",A36+3)),"")</f>
        <v>47.2</v>
      </c>
      <c r="N38" s="108">
        <f ca="1">IFERROR(INDIRECT(CONCATENATE("Track1!p",A36+3)),"")</f>
        <v>3</v>
      </c>
      <c r="T38" s="64">
        <f t="shared" ca="1" si="0"/>
        <v>2</v>
      </c>
      <c r="U38" s="64">
        <f t="shared" ca="1" si="1"/>
        <v>3</v>
      </c>
      <c r="V38" s="266">
        <f ca="1">IF(OR(D38=0,D38="",D38="Athlete"),"",COUNTIF($D$4:$D38,D38))</f>
        <v>1</v>
      </c>
      <c r="W38" s="266" t="str">
        <f t="shared" ca="1" si="2"/>
        <v>ECHT</v>
      </c>
      <c r="Z38" s="266">
        <f t="shared" ca="1" si="3"/>
        <v>0</v>
      </c>
    </row>
    <row r="39" spans="1:26" x14ac:dyDescent="0.35">
      <c r="B39" s="66">
        <f ca="1">IFERROR(INDIRECT(CONCATENATE("Track1!D",A36+4)),"")</f>
        <v>3</v>
      </c>
      <c r="C39" s="66">
        <f ca="1">IFERROR(INDIRECT(CONCATENATE("Track1!e",A36+4)),"")</f>
        <v>6</v>
      </c>
      <c r="D39" s="85" t="str">
        <f ca="1">IFERROR(INDIRECT(CONCATENATE("Track1!f",A36+4)),"")</f>
        <v>Arthur WOLSTENHOLME</v>
      </c>
      <c r="E39" s="85" t="str">
        <f ca="1">IFERROR(INDIRECT(CONCATENATE("Track1!g",A36+4)),"")</f>
        <v>Stock</v>
      </c>
      <c r="F39" s="395">
        <f ca="1">IFERROR(INDIRECT(CONCATENATE("Track1!h",A36+4)),"")</f>
        <v>46.3</v>
      </c>
      <c r="G39" s="108">
        <f ca="1">IFERROR(INDIRECT(CONCATENATE("Track1!i",A36+4)),"")</f>
        <v>4</v>
      </c>
      <c r="H39" s="66"/>
      <c r="I39" s="66">
        <f ca="1">IFERROR(INDIRECT(CONCATENATE("Track1!k",A36+4)),"")</f>
        <v>3</v>
      </c>
      <c r="J39" s="66">
        <f ca="1">IFERROR(INDIRECT(CONCATENATE("Track1!l",A36+4)),"")</f>
        <v>11</v>
      </c>
      <c r="K39" s="85" t="str">
        <f ca="1">IFERROR(INDIRECT(CONCATENATE("Track1!m",A36+4)),"")</f>
        <v>Sam FIRMAN</v>
      </c>
      <c r="L39" s="85" t="str">
        <f ca="1">IFERROR(INDIRECT(CONCATENATE("Track1!n",A36+4)),"")</f>
        <v>C&amp;N</v>
      </c>
      <c r="M39" s="395">
        <f ca="1">IFERROR(INDIRECT(CONCATENATE("Track1!o",A36+4)),"")</f>
        <v>51.2</v>
      </c>
      <c r="N39" s="108" t="str">
        <f ca="1">IFERROR(INDIRECT(CONCATENATE("Track1!p",A36+4)),"")</f>
        <v/>
      </c>
      <c r="T39" s="64">
        <f t="shared" ca="1" si="0"/>
        <v>3</v>
      </c>
      <c r="U39" s="64">
        <f t="shared" ca="1" si="1"/>
        <v>3</v>
      </c>
      <c r="V39" s="266">
        <f ca="1">IF(OR(D39=0,D39="",D39="Athlete"),"",COUNTIF($D$4:$D39,D39))</f>
        <v>1</v>
      </c>
      <c r="W39" s="266" t="str">
        <f t="shared" ca="1" si="2"/>
        <v>Stock</v>
      </c>
      <c r="Z39" s="266">
        <f t="shared" ca="1" si="3"/>
        <v>0</v>
      </c>
    </row>
    <row r="40" spans="1:26" x14ac:dyDescent="0.35">
      <c r="B40" s="66">
        <f ca="1">IFERROR(INDIRECT(CONCATENATE("Track1!D",A36+5)),"")</f>
        <v>4</v>
      </c>
      <c r="C40" s="66">
        <f ca="1">IFERROR(INDIRECT(CONCATENATE("Track1!e",A36+5)),"")</f>
        <v>5</v>
      </c>
      <c r="D40" s="85" t="str">
        <f ca="1">IFERROR(INDIRECT(CONCATENATE("Track1!f",A36+5)),"")</f>
        <v>Alex BAYNHAM</v>
      </c>
      <c r="E40" s="85" t="str">
        <f ca="1">IFERROR(INDIRECT(CONCATENATE("Track1!g",A36+5)),"")</f>
        <v>Menai</v>
      </c>
      <c r="F40" s="395">
        <f ca="1">IFERROR(INDIRECT(CONCATENATE("Track1!h",A36+5)),"")</f>
        <v>46.6</v>
      </c>
      <c r="G40" s="108">
        <f ca="1">IFERROR(INDIRECT(CONCATENATE("Track1!i",A36+5)),"")</f>
        <v>4</v>
      </c>
      <c r="H40" s="66"/>
      <c r="I40" s="66">
        <f ca="1">IFERROR(INDIRECT(CONCATENATE("Track1!k",A36+5)),"")</f>
        <v>4</v>
      </c>
      <c r="J40" s="66">
        <f ca="1">IFERROR(INDIRECT(CONCATENATE("Track1!l",A36+5)),"")</f>
        <v>0</v>
      </c>
      <c r="K40" s="85" t="str">
        <f ca="1">IFERROR(INDIRECT(CONCATENATE("Track1!m",A36+5)),"")</f>
        <v/>
      </c>
      <c r="L40" s="85" t="str">
        <f ca="1">IFERROR(INDIRECT(CONCATENATE("Track1!n",A36+5)),"")</f>
        <v/>
      </c>
      <c r="M40" s="395">
        <f ca="1">IFERROR(INDIRECT(CONCATENATE("Track1!o",A36+5)),"")</f>
        <v>0</v>
      </c>
      <c r="N40" s="108" t="str">
        <f ca="1">IFERROR(INDIRECT(CONCATENATE("Track1!p",A36+5)),"")</f>
        <v/>
      </c>
      <c r="T40" s="64">
        <f t="shared" ca="1" si="0"/>
        <v>3</v>
      </c>
      <c r="U40" s="64" t="str">
        <f t="shared" ca="1" si="1"/>
        <v/>
      </c>
      <c r="V40" s="266">
        <f ca="1">IF(OR(D40=0,D40="",D40="Athlete"),"",COUNTIF($D$4:$D40,D40))</f>
        <v>1</v>
      </c>
      <c r="W40" s="266" t="str">
        <f t="shared" ca="1" si="2"/>
        <v>Menai</v>
      </c>
      <c r="Z40" s="266">
        <f t="shared" ca="1" si="3"/>
        <v>0</v>
      </c>
    </row>
    <row r="41" spans="1:26" x14ac:dyDescent="0.35">
      <c r="B41" s="66">
        <f ca="1">IFERROR(INDIRECT(CONCATENATE("Track1!D",A36+6)),"")</f>
        <v>5</v>
      </c>
      <c r="C41" s="66">
        <f ca="1">IFERROR(INDIRECT(CONCATENATE("Track1!e",A36+6)),"")</f>
        <v>3</v>
      </c>
      <c r="D41" s="85" t="str">
        <f ca="1">IFERROR(INDIRECT(CONCATENATE("Track1!f",A36+6)),"")</f>
        <v>Archer GILDART</v>
      </c>
      <c r="E41" s="85" t="str">
        <f ca="1">IFERROR(INDIRECT(CONCATENATE("Track1!g",A36+6)),"")</f>
        <v>Leigh</v>
      </c>
      <c r="F41" s="395">
        <f ca="1">IFERROR(INDIRECT(CONCATENATE("Track1!h",A36+6)),"")</f>
        <v>46.8</v>
      </c>
      <c r="G41" s="108">
        <f ca="1">IFERROR(INDIRECT(CONCATENATE("Track1!i",A36+6)),"")</f>
        <v>4</v>
      </c>
      <c r="H41" s="66"/>
      <c r="I41" s="66">
        <f ca="1">IFERROR(INDIRECT(CONCATENATE("Track1!k",A36+6)),"")</f>
        <v>5</v>
      </c>
      <c r="J41" s="66">
        <f ca="1">IFERROR(INDIRECT(CONCATENATE("Track1!l",A36+6)),"")</f>
        <v>0</v>
      </c>
      <c r="K41" s="85" t="str">
        <f ca="1">IFERROR(INDIRECT(CONCATENATE("Track1!m",A36+6)),"")</f>
        <v/>
      </c>
      <c r="L41" s="85" t="str">
        <f ca="1">IFERROR(INDIRECT(CONCATENATE("Track1!n",A36+6)),"")</f>
        <v/>
      </c>
      <c r="M41" s="395">
        <f ca="1">IFERROR(INDIRECT(CONCATENATE("Track1!o",A36+6)),"")</f>
        <v>0</v>
      </c>
      <c r="N41" s="108" t="str">
        <f ca="1">IFERROR(INDIRECT(CONCATENATE("Track1!p",A36+6)),"")</f>
        <v/>
      </c>
      <c r="T41" s="64">
        <f t="shared" ca="1" si="0"/>
        <v>3</v>
      </c>
      <c r="U41" s="64" t="str">
        <f t="shared" ca="1" si="1"/>
        <v/>
      </c>
      <c r="V41" s="266">
        <f ca="1">IF(OR(D41=0,D41="",D41="Athlete"),"",COUNTIF($D$4:$D41,D41))</f>
        <v>1</v>
      </c>
      <c r="W41" s="266" t="str">
        <f t="shared" ca="1" si="2"/>
        <v>Leigh</v>
      </c>
      <c r="Z41" s="266">
        <f t="shared" ca="1" si="3"/>
        <v>0</v>
      </c>
    </row>
    <row r="42" spans="1:26" x14ac:dyDescent="0.35">
      <c r="B42" s="66">
        <f ca="1">IFERROR(INDIRECT(CONCATENATE("Track1!D",A36+7)),"")</f>
        <v>6</v>
      </c>
      <c r="C42" s="66">
        <f ca="1">IFERROR(INDIRECT(CONCATENATE("Track1!e",A36+7)),"")</f>
        <v>1</v>
      </c>
      <c r="D42" s="85" t="str">
        <f ca="1">IFERROR(INDIRECT(CONCATENATE("Track1!f",A36+7)),"")</f>
        <v>Oliver BORG-HEFFERNAN</v>
      </c>
      <c r="E42" s="85" t="str">
        <f ca="1">IFERROR(INDIRECT(CONCATENATE("Track1!g",A36+7)),"")</f>
        <v>C&amp;N</v>
      </c>
      <c r="F42" s="395">
        <f ca="1">IFERROR(INDIRECT(CONCATENATE("Track1!h",A36+7)),"")</f>
        <v>47.2</v>
      </c>
      <c r="G42" s="108">
        <f ca="1">IFERROR(INDIRECT(CONCATENATE("Track1!i",A36+7)),"")</f>
        <v>3</v>
      </c>
      <c r="H42" s="66"/>
      <c r="I42" s="66">
        <f ca="1">IFERROR(INDIRECT(CONCATENATE("Track1!k",A36+7)),"")</f>
        <v>6</v>
      </c>
      <c r="J42" s="66">
        <f ca="1">IFERROR(INDIRECT(CONCATENATE("Track1!l",A36+7)),"")</f>
        <v>0</v>
      </c>
      <c r="K42" s="85" t="str">
        <f ca="1">IFERROR(INDIRECT(CONCATENATE("Track1!m",A36+7)),"")</f>
        <v/>
      </c>
      <c r="L42" s="85" t="str">
        <f ca="1">IFERROR(INDIRECT(CONCATENATE("Track1!n",A36+7)),"")</f>
        <v/>
      </c>
      <c r="M42" s="395">
        <f ca="1">IFERROR(INDIRECT(CONCATENATE("Track1!o",A36+7)),"")</f>
        <v>0</v>
      </c>
      <c r="N42" s="108" t="str">
        <f ca="1">IFERROR(INDIRECT(CONCATENATE("Track1!p",A36+7)),"")</f>
        <v/>
      </c>
      <c r="T42" s="64">
        <f t="shared" ca="1" si="0"/>
        <v>3</v>
      </c>
      <c r="U42" s="64" t="str">
        <f t="shared" ca="1" si="1"/>
        <v/>
      </c>
      <c r="V42" s="266">
        <f ca="1">IF(OR(D42=0,D42="",D42="Athlete"),"",COUNTIF($D$4:$D42,D42))</f>
        <v>1</v>
      </c>
      <c r="W42" s="266" t="str">
        <f t="shared" ca="1" si="2"/>
        <v>C&amp;N</v>
      </c>
      <c r="Z42" s="266">
        <f t="shared" ca="1" si="3"/>
        <v>0</v>
      </c>
    </row>
    <row r="43" spans="1:26" x14ac:dyDescent="0.35">
      <c r="B43" s="66">
        <f ca="1">IFERROR(INDIRECT(CONCATENATE("Track1!D",A36+8)),"")</f>
        <v>7</v>
      </c>
      <c r="C43" s="66">
        <f ca="1">IFERROR(INDIRECT(CONCATENATE("Track1!e",A36+8)),"")</f>
        <v>4</v>
      </c>
      <c r="D43" s="85" t="str">
        <f ca="1">IFERROR(INDIRECT(CONCATENATE("Track1!f",A36+8)),"")</f>
        <v>Douglas POINTON</v>
      </c>
      <c r="E43" s="85" t="str">
        <f ca="1">IFERROR(INDIRECT(CONCATENATE("Track1!g",A36+8)),"")</f>
        <v>Macc</v>
      </c>
      <c r="F43" s="395">
        <f ca="1">IFERROR(INDIRECT(CONCATENATE("Track1!h",A36+8)),"")</f>
        <v>48.6</v>
      </c>
      <c r="G43" s="108">
        <f ca="1">IFERROR(INDIRECT(CONCATENATE("Track1!i",A36+8)),"")</f>
        <v>3</v>
      </c>
      <c r="H43" s="66"/>
      <c r="I43" s="66">
        <f ca="1">IFERROR(INDIRECT(CONCATENATE("Track1!k",A36+8)),"")</f>
        <v>7</v>
      </c>
      <c r="J43" s="66">
        <f ca="1">IFERROR(INDIRECT(CONCATENATE("Track1!l",A36+8)),"")</f>
        <v>0</v>
      </c>
      <c r="K43" s="85" t="str">
        <f ca="1">IFERROR(INDIRECT(CONCATENATE("Track1!m",A36+8)),"")</f>
        <v/>
      </c>
      <c r="L43" s="85" t="str">
        <f ca="1">IFERROR(INDIRECT(CONCATENATE("Track1!n",A36+8)),"")</f>
        <v/>
      </c>
      <c r="M43" s="395">
        <f ca="1">IFERROR(INDIRECT(CONCATENATE("Track1!o",A36+8)),"")</f>
        <v>0</v>
      </c>
      <c r="N43" s="108" t="str">
        <f ca="1">IFERROR(INDIRECT(CONCATENATE("Track1!p",A36+8)),"")</f>
        <v/>
      </c>
      <c r="T43" s="64">
        <f t="shared" ca="1" si="0"/>
        <v>2</v>
      </c>
      <c r="U43" s="64" t="str">
        <f t="shared" ca="1" si="1"/>
        <v/>
      </c>
      <c r="V43" s="266">
        <f ca="1">IF(OR(D43=0,D43="",D43="Athlete"),"",COUNTIF($D$4:$D43,D43))</f>
        <v>1</v>
      </c>
      <c r="W43" s="266" t="str">
        <f t="shared" ca="1" si="2"/>
        <v>Macc</v>
      </c>
      <c r="Z43" s="266">
        <f t="shared" ca="1" si="3"/>
        <v>0</v>
      </c>
    </row>
    <row r="44" spans="1:26" x14ac:dyDescent="0.35">
      <c r="B44" s="66">
        <f ca="1">IFERROR(INDIRECT(CONCATENATE("Track1!D",A36+9)),"")</f>
        <v>8</v>
      </c>
      <c r="C44" s="66">
        <f ca="1">IFERROR(INDIRECT(CONCATENATE("Track1!e",A36+9)),"")</f>
        <v>0</v>
      </c>
      <c r="D44" s="85" t="str">
        <f ca="1">IFERROR(INDIRECT(CONCATENATE("Track1!f",A36+9)),"")</f>
        <v/>
      </c>
      <c r="E44" s="85" t="str">
        <f ca="1">IFERROR(INDIRECT(CONCATENATE("Track1!g",A36+9)),"")</f>
        <v/>
      </c>
      <c r="F44" s="395">
        <f ca="1">IFERROR(INDIRECT(CONCATENATE("Track1!h",A36+9)),"")</f>
        <v>0</v>
      </c>
      <c r="G44" s="108" t="str">
        <f ca="1">IFERROR(INDIRECT(CONCATENATE("Track1!i",A36+9)),"")</f>
        <v/>
      </c>
      <c r="H44" s="66"/>
      <c r="I44" s="66">
        <f ca="1">IFERROR(INDIRECT(CONCATENATE("Track1!k",A36+9)),"")</f>
        <v>8</v>
      </c>
      <c r="J44" s="66">
        <f ca="1">IFERROR(INDIRECT(CONCATENATE("Track1!l",A36+9)),"")</f>
        <v>0</v>
      </c>
      <c r="K44" s="85" t="str">
        <f ca="1">IFERROR(INDIRECT(CONCATENATE("Track1!m",A36+9)),"")</f>
        <v/>
      </c>
      <c r="L44" s="85" t="str">
        <f ca="1">IFERROR(INDIRECT(CONCATENATE("Track1!n",A36+9)),"")</f>
        <v/>
      </c>
      <c r="M44" s="395">
        <f ca="1">IFERROR(INDIRECT(CONCATENATE("Track1!o",A36+9)),"")</f>
        <v>0</v>
      </c>
      <c r="N44" s="108" t="str">
        <f ca="1">IFERROR(INDIRECT(CONCATENATE("Track1!p",A36+9)),"")</f>
        <v/>
      </c>
      <c r="T44" s="64" t="str">
        <f t="shared" ca="1" si="0"/>
        <v/>
      </c>
      <c r="U44" s="64" t="str">
        <f t="shared" ca="1" si="1"/>
        <v/>
      </c>
      <c r="V44" s="266" t="str">
        <f ca="1">IF(OR(D44=0,D44="",D44="Athlete"),"",COUNTIF($D$4:$D44,D44))</f>
        <v/>
      </c>
      <c r="W44" s="266" t="str">
        <f t="shared" ca="1" si="2"/>
        <v/>
      </c>
      <c r="Z44" s="266" t="str">
        <f t="shared" ca="1" si="3"/>
        <v/>
      </c>
    </row>
    <row r="45" spans="1:26" x14ac:dyDescent="0.35">
      <c r="T45" s="64" t="str">
        <f t="shared" si="0"/>
        <v/>
      </c>
      <c r="U45" s="64" t="str">
        <f t="shared" si="1"/>
        <v/>
      </c>
      <c r="V45" s="266" t="str">
        <f>IF(OR(D45=0,D45="",D45="Athlete"),"",COUNTIF($D$4:$D45,D45))</f>
        <v/>
      </c>
      <c r="W45" s="266" t="str">
        <f t="shared" si="2"/>
        <v/>
      </c>
      <c r="Z45" s="266" t="str">
        <f t="shared" si="3"/>
        <v/>
      </c>
    </row>
    <row r="46" spans="1:26" x14ac:dyDescent="0.35">
      <c r="A46" s="66" t="s">
        <v>351</v>
      </c>
      <c r="B46" s="102" t="str">
        <f ca="1">IFERROR(INDIRECT(CONCATENATE("Track1!D",A47)),"")</f>
        <v>800m U15 Boys A</v>
      </c>
      <c r="F46" s="195">
        <f ca="1">IFERROR(INDIRECT(CONCATENATE("Track1!h",A47)),"")</f>
        <v>0</v>
      </c>
      <c r="G46" s="108" t="str">
        <f ca="1">IFERROR(INDIRECT(CONCATENATE("Track1!i",A47)),"")</f>
        <v/>
      </c>
      <c r="I46" s="102" t="str">
        <f ca="1">IFERROR(INDIRECT(CONCATENATE("Track1!k",A47)),"")</f>
        <v>800m U15 Boys B</v>
      </c>
      <c r="T46" s="64" t="str">
        <f t="shared" si="0"/>
        <v/>
      </c>
      <c r="U46" s="64" t="str">
        <f t="shared" si="1"/>
        <v/>
      </c>
      <c r="V46" s="266" t="str">
        <f>IF(OR(D46=0,D46="",D46="Athlete"),"",COUNTIF($D$4:$D46,D46))</f>
        <v/>
      </c>
      <c r="W46" s="266" t="str">
        <f t="shared" si="2"/>
        <v/>
      </c>
      <c r="Z46" s="266" t="str">
        <f t="shared" ca="1" si="3"/>
        <v/>
      </c>
    </row>
    <row r="47" spans="1:26" x14ac:dyDescent="0.35">
      <c r="A47" s="66">
        <f>IFERROR(MATCH(A46,Track1!C:C,0),"")</f>
        <v>233</v>
      </c>
      <c r="B47" s="45" t="str">
        <f ca="1">IFERROR(INDIRECT(CONCATENATE("Track1!D",A47+1)),"")</f>
        <v>Posn</v>
      </c>
      <c r="C47" s="45" t="str">
        <f ca="1">IFERROR(INDIRECT(CONCATENATE("Track1!e",A47+1)),"")</f>
        <v>No.</v>
      </c>
      <c r="D47" s="139" t="str">
        <f ca="1">IFERROR(INDIRECT(CONCATENATE("Track1!f",A47+1)),"")</f>
        <v>Athlete</v>
      </c>
      <c r="E47" s="139" t="str">
        <f ca="1">IFERROR(INDIRECT(CONCATENATE("Track1!g",A47+1)),"")</f>
        <v>Club</v>
      </c>
      <c r="F47" s="133" t="str">
        <f ca="1">IFERROR(INDIRECT(CONCATENATE("Track1!h",A47+1)),"")</f>
        <v>Perf</v>
      </c>
      <c r="G47" s="167" t="str">
        <f ca="1">IFERROR(INDIRECT(CONCATENATE("Track1!i",A47+1)),"")</f>
        <v>EA</v>
      </c>
      <c r="H47" s="45"/>
      <c r="I47" s="45" t="str">
        <f ca="1">IFERROR(INDIRECT(CONCATENATE("Track1!k",A47+1)),"")</f>
        <v>Posn</v>
      </c>
      <c r="J47" s="45" t="str">
        <f ca="1">IFERROR(INDIRECT(CONCATENATE("Track1!l",A47+1)),"")</f>
        <v>No.</v>
      </c>
      <c r="K47" s="139" t="str">
        <f ca="1">IFERROR(INDIRECT(CONCATENATE("Track1!m",A47+1)),"")</f>
        <v>Athlete</v>
      </c>
      <c r="L47" s="139" t="str">
        <f ca="1">IFERROR(INDIRECT(CONCATENATE("Track1!n",A47+1)),"")</f>
        <v>Club</v>
      </c>
      <c r="M47" s="133" t="str">
        <f ca="1">IFERROR(INDIRECT(CONCATENATE("Track1!o",A47+1)),"")</f>
        <v>Perf</v>
      </c>
      <c r="N47" s="167" t="str">
        <f ca="1">IFERROR(INDIRECT(CONCATENATE("Track1!p",A47+1)),"")</f>
        <v>EA</v>
      </c>
      <c r="T47" s="64" t="str">
        <f t="shared" ca="1" si="0"/>
        <v/>
      </c>
      <c r="U47" s="64" t="str">
        <f t="shared" ca="1" si="1"/>
        <v/>
      </c>
      <c r="V47" s="266" t="str">
        <f ca="1">IF(OR(D47=0,D47="",D47="Athlete"),"",COUNTIF($D$4:$D47,D47))</f>
        <v/>
      </c>
      <c r="W47" s="266" t="str">
        <f t="shared" ca="1" si="2"/>
        <v/>
      </c>
      <c r="Z47" s="266">
        <f t="shared" ca="1" si="3"/>
        <v>0</v>
      </c>
    </row>
    <row r="48" spans="1:26" x14ac:dyDescent="0.35">
      <c r="B48" s="66">
        <f ca="1">IFERROR(INDIRECT(CONCATENATE("Track1!D",A47+2)),"")</f>
        <v>1</v>
      </c>
      <c r="C48" s="66">
        <f ca="1">IFERROR(INDIRECT(CONCATENATE("Track1!e",A47+2)),"")</f>
        <v>3</v>
      </c>
      <c r="D48" s="85" t="str">
        <f ca="1">IFERROR(INDIRECT(CONCATENATE("Track1!f",A47+2)),"")</f>
        <v>Thomas AMARAL</v>
      </c>
      <c r="E48" s="85" t="str">
        <f ca="1">IFERROR(INDIRECT(CONCATENATE("Track1!g",A47+2)),"")</f>
        <v>Leigh</v>
      </c>
      <c r="F48" s="96">
        <f ca="1">IFERROR(INDIRECT(CONCATENATE("Track1!v",A47+2)),"")</f>
        <v>1.5219907407407411E-3</v>
      </c>
      <c r="G48" s="108">
        <f ca="1">IFERROR(INDIRECT(CONCATENATE("Track1!i",A47+2)),"")</f>
        <v>7</v>
      </c>
      <c r="H48" s="66"/>
      <c r="I48" s="66">
        <f ca="1">IFERROR(INDIRECT(CONCATENATE("Track1!k",A47+2)),"")</f>
        <v>1</v>
      </c>
      <c r="J48" s="66">
        <f ca="1">IFERROR(INDIRECT(CONCATENATE("Track1!l",A47+2)),"")</f>
        <v>33</v>
      </c>
      <c r="K48" s="85" t="str">
        <f ca="1">IFERROR(INDIRECT(CONCATENATE("Track1!m",A47+2)),"")</f>
        <v>Archer GILDART</v>
      </c>
      <c r="L48" s="85" t="str">
        <f ca="1">IFERROR(INDIRECT(CONCATENATE("Track1!n",A47+2)),"")</f>
        <v>Leigh</v>
      </c>
      <c r="M48" s="96">
        <f ca="1">IFERROR(INDIRECT(CONCATENATE("Track1!w",A47+2)),"")</f>
        <v>1.7141203703703706E-3</v>
      </c>
      <c r="N48" s="108">
        <f ca="1">IFERROR(INDIRECT(CONCATENATE("Track1!p",A47+2)),"")</f>
        <v>2</v>
      </c>
      <c r="R48" s="168">
        <f ca="1">IFERROR(INDIRECT(CONCATENATE("Track1!r",A47+2)),"")</f>
        <v>10</v>
      </c>
      <c r="T48" s="64">
        <f t="shared" ca="1" si="0"/>
        <v>1</v>
      </c>
      <c r="U48" s="64">
        <f t="shared" ca="1" si="1"/>
        <v>3</v>
      </c>
      <c r="V48" s="266">
        <f ca="1">IF(OR(D48=0,D48="",D48="Athlete"),"",COUNTIF($D$4:$D48,D48))</f>
        <v>1</v>
      </c>
      <c r="W48" s="266" t="str">
        <f t="shared" ca="1" si="2"/>
        <v>Leigh</v>
      </c>
      <c r="Z48" s="266">
        <f t="shared" ca="1" si="3"/>
        <v>0</v>
      </c>
    </row>
    <row r="49" spans="1:26" x14ac:dyDescent="0.35">
      <c r="B49" s="66">
        <f ca="1">IFERROR(INDIRECT(CONCATENATE("Track1!D",A47+3)),"")</f>
        <v>2</v>
      </c>
      <c r="C49" s="66">
        <f ca="1">IFERROR(INDIRECT(CONCATENATE("Track1!e",A47+3)),"")</f>
        <v>6</v>
      </c>
      <c r="D49" s="85" t="str">
        <f ca="1">IFERROR(INDIRECT(CONCATENATE("Track1!f",A47+3)),"")</f>
        <v>Arthur WOLSTENHOLME</v>
      </c>
      <c r="E49" s="85" t="str">
        <f ca="1">IFERROR(INDIRECT(CONCATENATE("Track1!g",A47+3)),"")</f>
        <v>Stock</v>
      </c>
      <c r="F49" s="96">
        <f ca="1">IFERROR(INDIRECT(CONCATENATE("Track1!v",A47+3)),"")</f>
        <v>1.5937499999999999E-3</v>
      </c>
      <c r="G49" s="108">
        <f ca="1">IFERROR(INDIRECT(CONCATENATE("Track1!i",A47+3)),"")</f>
        <v>5</v>
      </c>
      <c r="H49" s="66"/>
      <c r="I49" s="66">
        <f ca="1">IFERROR(INDIRECT(CONCATENATE("Track1!k",A47+3)),"")</f>
        <v>2</v>
      </c>
      <c r="J49" s="66">
        <f ca="1">IFERROR(INDIRECT(CONCATENATE("Track1!l",A47+3)),"")</f>
        <v>22</v>
      </c>
      <c r="K49" s="85" t="str">
        <f ca="1">IFERROR(INDIRECT(CONCATENATE("Track1!m",A47+3)),"")</f>
        <v>Sebastian STEWART</v>
      </c>
      <c r="L49" s="85" t="str">
        <f ca="1">IFERROR(INDIRECT(CONCATENATE("Track1!n",A47+3)),"")</f>
        <v>ECHT</v>
      </c>
      <c r="M49" s="96">
        <f ca="1">IFERROR(INDIRECT(CONCATENATE("Track1!w",A47+3)),"")</f>
        <v>1.8263888888888891E-3</v>
      </c>
      <c r="N49" s="108" t="str">
        <f ca="1">IFERROR(INDIRECT(CONCATENATE("Track1!p",A47+3)),"")</f>
        <v/>
      </c>
      <c r="T49" s="64">
        <f t="shared" ca="1" si="0"/>
        <v>3</v>
      </c>
      <c r="U49" s="64">
        <f t="shared" ca="1" si="1"/>
        <v>3</v>
      </c>
      <c r="V49" s="266">
        <f ca="1">IF(OR(D49=0,D49="",D49="Athlete"),"",COUNTIF($D$4:$D49,D49))</f>
        <v>2</v>
      </c>
      <c r="W49" s="266" t="str">
        <f t="shared" ca="1" si="2"/>
        <v>Stock</v>
      </c>
      <c r="Z49" s="266">
        <f t="shared" ca="1" si="3"/>
        <v>0</v>
      </c>
    </row>
    <row r="50" spans="1:26" x14ac:dyDescent="0.35">
      <c r="B50" s="66">
        <f ca="1">IFERROR(INDIRECT(CONCATENATE("Track1!D",A47+4)),"")</f>
        <v>3</v>
      </c>
      <c r="C50" s="66">
        <f ca="1">IFERROR(INDIRECT(CONCATENATE("Track1!e",A47+4)),"")</f>
        <v>2</v>
      </c>
      <c r="D50" s="85" t="str">
        <f ca="1">IFERROR(INDIRECT(CONCATENATE("Track1!f",A47+4)),"")</f>
        <v>Alfie MANSER</v>
      </c>
      <c r="E50" s="85" t="str">
        <f ca="1">IFERROR(INDIRECT(CONCATENATE("Track1!g",A47+4)),"")</f>
        <v>ECHT</v>
      </c>
      <c r="F50" s="96">
        <f ca="1">IFERROR(INDIRECT(CONCATENATE("Track1!v",A47+4)),"")</f>
        <v>1.6018518518518519E-3</v>
      </c>
      <c r="G50" s="108">
        <f ca="1">IFERROR(INDIRECT(CONCATENATE("Track1!i",A47+4)),"")</f>
        <v>4</v>
      </c>
      <c r="H50" s="66"/>
      <c r="I50" s="66">
        <f ca="1">IFERROR(INDIRECT(CONCATENATE("Track1!k",A47+4)),"")</f>
        <v>3</v>
      </c>
      <c r="J50" s="66">
        <f ca="1">IFERROR(INDIRECT(CONCATENATE("Track1!l",A47+4)),"")</f>
        <v>11</v>
      </c>
      <c r="K50" s="85" t="str">
        <f ca="1">IFERROR(INDIRECT(CONCATENATE("Track1!m",A47+4)),"")</f>
        <v>Sam FIRMAN</v>
      </c>
      <c r="L50" s="85" t="str">
        <f ca="1">IFERROR(INDIRECT(CONCATENATE("Track1!n",A47+4)),"")</f>
        <v>C&amp;N</v>
      </c>
      <c r="M50" s="96">
        <f ca="1">IFERROR(INDIRECT(CONCATENATE("Track1!w",A47+4)),"")</f>
        <v>1.8831018518518517E-3</v>
      </c>
      <c r="N50" s="108" t="str">
        <f ca="1">IFERROR(INDIRECT(CONCATENATE("Track1!p",A47+4)),"")</f>
        <v/>
      </c>
      <c r="T50" s="64">
        <f t="shared" ca="1" si="0"/>
        <v>2</v>
      </c>
      <c r="U50" s="64">
        <f t="shared" ca="1" si="1"/>
        <v>3</v>
      </c>
      <c r="V50" s="266">
        <f ca="1">IF(OR(D50=0,D50="",D50="Athlete"),"",COUNTIF($D$4:$D50,D50))</f>
        <v>2</v>
      </c>
      <c r="W50" s="266" t="str">
        <f t="shared" ca="1" si="2"/>
        <v>ECHT</v>
      </c>
      <c r="Z50" s="266">
        <f t="shared" ca="1" si="3"/>
        <v>0</v>
      </c>
    </row>
    <row r="51" spans="1:26" x14ac:dyDescent="0.35">
      <c r="B51" s="66">
        <f ca="1">IFERROR(INDIRECT(CONCATENATE("Track1!D",A47+5)),"")</f>
        <v>4</v>
      </c>
      <c r="C51" s="66">
        <f ca="1">IFERROR(INDIRECT(CONCATENATE("Track1!e",A47+5)),"")</f>
        <v>4</v>
      </c>
      <c r="D51" s="85" t="str">
        <f ca="1">IFERROR(INDIRECT(CONCATENATE("Track1!f",A47+5)),"")</f>
        <v>Thomas WOOD</v>
      </c>
      <c r="E51" s="85" t="str">
        <f ca="1">IFERROR(INDIRECT(CONCATENATE("Track1!g",A47+5)),"")</f>
        <v>Macc</v>
      </c>
      <c r="F51" s="96">
        <f ca="1">IFERROR(INDIRECT(CONCATENATE("Track1!v",A47+5)),"")</f>
        <v>1.6354166666666667E-3</v>
      </c>
      <c r="G51" s="108">
        <f ca="1">IFERROR(INDIRECT(CONCATENATE("Track1!i",A47+5)),"")</f>
        <v>3</v>
      </c>
      <c r="H51" s="66"/>
      <c r="I51" s="66">
        <f ca="1">IFERROR(INDIRECT(CONCATENATE("Track1!k",A47+5)),"")</f>
        <v>4</v>
      </c>
      <c r="J51" s="66">
        <f ca="1">IFERROR(INDIRECT(CONCATENATE("Track1!l",A47+5)),"")</f>
        <v>44</v>
      </c>
      <c r="K51" s="85" t="str">
        <f ca="1">IFERROR(INDIRECT(CONCATENATE("Track1!m",A47+5)),"")</f>
        <v>Douglas POINTON</v>
      </c>
      <c r="L51" s="85" t="str">
        <f ca="1">IFERROR(INDIRECT(CONCATENATE("Track1!n",A47+5)),"")</f>
        <v>Macc</v>
      </c>
      <c r="M51" s="96">
        <f ca="1">IFERROR(INDIRECT(CONCATENATE("Track1!w",A47+5)),"")</f>
        <v>1.9317129629629628E-3</v>
      </c>
      <c r="N51" s="108" t="str">
        <f ca="1">IFERROR(INDIRECT(CONCATENATE("Track1!p",A47+5)),"")</f>
        <v/>
      </c>
      <c r="T51" s="64">
        <f t="shared" ca="1" si="0"/>
        <v>2</v>
      </c>
      <c r="U51" s="64">
        <f t="shared" ca="1" si="1"/>
        <v>2</v>
      </c>
      <c r="V51" s="266">
        <f ca="1">IF(OR(D51=0,D51="",D51="Athlete"),"",COUNTIF($D$4:$D51,D51))</f>
        <v>1</v>
      </c>
      <c r="W51" s="266" t="str">
        <f t="shared" ca="1" si="2"/>
        <v>Macc</v>
      </c>
      <c r="Z51" s="266">
        <f t="shared" ca="1" si="3"/>
        <v>0</v>
      </c>
    </row>
    <row r="52" spans="1:26" x14ac:dyDescent="0.35">
      <c r="B52" s="66">
        <f ca="1">IFERROR(INDIRECT(CONCATENATE("Track1!D",A47+6)),"")</f>
        <v>5</v>
      </c>
      <c r="C52" s="66">
        <f ca="1">IFERROR(INDIRECT(CONCATENATE("Track1!e",A47+6)),"")</f>
        <v>1</v>
      </c>
      <c r="D52" s="85" t="str">
        <f ca="1">IFERROR(INDIRECT(CONCATENATE("Track1!f",A47+6)),"")</f>
        <v>Jack TILLEY</v>
      </c>
      <c r="E52" s="85" t="str">
        <f ca="1">IFERROR(INDIRECT(CONCATENATE("Track1!g",A47+6)),"")</f>
        <v>C&amp;N</v>
      </c>
      <c r="F52" s="96">
        <f ca="1">IFERROR(INDIRECT(CONCATENATE("Track1!v",A47+6)),"")</f>
        <v>1.6817129629629632E-3</v>
      </c>
      <c r="G52" s="108">
        <f ca="1">IFERROR(INDIRECT(CONCATENATE("Track1!i",A47+6)),"")</f>
        <v>2</v>
      </c>
      <c r="H52" s="66"/>
      <c r="I52" s="66">
        <f ca="1">IFERROR(INDIRECT(CONCATENATE("Track1!k",A47+6)),"")</f>
        <v>5</v>
      </c>
      <c r="J52" s="66">
        <f ca="1">IFERROR(INDIRECT(CONCATENATE("Track1!l",A47+6)),"")</f>
        <v>0</v>
      </c>
      <c r="K52" s="85" t="str">
        <f ca="1">IFERROR(INDIRECT(CONCATENATE("Track1!m",A47+6)),"")</f>
        <v/>
      </c>
      <c r="L52" s="85" t="str">
        <f ca="1">IFERROR(INDIRECT(CONCATENATE("Track1!n",A47+6)),"")</f>
        <v/>
      </c>
      <c r="M52" s="96">
        <f ca="1">IFERROR(INDIRECT(CONCATENATE("Track1!w",A47+6)),"")</f>
        <v>0</v>
      </c>
      <c r="N52" s="108" t="str">
        <f ca="1">IFERROR(INDIRECT(CONCATENATE("Track1!p",A47+6)),"")</f>
        <v/>
      </c>
      <c r="T52" s="64">
        <f t="shared" ca="1" si="0"/>
        <v>3</v>
      </c>
      <c r="U52" s="64" t="str">
        <f t="shared" ca="1" si="1"/>
        <v/>
      </c>
      <c r="V52" s="266">
        <f ca="1">IF(OR(D52=0,D52="",D52="Athlete"),"",COUNTIF($D$4:$D52,D52))</f>
        <v>1</v>
      </c>
      <c r="W52" s="266" t="str">
        <f t="shared" ca="1" si="2"/>
        <v>C&amp;N</v>
      </c>
      <c r="Z52" s="266">
        <f t="shared" ca="1" si="3"/>
        <v>0</v>
      </c>
    </row>
    <row r="53" spans="1:26" x14ac:dyDescent="0.35">
      <c r="B53" s="66">
        <f ca="1">IFERROR(INDIRECT(CONCATENATE("Track1!D",A47+7)),"")</f>
        <v>6</v>
      </c>
      <c r="C53" s="66">
        <f ca="1">IFERROR(INDIRECT(CONCATENATE("Track1!e",A47+7)),"")</f>
        <v>5</v>
      </c>
      <c r="D53" s="85" t="str">
        <f ca="1">IFERROR(INDIRECT(CONCATENATE("Track1!f",A47+7)),"")</f>
        <v>Owain WILLIAMS</v>
      </c>
      <c r="E53" s="85" t="str">
        <f ca="1">IFERROR(INDIRECT(CONCATENATE("Track1!g",A47+7)),"")</f>
        <v>Menai</v>
      </c>
      <c r="F53" s="96">
        <f ca="1">IFERROR(INDIRECT(CONCATENATE("Track1!v",A47+7)),"")</f>
        <v>1.9641203703703704E-3</v>
      </c>
      <c r="G53" s="108" t="str">
        <f ca="1">IFERROR(INDIRECT(CONCATENATE("Track1!i",A47+7)),"")</f>
        <v/>
      </c>
      <c r="H53" s="66"/>
      <c r="I53" s="66">
        <f ca="1">IFERROR(INDIRECT(CONCATENATE("Track1!k",A47+7)),"")</f>
        <v>6</v>
      </c>
      <c r="J53" s="66">
        <f ca="1">IFERROR(INDIRECT(CONCATENATE("Track1!l",A47+7)),"")</f>
        <v>0</v>
      </c>
      <c r="K53" s="85" t="str">
        <f ca="1">IFERROR(INDIRECT(CONCATENATE("Track1!m",A47+7)),"")</f>
        <v/>
      </c>
      <c r="L53" s="85" t="str">
        <f ca="1">IFERROR(INDIRECT(CONCATENATE("Track1!n",A47+7)),"")</f>
        <v/>
      </c>
      <c r="M53" s="96">
        <f ca="1">IFERROR(INDIRECT(CONCATENATE("Track1!w",A47+7)),"")</f>
        <v>0</v>
      </c>
      <c r="N53" s="108" t="str">
        <f ca="1">IFERROR(INDIRECT(CONCATENATE("Track1!p",A47+7)),"")</f>
        <v/>
      </c>
      <c r="T53" s="64">
        <f t="shared" ca="1" si="0"/>
        <v>3</v>
      </c>
      <c r="U53" s="64" t="str">
        <f t="shared" ca="1" si="1"/>
        <v/>
      </c>
      <c r="V53" s="266">
        <f ca="1">IF(OR(D53=0,D53="",D53="Athlete"),"",COUNTIF($D$4:$D53,D53))</f>
        <v>2</v>
      </c>
      <c r="W53" s="266" t="str">
        <f t="shared" ca="1" si="2"/>
        <v>Menai</v>
      </c>
      <c r="Z53" s="266" t="str">
        <f t="shared" ca="1" si="3"/>
        <v/>
      </c>
    </row>
    <row r="54" spans="1:26" x14ac:dyDescent="0.35">
      <c r="B54" s="66">
        <f ca="1">IFERROR(INDIRECT(CONCATENATE("Track1!D",A47+8)),"")</f>
        <v>7</v>
      </c>
      <c r="C54" s="66">
        <f ca="1">IFERROR(INDIRECT(CONCATENATE("Track1!e",A47+8)),"")</f>
        <v>0</v>
      </c>
      <c r="D54" s="85" t="str">
        <f ca="1">IFERROR(INDIRECT(CONCATENATE("Track1!f",A47+8)),"")</f>
        <v/>
      </c>
      <c r="E54" s="85" t="str">
        <f ca="1">IFERROR(INDIRECT(CONCATENATE("Track1!g",A47+8)),"")</f>
        <v/>
      </c>
      <c r="F54" s="96">
        <f ca="1">IFERROR(INDIRECT(CONCATENATE("Track1!v",A47+8)),"")</f>
        <v>0</v>
      </c>
      <c r="G54" s="108" t="str">
        <f ca="1">IFERROR(INDIRECT(CONCATENATE("Track1!i",A47+8)),"")</f>
        <v/>
      </c>
      <c r="H54" s="66"/>
      <c r="I54" s="66">
        <f ca="1">IFERROR(INDIRECT(CONCATENATE("Track1!k",A47+8)),"")</f>
        <v>7</v>
      </c>
      <c r="J54" s="66">
        <f ca="1">IFERROR(INDIRECT(CONCATENATE("Track1!l",A47+8)),"")</f>
        <v>0</v>
      </c>
      <c r="K54" s="85" t="str">
        <f ca="1">IFERROR(INDIRECT(CONCATENATE("Track1!m",A47+8)),"")</f>
        <v/>
      </c>
      <c r="L54" s="85" t="str">
        <f ca="1">IFERROR(INDIRECT(CONCATENATE("Track1!n",A47+8)),"")</f>
        <v/>
      </c>
      <c r="M54" s="96">
        <f ca="1">IFERROR(INDIRECT(CONCATENATE("Track1!w",A47+8)),"")</f>
        <v>0</v>
      </c>
      <c r="N54" s="108" t="str">
        <f ca="1">IFERROR(INDIRECT(CONCATENATE("Track1!p",A47+8)),"")</f>
        <v/>
      </c>
      <c r="T54" s="64" t="str">
        <f t="shared" ca="1" si="0"/>
        <v/>
      </c>
      <c r="U54" s="64" t="str">
        <f t="shared" ca="1" si="1"/>
        <v/>
      </c>
      <c r="V54" s="266" t="str">
        <f ca="1">IF(OR(D54=0,D54="",D54="Athlete"),"",COUNTIF($D$4:$D54,D54))</f>
        <v/>
      </c>
      <c r="W54" s="266" t="str">
        <f t="shared" ca="1" si="2"/>
        <v/>
      </c>
      <c r="Z54" s="266" t="str">
        <f t="shared" ca="1" si="3"/>
        <v/>
      </c>
    </row>
    <row r="55" spans="1:26" x14ac:dyDescent="0.35">
      <c r="B55" s="66">
        <f ca="1">IFERROR(INDIRECT(CONCATENATE("Track1!D",A47+9)),"")</f>
        <v>8</v>
      </c>
      <c r="C55" s="66">
        <f ca="1">IFERROR(INDIRECT(CONCATENATE("Track1!e",A47+9)),"")</f>
        <v>0</v>
      </c>
      <c r="D55" s="85" t="str">
        <f ca="1">IFERROR(INDIRECT(CONCATENATE("Track1!f",A47+9)),"")</f>
        <v/>
      </c>
      <c r="E55" s="85" t="str">
        <f ca="1">IFERROR(INDIRECT(CONCATENATE("Track1!g",A47+9)),"")</f>
        <v/>
      </c>
      <c r="F55" s="96">
        <f ca="1">IFERROR(INDIRECT(CONCATENATE("Track1!v",A47+9)),"")</f>
        <v>0</v>
      </c>
      <c r="G55" s="108" t="str">
        <f ca="1">IFERROR(INDIRECT(CONCATENATE("Track1!i",A47+9)),"")</f>
        <v/>
      </c>
      <c r="H55" s="66"/>
      <c r="I55" s="66">
        <f ca="1">IFERROR(INDIRECT(CONCATENATE("Track1!k",A47+9)),"")</f>
        <v>8</v>
      </c>
      <c r="J55" s="66">
        <f ca="1">IFERROR(INDIRECT(CONCATENATE("Track1!l",A47+9)),"")</f>
        <v>0</v>
      </c>
      <c r="K55" s="85" t="str">
        <f ca="1">IFERROR(INDIRECT(CONCATENATE("Track1!m",A47+9)),"")</f>
        <v/>
      </c>
      <c r="L55" s="85" t="str">
        <f ca="1">IFERROR(INDIRECT(CONCATENATE("Track1!n",A47+9)),"")</f>
        <v/>
      </c>
      <c r="M55" s="96">
        <f ca="1">IFERROR(INDIRECT(CONCATENATE("Track1!w",A47+9)),"")</f>
        <v>0</v>
      </c>
      <c r="N55" s="108" t="str">
        <f ca="1">IFERROR(INDIRECT(CONCATENATE("Track1!p",A47+9)),"")</f>
        <v/>
      </c>
      <c r="T55" s="64" t="str">
        <f t="shared" ca="1" si="0"/>
        <v/>
      </c>
      <c r="U55" s="64" t="str">
        <f t="shared" ca="1" si="1"/>
        <v/>
      </c>
      <c r="V55" s="266" t="str">
        <f ca="1">IF(OR(D55=0,D55="",D55="Athlete"),"",COUNTIF($D$4:$D55,D55))</f>
        <v/>
      </c>
      <c r="W55" s="266" t="str">
        <f t="shared" ca="1" si="2"/>
        <v/>
      </c>
      <c r="Z55" s="266" t="str">
        <f t="shared" ca="1" si="3"/>
        <v/>
      </c>
    </row>
    <row r="56" spans="1:26" x14ac:dyDescent="0.35">
      <c r="F56" s="96"/>
      <c r="M56" s="97"/>
      <c r="T56" s="64" t="str">
        <f t="shared" si="0"/>
        <v/>
      </c>
      <c r="U56" s="64" t="str">
        <f t="shared" si="1"/>
        <v/>
      </c>
      <c r="V56" s="266" t="str">
        <f>IF(OR(D56=0,D56="",D56="Athlete"),"",COUNTIF($D$4:$D56,D56))</f>
        <v/>
      </c>
      <c r="W56" s="266" t="str">
        <f t="shared" si="2"/>
        <v/>
      </c>
      <c r="Z56" s="266" t="str">
        <f t="shared" si="3"/>
        <v/>
      </c>
    </row>
    <row r="57" spans="1:26" x14ac:dyDescent="0.35">
      <c r="A57" s="66" t="s">
        <v>355</v>
      </c>
      <c r="B57" s="102" t="str">
        <f ca="1">IFERROR(INDIRECT(CONCATENATE("Track1!D",A58)),"")</f>
        <v>800m NS U15 Boys A</v>
      </c>
      <c r="F57" s="96">
        <f ca="1">IFERROR(INDIRECT(CONCATENATE("Track1!h",A58)),"")</f>
        <v>0</v>
      </c>
      <c r="G57" s="108" t="str">
        <f ca="1">IFERROR(INDIRECT(CONCATENATE("Track1!i",A58)),"")</f>
        <v/>
      </c>
      <c r="I57" s="102" t="str">
        <f ca="1">IFERROR(INDIRECT(CONCATENATE("Track1!k",A58)),"")</f>
        <v>800m NS U15 Boys B</v>
      </c>
      <c r="M57" s="97"/>
      <c r="T57" s="64" t="str">
        <f t="shared" si="0"/>
        <v/>
      </c>
      <c r="U57" s="64" t="str">
        <f t="shared" si="1"/>
        <v/>
      </c>
      <c r="V57" s="266" t="str">
        <f>IF(OR(D57=0,D57="",D57="Athlete"),"",COUNTIF($D$4:$D57,D57))</f>
        <v/>
      </c>
      <c r="W57" s="266" t="str">
        <f t="shared" si="2"/>
        <v/>
      </c>
      <c r="Z57" s="266" t="str">
        <f t="shared" ca="1" si="3"/>
        <v/>
      </c>
    </row>
    <row r="58" spans="1:26" x14ac:dyDescent="0.35">
      <c r="A58" s="66">
        <f>IFERROR(MATCH(A57,Track1!C:C,0),"")</f>
        <v>277</v>
      </c>
      <c r="B58" s="45" t="str">
        <f ca="1">IFERROR(INDIRECT(CONCATENATE("Track1!D",A58+1)),"")</f>
        <v>Posn</v>
      </c>
      <c r="C58" s="45" t="str">
        <f ca="1">IFERROR(INDIRECT(CONCATENATE("Track1!e",A58+1)),"")</f>
        <v>No.</v>
      </c>
      <c r="D58" s="139" t="str">
        <f ca="1">IFERROR(INDIRECT(CONCATENATE("Track1!f",A58+1)),"")</f>
        <v>Athlete</v>
      </c>
      <c r="E58" s="139" t="str">
        <f ca="1">IFERROR(INDIRECT(CONCATENATE("Track1!g",A58+1)),"")</f>
        <v>Club</v>
      </c>
      <c r="F58" s="134" t="str">
        <f ca="1">IFERROR(INDIRECT(CONCATENATE("Track1!h",A58+1)),"")</f>
        <v>Perf</v>
      </c>
      <c r="G58" s="167" t="str">
        <f ca="1">IFERROR(INDIRECT(CONCATENATE("Track1!i",A58+1)),"")</f>
        <v>EA</v>
      </c>
      <c r="H58" s="45"/>
      <c r="I58" s="45" t="str">
        <f ca="1">IFERROR(INDIRECT(CONCATENATE("Track1!k",A58+1)),"")</f>
        <v>Posn</v>
      </c>
      <c r="J58" s="45" t="str">
        <f ca="1">IFERROR(INDIRECT(CONCATENATE("Track1!l",A58+1)),"")</f>
        <v>No.</v>
      </c>
      <c r="K58" s="139" t="str">
        <f ca="1">IFERROR(INDIRECT(CONCATENATE("Track1!m",A58+1)),"")</f>
        <v>Athlete</v>
      </c>
      <c r="L58" s="139" t="str">
        <f ca="1">IFERROR(INDIRECT(CONCATENATE("Track1!n",A58+1)),"")</f>
        <v>Club</v>
      </c>
      <c r="M58" s="134" t="str">
        <f ca="1">IFERROR(INDIRECT(CONCATENATE("Track1!o",A58+1)),"")</f>
        <v>Perf</v>
      </c>
      <c r="N58" s="167" t="str">
        <f ca="1">IFERROR(INDIRECT(CONCATENATE("Track1!p",A58+1)),"")</f>
        <v>EA</v>
      </c>
      <c r="T58" s="64" t="str">
        <f t="shared" ca="1" si="0"/>
        <v/>
      </c>
      <c r="U58" s="64" t="str">
        <f t="shared" ca="1" si="1"/>
        <v/>
      </c>
      <c r="V58" s="266" t="str">
        <f ca="1">IF(OR(D58=0,D58="",D58="Athlete"),"",COUNTIF($D$4:$D58,D58))</f>
        <v/>
      </c>
      <c r="W58" s="266" t="str">
        <f t="shared" ca="1" si="2"/>
        <v/>
      </c>
      <c r="Z58" s="266">
        <f t="shared" ca="1" si="3"/>
        <v>0</v>
      </c>
    </row>
    <row r="59" spans="1:26" x14ac:dyDescent="0.35">
      <c r="B59" s="66">
        <f ca="1">IFERROR(INDIRECT(CONCATENATE("Track1!D",A58+2)),"")</f>
        <v>1</v>
      </c>
      <c r="C59" s="66">
        <f ca="1">IFERROR(INDIRECT(CONCATENATE("Track1!e",A58+2)),"")</f>
        <v>3</v>
      </c>
      <c r="D59" s="85" t="str">
        <f ca="1">IFERROR(INDIRECT(CONCATENATE("Track1!f",A58+2)),"")</f>
        <v>Barnaby CROMBLEHOLME</v>
      </c>
      <c r="E59" s="85" t="str">
        <f ca="1">IFERROR(INDIRECT(CONCATENATE("Track1!g",A58+2)),"")</f>
        <v>Leigh</v>
      </c>
      <c r="F59" s="96">
        <f ca="1">IFERROR(INDIRECT(CONCATENATE("Track1!v",A58+2)),"")</f>
        <v>1.8923611111111112E-3</v>
      </c>
      <c r="G59" s="108" t="str">
        <f ca="1">IFERROR(INDIRECT(CONCATENATE("Track1!i",A58+2)),"")</f>
        <v/>
      </c>
      <c r="H59" s="66"/>
      <c r="I59" s="66">
        <f ca="1">IFERROR(INDIRECT(CONCATENATE("Track1!k",A58+2)),"")</f>
        <v>1</v>
      </c>
      <c r="J59" s="66">
        <f ca="1">IFERROR(INDIRECT(CONCATENATE("Track1!l",A58+2)),"")</f>
        <v>98</v>
      </c>
      <c r="K59" s="85" t="str">
        <f ca="1">IFERROR(INDIRECT(CONCATENATE("Track1!m",A58+2)),"")</f>
        <v/>
      </c>
      <c r="L59" s="85" t="str">
        <f ca="1">IFERROR(INDIRECT(CONCATENATE("Track1!n",A58+2)),"")</f>
        <v>No Competitors</v>
      </c>
      <c r="M59" s="96">
        <f ca="1">IFERROR(INDIRECT(CONCATENATE("Track1!w",A58+2)),"")</f>
        <v>0</v>
      </c>
      <c r="N59" s="108" t="str">
        <f ca="1">IFERROR(INDIRECT(CONCATENATE("Track1!p",A58+2)),"")</f>
        <v/>
      </c>
      <c r="R59" s="168">
        <f ca="1">IFERROR(INDIRECT(CONCATENATE("Track1!r",A58+2)),"")</f>
        <v>0</v>
      </c>
      <c r="T59" s="64">
        <f t="shared" ca="1" si="0"/>
        <v>3</v>
      </c>
      <c r="U59" s="64" t="str">
        <f t="shared" ca="1" si="1"/>
        <v/>
      </c>
      <c r="V59" s="266">
        <f ca="1">IF(OR(D59=0,D59="",D59="Athlete"),"",COUNTIF($D$4:$D59,D59))</f>
        <v>1</v>
      </c>
      <c r="W59" s="266" t="str">
        <f t="shared" ca="1" si="2"/>
        <v>Leigh</v>
      </c>
      <c r="Z59" s="266" t="str">
        <f t="shared" ca="1" si="3"/>
        <v/>
      </c>
    </row>
    <row r="60" spans="1:26" x14ac:dyDescent="0.35">
      <c r="B60" s="66">
        <f ca="1">IFERROR(INDIRECT(CONCATENATE("Track1!D",A58+3)),"")</f>
        <v>2</v>
      </c>
      <c r="C60" s="66">
        <f ca="1">IFERROR(INDIRECT(CONCATENATE("Track1!e",A58+3)),"")</f>
        <v>1</v>
      </c>
      <c r="D60" s="85" t="str">
        <f ca="1">IFERROR(INDIRECT(CONCATENATE("Track1!f",A58+3)),"")</f>
        <v>Saif AL-BAYATTI</v>
      </c>
      <c r="E60" s="85" t="str">
        <f ca="1">IFERROR(INDIRECT(CONCATENATE("Track1!g",A58+3)),"")</f>
        <v>C&amp;N</v>
      </c>
      <c r="F60" s="96">
        <f ca="1">IFERROR(INDIRECT(CONCATENATE("Track1!v",A58+3)),"")</f>
        <v>1.917824074074074E-3</v>
      </c>
      <c r="G60" s="108" t="str">
        <f ca="1">IFERROR(INDIRECT(CONCATENATE("Track1!i",A58+3)),"")</f>
        <v/>
      </c>
      <c r="H60" s="66"/>
      <c r="I60" s="66">
        <f ca="1">IFERROR(INDIRECT(CONCATENATE("Track1!k",A58+3)),"")</f>
        <v>2</v>
      </c>
      <c r="J60" s="66">
        <f ca="1">IFERROR(INDIRECT(CONCATENATE("Track1!l",A58+3)),"")</f>
        <v>0</v>
      </c>
      <c r="K60" s="85" t="str">
        <f ca="1">IFERROR(INDIRECT(CONCATENATE("Track1!m",A58+3)),"")</f>
        <v/>
      </c>
      <c r="L60" s="85" t="str">
        <f ca="1">IFERROR(INDIRECT(CONCATENATE("Track1!n",A58+3)),"")</f>
        <v/>
      </c>
      <c r="M60" s="96">
        <f ca="1">IFERROR(INDIRECT(CONCATENATE("Track1!w",A58+3)),"")</f>
        <v>0</v>
      </c>
      <c r="N60" s="108" t="str">
        <f ca="1">IFERROR(INDIRECT(CONCATENATE("Track1!p",A58+3)),"")</f>
        <v/>
      </c>
      <c r="T60" s="64">
        <f t="shared" ca="1" si="0"/>
        <v>2</v>
      </c>
      <c r="U60" s="64" t="str">
        <f t="shared" ca="1" si="1"/>
        <v/>
      </c>
      <c r="V60" s="266">
        <f ca="1">IF(OR(D60=0,D60="",D60="Athlete"),"",COUNTIF($D$4:$D60,D60))</f>
        <v>1</v>
      </c>
      <c r="W60" s="266" t="str">
        <f t="shared" ca="1" si="2"/>
        <v>C&amp;N</v>
      </c>
      <c r="Z60" s="266" t="str">
        <f t="shared" ca="1" si="3"/>
        <v/>
      </c>
    </row>
    <row r="61" spans="1:26" x14ac:dyDescent="0.35">
      <c r="B61" s="66">
        <f ca="1">IFERROR(INDIRECT(CONCATENATE("Track1!D",A58+4)),"")</f>
        <v>3</v>
      </c>
      <c r="C61" s="66">
        <f ca="1">IFERROR(INDIRECT(CONCATENATE("Track1!e",A58+4)),"")</f>
        <v>0</v>
      </c>
      <c r="D61" s="85" t="str">
        <f ca="1">IFERROR(INDIRECT(CONCATENATE("Track1!f",A58+4)),"")</f>
        <v/>
      </c>
      <c r="E61" s="85" t="str">
        <f ca="1">IFERROR(INDIRECT(CONCATENATE("Track1!g",A58+4)),"")</f>
        <v/>
      </c>
      <c r="F61" s="96">
        <f ca="1">IFERROR(INDIRECT(CONCATENATE("Track1!v",A58+4)),"")</f>
        <v>0</v>
      </c>
      <c r="G61" s="108" t="str">
        <f ca="1">IFERROR(INDIRECT(CONCATENATE("Track1!i",A58+4)),"")</f>
        <v/>
      </c>
      <c r="H61" s="66"/>
      <c r="I61" s="66">
        <f ca="1">IFERROR(INDIRECT(CONCATENATE("Track1!k",A58+4)),"")</f>
        <v>3</v>
      </c>
      <c r="J61" s="66">
        <f ca="1">IFERROR(INDIRECT(CONCATENATE("Track1!l",A58+4)),"")</f>
        <v>0</v>
      </c>
      <c r="K61" s="85" t="str">
        <f ca="1">IFERROR(INDIRECT(CONCATENATE("Track1!m",A58+4)),"")</f>
        <v/>
      </c>
      <c r="L61" s="85" t="str">
        <f ca="1">IFERROR(INDIRECT(CONCATENATE("Track1!n",A58+4)),"")</f>
        <v/>
      </c>
      <c r="M61" s="96">
        <f ca="1">IFERROR(INDIRECT(CONCATENATE("Track1!w",A58+4)),"")</f>
        <v>0</v>
      </c>
      <c r="N61" s="108" t="str">
        <f ca="1">IFERROR(INDIRECT(CONCATENATE("Track1!p",A58+4)),"")</f>
        <v/>
      </c>
      <c r="T61" s="64" t="str">
        <f t="shared" ca="1" si="0"/>
        <v/>
      </c>
      <c r="U61" s="64" t="str">
        <f t="shared" ca="1" si="1"/>
        <v/>
      </c>
      <c r="V61" s="266" t="str">
        <f ca="1">IF(OR(D61=0,D61="",D61="Athlete"),"",COUNTIF($D$4:$D61,D61))</f>
        <v/>
      </c>
      <c r="W61" s="266" t="str">
        <f t="shared" ca="1" si="2"/>
        <v/>
      </c>
      <c r="Z61" s="266" t="str">
        <f t="shared" ca="1" si="3"/>
        <v/>
      </c>
    </row>
    <row r="62" spans="1:26" x14ac:dyDescent="0.35">
      <c r="B62" s="66">
        <f ca="1">IFERROR(INDIRECT(CONCATENATE("Track1!D",A58+5)),"")</f>
        <v>4</v>
      </c>
      <c r="C62" s="66">
        <f ca="1">IFERROR(INDIRECT(CONCATENATE("Track1!e",A58+5)),"")</f>
        <v>0</v>
      </c>
      <c r="D62" s="85" t="str">
        <f ca="1">IFERROR(INDIRECT(CONCATENATE("Track1!f",A58+5)),"")</f>
        <v/>
      </c>
      <c r="E62" s="85" t="str">
        <f ca="1">IFERROR(INDIRECT(CONCATENATE("Track1!g",A58+5)),"")</f>
        <v/>
      </c>
      <c r="F62" s="96">
        <f ca="1">IFERROR(INDIRECT(CONCATENATE("Track1!v",A58+5)),"")</f>
        <v>0</v>
      </c>
      <c r="G62" s="108" t="str">
        <f ca="1">IFERROR(INDIRECT(CONCATENATE("Track1!i",A58+5)),"")</f>
        <v/>
      </c>
      <c r="H62" s="66"/>
      <c r="I62" s="66">
        <f ca="1">IFERROR(INDIRECT(CONCATENATE("Track1!k",A58+5)),"")</f>
        <v>4</v>
      </c>
      <c r="J62" s="66">
        <f ca="1">IFERROR(INDIRECT(CONCATENATE("Track1!l",A58+5)),"")</f>
        <v>0</v>
      </c>
      <c r="K62" s="85" t="str">
        <f ca="1">IFERROR(INDIRECT(CONCATENATE("Track1!m",A58+5)),"")</f>
        <v/>
      </c>
      <c r="L62" s="85" t="str">
        <f ca="1">IFERROR(INDIRECT(CONCATENATE("Track1!n",A58+5)),"")</f>
        <v/>
      </c>
      <c r="M62" s="96">
        <f ca="1">IFERROR(INDIRECT(CONCATENATE("Track1!w",A58+5)),"")</f>
        <v>0</v>
      </c>
      <c r="N62" s="108" t="str">
        <f ca="1">IFERROR(INDIRECT(CONCATENATE("Track1!p",A58+5)),"")</f>
        <v/>
      </c>
      <c r="T62" s="64" t="str">
        <f t="shared" ca="1" si="0"/>
        <v/>
      </c>
      <c r="U62" s="64" t="str">
        <f t="shared" ca="1" si="1"/>
        <v/>
      </c>
      <c r="V62" s="266" t="str">
        <f ca="1">IF(OR(D62=0,D62="",D62="Athlete"),"",COUNTIF($D$4:$D62,D62))</f>
        <v/>
      </c>
      <c r="W62" s="266" t="str">
        <f t="shared" ca="1" si="2"/>
        <v/>
      </c>
      <c r="Z62" s="266" t="str">
        <f t="shared" ca="1" si="3"/>
        <v/>
      </c>
    </row>
    <row r="63" spans="1:26" x14ac:dyDescent="0.35">
      <c r="B63" s="66">
        <f ca="1">IFERROR(INDIRECT(CONCATENATE("Track1!D",A58+6)),"")</f>
        <v>5</v>
      </c>
      <c r="C63" s="66">
        <f ca="1">IFERROR(INDIRECT(CONCATENATE("Track1!e",A58+6)),"")</f>
        <v>0</v>
      </c>
      <c r="D63" s="85" t="str">
        <f ca="1">IFERROR(INDIRECT(CONCATENATE("Track1!f",A58+6)),"")</f>
        <v/>
      </c>
      <c r="E63" s="85" t="str">
        <f ca="1">IFERROR(INDIRECT(CONCATENATE("Track1!g",A58+6)),"")</f>
        <v/>
      </c>
      <c r="F63" s="96">
        <f ca="1">IFERROR(INDIRECT(CONCATENATE("Track1!v",A58+6)),"")</f>
        <v>0</v>
      </c>
      <c r="G63" s="108" t="str">
        <f ca="1">IFERROR(INDIRECT(CONCATENATE("Track1!i",A58+6)),"")</f>
        <v/>
      </c>
      <c r="H63" s="66"/>
      <c r="I63" s="66">
        <f ca="1">IFERROR(INDIRECT(CONCATENATE("Track1!k",A58+6)),"")</f>
        <v>5</v>
      </c>
      <c r="J63" s="66">
        <f ca="1">IFERROR(INDIRECT(CONCATENATE("Track1!l",A58+6)),"")</f>
        <v>0</v>
      </c>
      <c r="K63" s="85" t="str">
        <f ca="1">IFERROR(INDIRECT(CONCATENATE("Track1!m",A58+6)),"")</f>
        <v/>
      </c>
      <c r="L63" s="85" t="str">
        <f ca="1">IFERROR(INDIRECT(CONCATENATE("Track1!n",A58+6)),"")</f>
        <v/>
      </c>
      <c r="M63" s="96">
        <f ca="1">IFERROR(INDIRECT(CONCATENATE("Track1!w",A58+6)),"")</f>
        <v>0</v>
      </c>
      <c r="N63" s="108" t="str">
        <f ca="1">IFERROR(INDIRECT(CONCATENATE("Track1!p",A58+6)),"")</f>
        <v/>
      </c>
      <c r="T63" s="64" t="str">
        <f t="shared" ca="1" si="0"/>
        <v/>
      </c>
      <c r="U63" s="64" t="str">
        <f t="shared" ca="1" si="1"/>
        <v/>
      </c>
      <c r="V63" s="266" t="str">
        <f ca="1">IF(OR(D63=0,D63="",D63="Athlete"),"",COUNTIF($D$4:$D63,D63))</f>
        <v/>
      </c>
      <c r="W63" s="266" t="str">
        <f t="shared" ca="1" si="2"/>
        <v/>
      </c>
      <c r="Z63" s="266" t="str">
        <f t="shared" ca="1" si="3"/>
        <v/>
      </c>
    </row>
    <row r="64" spans="1:26" x14ac:dyDescent="0.35">
      <c r="B64" s="66">
        <f ca="1">IFERROR(INDIRECT(CONCATENATE("Track1!D",A58+7)),"")</f>
        <v>6</v>
      </c>
      <c r="C64" s="66">
        <f ca="1">IFERROR(INDIRECT(CONCATENATE("Track1!e",A58+7)),"")</f>
        <v>0</v>
      </c>
      <c r="D64" s="85" t="str">
        <f ca="1">IFERROR(INDIRECT(CONCATENATE("Track1!f",A58+7)),"")</f>
        <v/>
      </c>
      <c r="E64" s="85" t="str">
        <f ca="1">IFERROR(INDIRECT(CONCATENATE("Track1!g",A58+7)),"")</f>
        <v/>
      </c>
      <c r="F64" s="96">
        <f ca="1">IFERROR(INDIRECT(CONCATENATE("Track1!v",A58+7)),"")</f>
        <v>0</v>
      </c>
      <c r="G64" s="108" t="str">
        <f ca="1">IFERROR(INDIRECT(CONCATENATE("Track1!i",A58+7)),"")</f>
        <v/>
      </c>
      <c r="H64" s="66"/>
      <c r="I64" s="66">
        <f ca="1">IFERROR(INDIRECT(CONCATENATE("Track1!k",A58+7)),"")</f>
        <v>6</v>
      </c>
      <c r="J64" s="66">
        <f ca="1">IFERROR(INDIRECT(CONCATENATE("Track1!l",A58+7)),"")</f>
        <v>0</v>
      </c>
      <c r="K64" s="85" t="str">
        <f ca="1">IFERROR(INDIRECT(CONCATENATE("Track1!m",A58+7)),"")</f>
        <v/>
      </c>
      <c r="L64" s="85" t="str">
        <f ca="1">IFERROR(INDIRECT(CONCATENATE("Track1!n",A58+7)),"")</f>
        <v/>
      </c>
      <c r="M64" s="96">
        <f ca="1">IFERROR(INDIRECT(CONCATENATE("Track1!w",A58+7)),"")</f>
        <v>0</v>
      </c>
      <c r="N64" s="108" t="str">
        <f ca="1">IFERROR(INDIRECT(CONCATENATE("Track1!p",A58+7)),"")</f>
        <v/>
      </c>
      <c r="T64" s="64" t="str">
        <f t="shared" ca="1" si="0"/>
        <v/>
      </c>
      <c r="U64" s="64" t="str">
        <f t="shared" ca="1" si="1"/>
        <v/>
      </c>
      <c r="V64" s="266" t="str">
        <f ca="1">IF(OR(D64=0,D64="",D64="Athlete"),"",COUNTIF($D$4:$D64,D64))</f>
        <v/>
      </c>
      <c r="W64" s="266" t="str">
        <f t="shared" ca="1" si="2"/>
        <v/>
      </c>
      <c r="Z64" s="266" t="str">
        <f t="shared" ca="1" si="3"/>
        <v/>
      </c>
    </row>
    <row r="65" spans="1:26" x14ac:dyDescent="0.35">
      <c r="B65" s="66">
        <f ca="1">IFERROR(INDIRECT(CONCATENATE("Track1!D",A58+8)),"")</f>
        <v>7</v>
      </c>
      <c r="C65" s="66">
        <f ca="1">IFERROR(INDIRECT(CONCATENATE("Track1!e",A58+8)),"")</f>
        <v>0</v>
      </c>
      <c r="D65" s="85" t="str">
        <f ca="1">IFERROR(INDIRECT(CONCATENATE("Track1!f",A58+8)),"")</f>
        <v/>
      </c>
      <c r="E65" s="85" t="str">
        <f ca="1">IFERROR(INDIRECT(CONCATENATE("Track1!g",A58+8)),"")</f>
        <v/>
      </c>
      <c r="F65" s="96">
        <f ca="1">IFERROR(INDIRECT(CONCATENATE("Track1!v",A58+8)),"")</f>
        <v>0</v>
      </c>
      <c r="G65" s="108" t="str">
        <f ca="1">IFERROR(INDIRECT(CONCATENATE("Track1!i",A58+8)),"")</f>
        <v/>
      </c>
      <c r="H65" s="66"/>
      <c r="I65" s="66">
        <f ca="1">IFERROR(INDIRECT(CONCATENATE("Track1!k",A58+8)),"")</f>
        <v>7</v>
      </c>
      <c r="J65" s="66">
        <f ca="1">IFERROR(INDIRECT(CONCATENATE("Track1!l",A58+8)),"")</f>
        <v>0</v>
      </c>
      <c r="K65" s="85" t="str">
        <f ca="1">IFERROR(INDIRECT(CONCATENATE("Track1!m",A58+8)),"")</f>
        <v/>
      </c>
      <c r="L65" s="85" t="str">
        <f ca="1">IFERROR(INDIRECT(CONCATENATE("Track1!n",A58+8)),"")</f>
        <v/>
      </c>
      <c r="M65" s="96">
        <f ca="1">IFERROR(INDIRECT(CONCATENATE("Track1!w",A58+8)),"")</f>
        <v>0</v>
      </c>
      <c r="N65" s="108" t="str">
        <f ca="1">IFERROR(INDIRECT(CONCATENATE("Track1!p",A58+8)),"")</f>
        <v/>
      </c>
      <c r="T65" s="64" t="str">
        <f t="shared" ca="1" si="0"/>
        <v/>
      </c>
      <c r="U65" s="64" t="str">
        <f t="shared" ca="1" si="1"/>
        <v/>
      </c>
      <c r="V65" s="266" t="str">
        <f ca="1">IF(OR(D65=0,D65="",D65="Athlete"),"",COUNTIF($D$4:$D65,D65))</f>
        <v/>
      </c>
      <c r="W65" s="266" t="str">
        <f t="shared" ca="1" si="2"/>
        <v/>
      </c>
      <c r="Z65" s="266" t="str">
        <f t="shared" ca="1" si="3"/>
        <v/>
      </c>
    </row>
    <row r="66" spans="1:26" x14ac:dyDescent="0.35">
      <c r="B66" s="66">
        <f ca="1">IFERROR(INDIRECT(CONCATENATE("Track1!D",A58+9)),"")</f>
        <v>8</v>
      </c>
      <c r="C66" s="66">
        <f ca="1">IFERROR(INDIRECT(CONCATENATE("Track1!e",A58+9)),"")</f>
        <v>0</v>
      </c>
      <c r="D66" s="85" t="str">
        <f ca="1">IFERROR(INDIRECT(CONCATENATE("Track1!f",A58+9)),"")</f>
        <v/>
      </c>
      <c r="E66" s="85" t="str">
        <f ca="1">IFERROR(INDIRECT(CONCATENATE("Track1!g",A58+9)),"")</f>
        <v/>
      </c>
      <c r="F66" s="96">
        <f ca="1">IFERROR(INDIRECT(CONCATENATE("Track1!v",A58+9)),"")</f>
        <v>0</v>
      </c>
      <c r="G66" s="108" t="str">
        <f ca="1">IFERROR(INDIRECT(CONCATENATE("Track1!i",A58+9)),"")</f>
        <v/>
      </c>
      <c r="H66" s="66"/>
      <c r="I66" s="66">
        <f ca="1">IFERROR(INDIRECT(CONCATENATE("Track1!k",A58+9)),"")</f>
        <v>8</v>
      </c>
      <c r="J66" s="66">
        <f ca="1">IFERROR(INDIRECT(CONCATENATE("Track1!l",A58+9)),"")</f>
        <v>0</v>
      </c>
      <c r="K66" s="85" t="str">
        <f ca="1">IFERROR(INDIRECT(CONCATENATE("Track1!m",A58+9)),"")</f>
        <v/>
      </c>
      <c r="L66" s="85" t="str">
        <f ca="1">IFERROR(INDIRECT(CONCATENATE("Track1!n",A58+9)),"")</f>
        <v/>
      </c>
      <c r="M66" s="96">
        <f ca="1">IFERROR(INDIRECT(CONCATENATE("Track1!w",A58+9)),"")</f>
        <v>0</v>
      </c>
      <c r="N66" s="108" t="str">
        <f ca="1">IFERROR(INDIRECT(CONCATENATE("Track1!p",A58+9)),"")</f>
        <v/>
      </c>
      <c r="T66" s="64" t="str">
        <f t="shared" ca="1" si="0"/>
        <v/>
      </c>
      <c r="U66" s="64" t="str">
        <f t="shared" ca="1" si="1"/>
        <v/>
      </c>
      <c r="V66" s="266" t="str">
        <f ca="1">IF(OR(D66=0,D66="",D66="Athlete"),"",COUNTIF($D$4:$D66,D66))</f>
        <v/>
      </c>
      <c r="W66" s="266" t="str">
        <f t="shared" ca="1" si="2"/>
        <v/>
      </c>
      <c r="Z66" s="266" t="str">
        <f t="shared" ca="1" si="3"/>
        <v/>
      </c>
    </row>
    <row r="67" spans="1:26" x14ac:dyDescent="0.35">
      <c r="F67" s="96"/>
      <c r="M67" s="97"/>
      <c r="T67" s="64" t="str">
        <f t="shared" si="0"/>
        <v/>
      </c>
      <c r="U67" s="64" t="str">
        <f t="shared" si="1"/>
        <v/>
      </c>
      <c r="V67" s="266" t="str">
        <f>IF(OR(D67=0,D67="",D67="Athlete"),"",COUNTIF($D$4:$D67,D67))</f>
        <v/>
      </c>
      <c r="W67" s="266" t="str">
        <f t="shared" si="2"/>
        <v/>
      </c>
      <c r="Z67" s="266" t="str">
        <f t="shared" si="3"/>
        <v/>
      </c>
    </row>
    <row r="68" spans="1:26" x14ac:dyDescent="0.35">
      <c r="A68" s="66" t="s">
        <v>259</v>
      </c>
      <c r="B68" s="102" t="str">
        <f ca="1">IFERROR(INDIRECT(CONCATENATE("Track2!D",A69)),"")</f>
        <v>1500m U15 Boys A</v>
      </c>
      <c r="F68" s="96" t="str">
        <f ca="1">IFERROR(INDIRECT(CONCATENATE("Track2!h",A69)),"")</f>
        <v/>
      </c>
      <c r="G68" s="66">
        <f ca="1">IFERROR(INDIRECT(CONCATENATE("Track2!i",A69)),"")</f>
        <v>0</v>
      </c>
      <c r="I68" s="102" t="str">
        <f ca="1">IFERROR(INDIRECT(CONCATENATE("Track2!k",A69)),"")</f>
        <v>1500m U15 Boys B</v>
      </c>
      <c r="M68" s="97"/>
      <c r="T68" s="64" t="str">
        <f t="shared" si="0"/>
        <v/>
      </c>
      <c r="U68" s="64" t="str">
        <f t="shared" si="1"/>
        <v/>
      </c>
      <c r="V68" s="266" t="str">
        <f>IF(OR(D68=0,D68="",D68="Athlete"),"",COUNTIF($D$4:$D68,D68))</f>
        <v/>
      </c>
      <c r="W68" s="266" t="str">
        <f t="shared" si="2"/>
        <v/>
      </c>
      <c r="Z68" s="266" t="str">
        <f t="shared" ca="1" si="3"/>
        <v/>
      </c>
    </row>
    <row r="69" spans="1:26" x14ac:dyDescent="0.35">
      <c r="A69" s="66">
        <f>IFERROR(MATCH(A68,Track2!C:C,0),"")</f>
        <v>35</v>
      </c>
      <c r="B69" s="45" t="str">
        <f ca="1">IFERROR(INDIRECT(CONCATENATE("Track2!D",A69+1)),"")</f>
        <v>Posn</v>
      </c>
      <c r="C69" s="45" t="str">
        <f ca="1">IFERROR(INDIRECT(CONCATENATE("Track2!e",A69+1)),"")</f>
        <v>No.</v>
      </c>
      <c r="D69" s="139" t="str">
        <f ca="1">IFERROR(INDIRECT(CONCATENATE("Track2!f",A69+1)),"")</f>
        <v>Athlete</v>
      </c>
      <c r="E69" s="139" t="str">
        <f ca="1">IFERROR(INDIRECT(CONCATENATE("Track2!g",A69+1)),"")</f>
        <v>Club</v>
      </c>
      <c r="F69" s="134" t="str">
        <f ca="1">IFERROR(INDIRECT(CONCATENATE("Track2!h",A69+1)),"")</f>
        <v>Perf</v>
      </c>
      <c r="G69" s="167" t="str">
        <f ca="1">IFERROR(INDIRECT(CONCATENATE("Track2!i",A69+1)),"")</f>
        <v>EA</v>
      </c>
      <c r="H69" s="45"/>
      <c r="I69" s="45" t="str">
        <f ca="1">IFERROR(INDIRECT(CONCATENATE("Track2!k",A69+1)),"")</f>
        <v>Posn</v>
      </c>
      <c r="J69" s="45" t="str">
        <f ca="1">IFERROR(INDIRECT(CONCATENATE("Track2!l",A69+1)),"")</f>
        <v>No.</v>
      </c>
      <c r="K69" s="139" t="str">
        <f ca="1">IFERROR(INDIRECT(CONCATENATE("Track2!m",A69+1)),"")</f>
        <v>Athlete</v>
      </c>
      <c r="L69" s="139" t="str">
        <f ca="1">IFERROR(INDIRECT(CONCATENATE("Track2!n",A69+1)),"")</f>
        <v>Club</v>
      </c>
      <c r="M69" s="134" t="str">
        <f ca="1">IFERROR(INDIRECT(CONCATENATE("Track2!o",A69+1)),"")</f>
        <v>Perf</v>
      </c>
      <c r="N69" s="167" t="str">
        <f ca="1">IFERROR(INDIRECT(CONCATENATE("Track2!p",A69+1)),"")</f>
        <v>EA</v>
      </c>
      <c r="T69" s="64" t="str">
        <f t="shared" ref="T69:T132" ca="1" si="4">IF(OR(D69=0,D69="",D69="Athlete"),"",COUNTIF($D$4:$D$352,D69))</f>
        <v/>
      </c>
      <c r="U69" s="64" t="str">
        <f t="shared" ref="U69:U132" ca="1" si="5">IF(OR(K69=0,K69="",K69="Athlete"),"",COUNTIF($D$4:$D$352,K69))</f>
        <v/>
      </c>
      <c r="V69" s="266" t="str">
        <f ca="1">IF(OR(D69=0,D69="",D69="Athlete"),"",COUNTIF($D$4:$D69,D69))</f>
        <v/>
      </c>
      <c r="W69" s="266" t="str">
        <f t="shared" ref="W69:W132" ca="1" si="6">IF(OR(D69=0,D69="",D69="Athlete"),"",E69)</f>
        <v/>
      </c>
      <c r="Z69" s="266">
        <f t="shared" ref="Z69:Z132" ca="1" si="7">IF(OR(G69=0,G69="",G69="Athlete"),"",H69)</f>
        <v>0</v>
      </c>
    </row>
    <row r="70" spans="1:26" x14ac:dyDescent="0.35">
      <c r="B70" s="66">
        <f ca="1">IFERROR(INDIRECT(CONCATENATE("Track2!D",A69+2)),"")</f>
        <v>1</v>
      </c>
      <c r="C70" s="66">
        <f ca="1">IFERROR(INDIRECT(CONCATENATE("Track2!e",A69+2)),"")</f>
        <v>2</v>
      </c>
      <c r="D70" s="85" t="str">
        <f ca="1">IFERROR(INDIRECT(CONCATENATE("Track2!f",A69+2)),"")</f>
        <v>Marshall FLEET</v>
      </c>
      <c r="E70" s="85" t="str">
        <f ca="1">IFERROR(INDIRECT(CONCATENATE("Track2!g",A69+2)),"")</f>
        <v>ECHT</v>
      </c>
      <c r="F70" s="96">
        <f ca="1">IFERROR(INDIRECT(CONCATENATE("Track2!h",A69+2)),"")</f>
        <v>3.1874999999999998E-3</v>
      </c>
      <c r="G70" s="108">
        <f ca="1">IFERROR(INDIRECT(CONCATENATE("Track2!i",A69+2)),"")</f>
        <v>7</v>
      </c>
      <c r="H70" s="66"/>
      <c r="I70" s="66">
        <f ca="1">IFERROR(INDIRECT(CONCATENATE("Track2!k",A69+2)),"")</f>
        <v>1</v>
      </c>
      <c r="J70" s="66">
        <f ca="1">IFERROR(INDIRECT(CONCATENATE("Track2!l",A69+2)),"")</f>
        <v>4</v>
      </c>
      <c r="K70" s="85" t="str">
        <f ca="1">IFERROR(INDIRECT(CONCATENATE("Track2!m",A69+2)),"")</f>
        <v>Bobby TOMLINSON</v>
      </c>
      <c r="L70" s="85" t="str">
        <f ca="1">IFERROR(INDIRECT(CONCATENATE("Track2!n",A69+2)),"")</f>
        <v>Macc</v>
      </c>
      <c r="M70" s="96">
        <f ca="1">IFERROR(INDIRECT(CONCATENATE("Track2!o",A69+2)),"")</f>
        <v>3.40625E-3</v>
      </c>
      <c r="N70" s="108">
        <f ca="1">IFERROR(INDIRECT(CONCATENATE("Track2!p",A69+2)),"")</f>
        <v>5</v>
      </c>
      <c r="R70" s="168">
        <f ca="1">IFERROR(INDIRECT(CONCATENATE("Track2!r",A69+2)),"")</f>
        <v>10</v>
      </c>
      <c r="T70" s="64">
        <f t="shared" ca="1" si="4"/>
        <v>2</v>
      </c>
      <c r="U70" s="64">
        <f t="shared" ca="1" si="5"/>
        <v>1</v>
      </c>
      <c r="V70" s="266">
        <f ca="1">IF(OR(D70=0,D70="",D70="Athlete"),"",COUNTIF($D$4:$D70,D70))</f>
        <v>1</v>
      </c>
      <c r="W70" s="266" t="str">
        <f t="shared" ca="1" si="6"/>
        <v>ECHT</v>
      </c>
      <c r="Z70" s="266">
        <f t="shared" ca="1" si="7"/>
        <v>0</v>
      </c>
    </row>
    <row r="71" spans="1:26" x14ac:dyDescent="0.35">
      <c r="B71" s="66">
        <f ca="1">IFERROR(INDIRECT(CONCATENATE("Track2!D",A69+3)),"")</f>
        <v>2</v>
      </c>
      <c r="C71" s="66">
        <f ca="1">IFERROR(INDIRECT(CONCATENATE("Track2!e",A69+3)),"")</f>
        <v>44</v>
      </c>
      <c r="D71" s="85" t="str">
        <f ca="1">IFERROR(INDIRECT(CONCATENATE("Track2!f",A69+3)),"")</f>
        <v>George O'DONNELL</v>
      </c>
      <c r="E71" s="85" t="str">
        <f ca="1">IFERROR(INDIRECT(CONCATENATE("Track2!g",A69+3)),"")</f>
        <v>Macc</v>
      </c>
      <c r="F71" s="96">
        <f ca="1">IFERROR(INDIRECT(CONCATENATE("Track2!h",A69+3)),"")</f>
        <v>3.2488425925925927E-3</v>
      </c>
      <c r="G71" s="108">
        <f ca="1">IFERROR(INDIRECT(CONCATENATE("Track2!i",A69+3)),"")</f>
        <v>6</v>
      </c>
      <c r="H71" s="66"/>
      <c r="I71" s="66">
        <f ca="1">IFERROR(INDIRECT(CONCATENATE("Track2!k",A69+3)),"")</f>
        <v>2</v>
      </c>
      <c r="J71" s="66">
        <f ca="1">IFERROR(INDIRECT(CONCATENATE("Track2!l",A69+3)),"")</f>
        <v>22</v>
      </c>
      <c r="K71" s="85" t="str">
        <f ca="1">IFERROR(INDIRECT(CONCATENATE("Track2!m",A69+3)),"")</f>
        <v>Oliver WALKER</v>
      </c>
      <c r="L71" s="85" t="str">
        <f ca="1">IFERROR(INDIRECT(CONCATENATE("Track2!n",A69+3)),"")</f>
        <v>ECHT</v>
      </c>
      <c r="M71" s="96">
        <f ca="1">IFERROR(INDIRECT(CONCATENATE("Track2!o",A69+3)),"")</f>
        <v>3.7592592592592595E-3</v>
      </c>
      <c r="N71" s="108">
        <f ca="1">IFERROR(INDIRECT(CONCATENATE("Track2!p",A69+3)),"")</f>
        <v>2</v>
      </c>
      <c r="T71" s="64">
        <f t="shared" ca="1" si="4"/>
        <v>1</v>
      </c>
      <c r="U71" s="64">
        <f t="shared" ca="1" si="5"/>
        <v>1</v>
      </c>
      <c r="V71" s="266">
        <f ca="1">IF(OR(D71=0,D71="",D71="Athlete"),"",COUNTIF($D$4:$D71,D71))</f>
        <v>1</v>
      </c>
      <c r="W71" s="266" t="str">
        <f t="shared" ca="1" si="6"/>
        <v>Macc</v>
      </c>
      <c r="Z71" s="266">
        <f t="shared" ca="1" si="7"/>
        <v>0</v>
      </c>
    </row>
    <row r="72" spans="1:26" x14ac:dyDescent="0.35">
      <c r="B72" s="66">
        <f ca="1">IFERROR(INDIRECT(CONCATENATE("Track2!D",A69+4)),"")</f>
        <v>3</v>
      </c>
      <c r="C72" s="66">
        <f ca="1">IFERROR(INDIRECT(CONCATENATE("Track2!e",A69+4)),"")</f>
        <v>6</v>
      </c>
      <c r="D72" s="85" t="str">
        <f ca="1">IFERROR(INDIRECT(CONCATENATE("Track2!f",A69+4)),"")</f>
        <v>Will WALTON</v>
      </c>
      <c r="E72" s="85" t="str">
        <f ca="1">IFERROR(INDIRECT(CONCATENATE("Track2!g",A69+4)),"")</f>
        <v>Stock</v>
      </c>
      <c r="F72" s="96">
        <f ca="1">IFERROR(INDIRECT(CONCATENATE("Track2!h",A69+4)),"")</f>
        <v>3.3854166666666672E-3</v>
      </c>
      <c r="G72" s="108">
        <f ca="1">IFERROR(INDIRECT(CONCATENATE("Track2!i",A69+4)),"")</f>
        <v>5</v>
      </c>
      <c r="H72" s="66"/>
      <c r="I72" s="66">
        <f ca="1">IFERROR(INDIRECT(CONCATENATE("Track2!k",A69+4)),"")</f>
        <v>3</v>
      </c>
      <c r="J72" s="66">
        <f ca="1">IFERROR(INDIRECT(CONCATENATE("Track2!l",A69+4)),"")</f>
        <v>33</v>
      </c>
      <c r="K72" s="85" t="str">
        <f ca="1">IFERROR(INDIRECT(CONCATENATE("Track2!m",A69+4)),"")</f>
        <v>William GUY</v>
      </c>
      <c r="L72" s="85" t="str">
        <f ca="1">IFERROR(INDIRECT(CONCATENATE("Track2!n",A69+4)),"")</f>
        <v>Leigh</v>
      </c>
      <c r="M72" s="96">
        <f ca="1">IFERROR(INDIRECT(CONCATENATE("Track2!o",A69+4)),"")</f>
        <v>3.8090277777777779E-3</v>
      </c>
      <c r="N72" s="108">
        <f ca="1">IFERROR(INDIRECT(CONCATENATE("Track2!p",A69+4)),"")</f>
        <v>2</v>
      </c>
      <c r="T72" s="64">
        <f t="shared" ca="1" si="4"/>
        <v>1</v>
      </c>
      <c r="U72" s="64">
        <f t="shared" ca="1" si="5"/>
        <v>1</v>
      </c>
      <c r="V72" s="266">
        <f ca="1">IF(OR(D72=0,D72="",D72="Athlete"),"",COUNTIF($D$4:$D72,D72))</f>
        <v>1</v>
      </c>
      <c r="W72" s="266" t="str">
        <f t="shared" ca="1" si="6"/>
        <v>Stock</v>
      </c>
      <c r="Z72" s="266">
        <f t="shared" ca="1" si="7"/>
        <v>0</v>
      </c>
    </row>
    <row r="73" spans="1:26" x14ac:dyDescent="0.35">
      <c r="B73" s="66">
        <f ca="1">IFERROR(INDIRECT(CONCATENATE("Track2!D",A69+5)),"")</f>
        <v>4</v>
      </c>
      <c r="C73" s="66">
        <f ca="1">IFERROR(INDIRECT(CONCATENATE("Track2!e",A69+5)),"")</f>
        <v>3</v>
      </c>
      <c r="D73" s="85" t="str">
        <f ca="1">IFERROR(INDIRECT(CONCATENATE("Track2!f",A69+5)),"")</f>
        <v>Lucas GREGORY</v>
      </c>
      <c r="E73" s="85" t="str">
        <f ca="1">IFERROR(INDIRECT(CONCATENATE("Track2!g",A69+5)),"")</f>
        <v>Leigh</v>
      </c>
      <c r="F73" s="96">
        <f ca="1">IFERROR(INDIRECT(CONCATENATE("Track2!h",A69+5)),"")</f>
        <v>3.5694444444444441E-3</v>
      </c>
      <c r="G73" s="108">
        <f ca="1">IFERROR(INDIRECT(CONCATENATE("Track2!i",A69+5)),"")</f>
        <v>4</v>
      </c>
      <c r="H73" s="66"/>
      <c r="I73" s="66">
        <f ca="1">IFERROR(INDIRECT(CONCATENATE("Track2!k",A69+5)),"")</f>
        <v>4</v>
      </c>
      <c r="J73" s="66" t="str">
        <f ca="1">IFERROR(INDIRECT(CONCATENATE("Track2!l",A69+5)),"")</f>
        <v/>
      </c>
      <c r="K73" s="85" t="str">
        <f ca="1">IFERROR(INDIRECT(CONCATENATE("Track2!m",A69+5)),"")</f>
        <v/>
      </c>
      <c r="L73" s="85" t="str">
        <f ca="1">IFERROR(INDIRECT(CONCATENATE("Track2!n",A69+5)),"")</f>
        <v/>
      </c>
      <c r="M73" s="96" t="str">
        <f ca="1">IFERROR(INDIRECT(CONCATENATE("Track2!o",A69+5)),"")</f>
        <v/>
      </c>
      <c r="N73" s="108" t="str">
        <f ca="1">IFERROR(INDIRECT(CONCATENATE("Track2!p",A69+5)),"")</f>
        <v/>
      </c>
      <c r="T73" s="64">
        <f t="shared" ca="1" si="4"/>
        <v>1</v>
      </c>
      <c r="U73" s="64" t="str">
        <f t="shared" ca="1" si="5"/>
        <v/>
      </c>
      <c r="V73" s="266">
        <f ca="1">IF(OR(D73=0,D73="",D73="Athlete"),"",COUNTIF($D$4:$D73,D73))</f>
        <v>1</v>
      </c>
      <c r="W73" s="266" t="str">
        <f t="shared" ca="1" si="6"/>
        <v>Leigh</v>
      </c>
      <c r="Z73" s="266">
        <f t="shared" ca="1" si="7"/>
        <v>0</v>
      </c>
    </row>
    <row r="74" spans="1:26" x14ac:dyDescent="0.35">
      <c r="B74" s="66">
        <f ca="1">IFERROR(INDIRECT(CONCATENATE("Track2!D",A69+6)),"")</f>
        <v>5</v>
      </c>
      <c r="C74" s="66">
        <f ca="1">IFERROR(INDIRECT(CONCATENATE("Track2!e",A69+6)),"")</f>
        <v>5</v>
      </c>
      <c r="D74" s="85" t="str">
        <f ca="1">IFERROR(INDIRECT(CONCATENATE("Track2!f",A69+6)),"")</f>
        <v>Alex BAYNHAM</v>
      </c>
      <c r="E74" s="85" t="str">
        <f ca="1">IFERROR(INDIRECT(CONCATENATE("Track2!g",A69+6)),"")</f>
        <v>Menai</v>
      </c>
      <c r="F74" s="96">
        <f ca="1">IFERROR(INDIRECT(CONCATENATE("Track2!h",A69+6)),"")</f>
        <v>3.6331018518518522E-3</v>
      </c>
      <c r="G74" s="108">
        <f ca="1">IFERROR(INDIRECT(CONCATENATE("Track2!i",A69+6)),"")</f>
        <v>3</v>
      </c>
      <c r="H74" s="66"/>
      <c r="I74" s="66">
        <f ca="1">IFERROR(INDIRECT(CONCATENATE("Track2!k",A69+6)),"")</f>
        <v>5</v>
      </c>
      <c r="J74" s="66" t="str">
        <f ca="1">IFERROR(INDIRECT(CONCATENATE("Track2!l",A69+6)),"")</f>
        <v/>
      </c>
      <c r="K74" s="85" t="str">
        <f ca="1">IFERROR(INDIRECT(CONCATENATE("Track2!m",A69+6)),"")</f>
        <v/>
      </c>
      <c r="L74" s="85" t="str">
        <f ca="1">IFERROR(INDIRECT(CONCATENATE("Track2!n",A69+6)),"")</f>
        <v/>
      </c>
      <c r="M74" s="96" t="str">
        <f ca="1">IFERROR(INDIRECT(CONCATENATE("Track2!o",A69+6)),"")</f>
        <v/>
      </c>
      <c r="N74" s="108" t="str">
        <f ca="1">IFERROR(INDIRECT(CONCATENATE("Track2!p",A69+6)),"")</f>
        <v/>
      </c>
      <c r="T74" s="64">
        <f t="shared" ca="1" si="4"/>
        <v>3</v>
      </c>
      <c r="U74" s="64" t="str">
        <f t="shared" ca="1" si="5"/>
        <v/>
      </c>
      <c r="V74" s="266">
        <f ca="1">IF(OR(D74=0,D74="",D74="Athlete"),"",COUNTIF($D$4:$D74,D74))</f>
        <v>2</v>
      </c>
      <c r="W74" s="266" t="str">
        <f t="shared" ca="1" si="6"/>
        <v>Menai</v>
      </c>
      <c r="Z74" s="266">
        <f t="shared" ca="1" si="7"/>
        <v>0</v>
      </c>
    </row>
    <row r="75" spans="1:26" x14ac:dyDescent="0.35">
      <c r="B75" s="66">
        <f ca="1">IFERROR(INDIRECT(CONCATENATE("Track2!D",A69+7)),"")</f>
        <v>6</v>
      </c>
      <c r="C75" s="66" t="str">
        <f ca="1">IFERROR(INDIRECT(CONCATENATE("Track2!e",A69+7)),"")</f>
        <v/>
      </c>
      <c r="D75" s="85" t="str">
        <f ca="1">IFERROR(INDIRECT(CONCATENATE("Track2!f",A69+7)),"")</f>
        <v/>
      </c>
      <c r="E75" s="85" t="str">
        <f ca="1">IFERROR(INDIRECT(CONCATENATE("Track2!g",A69+7)),"")</f>
        <v/>
      </c>
      <c r="F75" s="96" t="str">
        <f ca="1">IFERROR(INDIRECT(CONCATENATE("Track2!h",A69+7)),"")</f>
        <v/>
      </c>
      <c r="G75" s="108" t="str">
        <f ca="1">IFERROR(INDIRECT(CONCATENATE("Track2!i",A69+7)),"")</f>
        <v/>
      </c>
      <c r="H75" s="66"/>
      <c r="I75" s="66">
        <f ca="1">IFERROR(INDIRECT(CONCATENATE("Track2!k",A69+7)),"")</f>
        <v>6</v>
      </c>
      <c r="J75" s="66" t="str">
        <f ca="1">IFERROR(INDIRECT(CONCATENATE("Track2!l",A69+7)),"")</f>
        <v/>
      </c>
      <c r="K75" s="85" t="str">
        <f ca="1">IFERROR(INDIRECT(CONCATENATE("Track2!m",A69+7)),"")</f>
        <v/>
      </c>
      <c r="L75" s="85" t="str">
        <f ca="1">IFERROR(INDIRECT(CONCATENATE("Track2!n",A69+7)),"")</f>
        <v/>
      </c>
      <c r="M75" s="96" t="str">
        <f ca="1">IFERROR(INDIRECT(CONCATENATE("Track2!o",A69+7)),"")</f>
        <v/>
      </c>
      <c r="N75" s="108" t="str">
        <f ca="1">IFERROR(INDIRECT(CONCATENATE("Track2!p",A69+7)),"")</f>
        <v/>
      </c>
      <c r="T75" s="64" t="str">
        <f t="shared" ca="1" si="4"/>
        <v/>
      </c>
      <c r="U75" s="64" t="str">
        <f t="shared" ca="1" si="5"/>
        <v/>
      </c>
      <c r="V75" s="266" t="str">
        <f ca="1">IF(OR(D75=0,D75="",D75="Athlete"),"",COUNTIF($D$4:$D75,D75))</f>
        <v/>
      </c>
      <c r="W75" s="266" t="str">
        <f t="shared" ca="1" si="6"/>
        <v/>
      </c>
      <c r="Z75" s="266" t="str">
        <f t="shared" ca="1" si="7"/>
        <v/>
      </c>
    </row>
    <row r="76" spans="1:26" x14ac:dyDescent="0.35">
      <c r="B76" s="66">
        <f ca="1">IFERROR(INDIRECT(CONCATENATE("Track2!D",A69+8)),"")</f>
        <v>7</v>
      </c>
      <c r="C76" s="66" t="str">
        <f ca="1">IFERROR(INDIRECT(CONCATENATE("Track2!e",A69+8)),"")</f>
        <v/>
      </c>
      <c r="D76" s="85" t="str">
        <f ca="1">IFERROR(INDIRECT(CONCATENATE("Track2!f",A69+8)),"")</f>
        <v/>
      </c>
      <c r="E76" s="85" t="str">
        <f ca="1">IFERROR(INDIRECT(CONCATENATE("Track2!g",A69+8)),"")</f>
        <v/>
      </c>
      <c r="F76" s="96" t="str">
        <f ca="1">IFERROR(INDIRECT(CONCATENATE("Track2!h",A69+8)),"")</f>
        <v/>
      </c>
      <c r="G76" s="108" t="str">
        <f ca="1">IFERROR(INDIRECT(CONCATENATE("Track2!i",A69+8)),"")</f>
        <v/>
      </c>
      <c r="H76" s="66"/>
      <c r="I76" s="66">
        <f ca="1">IFERROR(INDIRECT(CONCATENATE("Track2!k",A69+8)),"")</f>
        <v>7</v>
      </c>
      <c r="J76" s="66" t="str">
        <f ca="1">IFERROR(INDIRECT(CONCATENATE("Track2!l",A69+8)),"")</f>
        <v/>
      </c>
      <c r="K76" s="85" t="str">
        <f ca="1">IFERROR(INDIRECT(CONCATENATE("Track2!m",A69+8)),"")</f>
        <v/>
      </c>
      <c r="L76" s="85" t="str">
        <f ca="1">IFERROR(INDIRECT(CONCATENATE("Track2!n",A69+8)),"")</f>
        <v/>
      </c>
      <c r="M76" s="96" t="str">
        <f ca="1">IFERROR(INDIRECT(CONCATENATE("Track2!o",A69+8)),"")</f>
        <v/>
      </c>
      <c r="N76" s="108" t="str">
        <f ca="1">IFERROR(INDIRECT(CONCATENATE("Track2!p",A69+8)),"")</f>
        <v/>
      </c>
      <c r="T76" s="64" t="str">
        <f t="shared" ca="1" si="4"/>
        <v/>
      </c>
      <c r="U76" s="64" t="str">
        <f t="shared" ca="1" si="5"/>
        <v/>
      </c>
      <c r="V76" s="266" t="str">
        <f ca="1">IF(OR(D76=0,D76="",D76="Athlete"),"",COUNTIF($D$4:$D76,D76))</f>
        <v/>
      </c>
      <c r="W76" s="266" t="str">
        <f t="shared" ca="1" si="6"/>
        <v/>
      </c>
      <c r="Z76" s="266" t="str">
        <f t="shared" ca="1" si="7"/>
        <v/>
      </c>
    </row>
    <row r="77" spans="1:26" x14ac:dyDescent="0.35">
      <c r="B77" s="66">
        <f ca="1">IFERROR(INDIRECT(CONCATENATE("Track2!D",A69+9)),"")</f>
        <v>8</v>
      </c>
      <c r="C77" s="66" t="str">
        <f ca="1">IFERROR(INDIRECT(CONCATENATE("Track2!e",A69+9)),"")</f>
        <v/>
      </c>
      <c r="D77" s="85" t="str">
        <f ca="1">IFERROR(INDIRECT(CONCATENATE("Track2!f",A69+9)),"")</f>
        <v/>
      </c>
      <c r="E77" s="85" t="str">
        <f ca="1">IFERROR(INDIRECT(CONCATENATE("Track2!g",A69+9)),"")</f>
        <v/>
      </c>
      <c r="F77" s="96" t="str">
        <f ca="1">IFERROR(INDIRECT(CONCATENATE("Track2!h",A69+9)),"")</f>
        <v/>
      </c>
      <c r="G77" s="108" t="str">
        <f ca="1">IFERROR(INDIRECT(CONCATENATE("Track2!i",A69+9)),"")</f>
        <v/>
      </c>
      <c r="H77" s="66"/>
      <c r="I77" s="66">
        <f ca="1">IFERROR(INDIRECT(CONCATENATE("Track2!k",A69+9)),"")</f>
        <v>8</v>
      </c>
      <c r="J77" s="66" t="str">
        <f ca="1">IFERROR(INDIRECT(CONCATENATE("Track2!l",A69+9)),"")</f>
        <v/>
      </c>
      <c r="K77" s="85" t="str">
        <f ca="1">IFERROR(INDIRECT(CONCATENATE("Track2!m",A69+9)),"")</f>
        <v/>
      </c>
      <c r="L77" s="85" t="str">
        <f ca="1">IFERROR(INDIRECT(CONCATENATE("Track2!n",A69+9)),"")</f>
        <v/>
      </c>
      <c r="M77" s="96" t="str">
        <f ca="1">IFERROR(INDIRECT(CONCATENATE("Track2!o",A69+9)),"")</f>
        <v/>
      </c>
      <c r="N77" s="108" t="str">
        <f ca="1">IFERROR(INDIRECT(CONCATENATE("Track2!p",A69+9)),"")</f>
        <v/>
      </c>
      <c r="T77" s="64" t="str">
        <f t="shared" ca="1" si="4"/>
        <v/>
      </c>
      <c r="U77" s="64" t="str">
        <f t="shared" ca="1" si="5"/>
        <v/>
      </c>
      <c r="V77" s="266" t="str">
        <f ca="1">IF(OR(D77=0,D77="",D77="Athlete"),"",COUNTIF($D$4:$D77,D77))</f>
        <v/>
      </c>
      <c r="W77" s="266" t="str">
        <f t="shared" ca="1" si="6"/>
        <v/>
      </c>
      <c r="Z77" s="266" t="str">
        <f t="shared" ca="1" si="7"/>
        <v/>
      </c>
    </row>
    <row r="78" spans="1:26" x14ac:dyDescent="0.35">
      <c r="T78" s="64" t="str">
        <f t="shared" si="4"/>
        <v/>
      </c>
      <c r="U78" s="64" t="str">
        <f t="shared" si="5"/>
        <v/>
      </c>
      <c r="V78" s="266" t="str">
        <f>IF(OR(D78=0,D78="",D78="Athlete"),"",COUNTIF($D$4:$D78,D78))</f>
        <v/>
      </c>
      <c r="W78" s="266" t="str">
        <f t="shared" si="6"/>
        <v/>
      </c>
      <c r="Z78" s="266" t="str">
        <f t="shared" si="7"/>
        <v/>
      </c>
    </row>
    <row r="79" spans="1:26" x14ac:dyDescent="0.35">
      <c r="A79" s="66" t="s">
        <v>35</v>
      </c>
      <c r="B79" s="102" t="str">
        <f ca="1">IFERROR(INDIRECT(CONCATENATE("Track1!D",A80)),"")</f>
        <v>80m Hurdles U15 Boys A</v>
      </c>
      <c r="E79" s="85" t="s">
        <v>206</v>
      </c>
      <c r="F79" s="195">
        <f ca="1">IFERROR(INDIRECT(CONCATENATE("Track1!h",A80)),"")</f>
        <v>0</v>
      </c>
      <c r="G79" s="108" t="str">
        <f ca="1">IFERROR(INDIRECT(CONCATENATE("Track1!i",A80)),"")</f>
        <v/>
      </c>
      <c r="I79" s="102" t="str">
        <f ca="1">IFERROR(INDIRECT(CONCATENATE("Track1!k",A80)),"")</f>
        <v>80m Hurdles U15 Boys B</v>
      </c>
      <c r="L79" s="85" t="s">
        <v>206</v>
      </c>
      <c r="M79" s="195">
        <f ca="1">IFERROR(INDIRECT(CONCATENATE("Track1!o",A80)),"")</f>
        <v>0</v>
      </c>
      <c r="T79" s="64" t="str">
        <f t="shared" si="4"/>
        <v/>
      </c>
      <c r="U79" s="64" t="str">
        <f t="shared" si="5"/>
        <v/>
      </c>
      <c r="V79" s="266" t="str">
        <f>IF(OR(D79=0,D79="",D79="Athlete"),"",COUNTIF($D$4:$D79,D79))</f>
        <v/>
      </c>
      <c r="W79" s="266" t="str">
        <f t="shared" si="6"/>
        <v/>
      </c>
      <c r="Z79" s="266" t="str">
        <f t="shared" ca="1" si="7"/>
        <v/>
      </c>
    </row>
    <row r="80" spans="1:26" x14ac:dyDescent="0.35">
      <c r="A80" s="66">
        <f>IFERROR(MATCH(A79,Track1!C:C,0),"")</f>
        <v>35</v>
      </c>
      <c r="B80" s="45" t="str">
        <f ca="1">IFERROR(INDIRECT(CONCATENATE("Track1!D",A80+1)),"")</f>
        <v>Posn</v>
      </c>
      <c r="C80" s="45" t="str">
        <f ca="1">IFERROR(INDIRECT(CONCATENATE("Track1!e",A80+1)),"")</f>
        <v>No.</v>
      </c>
      <c r="D80" s="139" t="str">
        <f ca="1">IFERROR(INDIRECT(CONCATENATE("Track1!f",A80+1)),"")</f>
        <v>Athlete</v>
      </c>
      <c r="E80" s="139" t="str">
        <f ca="1">IFERROR(INDIRECT(CONCATENATE("Track1!g",A80+1)),"")</f>
        <v>Club</v>
      </c>
      <c r="F80" s="133" t="str">
        <f ca="1">IFERROR(INDIRECT(CONCATENATE("Track1!h",A80+1)),"")</f>
        <v>Perf</v>
      </c>
      <c r="G80" s="167" t="str">
        <f ca="1">IFERROR(INDIRECT(CONCATENATE("Track1!i",A80+1)),"")</f>
        <v>EA</v>
      </c>
      <c r="H80" s="45"/>
      <c r="I80" s="45" t="str">
        <f ca="1">IFERROR(INDIRECT(CONCATENATE("Track1!k",A80+1)),"")</f>
        <v>Posn</v>
      </c>
      <c r="J80" s="45" t="str">
        <f ca="1">IFERROR(INDIRECT(CONCATENATE("Track1!l",A80+1)),"")</f>
        <v>No.</v>
      </c>
      <c r="K80" s="139" t="str">
        <f ca="1">IFERROR(INDIRECT(CONCATENATE("Track1!m",A80+1)),"")</f>
        <v>Athlete</v>
      </c>
      <c r="L80" s="139" t="str">
        <f ca="1">IFERROR(INDIRECT(CONCATENATE("Track1!n",A80+1)),"")</f>
        <v>Club</v>
      </c>
      <c r="M80" s="133" t="str">
        <f ca="1">IFERROR(INDIRECT(CONCATENATE("Track1!o",A80+1)),"")</f>
        <v>Perf</v>
      </c>
      <c r="N80" s="167" t="str">
        <f ca="1">IFERROR(INDIRECT(CONCATENATE("Track1!p",A80+1)),"")</f>
        <v>EA</v>
      </c>
      <c r="T80" s="64" t="str">
        <f t="shared" ca="1" si="4"/>
        <v/>
      </c>
      <c r="U80" s="64" t="str">
        <f t="shared" ca="1" si="5"/>
        <v/>
      </c>
      <c r="V80" s="266" t="str">
        <f ca="1">IF(OR(D80=0,D80="",D80="Athlete"),"",COUNTIF($D$4:$D80,D80))</f>
        <v/>
      </c>
      <c r="W80" s="266" t="str">
        <f t="shared" ca="1" si="6"/>
        <v/>
      </c>
      <c r="Z80" s="266">
        <f t="shared" ca="1" si="7"/>
        <v>0</v>
      </c>
    </row>
    <row r="81" spans="1:26" x14ac:dyDescent="0.35">
      <c r="B81" s="66">
        <f ca="1">IFERROR(INDIRECT(CONCATENATE("Track1!D",A80+2)),"")</f>
        <v>1</v>
      </c>
      <c r="C81" s="66">
        <f ca="1">IFERROR(INDIRECT(CONCATENATE("Track1!e",A80+2)),"")</f>
        <v>1</v>
      </c>
      <c r="D81" s="85" t="str">
        <f ca="1">IFERROR(INDIRECT(CONCATENATE("Track1!f",A80+2)),"")</f>
        <v>James HOWARTH</v>
      </c>
      <c r="E81" s="85" t="str">
        <f ca="1">IFERROR(INDIRECT(CONCATENATE("Track1!g",A80+2)),"")</f>
        <v>C&amp;N</v>
      </c>
      <c r="F81" s="395">
        <f ca="1">IFERROR(INDIRECT(CONCATENATE("Track1!h",A80+2)),"")</f>
        <v>13</v>
      </c>
      <c r="G81" s="108">
        <f ca="1">IFERROR(INDIRECT(CONCATENATE("Track1!i",A80+2)),"")</f>
        <v>6</v>
      </c>
      <c r="H81" s="66"/>
      <c r="I81" s="66">
        <f ca="1">IFERROR(INDIRECT(CONCATENATE("Track1!k",A80+2)),"")</f>
        <v>1</v>
      </c>
      <c r="J81" s="66">
        <f ca="1">IFERROR(INDIRECT(CONCATENATE("Track1!l",A80+2)),"")</f>
        <v>11</v>
      </c>
      <c r="K81" s="85" t="str">
        <f ca="1">IFERROR(INDIRECT(CONCATENATE("Track1!m",A80+2)),"")</f>
        <v>Isaac PICKERING</v>
      </c>
      <c r="L81" s="85" t="str">
        <f ca="1">IFERROR(INDIRECT(CONCATENATE("Track1!n",A80+2)),"")</f>
        <v>C&amp;N</v>
      </c>
      <c r="M81" s="395">
        <f ca="1">IFERROR(INDIRECT(CONCATENATE("Track1!o",A80+2)),"")</f>
        <v>13.7</v>
      </c>
      <c r="N81" s="108">
        <f ca="1">IFERROR(INDIRECT(CONCATENATE("Track1!p",A80+2)),"")</f>
        <v>4</v>
      </c>
      <c r="R81" s="168">
        <f ca="1">IFERROR(INDIRECT(CONCATENATE("Track1!r",A80+2)),"")</f>
        <v>10</v>
      </c>
      <c r="T81" s="64">
        <f t="shared" ca="1" si="4"/>
        <v>2</v>
      </c>
      <c r="U81" s="64">
        <f t="shared" ca="1" si="5"/>
        <v>3</v>
      </c>
      <c r="V81" s="266">
        <f ca="1">IF(OR(D81=0,D81="",D81="Athlete"),"",COUNTIF($D$4:$D81,D81))</f>
        <v>2</v>
      </c>
      <c r="W81" s="266" t="str">
        <f t="shared" ca="1" si="6"/>
        <v>C&amp;N</v>
      </c>
      <c r="Z81" s="266">
        <f t="shared" ca="1" si="7"/>
        <v>0</v>
      </c>
    </row>
    <row r="82" spans="1:26" x14ac:dyDescent="0.35">
      <c r="B82" s="66">
        <f ca="1">IFERROR(INDIRECT(CONCATENATE("Track1!D",A80+3)),"")</f>
        <v>2</v>
      </c>
      <c r="C82" s="66">
        <f ca="1">IFERROR(INDIRECT(CONCATENATE("Track1!e",A80+3)),"")</f>
        <v>5</v>
      </c>
      <c r="D82" s="85" t="str">
        <f ca="1">IFERROR(INDIRECT(CONCATENATE("Track1!f",A80+3)),"")</f>
        <v>Morgan JONES</v>
      </c>
      <c r="E82" s="85" t="str">
        <f ca="1">IFERROR(INDIRECT(CONCATENATE("Track1!g",A80+3)),"")</f>
        <v>Menai</v>
      </c>
      <c r="F82" s="395">
        <f ca="1">IFERROR(INDIRECT(CONCATENATE("Track1!h",A80+3)),"")</f>
        <v>14.6</v>
      </c>
      <c r="G82" s="108">
        <f ca="1">IFERROR(INDIRECT(CONCATENATE("Track1!i",A80+3)),"")</f>
        <v>2</v>
      </c>
      <c r="H82" s="66"/>
      <c r="I82" s="66">
        <f ca="1">IFERROR(INDIRECT(CONCATENATE("Track1!k",A80+3)),"")</f>
        <v>2</v>
      </c>
      <c r="J82" s="66">
        <f ca="1">IFERROR(INDIRECT(CONCATENATE("Track1!l",A80+3)),"")</f>
        <v>0</v>
      </c>
      <c r="K82" s="85" t="str">
        <f ca="1">IFERROR(INDIRECT(CONCATENATE("Track1!m",A80+3)),"")</f>
        <v/>
      </c>
      <c r="L82" s="85" t="str">
        <f ca="1">IFERROR(INDIRECT(CONCATENATE("Track1!n",A80+3)),"")</f>
        <v/>
      </c>
      <c r="M82" s="395">
        <f ca="1">IFERROR(INDIRECT(CONCATENATE("Track1!o",A80+3)),"")</f>
        <v>0</v>
      </c>
      <c r="N82" s="108" t="str">
        <f ca="1">IFERROR(INDIRECT(CONCATENATE("Track1!p",A80+3)),"")</f>
        <v/>
      </c>
      <c r="T82" s="64">
        <f t="shared" ca="1" si="4"/>
        <v>3</v>
      </c>
      <c r="U82" s="64" t="str">
        <f t="shared" ca="1" si="5"/>
        <v/>
      </c>
      <c r="V82" s="266">
        <f ca="1">IF(OR(D82=0,D82="",D82="Athlete"),"",COUNTIF($D$4:$D82,D82))</f>
        <v>2</v>
      </c>
      <c r="W82" s="266" t="str">
        <f t="shared" ca="1" si="6"/>
        <v>Menai</v>
      </c>
      <c r="Z82" s="266">
        <f t="shared" ca="1" si="7"/>
        <v>0</v>
      </c>
    </row>
    <row r="83" spans="1:26" x14ac:dyDescent="0.35">
      <c r="B83" s="66">
        <f ca="1">IFERROR(INDIRECT(CONCATENATE("Track1!D",A80+4)),"")</f>
        <v>3</v>
      </c>
      <c r="C83" s="66">
        <f ca="1">IFERROR(INDIRECT(CONCATENATE("Track1!e",A80+4)),"")</f>
        <v>6</v>
      </c>
      <c r="D83" s="85" t="str">
        <f ca="1">IFERROR(INDIRECT(CONCATENATE("Track1!f",A80+4)),"")</f>
        <v>Quaid SIN</v>
      </c>
      <c r="E83" s="85" t="str">
        <f ca="1">IFERROR(INDIRECT(CONCATENATE("Track1!g",A80+4)),"")</f>
        <v>Stock</v>
      </c>
      <c r="F83" s="395">
        <f ca="1">IFERROR(INDIRECT(CONCATENATE("Track1!h",A80+4)),"")</f>
        <v>15.1</v>
      </c>
      <c r="G83" s="108" t="str">
        <f ca="1">IFERROR(INDIRECT(CONCATENATE("Track1!i",A80+4)),"")</f>
        <v/>
      </c>
      <c r="H83" s="66"/>
      <c r="I83" s="66">
        <f ca="1">IFERROR(INDIRECT(CONCATENATE("Track1!k",A80+4)),"")</f>
        <v>3</v>
      </c>
      <c r="J83" s="66">
        <f ca="1">IFERROR(INDIRECT(CONCATENATE("Track1!l",A80+4)),"")</f>
        <v>0</v>
      </c>
      <c r="K83" s="85" t="str">
        <f ca="1">IFERROR(INDIRECT(CONCATENATE("Track1!m",A80+4)),"")</f>
        <v/>
      </c>
      <c r="L83" s="85" t="str">
        <f ca="1">IFERROR(INDIRECT(CONCATENATE("Track1!n",A80+4)),"")</f>
        <v/>
      </c>
      <c r="M83" s="395">
        <f ca="1">IFERROR(INDIRECT(CONCATENATE("Track1!o",A80+4)),"")</f>
        <v>0</v>
      </c>
      <c r="N83" s="108" t="str">
        <f ca="1">IFERROR(INDIRECT(CONCATENATE("Track1!p",A80+4)),"")</f>
        <v/>
      </c>
      <c r="T83" s="64">
        <f t="shared" ca="1" si="4"/>
        <v>3</v>
      </c>
      <c r="U83" s="64" t="str">
        <f t="shared" ca="1" si="5"/>
        <v/>
      </c>
      <c r="V83" s="266">
        <f ca="1">IF(OR(D83=0,D83="",D83="Athlete"),"",COUNTIF($D$4:$D83,D83))</f>
        <v>2</v>
      </c>
      <c r="W83" s="266" t="str">
        <f t="shared" ca="1" si="6"/>
        <v>Stock</v>
      </c>
      <c r="Z83" s="266" t="str">
        <f t="shared" ca="1" si="7"/>
        <v/>
      </c>
    </row>
    <row r="84" spans="1:26" x14ac:dyDescent="0.35">
      <c r="B84" s="66">
        <f ca="1">IFERROR(INDIRECT(CONCATENATE("Track1!D",A80+5)),"")</f>
        <v>4</v>
      </c>
      <c r="C84" s="66">
        <f ca="1">IFERROR(INDIRECT(CONCATENATE("Track1!e",A80+5)),"")</f>
        <v>3</v>
      </c>
      <c r="D84" s="85" t="str">
        <f ca="1">IFERROR(INDIRECT(CONCATENATE("Track1!f",A80+5)),"")</f>
        <v>Barnaby CROMBLEHOLME</v>
      </c>
      <c r="E84" s="85" t="str">
        <f ca="1">IFERROR(INDIRECT(CONCATENATE("Track1!g",A80+5)),"")</f>
        <v>Leigh</v>
      </c>
      <c r="F84" s="395">
        <f ca="1">IFERROR(INDIRECT(CONCATENATE("Track1!h",A80+5)),"")</f>
        <v>19.100000000000001</v>
      </c>
      <c r="G84" s="108" t="str">
        <f ca="1">IFERROR(INDIRECT(CONCATENATE("Track1!i",A80+5)),"")</f>
        <v/>
      </c>
      <c r="H84" s="66"/>
      <c r="I84" s="66">
        <f ca="1">IFERROR(INDIRECT(CONCATENATE("Track1!k",A80+5)),"")</f>
        <v>4</v>
      </c>
      <c r="J84" s="66">
        <f ca="1">IFERROR(INDIRECT(CONCATENATE("Track1!l",A80+5)),"")</f>
        <v>0</v>
      </c>
      <c r="K84" s="85" t="str">
        <f ca="1">IFERROR(INDIRECT(CONCATENATE("Track1!m",A80+5)),"")</f>
        <v/>
      </c>
      <c r="L84" s="85" t="str">
        <f ca="1">IFERROR(INDIRECT(CONCATENATE("Track1!n",A80+5)),"")</f>
        <v/>
      </c>
      <c r="M84" s="395">
        <f ca="1">IFERROR(INDIRECT(CONCATENATE("Track1!o",A80+5)),"")</f>
        <v>0</v>
      </c>
      <c r="N84" s="108" t="str">
        <f ca="1">IFERROR(INDIRECT(CONCATENATE("Track1!p",A80+5)),"")</f>
        <v/>
      </c>
      <c r="T84" s="64">
        <f t="shared" ca="1" si="4"/>
        <v>3</v>
      </c>
      <c r="U84" s="64" t="str">
        <f t="shared" ca="1" si="5"/>
        <v/>
      </c>
      <c r="V84" s="266">
        <f ca="1">IF(OR(D84=0,D84="",D84="Athlete"),"",COUNTIF($D$4:$D84,D84))</f>
        <v>2</v>
      </c>
      <c r="W84" s="266" t="str">
        <f t="shared" ca="1" si="6"/>
        <v>Leigh</v>
      </c>
      <c r="Z84" s="266" t="str">
        <f t="shared" ca="1" si="7"/>
        <v/>
      </c>
    </row>
    <row r="85" spans="1:26" x14ac:dyDescent="0.35">
      <c r="B85" s="66">
        <f ca="1">IFERROR(INDIRECT(CONCATENATE("Track1!D",A80+6)),"")</f>
        <v>5</v>
      </c>
      <c r="C85" s="66">
        <f ca="1">IFERROR(INDIRECT(CONCATENATE("Track1!e",A80+6)),"")</f>
        <v>0</v>
      </c>
      <c r="D85" s="85" t="str">
        <f ca="1">IFERROR(INDIRECT(CONCATENATE("Track1!f",A80+6)),"")</f>
        <v/>
      </c>
      <c r="E85" s="85" t="str">
        <f ca="1">IFERROR(INDIRECT(CONCATENATE("Track1!g",A80+6)),"")</f>
        <v/>
      </c>
      <c r="F85" s="395">
        <f ca="1">IFERROR(INDIRECT(CONCATENATE("Track1!h",A80+6)),"")</f>
        <v>0</v>
      </c>
      <c r="G85" s="108" t="str">
        <f ca="1">IFERROR(INDIRECT(CONCATENATE("Track1!i",A80+6)),"")</f>
        <v/>
      </c>
      <c r="H85" s="66"/>
      <c r="I85" s="66">
        <f ca="1">IFERROR(INDIRECT(CONCATENATE("Track1!k",A80+6)),"")</f>
        <v>5</v>
      </c>
      <c r="J85" s="66">
        <f ca="1">IFERROR(INDIRECT(CONCATENATE("Track1!l",A80+6)),"")</f>
        <v>0</v>
      </c>
      <c r="K85" s="85" t="str">
        <f ca="1">IFERROR(INDIRECT(CONCATENATE("Track1!m",A80+6)),"")</f>
        <v/>
      </c>
      <c r="L85" s="85" t="str">
        <f ca="1">IFERROR(INDIRECT(CONCATENATE("Track1!n",A80+6)),"")</f>
        <v/>
      </c>
      <c r="M85" s="395">
        <f ca="1">IFERROR(INDIRECT(CONCATENATE("Track1!o",A80+6)),"")</f>
        <v>0</v>
      </c>
      <c r="N85" s="108" t="str">
        <f ca="1">IFERROR(INDIRECT(CONCATENATE("Track1!p",A80+6)),"")</f>
        <v/>
      </c>
      <c r="T85" s="64" t="str">
        <f t="shared" ca="1" si="4"/>
        <v/>
      </c>
      <c r="U85" s="64" t="str">
        <f t="shared" ca="1" si="5"/>
        <v/>
      </c>
      <c r="V85" s="266" t="str">
        <f ca="1">IF(OR(D85=0,D85="",D85="Athlete"),"",COUNTIF($D$4:$D85,D85))</f>
        <v/>
      </c>
      <c r="W85" s="266" t="str">
        <f t="shared" ca="1" si="6"/>
        <v/>
      </c>
      <c r="Z85" s="266" t="str">
        <f t="shared" ca="1" si="7"/>
        <v/>
      </c>
    </row>
    <row r="86" spans="1:26" x14ac:dyDescent="0.35">
      <c r="B86" s="66">
        <f ca="1">IFERROR(INDIRECT(CONCATENATE("Track1!D",A80+7)),"")</f>
        <v>6</v>
      </c>
      <c r="C86" s="66">
        <f ca="1">IFERROR(INDIRECT(CONCATENATE("Track1!e",A80+7)),"")</f>
        <v>0</v>
      </c>
      <c r="D86" s="85" t="str">
        <f ca="1">IFERROR(INDIRECT(CONCATENATE("Track1!f",A80+7)),"")</f>
        <v/>
      </c>
      <c r="E86" s="85" t="str">
        <f ca="1">IFERROR(INDIRECT(CONCATENATE("Track1!g",A80+7)),"")</f>
        <v/>
      </c>
      <c r="F86" s="395">
        <f ca="1">IFERROR(INDIRECT(CONCATENATE("Track1!h",A80+7)),"")</f>
        <v>0</v>
      </c>
      <c r="G86" s="108" t="str">
        <f ca="1">IFERROR(INDIRECT(CONCATENATE("Track1!i",A80+7)),"")</f>
        <v/>
      </c>
      <c r="H86" s="66"/>
      <c r="I86" s="66">
        <f ca="1">IFERROR(INDIRECT(CONCATENATE("Track1!k",A80+7)),"")</f>
        <v>6</v>
      </c>
      <c r="J86" s="66">
        <f ca="1">IFERROR(INDIRECT(CONCATENATE("Track1!l",A80+7)),"")</f>
        <v>0</v>
      </c>
      <c r="K86" s="85" t="str">
        <f ca="1">IFERROR(INDIRECT(CONCATENATE("Track1!m",A80+7)),"")</f>
        <v/>
      </c>
      <c r="L86" s="85" t="str">
        <f ca="1">IFERROR(INDIRECT(CONCATENATE("Track1!n",A80+7)),"")</f>
        <v/>
      </c>
      <c r="M86" s="395">
        <f ca="1">IFERROR(INDIRECT(CONCATENATE("Track1!o",A80+7)),"")</f>
        <v>0</v>
      </c>
      <c r="N86" s="108" t="str">
        <f ca="1">IFERROR(INDIRECT(CONCATENATE("Track1!p",A80+7)),"")</f>
        <v/>
      </c>
      <c r="T86" s="64" t="str">
        <f t="shared" ca="1" si="4"/>
        <v/>
      </c>
      <c r="U86" s="64" t="str">
        <f t="shared" ca="1" si="5"/>
        <v/>
      </c>
      <c r="V86" s="266" t="str">
        <f ca="1">IF(OR(D86=0,D86="",D86="Athlete"),"",COUNTIF($D$4:$D86,D86))</f>
        <v/>
      </c>
      <c r="W86" s="266" t="str">
        <f t="shared" ca="1" si="6"/>
        <v/>
      </c>
      <c r="Z86" s="266" t="str">
        <f t="shared" ca="1" si="7"/>
        <v/>
      </c>
    </row>
    <row r="87" spans="1:26" x14ac:dyDescent="0.35">
      <c r="B87" s="66">
        <f ca="1">IFERROR(INDIRECT(CONCATENATE("Track1!D",A80+8)),"")</f>
        <v>7</v>
      </c>
      <c r="C87" s="66">
        <f ca="1">IFERROR(INDIRECT(CONCATENATE("Track1!e",A80+8)),"")</f>
        <v>0</v>
      </c>
      <c r="D87" s="85" t="str">
        <f ca="1">IFERROR(INDIRECT(CONCATENATE("Track1!f",A80+8)),"")</f>
        <v/>
      </c>
      <c r="E87" s="85" t="str">
        <f ca="1">IFERROR(INDIRECT(CONCATENATE("Track1!g",A80+8)),"")</f>
        <v/>
      </c>
      <c r="F87" s="395">
        <f ca="1">IFERROR(INDIRECT(CONCATENATE("Track1!h",A80+8)),"")</f>
        <v>0</v>
      </c>
      <c r="G87" s="108" t="str">
        <f ca="1">IFERROR(INDIRECT(CONCATENATE("Track1!i",A80+8)),"")</f>
        <v/>
      </c>
      <c r="H87" s="66"/>
      <c r="I87" s="66">
        <f ca="1">IFERROR(INDIRECT(CONCATENATE("Track1!k",A80+8)),"")</f>
        <v>7</v>
      </c>
      <c r="J87" s="66">
        <f ca="1">IFERROR(INDIRECT(CONCATENATE("Track1!l",A80+8)),"")</f>
        <v>0</v>
      </c>
      <c r="K87" s="85" t="str">
        <f ca="1">IFERROR(INDIRECT(CONCATENATE("Track1!m",A80+8)),"")</f>
        <v/>
      </c>
      <c r="L87" s="85" t="str">
        <f ca="1">IFERROR(INDIRECT(CONCATENATE("Track1!n",A80+8)),"")</f>
        <v/>
      </c>
      <c r="M87" s="395">
        <f ca="1">IFERROR(INDIRECT(CONCATENATE("Track1!o",A80+8)),"")</f>
        <v>0</v>
      </c>
      <c r="N87" s="108" t="str">
        <f ca="1">IFERROR(INDIRECT(CONCATENATE("Track1!p",A80+8)),"")</f>
        <v/>
      </c>
      <c r="T87" s="64" t="str">
        <f t="shared" ca="1" si="4"/>
        <v/>
      </c>
      <c r="U87" s="64" t="str">
        <f t="shared" ca="1" si="5"/>
        <v/>
      </c>
      <c r="V87" s="266" t="str">
        <f ca="1">IF(OR(D87=0,D87="",D87="Athlete"),"",COUNTIF($D$4:$D87,D87))</f>
        <v/>
      </c>
      <c r="W87" s="266" t="str">
        <f t="shared" ca="1" si="6"/>
        <v/>
      </c>
      <c r="Z87" s="266" t="str">
        <f t="shared" ca="1" si="7"/>
        <v/>
      </c>
    </row>
    <row r="88" spans="1:26" x14ac:dyDescent="0.35">
      <c r="B88" s="66">
        <f ca="1">IFERROR(INDIRECT(CONCATENATE("Track1!D",A80+9)),"")</f>
        <v>8</v>
      </c>
      <c r="C88" s="66">
        <f ca="1">IFERROR(INDIRECT(CONCATENATE("Track1!e",A80+9)),"")</f>
        <v>0</v>
      </c>
      <c r="D88" s="85" t="str">
        <f ca="1">IFERROR(INDIRECT(CONCATENATE("Track1!f",A80+9)),"")</f>
        <v/>
      </c>
      <c r="E88" s="85" t="str">
        <f ca="1">IFERROR(INDIRECT(CONCATENATE("Track1!g",A80+9)),"")</f>
        <v/>
      </c>
      <c r="F88" s="395">
        <f ca="1">IFERROR(INDIRECT(CONCATENATE("Track1!h",A80+9)),"")</f>
        <v>0</v>
      </c>
      <c r="G88" s="108" t="str">
        <f ca="1">IFERROR(INDIRECT(CONCATENATE("Track1!i",A80+9)),"")</f>
        <v/>
      </c>
      <c r="H88" s="66"/>
      <c r="I88" s="66">
        <f ca="1">IFERROR(INDIRECT(CONCATENATE("Track1!k",A80+9)),"")</f>
        <v>8</v>
      </c>
      <c r="J88" s="66">
        <f ca="1">IFERROR(INDIRECT(CONCATENATE("Track1!l",A80+9)),"")</f>
        <v>0</v>
      </c>
      <c r="K88" s="85" t="str">
        <f ca="1">IFERROR(INDIRECT(CONCATENATE("Track1!m",A80+9)),"")</f>
        <v/>
      </c>
      <c r="L88" s="85" t="str">
        <f ca="1">IFERROR(INDIRECT(CONCATENATE("Track1!n",A80+9)),"")</f>
        <v/>
      </c>
      <c r="M88" s="395">
        <f ca="1">IFERROR(INDIRECT(CONCATENATE("Track1!o",A80+9)),"")</f>
        <v>0</v>
      </c>
      <c r="N88" s="108" t="str">
        <f ca="1">IFERROR(INDIRECT(CONCATENATE("Track1!p",A80+9)),"")</f>
        <v/>
      </c>
      <c r="T88" s="64" t="str">
        <f t="shared" ca="1" si="4"/>
        <v/>
      </c>
      <c r="U88" s="64" t="str">
        <f t="shared" ca="1" si="5"/>
        <v/>
      </c>
      <c r="V88" s="266" t="str">
        <f ca="1">IF(OR(D88=0,D88="",D88="Athlete"),"",COUNTIF($D$4:$D88,D88))</f>
        <v/>
      </c>
      <c r="W88" s="266" t="str">
        <f t="shared" ca="1" si="6"/>
        <v/>
      </c>
      <c r="Z88" s="266" t="str">
        <f t="shared" ca="1" si="7"/>
        <v/>
      </c>
    </row>
    <row r="89" spans="1:26" x14ac:dyDescent="0.35">
      <c r="T89" s="64" t="str">
        <f t="shared" si="4"/>
        <v/>
      </c>
      <c r="U89" s="64" t="str">
        <f t="shared" si="5"/>
        <v/>
      </c>
      <c r="V89" s="266" t="str">
        <f>IF(OR(D89=0,D89="",D89="Athlete"),"",COUNTIF($D$4:$D89,D89))</f>
        <v/>
      </c>
      <c r="W89" s="266" t="str">
        <f t="shared" si="6"/>
        <v/>
      </c>
      <c r="Z89" s="266" t="str">
        <f t="shared" si="7"/>
        <v/>
      </c>
    </row>
    <row r="90" spans="1:26" x14ac:dyDescent="0.35">
      <c r="A90" s="66" t="s">
        <v>247</v>
      </c>
      <c r="B90" s="102" t="str">
        <f ca="1">IFERROR(INDIRECT(CONCATENATE("Field!D",A91)),"")</f>
        <v>Long Jump U15 Boys A</v>
      </c>
      <c r="G90" s="256" t="str">
        <f ca="1">IFERROR(INDIRECT(CONCATENATE("Field!i",A91)),"")</f>
        <v/>
      </c>
      <c r="I90" s="102" t="str">
        <f ca="1">IFERROR(INDIRECT(CONCATENATE("Field!k",A91)),"")</f>
        <v>Long Jump U15 Boys B</v>
      </c>
      <c r="T90" s="64" t="str">
        <f t="shared" si="4"/>
        <v/>
      </c>
      <c r="U90" s="64" t="str">
        <f t="shared" si="5"/>
        <v/>
      </c>
      <c r="V90" s="266" t="str">
        <f>IF(OR(D90=0,D90="",D90="Athlete"),"",COUNTIF($D$4:$D90,D90))</f>
        <v/>
      </c>
      <c r="W90" s="266" t="str">
        <f t="shared" si="6"/>
        <v/>
      </c>
      <c r="Z90" s="266" t="str">
        <f t="shared" ca="1" si="7"/>
        <v/>
      </c>
    </row>
    <row r="91" spans="1:26" x14ac:dyDescent="0.35">
      <c r="A91" s="66">
        <f>IFERROR(MATCH(A90,Field!C:C,0),"")</f>
        <v>167</v>
      </c>
      <c r="B91" s="45" t="str">
        <f ca="1">IFERROR(INDIRECT(CONCATENATE("Field!D",A91+1)),"")</f>
        <v>Posn</v>
      </c>
      <c r="C91" s="45" t="str">
        <f ca="1">IFERROR(INDIRECT(CONCATENATE("Field!e",A91+1)),"")</f>
        <v>Bib</v>
      </c>
      <c r="D91" s="139" t="str">
        <f ca="1">IFERROR(INDIRECT(CONCATENATE("Field!f",A91+1)),"")</f>
        <v>Athlete</v>
      </c>
      <c r="E91" s="139" t="str">
        <f ca="1">IFERROR(INDIRECT(CONCATENATE("Field!g",A91+1)),"")</f>
        <v>Club</v>
      </c>
      <c r="F91" s="133" t="str">
        <f ca="1">IFERROR(INDIRECT(CONCATENATE("Field!h",A91+1)),"")</f>
        <v>Perf</v>
      </c>
      <c r="G91" s="167" t="str">
        <f ca="1">IFERROR(INDIRECT(CONCATENATE("Field!i",A91+1)),"")</f>
        <v>EA</v>
      </c>
      <c r="H91" s="45"/>
      <c r="I91" s="45" t="str">
        <f ca="1">IFERROR(INDIRECT(CONCATENATE("Field!k",A91+1)),"")</f>
        <v>Posn</v>
      </c>
      <c r="J91" s="45" t="str">
        <f ca="1">IFERROR(INDIRECT(CONCATENATE("Field!l",A91+1)),"")</f>
        <v>Bib</v>
      </c>
      <c r="K91" s="139" t="str">
        <f ca="1">IFERROR(INDIRECT(CONCATENATE("Field!m",A91+1)),"")</f>
        <v>Athlete</v>
      </c>
      <c r="L91" s="139" t="str">
        <f ca="1">IFERROR(INDIRECT(CONCATENATE("Field!n",A91+1)),"")</f>
        <v>Club</v>
      </c>
      <c r="M91" s="133" t="str">
        <f ca="1">IFERROR(INDIRECT(CONCATENATE("Field!o",A91+1)),"")</f>
        <v>Perf</v>
      </c>
      <c r="N91" s="167" t="str">
        <f ca="1">IFERROR(INDIRECT(CONCATENATE("Field!p",A91+1)),"")</f>
        <v>EA</v>
      </c>
      <c r="T91" s="64" t="str">
        <f t="shared" ca="1" si="4"/>
        <v/>
      </c>
      <c r="U91" s="64" t="str">
        <f t="shared" ca="1" si="5"/>
        <v/>
      </c>
      <c r="V91" s="266" t="str">
        <f ca="1">IF(OR(D91=0,D91="",D91="Athlete"),"",COUNTIF($D$4:$D91,D91))</f>
        <v/>
      </c>
      <c r="W91" s="266" t="str">
        <f t="shared" ca="1" si="6"/>
        <v/>
      </c>
      <c r="Z91" s="266">
        <f t="shared" ca="1" si="7"/>
        <v>0</v>
      </c>
    </row>
    <row r="92" spans="1:26" x14ac:dyDescent="0.35">
      <c r="A92" s="66" t="str">
        <f>"_"&amp;A90</f>
        <v>_LFW04</v>
      </c>
      <c r="B92" s="66">
        <f ca="1">IFERROR(INDIRECT(CONCATENATE("Field!D",A91+2)),"")</f>
        <v>1</v>
      </c>
      <c r="C92" s="66">
        <f ca="1">IFERROR(INDIRECT(CONCATENATE("Field!e",A91+2)),"")</f>
        <v>2</v>
      </c>
      <c r="D92" s="85" t="str">
        <f ca="1">IFERROR(INDIRECT(CONCATENATE("Field!f",A91+2)),"")</f>
        <v>Max ORMSTON</v>
      </c>
      <c r="E92" s="85" t="str">
        <f ca="1">IFERROR(INDIRECT(CONCATENATE("Field!g",A91+2)),"")</f>
        <v>ECHT</v>
      </c>
      <c r="F92" s="356" t="str">
        <f ca="1">IFERROR(TEXT(INDIRECT(CONCATENATE("Field!h",A91+2)),"#.#0")&amp;" "&amp;VLOOKUP(C92,INDIRECT($A$92),5,FALSE),"")</f>
        <v xml:space="preserve">4.95 </v>
      </c>
      <c r="G92" s="108">
        <f ca="1">IFERROR(INDIRECT(CONCATENATE("Field!i",A91+2)),"")</f>
        <v>5</v>
      </c>
      <c r="H92" s="66"/>
      <c r="I92" s="66">
        <f ca="1">IFERROR(INDIRECT(CONCATENATE("Field!k",A91+2)),"")</f>
        <v>1</v>
      </c>
      <c r="J92" s="66">
        <f ca="1">IFERROR(INDIRECT(CONCATENATE("Field!l",A91+2)),"")</f>
        <v>11</v>
      </c>
      <c r="K92" s="85" t="str">
        <f ca="1">IFERROR(INDIRECT(CONCATENATE("Field!m",A91+2)),"")</f>
        <v>William CATTELL</v>
      </c>
      <c r="L92" s="85" t="str">
        <f ca="1">IFERROR(INDIRECT(CONCATENATE("Field!n",A91+2)),"")</f>
        <v>C&amp;N</v>
      </c>
      <c r="M92" s="356" t="str">
        <f ca="1">IFERROR(TEXT(INDIRECT(CONCATENATE("Field!o",A91+2)),"#.#0")&amp;" "&amp;VLOOKUP(J92,INDIRECT($A$92),5,FALSE),"")</f>
        <v xml:space="preserve">4.50 </v>
      </c>
      <c r="N92" s="108">
        <f ca="1">IFERROR(INDIRECT(CONCATENATE("Field!p",A91+2)),"")</f>
        <v>4</v>
      </c>
      <c r="R92" s="168">
        <f ca="1">IFERROR(INDIRECT(CONCATENATE("Field!r",A91+2)),"")</f>
        <v>10</v>
      </c>
      <c r="T92" s="64">
        <f t="shared" ca="1" si="4"/>
        <v>3</v>
      </c>
      <c r="U92" s="64">
        <f t="shared" ca="1" si="5"/>
        <v>3</v>
      </c>
      <c r="V92" s="266">
        <f ca="1">IF(OR(D92=0,D92="",D92="Athlete"),"",COUNTIF($D$4:$D92,D92))</f>
        <v>3</v>
      </c>
      <c r="W92" s="266" t="str">
        <f t="shared" ca="1" si="6"/>
        <v>ECHT</v>
      </c>
      <c r="Z92" s="266">
        <f t="shared" ca="1" si="7"/>
        <v>0</v>
      </c>
    </row>
    <row r="93" spans="1:26" x14ac:dyDescent="0.35">
      <c r="B93" s="66">
        <f ca="1">IFERROR(INDIRECT(CONCATENATE("Field!D",A91+3)),"")</f>
        <v>2</v>
      </c>
      <c r="C93" s="66">
        <f ca="1">IFERROR(INDIRECT(CONCATENATE("Field!e",A91+3)),"")</f>
        <v>5</v>
      </c>
      <c r="D93" s="85" t="str">
        <f ca="1">IFERROR(INDIRECT(CONCATENATE("Field!f",A91+3)),"")</f>
        <v>Morgan JONES</v>
      </c>
      <c r="E93" s="85" t="str">
        <f ca="1">IFERROR(INDIRECT(CONCATENATE("Field!g",A91+3)),"")</f>
        <v>Menai</v>
      </c>
      <c r="F93" s="356" t="str">
        <f ca="1">IFERROR(TEXT(INDIRECT(CONCATENATE("Field!h",A91+3)),"#.#0")&amp;" "&amp;VLOOKUP(C93,INDIRECT($A$92),5,FALSE),"")</f>
        <v xml:space="preserve">4.75 </v>
      </c>
      <c r="G93" s="108">
        <f ca="1">IFERROR(INDIRECT(CONCATENATE("Field!i",A91+3)),"")</f>
        <v>5</v>
      </c>
      <c r="H93" s="66"/>
      <c r="I93" s="66">
        <f ca="1">IFERROR(INDIRECT(CONCATENATE("Field!k",A91+3)),"")</f>
        <v>2</v>
      </c>
      <c r="J93" s="66">
        <f ca="1">IFERROR(INDIRECT(CONCATENATE("Field!l",A91+3)),"")</f>
        <v>66</v>
      </c>
      <c r="K93" s="85" t="str">
        <f ca="1">IFERROR(INDIRECT(CONCATENATE("Field!m",A91+3)),"")</f>
        <v>Campbell JOHNSON</v>
      </c>
      <c r="L93" s="85" t="str">
        <f ca="1">IFERROR(INDIRECT(CONCATENATE("Field!n",A91+3)),"")</f>
        <v>Stock</v>
      </c>
      <c r="M93" s="356" t="str">
        <f ca="1">IFERROR(TEXT(INDIRECT(CONCATENATE("Field!o",A91+3)),"#.#0")&amp;" "&amp;VLOOKUP(J93,INDIRECT($A$92),5,FALSE),"")</f>
        <v xml:space="preserve">4.24 </v>
      </c>
      <c r="N93" s="108">
        <f ca="1">IFERROR(INDIRECT(CONCATENATE("Field!p",A91+3)),"")</f>
        <v>2</v>
      </c>
      <c r="T93" s="64">
        <f t="shared" ca="1" si="4"/>
        <v>3</v>
      </c>
      <c r="U93" s="64">
        <f t="shared" ca="1" si="5"/>
        <v>3</v>
      </c>
      <c r="V93" s="266">
        <f ca="1">IF(OR(D93=0,D93="",D93="Athlete"),"",COUNTIF($D$4:$D93,D93))</f>
        <v>3</v>
      </c>
      <c r="W93" s="266" t="str">
        <f t="shared" ca="1" si="6"/>
        <v>Menai</v>
      </c>
      <c r="Z93" s="266">
        <f t="shared" ca="1" si="7"/>
        <v>0</v>
      </c>
    </row>
    <row r="94" spans="1:26" x14ac:dyDescent="0.35">
      <c r="B94" s="66">
        <f ca="1">IFERROR(INDIRECT(CONCATENATE("Field!D",A91+4)),"")</f>
        <v>3</v>
      </c>
      <c r="C94" s="66">
        <f ca="1">IFERROR(INDIRECT(CONCATENATE("Field!e",A91+4)),"")</f>
        <v>3</v>
      </c>
      <c r="D94" s="85" t="str">
        <f ca="1">IFERROR(INDIRECT(CONCATENATE("Field!f",A91+4)),"")</f>
        <v>Hugo JAMES</v>
      </c>
      <c r="E94" s="85" t="str">
        <f ca="1">IFERROR(INDIRECT(CONCATENATE("Field!g",A91+4)),"")</f>
        <v>Leigh</v>
      </c>
      <c r="F94" s="356" t="str">
        <f ca="1">IFERROR(TEXT(INDIRECT(CONCATENATE("Field!h",A91+4)),"#.#0")&amp;" "&amp;VLOOKUP(C94,INDIRECT($A$92),5,FALSE),"")</f>
        <v xml:space="preserve">4.66 </v>
      </c>
      <c r="G94" s="108">
        <f ca="1">IFERROR(INDIRECT(CONCATENATE("Field!i",A91+4)),"")</f>
        <v>4</v>
      </c>
      <c r="H94" s="66"/>
      <c r="I94" s="66">
        <f ca="1">IFERROR(INDIRECT(CONCATENATE("Field!k",A91+4)),"")</f>
        <v>3</v>
      </c>
      <c r="J94" s="66">
        <f ca="1">IFERROR(INDIRECT(CONCATENATE("Field!l",A91+4)),"")</f>
        <v>4</v>
      </c>
      <c r="K94" s="85" t="str">
        <f ca="1">IFERROR(INDIRECT(CONCATENATE("Field!m",A91+4)),"")</f>
        <v>Thomas WOOD</v>
      </c>
      <c r="L94" s="85" t="str">
        <f ca="1">IFERROR(INDIRECT(CONCATENATE("Field!n",A91+4)),"")</f>
        <v>Macc</v>
      </c>
      <c r="M94" s="356" t="str">
        <f ca="1">IFERROR(TEXT(INDIRECT(CONCATENATE("Field!o",A91+4)),"#.#0")&amp;" "&amp;VLOOKUP(J94,INDIRECT($A$92),5,FALSE),"")</f>
        <v xml:space="preserve">4.02 </v>
      </c>
      <c r="N94" s="108">
        <f ca="1">IFERROR(INDIRECT(CONCATENATE("Field!p",A91+4)),"")</f>
        <v>2</v>
      </c>
      <c r="T94" s="64">
        <f t="shared" ca="1" si="4"/>
        <v>3</v>
      </c>
      <c r="U94" s="64">
        <f t="shared" ca="1" si="5"/>
        <v>2</v>
      </c>
      <c r="V94" s="266">
        <f ca="1">IF(OR(D94=0,D94="",D94="Athlete"),"",COUNTIF($D$4:$D94,D94))</f>
        <v>2</v>
      </c>
      <c r="W94" s="266" t="str">
        <f t="shared" ca="1" si="6"/>
        <v>Leigh</v>
      </c>
      <c r="Z94" s="266">
        <f t="shared" ca="1" si="7"/>
        <v>0</v>
      </c>
    </row>
    <row r="95" spans="1:26" x14ac:dyDescent="0.35">
      <c r="B95" s="66">
        <f ca="1">IFERROR(INDIRECT(CONCATENATE("Field!D",A91+5)),"")</f>
        <v>4</v>
      </c>
      <c r="C95" s="66">
        <f ca="1">IFERROR(INDIRECT(CONCATENATE("Field!e",A91+5)),"")</f>
        <v>1</v>
      </c>
      <c r="D95" s="85" t="str">
        <f ca="1">IFERROR(INDIRECT(CONCATENATE("Field!f",A91+5)),"")</f>
        <v>Isaac PICKERING</v>
      </c>
      <c r="E95" s="85" t="str">
        <f ca="1">IFERROR(INDIRECT(CONCATENATE("Field!g",A91+5)),"")</f>
        <v>C&amp;N</v>
      </c>
      <c r="F95" s="356" t="str">
        <f ca="1">IFERROR(TEXT(INDIRECT(CONCATENATE("Field!h",A91+5)),"#.#0")&amp;" "&amp;VLOOKUP(C95,INDIRECT($A$92),5,FALSE),"")</f>
        <v xml:space="preserve">4.63 </v>
      </c>
      <c r="G95" s="108">
        <f ca="1">IFERROR(INDIRECT(CONCATENATE("Field!i",A91+5)),"")</f>
        <v>4</v>
      </c>
      <c r="H95" s="66"/>
      <c r="I95" s="66">
        <f ca="1">IFERROR(INDIRECT(CONCATENATE("Field!k",A91+5)),"")</f>
        <v>4</v>
      </c>
      <c r="J95" s="66">
        <f ca="1">IFERROR(INDIRECT(CONCATENATE("Field!l",A91+5)),"")</f>
        <v>77</v>
      </c>
      <c r="K95" s="85" t="str">
        <f ca="1">IFERROR(INDIRECT(CONCATENATE("Field!m",A91+5)),"")</f>
        <v>Joshua BOURNE</v>
      </c>
      <c r="L95" s="85" t="str">
        <f ca="1">IFERROR(INDIRECT(CONCATENATE("Field!n",A91+5)),"")</f>
        <v>Wigan</v>
      </c>
      <c r="M95" s="356" t="str">
        <f ca="1">IFERROR(TEXT(INDIRECT(CONCATENATE("Field!o",A91+5)),"#.#0")&amp;" "&amp;VLOOKUP(J95,INDIRECT($A$92),5,FALSE),"")</f>
        <v xml:space="preserve">3.83 </v>
      </c>
      <c r="N95" s="108">
        <f ca="1">IFERROR(INDIRECT(CONCATENATE("Field!p",A91+5)),"")</f>
        <v>1</v>
      </c>
      <c r="T95" s="64">
        <f t="shared" ca="1" si="4"/>
        <v>3</v>
      </c>
      <c r="U95" s="64">
        <f t="shared" ca="1" si="5"/>
        <v>3</v>
      </c>
      <c r="V95" s="266">
        <f ca="1">IF(OR(D95=0,D95="",D95="Athlete"),"",COUNTIF($D$4:$D95,D95))</f>
        <v>1</v>
      </c>
      <c r="W95" s="266" t="str">
        <f t="shared" ca="1" si="6"/>
        <v>C&amp;N</v>
      </c>
      <c r="Z95" s="266">
        <f t="shared" ca="1" si="7"/>
        <v>0</v>
      </c>
    </row>
    <row r="96" spans="1:26" x14ac:dyDescent="0.35">
      <c r="B96" s="66">
        <f ca="1">IFERROR(INDIRECT(CONCATENATE("Field!D",A91+6)),"")</f>
        <v>5</v>
      </c>
      <c r="C96" s="66">
        <f ca="1">IFERROR(INDIRECT(CONCATENATE("Field!e",A91+6)),"")</f>
        <v>6</v>
      </c>
      <c r="D96" s="85" t="str">
        <f ca="1">IFERROR(INDIRECT(CONCATENATE("Field!f",A91+6)),"")</f>
        <v>Quaid SIN</v>
      </c>
      <c r="E96" s="85" t="str">
        <f ca="1">IFERROR(INDIRECT(CONCATENATE("Field!g",A91+6)),"")</f>
        <v>Stock</v>
      </c>
      <c r="F96" s="133" t="str">
        <f ca="1">IFERROR(TEXT(INDIRECT(CONCATENATE("Field!h",A91+6)),"#.#0")&amp;" "&amp;VLOOKUP(C96,INDIRECT($A$92),5,FALSE),"")</f>
        <v xml:space="preserve">4.36 </v>
      </c>
      <c r="G96" s="108">
        <f ca="1">IFERROR(INDIRECT(CONCATENATE("Field!i",A91+6)),"")</f>
        <v>3</v>
      </c>
      <c r="H96" s="66"/>
      <c r="I96" s="66">
        <f ca="1">IFERROR(INDIRECT(CONCATENATE("Field!k",A91+6)),"")</f>
        <v>5</v>
      </c>
      <c r="J96" s="66">
        <f ca="1">IFERROR(INDIRECT(CONCATENATE("Field!l",A91+6)),"")</f>
        <v>55</v>
      </c>
      <c r="K96" s="85" t="str">
        <f ca="1">IFERROR(INDIRECT(CONCATENATE("Field!m",A91+6)),"")</f>
        <v>Owain WILLIAMS</v>
      </c>
      <c r="L96" s="85" t="str">
        <f ca="1">IFERROR(INDIRECT(CONCATENATE("Field!n",A91+6)),"")</f>
        <v>Menai</v>
      </c>
      <c r="M96" s="133" t="str">
        <f ca="1">IFERROR(TEXT(INDIRECT(CONCATENATE("Field!o",A91+6)),"#.#0")&amp;" "&amp;VLOOKUP(J96,INDIRECT($A$92),5,FALSE),"")</f>
        <v xml:space="preserve">3.42 </v>
      </c>
      <c r="N96" s="108" t="str">
        <f ca="1">IFERROR(INDIRECT(CONCATENATE("Field!p",A91+6)),"")</f>
        <v/>
      </c>
      <c r="T96" s="64">
        <f t="shared" ca="1" si="4"/>
        <v>3</v>
      </c>
      <c r="U96" s="64">
        <f t="shared" ca="1" si="5"/>
        <v>3</v>
      </c>
      <c r="V96" s="266">
        <f ca="1">IF(OR(D96=0,D96="",D96="Athlete"),"",COUNTIF($D$4:$D96,D96))</f>
        <v>3</v>
      </c>
      <c r="W96" s="266" t="str">
        <f t="shared" ca="1" si="6"/>
        <v>Stock</v>
      </c>
      <c r="Z96" s="266">
        <f t="shared" ca="1" si="7"/>
        <v>0</v>
      </c>
    </row>
    <row r="97" spans="1:26" x14ac:dyDescent="0.35">
      <c r="B97" s="66">
        <f ca="1">IFERROR(INDIRECT(CONCATENATE("Field!D",A91+7)),"")</f>
        <v>6</v>
      </c>
      <c r="C97" s="66">
        <f ca="1">IFERROR(INDIRECT(CONCATENATE("Field!e",A91+7)),"")</f>
        <v>7</v>
      </c>
      <c r="D97" s="85" t="str">
        <f ca="1">IFERROR(INDIRECT(CONCATENATE("Field!f",A91+7)),"")</f>
        <v>Joshua ROBERTS</v>
      </c>
      <c r="E97" s="85" t="str">
        <f ca="1">IFERROR(INDIRECT(CONCATENATE("Field!g",A91+7)),"")</f>
        <v>Wigan</v>
      </c>
      <c r="F97" s="133" t="str">
        <f ca="1">IFERROR(TEXT(INDIRECT(CONCATENATE("Field!h",A91+7)),"#.#0")&amp;" "&amp;VLOOKUP(C97,INDIRECT($A$92),5,FALSE),"")</f>
        <v xml:space="preserve">4.31 </v>
      </c>
      <c r="G97" s="108">
        <f ca="1">IFERROR(INDIRECT(CONCATENATE("Field!i",A91+7)),"")</f>
        <v>3</v>
      </c>
      <c r="H97" s="66"/>
      <c r="I97" s="66">
        <f ca="1">IFERROR(INDIRECT(CONCATENATE("Field!k",A91+7)),"")</f>
        <v>6</v>
      </c>
      <c r="J97" s="66">
        <f ca="1">IFERROR(INDIRECT(CONCATENATE("Field!l",A91+7)),"")</f>
        <v>33</v>
      </c>
      <c r="K97" s="85" t="str">
        <f ca="1">IFERROR(INDIRECT(CONCATENATE("Field!m",A91+7)),"")</f>
        <v>Ben JAYATILLEKE</v>
      </c>
      <c r="L97" s="85" t="str">
        <f ca="1">IFERROR(INDIRECT(CONCATENATE("Field!n",A91+7)),"")</f>
        <v>Leigh</v>
      </c>
      <c r="M97" s="133" t="str">
        <f ca="1">IFERROR(TEXT(INDIRECT(CONCATENATE("Field!o",A91+7)),"#.#0")&amp;" "&amp;VLOOKUP(J97,INDIRECT($A$92),5,FALSE),"")</f>
        <v xml:space="preserve">3.40 </v>
      </c>
      <c r="N97" s="108" t="str">
        <f ca="1">IFERROR(INDIRECT(CONCATENATE("Field!p",A91+7)),"")</f>
        <v/>
      </c>
      <c r="T97" s="64">
        <f t="shared" ca="1" si="4"/>
        <v>3</v>
      </c>
      <c r="U97" s="64">
        <f t="shared" ca="1" si="5"/>
        <v>2</v>
      </c>
      <c r="V97" s="266">
        <f ca="1">IF(OR(D97=0,D97="",D97="Athlete"),"",COUNTIF($D$4:$D97,D97))</f>
        <v>3</v>
      </c>
      <c r="W97" s="266" t="str">
        <f t="shared" ca="1" si="6"/>
        <v>Wigan</v>
      </c>
      <c r="Z97" s="266">
        <f t="shared" ca="1" si="7"/>
        <v>0</v>
      </c>
    </row>
    <row r="98" spans="1:26" x14ac:dyDescent="0.35">
      <c r="B98" s="66">
        <f ca="1">IFERROR(INDIRECT(CONCATENATE("Field!D",A91+8)),"")</f>
        <v>7</v>
      </c>
      <c r="C98" s="66">
        <f ca="1">IFERROR(INDIRECT(CONCATENATE("Field!e",A91+8)),"")</f>
        <v>44</v>
      </c>
      <c r="D98" s="85" t="str">
        <f ca="1">IFERROR(INDIRECT(CONCATENATE("Field!f",A91+8)),"")</f>
        <v>Will HAMMOND</v>
      </c>
      <c r="E98" s="85" t="str">
        <f ca="1">IFERROR(INDIRECT(CONCATENATE("Field!g",A91+8)),"")</f>
        <v>Macc</v>
      </c>
      <c r="F98" s="133" t="str">
        <f ca="1">IFERROR(TEXT(INDIRECT(CONCATENATE("Field!h",A91+8)),"#.#0")&amp;" "&amp;VLOOKUP(C98,INDIRECT($A$92),5,FALSE),"")</f>
        <v xml:space="preserve">4.07 </v>
      </c>
      <c r="G98" s="108">
        <f ca="1">IFERROR(INDIRECT(CONCATENATE("Field!i",A91+8)),"")</f>
        <v>2</v>
      </c>
      <c r="H98" s="66"/>
      <c r="I98" s="66">
        <f ca="1">IFERROR(INDIRECT(CONCATENATE("Field!k",A91+8)),"")</f>
        <v>7</v>
      </c>
      <c r="J98" s="66">
        <f ca="1">IFERROR(INDIRECT(CONCATENATE("Field!l",A91+8)),"")</f>
        <v>22</v>
      </c>
      <c r="K98" s="85" t="str">
        <f ca="1">IFERROR(INDIRECT(CONCATENATE("Field!m",A91+8)),"")</f>
        <v>Alfie MILLINGTON</v>
      </c>
      <c r="L98" s="85" t="str">
        <f ca="1">IFERROR(INDIRECT(CONCATENATE("Field!n",A91+8)),"")</f>
        <v>ECHT</v>
      </c>
      <c r="M98" s="133" t="str">
        <f ca="1">IFERROR(TEXT(INDIRECT(CONCATENATE("Field!o",A91+8)),"#.#0")&amp;" "&amp;VLOOKUP(J98,INDIRECT($A$92),5,FALSE),"")</f>
        <v xml:space="preserve">3.0 </v>
      </c>
      <c r="N98" s="108" t="str">
        <f ca="1">IFERROR(INDIRECT(CONCATENATE("Field!p",A91+8)),"")</f>
        <v/>
      </c>
      <c r="T98" s="64">
        <f t="shared" ca="1" si="4"/>
        <v>3</v>
      </c>
      <c r="U98" s="64">
        <f t="shared" ca="1" si="5"/>
        <v>1</v>
      </c>
      <c r="V98" s="266">
        <f ca="1">IF(OR(D98=0,D98="",D98="Athlete"),"",COUNTIF($D$4:$D98,D98))</f>
        <v>1</v>
      </c>
      <c r="W98" s="266" t="str">
        <f t="shared" ca="1" si="6"/>
        <v>Macc</v>
      </c>
      <c r="Z98" s="266">
        <f t="shared" ca="1" si="7"/>
        <v>0</v>
      </c>
    </row>
    <row r="99" spans="1:26" x14ac:dyDescent="0.35">
      <c r="B99" s="66">
        <f ca="1">IFERROR(INDIRECT(CONCATENATE("Field!D",A91+9)),"")</f>
        <v>8</v>
      </c>
      <c r="C99" s="66" t="str">
        <f ca="1">IFERROR(INDIRECT(CONCATENATE("Field!e",A91+9)),"")</f>
        <v/>
      </c>
      <c r="D99" s="85" t="str">
        <f ca="1">IFERROR(INDIRECT(CONCATENATE("Field!f",A91+9)),"")</f>
        <v/>
      </c>
      <c r="E99" s="85" t="str">
        <f ca="1">IFERROR(INDIRECT(CONCATENATE("Field!g",A91+9)),"")</f>
        <v/>
      </c>
      <c r="F99" s="133" t="str">
        <f ca="1">IFERROR(TEXT(INDIRECT(CONCATENATE("Field!h",A91+9)),"#.#0")&amp;" "&amp;VLOOKUP(C99,INDIRECT($A$92),5,FALSE),"")</f>
        <v/>
      </c>
      <c r="G99" s="108" t="str">
        <f ca="1">IFERROR(INDIRECT(CONCATENATE("Field!i",A91+9)),"")</f>
        <v/>
      </c>
      <c r="H99" s="66"/>
      <c r="I99" s="66">
        <f ca="1">IFERROR(INDIRECT(CONCATENATE("Field!k",A91+9)),"")</f>
        <v>8</v>
      </c>
      <c r="J99" s="66" t="str">
        <f ca="1">IFERROR(INDIRECT(CONCATENATE("Field!l",A91+9)),"")</f>
        <v/>
      </c>
      <c r="K99" s="85" t="str">
        <f ca="1">IFERROR(INDIRECT(CONCATENATE("Field!m",A91+9)),"")</f>
        <v/>
      </c>
      <c r="L99" s="85" t="str">
        <f ca="1">IFERROR(INDIRECT(CONCATENATE("Field!n",A91+9)),"")</f>
        <v/>
      </c>
      <c r="M99" s="133" t="str">
        <f ca="1">IFERROR(TEXT(INDIRECT(CONCATENATE("Field!o",A91+9)),"#.#0")&amp;" "&amp;VLOOKUP(J99,INDIRECT($A$92),5,FALSE),"")</f>
        <v/>
      </c>
      <c r="N99" s="108" t="str">
        <f ca="1">IFERROR(INDIRECT(CONCATENATE("Field!p",A91+9)),"")</f>
        <v/>
      </c>
      <c r="T99" s="64" t="str">
        <f t="shared" ca="1" si="4"/>
        <v/>
      </c>
      <c r="U99" s="64" t="str">
        <f t="shared" ca="1" si="5"/>
        <v/>
      </c>
      <c r="V99" s="266" t="str">
        <f ca="1">IF(OR(D99=0,D99="",D99="Athlete"),"",COUNTIF($D$4:$D99,D99))</f>
        <v/>
      </c>
      <c r="W99" s="266" t="str">
        <f t="shared" ca="1" si="6"/>
        <v/>
      </c>
      <c r="Z99" s="266" t="str">
        <f t="shared" ca="1" si="7"/>
        <v/>
      </c>
    </row>
    <row r="100" spans="1:26" x14ac:dyDescent="0.35">
      <c r="T100" s="64" t="str">
        <f t="shared" si="4"/>
        <v/>
      </c>
      <c r="U100" s="64" t="str">
        <f t="shared" si="5"/>
        <v/>
      </c>
      <c r="V100" s="266" t="str">
        <f>IF(OR(D100=0,D100="",D100="Athlete"),"",COUNTIF($D$4:$D100,D100))</f>
        <v/>
      </c>
      <c r="W100" s="266" t="str">
        <f t="shared" si="6"/>
        <v/>
      </c>
      <c r="Z100" s="266" t="str">
        <f t="shared" si="7"/>
        <v/>
      </c>
    </row>
    <row r="101" spans="1:26" x14ac:dyDescent="0.35">
      <c r="A101" s="66" t="s">
        <v>188</v>
      </c>
      <c r="B101" s="102" t="str">
        <f ca="1">IFERROR(INDIRECT(CONCATENATE("Field!D",A102)),"")</f>
        <v>High Jump U15 Boys A</v>
      </c>
      <c r="G101" s="256" t="str">
        <f ca="1">IFERROR(INDIRECT(CONCATENATE("Field!i",A102)),"")</f>
        <v/>
      </c>
      <c r="I101" s="102" t="str">
        <f ca="1">IFERROR(INDIRECT(CONCATENATE("Field!k",A102)),"")</f>
        <v>High Jump U15 Boys B</v>
      </c>
      <c r="T101" s="64" t="str">
        <f t="shared" si="4"/>
        <v/>
      </c>
      <c r="U101" s="64" t="str">
        <f t="shared" si="5"/>
        <v/>
      </c>
      <c r="V101" s="266" t="str">
        <f>IF(OR(D101=0,D101="",D101="Athlete"),"",COUNTIF($D$4:$D101,D101))</f>
        <v/>
      </c>
      <c r="W101" s="266" t="str">
        <f t="shared" si="6"/>
        <v/>
      </c>
      <c r="Z101" s="266" t="str">
        <f t="shared" ca="1" si="7"/>
        <v/>
      </c>
    </row>
    <row r="102" spans="1:26" x14ac:dyDescent="0.35">
      <c r="A102" s="66">
        <f>IFERROR(MATCH(A101,Field!C:C,0),"")</f>
        <v>233</v>
      </c>
      <c r="B102" s="45" t="str">
        <f ca="1">IFERROR(INDIRECT(CONCATENATE("Field!D",A102+1)),"")</f>
        <v>Posn</v>
      </c>
      <c r="C102" s="45" t="str">
        <f ca="1">IFERROR(INDIRECT(CONCATENATE("Field!e",A102+1)),"")</f>
        <v>Bib</v>
      </c>
      <c r="D102" s="139" t="str">
        <f ca="1">IFERROR(INDIRECT(CONCATENATE("Field!f",A102+1)),"")</f>
        <v>Athlete</v>
      </c>
      <c r="E102" s="139" t="str">
        <f ca="1">IFERROR(INDIRECT(CONCATENATE("Field!g",A102+1)),"")</f>
        <v>Club</v>
      </c>
      <c r="F102" s="133" t="str">
        <f ca="1">IFERROR(INDIRECT(CONCATENATE("Field!h",A102+1)),"")</f>
        <v>Perf</v>
      </c>
      <c r="G102" s="167" t="str">
        <f ca="1">IFERROR(INDIRECT(CONCATENATE("Field!i",A102+1)),"")</f>
        <v>EA</v>
      </c>
      <c r="H102" s="45"/>
      <c r="I102" s="45" t="str">
        <f ca="1">IFERROR(INDIRECT(CONCATENATE("Field!k",A102+1)),"")</f>
        <v>Posn</v>
      </c>
      <c r="J102" s="45" t="str">
        <f ca="1">IFERROR(INDIRECT(CONCATENATE("Field!l",A102+1)),"")</f>
        <v>Bib</v>
      </c>
      <c r="K102" s="139" t="str">
        <f ca="1">IFERROR(INDIRECT(CONCATENATE("Field!m",A102+1)),"")</f>
        <v>Athlete</v>
      </c>
      <c r="L102" s="139" t="str">
        <f ca="1">IFERROR(INDIRECT(CONCATENATE("Field!n",A102+1)),"")</f>
        <v>Club</v>
      </c>
      <c r="M102" s="133" t="str">
        <f ca="1">IFERROR(INDIRECT(CONCATENATE("Field!o",A102+1)),"")</f>
        <v>Perf</v>
      </c>
      <c r="N102" s="167" t="str">
        <f ca="1">IFERROR(INDIRECT(CONCATENATE("Field!p",A102+1)),"")</f>
        <v>EA</v>
      </c>
      <c r="T102" s="64" t="str">
        <f t="shared" ca="1" si="4"/>
        <v/>
      </c>
      <c r="U102" s="64" t="str">
        <f t="shared" ca="1" si="5"/>
        <v/>
      </c>
      <c r="V102" s="266" t="str">
        <f ca="1">IF(OR(D102=0,D102="",D102="Athlete"),"",COUNTIF($D$4:$D102,D102))</f>
        <v/>
      </c>
      <c r="W102" s="266" t="str">
        <f t="shared" ca="1" si="6"/>
        <v/>
      </c>
      <c r="Z102" s="266">
        <f t="shared" ca="1" si="7"/>
        <v>0</v>
      </c>
    </row>
    <row r="103" spans="1:26" x14ac:dyDescent="0.35">
      <c r="B103" s="66">
        <f ca="1">IFERROR(INDIRECT(CONCATENATE("Field!D",A102+2)),"")</f>
        <v>1</v>
      </c>
      <c r="C103" s="66">
        <f ca="1">IFERROR(INDIRECT(CONCATENATE("Field!e",A102+2)),"")</f>
        <v>6</v>
      </c>
      <c r="D103" s="85" t="str">
        <f ca="1">IFERROR(INDIRECT(CONCATENATE("Field!f",A102+2)),"")</f>
        <v>Jacob HARWOOD-BRETNALL</v>
      </c>
      <c r="E103" s="85" t="str">
        <f ca="1">IFERROR(INDIRECT(CONCATENATE("Field!g",A102+2)),"")</f>
        <v>Stock</v>
      </c>
      <c r="F103" s="65">
        <f ca="1">IFERROR(INDIRECT(CONCATENATE("Field!h",A102+2)),"")</f>
        <v>1.5</v>
      </c>
      <c r="G103" s="108">
        <f ca="1">IFERROR(INDIRECT(CONCATENATE("Field!i",A102+2)),"")</f>
        <v>6</v>
      </c>
      <c r="H103" s="66"/>
      <c r="I103" s="66">
        <f ca="1">IFERROR(INDIRECT(CONCATENATE("Field!k",A102+2)),"")</f>
        <v>1</v>
      </c>
      <c r="J103" s="66">
        <f ca="1">IFERROR(INDIRECT(CONCATENATE("Field!l",A102+2)),"")</f>
        <v>44</v>
      </c>
      <c r="K103" s="85" t="str">
        <f ca="1">IFERROR(INDIRECT(CONCATENATE("Field!m",A102+2)),"")</f>
        <v>Tristan LAMPRECHT</v>
      </c>
      <c r="L103" s="85" t="str">
        <f ca="1">IFERROR(INDIRECT(CONCATENATE("Field!n",A102+2)),"")</f>
        <v>Macc</v>
      </c>
      <c r="M103" s="65">
        <f ca="1">IFERROR(INDIRECT(CONCATENATE("Field!o",A102+2)),"")</f>
        <v>1.4</v>
      </c>
      <c r="N103" s="108">
        <f ca="1">IFERROR(INDIRECT(CONCATENATE("Field!p",A102+2)),"")</f>
        <v>4</v>
      </c>
      <c r="R103" s="168">
        <f ca="1">IFERROR(INDIRECT(CONCATENATE("Field!r",A102+2)),"")</f>
        <v>10</v>
      </c>
      <c r="T103" s="64">
        <f t="shared" ca="1" si="4"/>
        <v>3</v>
      </c>
      <c r="U103" s="64">
        <f t="shared" ca="1" si="5"/>
        <v>3</v>
      </c>
      <c r="V103" s="266">
        <f ca="1">IF(OR(D103=0,D103="",D103="Athlete"),"",COUNTIF($D$4:$D103,D103))</f>
        <v>1</v>
      </c>
      <c r="W103" s="266" t="str">
        <f t="shared" ca="1" si="6"/>
        <v>Stock</v>
      </c>
      <c r="Z103" s="266">
        <f t="shared" ca="1" si="7"/>
        <v>0</v>
      </c>
    </row>
    <row r="104" spans="1:26" x14ac:dyDescent="0.35">
      <c r="B104" s="66">
        <f ca="1">IFERROR(INDIRECT(CONCATENATE("Field!D",A102+3)),"")</f>
        <v>2</v>
      </c>
      <c r="C104" s="66">
        <f ca="1">IFERROR(INDIRECT(CONCATENATE("Field!e",A102+3)),"")</f>
        <v>3</v>
      </c>
      <c r="D104" s="85" t="str">
        <f ca="1">IFERROR(INDIRECT(CONCATENATE("Field!f",A102+3)),"")</f>
        <v>Hugo JAMES</v>
      </c>
      <c r="E104" s="85" t="str">
        <f ca="1">IFERROR(INDIRECT(CONCATENATE("Field!g",A102+3)),"")</f>
        <v>Leigh</v>
      </c>
      <c r="F104" s="65">
        <f ca="1">IFERROR(INDIRECT(CONCATENATE("Field!h",A102+3)),"")</f>
        <v>1.45</v>
      </c>
      <c r="G104" s="108">
        <f ca="1">IFERROR(INDIRECT(CONCATENATE("Field!i",A102+3)),"")</f>
        <v>5</v>
      </c>
      <c r="H104" s="66"/>
      <c r="I104" s="66">
        <f ca="1">IFERROR(INDIRECT(CONCATENATE("Field!k",A102+3)),"")</f>
        <v>2</v>
      </c>
      <c r="J104" s="66">
        <f ca="1">IFERROR(INDIRECT(CONCATENATE("Field!l",A102+3)),"")</f>
        <v>66</v>
      </c>
      <c r="K104" s="85" t="str">
        <f ca="1">IFERROR(INDIRECT(CONCATENATE("Field!m",A102+3)),"")</f>
        <v>Campbell JOHNSON</v>
      </c>
      <c r="L104" s="85" t="str">
        <f ca="1">IFERROR(INDIRECT(CONCATENATE("Field!n",A102+3)),"")</f>
        <v>Stock</v>
      </c>
      <c r="M104" s="65">
        <f ca="1">IFERROR(INDIRECT(CONCATENATE("Field!o",A102+3)),"")</f>
        <v>1.35</v>
      </c>
      <c r="N104" s="108">
        <f ca="1">IFERROR(INDIRECT(CONCATENATE("Field!p",A102+3)),"")</f>
        <v>3</v>
      </c>
      <c r="T104" s="64">
        <f t="shared" ca="1" si="4"/>
        <v>3</v>
      </c>
      <c r="U104" s="64">
        <f t="shared" ca="1" si="5"/>
        <v>3</v>
      </c>
      <c r="V104" s="266">
        <f ca="1">IF(OR(D104=0,D104="",D104="Athlete"),"",COUNTIF($D$4:$D104,D104))</f>
        <v>3</v>
      </c>
      <c r="W104" s="266" t="str">
        <f t="shared" ca="1" si="6"/>
        <v>Leigh</v>
      </c>
      <c r="Z104" s="266">
        <f t="shared" ca="1" si="7"/>
        <v>0</v>
      </c>
    </row>
    <row r="105" spans="1:26" x14ac:dyDescent="0.35">
      <c r="B105" s="66">
        <f ca="1">IFERROR(INDIRECT(CONCATENATE("Field!D",A102+4)),"")</f>
        <v>3</v>
      </c>
      <c r="C105" s="66">
        <f ca="1">IFERROR(INDIRECT(CONCATENATE("Field!e",A102+4)),"")</f>
        <v>4</v>
      </c>
      <c r="D105" s="85" t="str">
        <f ca="1">IFERROR(INDIRECT(CONCATENATE("Field!f",A102+4)),"")</f>
        <v>Will HAMMOND</v>
      </c>
      <c r="E105" s="85" t="str">
        <f ca="1">IFERROR(INDIRECT(CONCATENATE("Field!g",A102+4)),"")</f>
        <v>Macc</v>
      </c>
      <c r="F105" s="65">
        <f ca="1">IFERROR(INDIRECT(CONCATENATE("Field!h",A102+4)),"")</f>
        <v>1.4</v>
      </c>
      <c r="G105" s="108">
        <f ca="1">IFERROR(INDIRECT(CONCATENATE("Field!i",A102+4)),"")</f>
        <v>4</v>
      </c>
      <c r="H105" s="66"/>
      <c r="I105" s="66">
        <f ca="1">IFERROR(INDIRECT(CONCATENATE("Field!k",A102+4)),"")</f>
        <v>3</v>
      </c>
      <c r="J105" s="66">
        <f ca="1">IFERROR(INDIRECT(CONCATENATE("Field!l",A102+4)),"")</f>
        <v>11</v>
      </c>
      <c r="K105" s="85" t="str">
        <f ca="1">IFERROR(INDIRECT(CONCATENATE("Field!m",A102+4)),"")</f>
        <v>Sam FIRMAN</v>
      </c>
      <c r="L105" s="85" t="str">
        <f ca="1">IFERROR(INDIRECT(CONCATENATE("Field!n",A102+4)),"")</f>
        <v>C&amp;N</v>
      </c>
      <c r="M105" s="65">
        <f ca="1">IFERROR(INDIRECT(CONCATENATE("Field!o",A102+4)),"")</f>
        <v>1.25</v>
      </c>
      <c r="N105" s="108">
        <f ca="1">IFERROR(INDIRECT(CONCATENATE("Field!p",A102+4)),"")</f>
        <v>1</v>
      </c>
      <c r="T105" s="64">
        <f t="shared" ca="1" si="4"/>
        <v>3</v>
      </c>
      <c r="U105" s="64">
        <f t="shared" ca="1" si="5"/>
        <v>3</v>
      </c>
      <c r="V105" s="266">
        <f ca="1">IF(OR(D105=0,D105="",D105="Athlete"),"",COUNTIF($D$4:$D105,D105))</f>
        <v>2</v>
      </c>
      <c r="W105" s="266" t="str">
        <f t="shared" ca="1" si="6"/>
        <v>Macc</v>
      </c>
      <c r="Z105" s="266">
        <f t="shared" ca="1" si="7"/>
        <v>0</v>
      </c>
    </row>
    <row r="106" spans="1:26" x14ac:dyDescent="0.35">
      <c r="B106" s="66">
        <f ca="1">IFERROR(INDIRECT(CONCATENATE("Field!D",A102+5)),"")</f>
        <v>4</v>
      </c>
      <c r="C106" s="66">
        <f ca="1">IFERROR(INDIRECT(CONCATENATE("Field!e",A102+5)),"")</f>
        <v>1</v>
      </c>
      <c r="D106" s="85" t="str">
        <f ca="1">IFERROR(INDIRECT(CONCATENATE("Field!f",A102+5)),"")</f>
        <v>William CATTELL</v>
      </c>
      <c r="E106" s="85" t="str">
        <f ca="1">IFERROR(INDIRECT(CONCATENATE("Field!g",A102+5)),"")</f>
        <v>C&amp;N</v>
      </c>
      <c r="F106" s="65">
        <f ca="1">IFERROR(INDIRECT(CONCATENATE("Field!h",A102+5)),"")</f>
        <v>1.3</v>
      </c>
      <c r="G106" s="108">
        <f ca="1">IFERROR(INDIRECT(CONCATENATE("Field!i",A102+5)),"")</f>
        <v>2</v>
      </c>
      <c r="H106" s="66"/>
      <c r="I106" s="66" t="str">
        <f ca="1">IFERROR(INDIRECT(CONCATENATE("Field!k",A102+5)),"")</f>
        <v/>
      </c>
      <c r="J106" s="66" t="str">
        <f ca="1">IFERROR(INDIRECT(CONCATENATE("Field!l",A102+5)),"")</f>
        <v/>
      </c>
      <c r="K106" s="85" t="str">
        <f ca="1">IFERROR(INDIRECT(CONCATENATE("Field!m",A102+5)),"")</f>
        <v/>
      </c>
      <c r="L106" s="85" t="str">
        <f ca="1">IFERROR(INDIRECT(CONCATENATE("Field!n",A102+5)),"")</f>
        <v/>
      </c>
      <c r="M106" s="65">
        <f ca="1">IFERROR(INDIRECT(CONCATENATE("Field!o",A102+5)),"")</f>
        <v>0</v>
      </c>
      <c r="N106" s="108" t="str">
        <f ca="1">IFERROR(INDIRECT(CONCATENATE("Field!p",A102+5)),"")</f>
        <v/>
      </c>
      <c r="T106" s="64">
        <f t="shared" ca="1" si="4"/>
        <v>3</v>
      </c>
      <c r="U106" s="64" t="str">
        <f t="shared" ca="1" si="5"/>
        <v/>
      </c>
      <c r="V106" s="266">
        <f ca="1">IF(OR(D106=0,D106="",D106="Athlete"),"",COUNTIF($D$4:$D106,D106))</f>
        <v>2</v>
      </c>
      <c r="W106" s="266" t="str">
        <f t="shared" ca="1" si="6"/>
        <v>C&amp;N</v>
      </c>
      <c r="Z106" s="266">
        <f t="shared" ca="1" si="7"/>
        <v>0</v>
      </c>
    </row>
    <row r="107" spans="1:26" x14ac:dyDescent="0.35">
      <c r="B107" s="66" t="str">
        <f ca="1">IFERROR(INDIRECT(CONCATENATE("Field!D",A102+6)),"")</f>
        <v/>
      </c>
      <c r="C107" s="66" t="str">
        <f ca="1">IFERROR(INDIRECT(CONCATENATE("Field!e",A102+6)),"")</f>
        <v/>
      </c>
      <c r="D107" s="85" t="str">
        <f ca="1">IFERROR(INDIRECT(CONCATENATE("Field!f",A102+6)),"")</f>
        <v/>
      </c>
      <c r="E107" s="85" t="str">
        <f ca="1">IFERROR(INDIRECT(CONCATENATE("Field!g",A102+6)),"")</f>
        <v/>
      </c>
      <c r="F107" s="65">
        <f ca="1">IFERROR(INDIRECT(CONCATENATE("Field!h",A102+6)),"")</f>
        <v>0</v>
      </c>
      <c r="G107" s="108" t="str">
        <f ca="1">IFERROR(INDIRECT(CONCATENATE("Field!i",A102+6)),"")</f>
        <v/>
      </c>
      <c r="H107" s="66"/>
      <c r="I107" s="66" t="str">
        <f ca="1">IFERROR(INDIRECT(CONCATENATE("Field!k",A102+6)),"")</f>
        <v/>
      </c>
      <c r="J107" s="66" t="str">
        <f ca="1">IFERROR(INDIRECT(CONCATENATE("Field!l",A102+6)),"")</f>
        <v/>
      </c>
      <c r="K107" s="85" t="str">
        <f ca="1">IFERROR(INDIRECT(CONCATENATE("Field!m",A102+6)),"")</f>
        <v/>
      </c>
      <c r="L107" s="85" t="str">
        <f ca="1">IFERROR(INDIRECT(CONCATENATE("Field!n",A102+6)),"")</f>
        <v/>
      </c>
      <c r="M107" s="65">
        <f ca="1">IFERROR(INDIRECT(CONCATENATE("Field!o",A102+6)),"")</f>
        <v>0</v>
      </c>
      <c r="N107" s="108" t="str">
        <f ca="1">IFERROR(INDIRECT(CONCATENATE("Field!p",A102+6)),"")</f>
        <v/>
      </c>
      <c r="T107" s="64" t="str">
        <f t="shared" ca="1" si="4"/>
        <v/>
      </c>
      <c r="U107" s="64" t="str">
        <f t="shared" ca="1" si="5"/>
        <v/>
      </c>
      <c r="V107" s="266" t="str">
        <f ca="1">IF(OR(D107=0,D107="",D107="Athlete"),"",COUNTIF($D$4:$D107,D107))</f>
        <v/>
      </c>
      <c r="W107" s="266" t="str">
        <f t="shared" ca="1" si="6"/>
        <v/>
      </c>
      <c r="Z107" s="266" t="str">
        <f t="shared" ca="1" si="7"/>
        <v/>
      </c>
    </row>
    <row r="108" spans="1:26" x14ac:dyDescent="0.35">
      <c r="B108" s="66" t="str">
        <f ca="1">IFERROR(INDIRECT(CONCATENATE("Field!D",A102+7)),"")</f>
        <v/>
      </c>
      <c r="C108" s="66" t="str">
        <f ca="1">IFERROR(INDIRECT(CONCATENATE("Field!e",A102+7)),"")</f>
        <v/>
      </c>
      <c r="D108" s="85" t="str">
        <f ca="1">IFERROR(INDIRECT(CONCATENATE("Field!f",A102+7)),"")</f>
        <v/>
      </c>
      <c r="E108" s="85" t="str">
        <f ca="1">IFERROR(INDIRECT(CONCATENATE("Field!g",A102+7)),"")</f>
        <v/>
      </c>
      <c r="F108" s="65">
        <f ca="1">IFERROR(INDIRECT(CONCATENATE("Field!h",A102+7)),"")</f>
        <v>0</v>
      </c>
      <c r="G108" s="108" t="str">
        <f ca="1">IFERROR(INDIRECT(CONCATENATE("Field!i",A102+7)),"")</f>
        <v/>
      </c>
      <c r="H108" s="66"/>
      <c r="I108" s="66" t="str">
        <f ca="1">IFERROR(INDIRECT(CONCATENATE("Field!k",A102+7)),"")</f>
        <v/>
      </c>
      <c r="J108" s="66" t="str">
        <f ca="1">IFERROR(INDIRECT(CONCATENATE("Field!l",A102+7)),"")</f>
        <v/>
      </c>
      <c r="K108" s="85" t="str">
        <f ca="1">IFERROR(INDIRECT(CONCATENATE("Field!m",A102+7)),"")</f>
        <v/>
      </c>
      <c r="L108" s="85" t="str">
        <f ca="1">IFERROR(INDIRECT(CONCATENATE("Field!n",A102+7)),"")</f>
        <v/>
      </c>
      <c r="M108" s="65">
        <f ca="1">IFERROR(INDIRECT(CONCATENATE("Field!o",A102+7)),"")</f>
        <v>0</v>
      </c>
      <c r="N108" s="108" t="str">
        <f ca="1">IFERROR(INDIRECT(CONCATENATE("Field!p",A102+7)),"")</f>
        <v/>
      </c>
      <c r="T108" s="64" t="str">
        <f t="shared" ca="1" si="4"/>
        <v/>
      </c>
      <c r="U108" s="64" t="str">
        <f t="shared" ca="1" si="5"/>
        <v/>
      </c>
      <c r="V108" s="266" t="str">
        <f ca="1">IF(OR(D108=0,D108="",D108="Athlete"),"",COUNTIF($D$4:$D108,D108))</f>
        <v/>
      </c>
      <c r="W108" s="266" t="str">
        <f t="shared" ca="1" si="6"/>
        <v/>
      </c>
      <c r="Z108" s="266" t="str">
        <f t="shared" ca="1" si="7"/>
        <v/>
      </c>
    </row>
    <row r="109" spans="1:26" x14ac:dyDescent="0.35">
      <c r="B109" s="66" t="str">
        <f ca="1">IFERROR(INDIRECT(CONCATENATE("Field!D",A102+8)),"")</f>
        <v/>
      </c>
      <c r="C109" s="66" t="str">
        <f ca="1">IFERROR(INDIRECT(CONCATENATE("Field!e",A102+8)),"")</f>
        <v/>
      </c>
      <c r="D109" s="85" t="str">
        <f ca="1">IFERROR(INDIRECT(CONCATENATE("Field!f",A102+8)),"")</f>
        <v/>
      </c>
      <c r="E109" s="85" t="str">
        <f ca="1">IFERROR(INDIRECT(CONCATENATE("Field!g",A102+8)),"")</f>
        <v/>
      </c>
      <c r="F109" s="65">
        <f ca="1">IFERROR(INDIRECT(CONCATENATE("Field!h",A102+8)),"")</f>
        <v>0</v>
      </c>
      <c r="G109" s="108" t="str">
        <f ca="1">IFERROR(INDIRECT(CONCATENATE("Field!i",A102+8)),"")</f>
        <v/>
      </c>
      <c r="H109" s="66"/>
      <c r="I109" s="66" t="str">
        <f ca="1">IFERROR(INDIRECT(CONCATENATE("Field!k",A102+8)),"")</f>
        <v/>
      </c>
      <c r="J109" s="66" t="str">
        <f ca="1">IFERROR(INDIRECT(CONCATENATE("Field!l",A102+8)),"")</f>
        <v/>
      </c>
      <c r="K109" s="85" t="str">
        <f ca="1">IFERROR(INDIRECT(CONCATENATE("Field!m",A102+8)),"")</f>
        <v/>
      </c>
      <c r="L109" s="85" t="str">
        <f ca="1">IFERROR(INDIRECT(CONCATENATE("Field!n",A102+8)),"")</f>
        <v/>
      </c>
      <c r="M109" s="65">
        <f ca="1">IFERROR(INDIRECT(CONCATENATE("Field!o",A102+8)),"")</f>
        <v>0</v>
      </c>
      <c r="N109" s="108" t="str">
        <f ca="1">IFERROR(INDIRECT(CONCATENATE("Field!p",A102+8)),"")</f>
        <v/>
      </c>
      <c r="T109" s="64" t="str">
        <f t="shared" ca="1" si="4"/>
        <v/>
      </c>
      <c r="U109" s="64" t="str">
        <f t="shared" ca="1" si="5"/>
        <v/>
      </c>
      <c r="V109" s="266" t="str">
        <f ca="1">IF(OR(D109=0,D109="",D109="Athlete"),"",COUNTIF($D$4:$D109,D109))</f>
        <v/>
      </c>
      <c r="W109" s="266" t="str">
        <f t="shared" ca="1" si="6"/>
        <v/>
      </c>
      <c r="Z109" s="266" t="str">
        <f t="shared" ca="1" si="7"/>
        <v/>
      </c>
    </row>
    <row r="110" spans="1:26" x14ac:dyDescent="0.35">
      <c r="B110" s="66" t="str">
        <f ca="1">IFERROR(INDIRECT(CONCATENATE("Field!D",A102+9)),"")</f>
        <v/>
      </c>
      <c r="C110" s="66" t="str">
        <f ca="1">IFERROR(INDIRECT(CONCATENATE("Field!e",A102+9)),"")</f>
        <v/>
      </c>
      <c r="D110" s="85" t="str">
        <f ca="1">IFERROR(INDIRECT(CONCATENATE("Field!f",A102+9)),"")</f>
        <v/>
      </c>
      <c r="E110" s="85" t="str">
        <f ca="1">IFERROR(INDIRECT(CONCATENATE("Field!g",A102+9)),"")</f>
        <v/>
      </c>
      <c r="F110" s="65">
        <f ca="1">IFERROR(INDIRECT(CONCATENATE("Field!h",A102+9)),"")</f>
        <v>0</v>
      </c>
      <c r="G110" s="108" t="str">
        <f ca="1">IFERROR(INDIRECT(CONCATENATE("Field!i",A102+9)),"")</f>
        <v/>
      </c>
      <c r="H110" s="66"/>
      <c r="I110" s="66" t="str">
        <f ca="1">IFERROR(INDIRECT(CONCATENATE("Field!k",A102+9)),"")</f>
        <v/>
      </c>
      <c r="J110" s="66" t="str">
        <f ca="1">IFERROR(INDIRECT(CONCATENATE("Field!l",A102+9)),"")</f>
        <v/>
      </c>
      <c r="K110" s="85" t="str">
        <f ca="1">IFERROR(INDIRECT(CONCATENATE("Field!m",A102+9)),"")</f>
        <v/>
      </c>
      <c r="L110" s="85" t="str">
        <f ca="1">IFERROR(INDIRECT(CONCATENATE("Field!n",A102+9)),"")</f>
        <v/>
      </c>
      <c r="M110" s="65">
        <f ca="1">IFERROR(INDIRECT(CONCATENATE("Field!o",A102+9)),"")</f>
        <v>0</v>
      </c>
      <c r="N110" s="108" t="str">
        <f ca="1">IFERROR(INDIRECT(CONCATENATE("Field!p",A102+9)),"")</f>
        <v/>
      </c>
      <c r="T110" s="64" t="str">
        <f t="shared" ca="1" si="4"/>
        <v/>
      </c>
      <c r="U110" s="64" t="str">
        <f t="shared" ca="1" si="5"/>
        <v/>
      </c>
      <c r="V110" s="266" t="str">
        <f ca="1">IF(OR(D110=0,D110="",D110="Athlete"),"",COUNTIF($D$4:$D110,D110))</f>
        <v/>
      </c>
      <c r="W110" s="266" t="str">
        <f t="shared" ca="1" si="6"/>
        <v/>
      </c>
      <c r="Z110" s="266" t="str">
        <f t="shared" ca="1" si="7"/>
        <v/>
      </c>
    </row>
    <row r="111" spans="1:26" x14ac:dyDescent="0.35">
      <c r="T111" s="64" t="str">
        <f t="shared" si="4"/>
        <v/>
      </c>
      <c r="U111" s="64" t="str">
        <f t="shared" si="5"/>
        <v/>
      </c>
      <c r="V111" s="266" t="str">
        <f>IF(OR(D111=0,D111="",D111="Athlete"),"",COUNTIF($D$4:$D111,D111))</f>
        <v/>
      </c>
      <c r="W111" s="266" t="str">
        <f t="shared" si="6"/>
        <v/>
      </c>
      <c r="Z111" s="266" t="str">
        <f t="shared" si="7"/>
        <v/>
      </c>
    </row>
    <row r="112" spans="1:26" x14ac:dyDescent="0.35">
      <c r="A112" s="66" t="s">
        <v>186</v>
      </c>
      <c r="B112" s="102" t="str">
        <f ca="1">IFERROR(INDIRECT(CONCATENATE("Field!D",A113)),"")</f>
        <v>Pole Vault U15 Boys A</v>
      </c>
      <c r="G112" s="256" t="str">
        <f ca="1">IFERROR(INDIRECT(CONCATENATE("Field!i",A113)),"")</f>
        <v/>
      </c>
      <c r="I112" s="102" t="str">
        <f ca="1">IFERROR(INDIRECT(CONCATENATE("Field!k",A113)),"")</f>
        <v>Pole Vault U15 Boys B</v>
      </c>
      <c r="T112" s="64" t="str">
        <f t="shared" si="4"/>
        <v/>
      </c>
      <c r="U112" s="64" t="str">
        <f t="shared" si="5"/>
        <v/>
      </c>
      <c r="V112" s="266" t="str">
        <f>IF(OR(D112=0,D112="",D112="Athlete"),"",COUNTIF($D$4:$D112,D112))</f>
        <v/>
      </c>
      <c r="W112" s="266" t="str">
        <f t="shared" si="6"/>
        <v/>
      </c>
      <c r="Z112" s="266" t="str">
        <f t="shared" ca="1" si="7"/>
        <v/>
      </c>
    </row>
    <row r="113" spans="1:26" x14ac:dyDescent="0.35">
      <c r="A113" s="66">
        <f>IFERROR(MATCH(A112,Field!C:C,0),"")</f>
        <v>211</v>
      </c>
      <c r="B113" s="45" t="str">
        <f ca="1">IFERROR(INDIRECT(CONCATENATE("Field!D",A113+1)),"")</f>
        <v>Posn</v>
      </c>
      <c r="C113" s="45" t="str">
        <f ca="1">IFERROR(INDIRECT(CONCATENATE("Field!e",A113+1)),"")</f>
        <v>Bib</v>
      </c>
      <c r="D113" s="139" t="str">
        <f ca="1">IFERROR(INDIRECT(CONCATENATE("Field!f",A113+1)),"")</f>
        <v>Athlete</v>
      </c>
      <c r="E113" s="139" t="str">
        <f ca="1">IFERROR(INDIRECT(CONCATENATE("Field!g",A113+1)),"")</f>
        <v>Club</v>
      </c>
      <c r="F113" s="133" t="str">
        <f ca="1">IFERROR(INDIRECT(CONCATENATE("Field!h",A113+1)),"")</f>
        <v>Perf</v>
      </c>
      <c r="G113" s="167" t="str">
        <f ca="1">IFERROR(INDIRECT(CONCATENATE("Field!i",A113+1)),"")</f>
        <v>EA</v>
      </c>
      <c r="H113" s="45"/>
      <c r="I113" s="45" t="str">
        <f ca="1">IFERROR(INDIRECT(CONCATENATE("Field!k",A113+1)),"")</f>
        <v>Posn</v>
      </c>
      <c r="J113" s="45" t="str">
        <f ca="1">IFERROR(INDIRECT(CONCATENATE("Field!l",A113+1)),"")</f>
        <v>Bib</v>
      </c>
      <c r="K113" s="139" t="str">
        <f ca="1">IFERROR(INDIRECT(CONCATENATE("Field!m",A113+1)),"")</f>
        <v>Athlete</v>
      </c>
      <c r="L113" s="139" t="str">
        <f ca="1">IFERROR(INDIRECT(CONCATENATE("Field!n",A113+1)),"")</f>
        <v>Club</v>
      </c>
      <c r="M113" s="133" t="str">
        <f ca="1">IFERROR(INDIRECT(CONCATENATE("Field!o",A113+1)),"")</f>
        <v>Perf</v>
      </c>
      <c r="N113" s="167" t="str">
        <f ca="1">IFERROR(INDIRECT(CONCATENATE("Field!p",A113+1)),"")</f>
        <v>EA</v>
      </c>
      <c r="T113" s="64" t="str">
        <f t="shared" ca="1" si="4"/>
        <v/>
      </c>
      <c r="U113" s="64" t="str">
        <f t="shared" ca="1" si="5"/>
        <v/>
      </c>
      <c r="V113" s="266" t="str">
        <f ca="1">IF(OR(D113=0,D113="",D113="Athlete"),"",COUNTIF($D$4:$D113,D113))</f>
        <v/>
      </c>
      <c r="W113" s="266" t="str">
        <f t="shared" ca="1" si="6"/>
        <v/>
      </c>
      <c r="Z113" s="266">
        <f t="shared" ca="1" si="7"/>
        <v>0</v>
      </c>
    </row>
    <row r="114" spans="1:26" x14ac:dyDescent="0.35">
      <c r="B114" s="66">
        <f ca="1">IFERROR(INDIRECT(CONCATENATE("Field!D",A113+2)),"")</f>
        <v>1</v>
      </c>
      <c r="C114" s="66">
        <f ca="1">IFERROR(INDIRECT(CONCATENATE("Field!e",A113+2)),"")</f>
        <v>1</v>
      </c>
      <c r="D114" s="85" t="str">
        <f ca="1">IFERROR(INDIRECT(CONCATENATE("Field!f",A113+2)),"")</f>
        <v>Isaac PICKERING</v>
      </c>
      <c r="E114" s="85" t="str">
        <f ca="1">IFERROR(INDIRECT(CONCATENATE("Field!g",A113+2)),"")</f>
        <v>C&amp;N</v>
      </c>
      <c r="F114" s="65">
        <f ca="1">IFERROR(INDIRECT(CONCATENATE("Field!h",A113+2)),"")</f>
        <v>2.2999999999999998</v>
      </c>
      <c r="G114" s="108">
        <f ca="1">IFERROR(INDIRECT(CONCATENATE("Field!i",A113+2)),"")</f>
        <v>2</v>
      </c>
      <c r="H114" s="66"/>
      <c r="I114" s="66" t="str">
        <f ca="1">IFERROR(INDIRECT(CONCATENATE("Field!k",A113+2)),"")</f>
        <v/>
      </c>
      <c r="J114" s="66" t="str">
        <f ca="1">IFERROR(INDIRECT(CONCATENATE("Field!l",A113+2)),"")</f>
        <v/>
      </c>
      <c r="K114" s="85" t="str">
        <f ca="1">IFERROR(INDIRECT(CONCATENATE("Field!m",A113+2)),"")</f>
        <v/>
      </c>
      <c r="L114" s="85" t="str">
        <f ca="1">IFERROR(INDIRECT(CONCATENATE("Field!n",A113+2)),"")</f>
        <v/>
      </c>
      <c r="M114" s="65">
        <f ca="1">IFERROR(INDIRECT(CONCATENATE("Field!o",A113+2)),"")</f>
        <v>0</v>
      </c>
      <c r="N114" s="108" t="str">
        <f ca="1">IFERROR(INDIRECT(CONCATENATE("Field!p",A113+2)),"")</f>
        <v/>
      </c>
      <c r="R114" s="168">
        <f ca="1">IFERROR(INDIRECT(CONCATENATE("Field!r",A113+2)),"")</f>
        <v>10</v>
      </c>
      <c r="T114" s="64">
        <f t="shared" ca="1" si="4"/>
        <v>3</v>
      </c>
      <c r="U114" s="64" t="str">
        <f t="shared" ca="1" si="5"/>
        <v/>
      </c>
      <c r="V114" s="266">
        <f ca="1">IF(OR(D114=0,D114="",D114="Athlete"),"",COUNTIF($D$4:$D114,D114))</f>
        <v>2</v>
      </c>
      <c r="W114" s="266" t="str">
        <f t="shared" ca="1" si="6"/>
        <v>C&amp;N</v>
      </c>
      <c r="Z114" s="266">
        <f t="shared" ca="1" si="7"/>
        <v>0</v>
      </c>
    </row>
    <row r="115" spans="1:26" x14ac:dyDescent="0.35">
      <c r="B115" s="66" t="str">
        <f ca="1">IFERROR(INDIRECT(CONCATENATE("Field!D",A113+3)),"")</f>
        <v/>
      </c>
      <c r="C115" s="66" t="str">
        <f ca="1">IFERROR(INDIRECT(CONCATENATE("Field!e",A113+3)),"")</f>
        <v/>
      </c>
      <c r="D115" s="85" t="str">
        <f ca="1">IFERROR(INDIRECT(CONCATENATE("Field!f",A113+3)),"")</f>
        <v/>
      </c>
      <c r="E115" s="85" t="str">
        <f ca="1">IFERROR(INDIRECT(CONCATENATE("Field!g",A113+3)),"")</f>
        <v/>
      </c>
      <c r="F115" s="65">
        <f ca="1">IFERROR(INDIRECT(CONCATENATE("Field!h",A113+3)),"")</f>
        <v>0</v>
      </c>
      <c r="G115" s="108" t="str">
        <f ca="1">IFERROR(INDIRECT(CONCATENATE("Field!i",A113+3)),"")</f>
        <v/>
      </c>
      <c r="H115" s="66"/>
      <c r="I115" s="66" t="str">
        <f ca="1">IFERROR(INDIRECT(CONCATENATE("Field!k",A113+3)),"")</f>
        <v/>
      </c>
      <c r="J115" s="66" t="str">
        <f ca="1">IFERROR(INDIRECT(CONCATENATE("Field!l",A113+3)),"")</f>
        <v/>
      </c>
      <c r="K115" s="85" t="str">
        <f ca="1">IFERROR(INDIRECT(CONCATENATE("Field!m",A113+3)),"")</f>
        <v/>
      </c>
      <c r="L115" s="85" t="str">
        <f ca="1">IFERROR(INDIRECT(CONCATENATE("Field!n",A113+3)),"")</f>
        <v/>
      </c>
      <c r="M115" s="65">
        <f ca="1">IFERROR(INDIRECT(CONCATENATE("Field!o",A113+3)),"")</f>
        <v>0</v>
      </c>
      <c r="N115" s="108" t="str">
        <f ca="1">IFERROR(INDIRECT(CONCATENATE("Field!p",A113+3)),"")</f>
        <v/>
      </c>
      <c r="T115" s="64" t="str">
        <f t="shared" ca="1" si="4"/>
        <v/>
      </c>
      <c r="U115" s="64" t="str">
        <f t="shared" ca="1" si="5"/>
        <v/>
      </c>
      <c r="V115" s="266" t="str">
        <f ca="1">IF(OR(D115=0,D115="",D115="Athlete"),"",COUNTIF($D$4:$D115,D115))</f>
        <v/>
      </c>
      <c r="W115" s="266" t="str">
        <f t="shared" ca="1" si="6"/>
        <v/>
      </c>
      <c r="Z115" s="266" t="str">
        <f t="shared" ca="1" si="7"/>
        <v/>
      </c>
    </row>
    <row r="116" spans="1:26" x14ac:dyDescent="0.35">
      <c r="B116" s="66" t="str">
        <f ca="1">IFERROR(INDIRECT(CONCATENATE("Field!D",A113+4)),"")</f>
        <v/>
      </c>
      <c r="C116" s="66" t="str">
        <f ca="1">IFERROR(INDIRECT(CONCATENATE("Field!e",A113+4)),"")</f>
        <v/>
      </c>
      <c r="D116" s="85" t="str">
        <f ca="1">IFERROR(INDIRECT(CONCATENATE("Field!f",A113+4)),"")</f>
        <v/>
      </c>
      <c r="E116" s="85" t="str">
        <f ca="1">IFERROR(INDIRECT(CONCATENATE("Field!g",A113+4)),"")</f>
        <v/>
      </c>
      <c r="F116" s="65">
        <f ca="1">IFERROR(INDIRECT(CONCATENATE("Field!h",A113+4)),"")</f>
        <v>0</v>
      </c>
      <c r="G116" s="108" t="str">
        <f ca="1">IFERROR(INDIRECT(CONCATENATE("Field!i",A113+4)),"")</f>
        <v/>
      </c>
      <c r="H116" s="66"/>
      <c r="I116" s="66" t="str">
        <f ca="1">IFERROR(INDIRECT(CONCATENATE("Field!k",A113+4)),"")</f>
        <v/>
      </c>
      <c r="J116" s="66" t="str">
        <f ca="1">IFERROR(INDIRECT(CONCATENATE("Field!l",A113+4)),"")</f>
        <v/>
      </c>
      <c r="K116" s="85" t="str">
        <f ca="1">IFERROR(INDIRECT(CONCATENATE("Field!m",A113+4)),"")</f>
        <v/>
      </c>
      <c r="L116" s="85" t="str">
        <f ca="1">IFERROR(INDIRECT(CONCATENATE("Field!n",A113+4)),"")</f>
        <v/>
      </c>
      <c r="M116" s="65">
        <f ca="1">IFERROR(INDIRECT(CONCATENATE("Field!o",A113+4)),"")</f>
        <v>0</v>
      </c>
      <c r="N116" s="108" t="str">
        <f ca="1">IFERROR(INDIRECT(CONCATENATE("Field!p",A113+4)),"")</f>
        <v/>
      </c>
      <c r="T116" s="64" t="str">
        <f t="shared" ca="1" si="4"/>
        <v/>
      </c>
      <c r="U116" s="64" t="str">
        <f t="shared" ca="1" si="5"/>
        <v/>
      </c>
      <c r="V116" s="266" t="str">
        <f ca="1">IF(OR(D116=0,D116="",D116="Athlete"),"",COUNTIF($D$4:$D116,D116))</f>
        <v/>
      </c>
      <c r="W116" s="266" t="str">
        <f t="shared" ca="1" si="6"/>
        <v/>
      </c>
      <c r="Z116" s="266" t="str">
        <f t="shared" ca="1" si="7"/>
        <v/>
      </c>
    </row>
    <row r="117" spans="1:26" x14ac:dyDescent="0.35">
      <c r="B117" s="66" t="str">
        <f ca="1">IFERROR(INDIRECT(CONCATENATE("Field!D",A113+5)),"")</f>
        <v/>
      </c>
      <c r="C117" s="66" t="str">
        <f ca="1">IFERROR(INDIRECT(CONCATENATE("Field!e",A113+5)),"")</f>
        <v/>
      </c>
      <c r="D117" s="85" t="str">
        <f ca="1">IFERROR(INDIRECT(CONCATENATE("Field!f",A113+5)),"")</f>
        <v/>
      </c>
      <c r="E117" s="85" t="str">
        <f ca="1">IFERROR(INDIRECT(CONCATENATE("Field!g",A113+5)),"")</f>
        <v/>
      </c>
      <c r="F117" s="65">
        <f ca="1">IFERROR(INDIRECT(CONCATENATE("Field!h",A113+5)),"")</f>
        <v>0</v>
      </c>
      <c r="G117" s="108" t="str">
        <f ca="1">IFERROR(INDIRECT(CONCATENATE("Field!i",A113+5)),"")</f>
        <v/>
      </c>
      <c r="H117" s="66"/>
      <c r="I117" s="66" t="str">
        <f ca="1">IFERROR(INDIRECT(CONCATENATE("Field!k",A113+5)),"")</f>
        <v/>
      </c>
      <c r="J117" s="66" t="str">
        <f ca="1">IFERROR(INDIRECT(CONCATENATE("Field!l",A113+5)),"")</f>
        <v/>
      </c>
      <c r="K117" s="85" t="str">
        <f ca="1">IFERROR(INDIRECT(CONCATENATE("Field!m",A113+5)),"")</f>
        <v/>
      </c>
      <c r="L117" s="85" t="str">
        <f ca="1">IFERROR(INDIRECT(CONCATENATE("Field!n",A113+5)),"")</f>
        <v/>
      </c>
      <c r="M117" s="65">
        <f ca="1">IFERROR(INDIRECT(CONCATENATE("Field!o",A113+5)),"")</f>
        <v>0</v>
      </c>
      <c r="N117" s="108" t="str">
        <f ca="1">IFERROR(INDIRECT(CONCATENATE("Field!p",A113+5)),"")</f>
        <v/>
      </c>
      <c r="T117" s="64" t="str">
        <f t="shared" ca="1" si="4"/>
        <v/>
      </c>
      <c r="U117" s="64" t="str">
        <f t="shared" ca="1" si="5"/>
        <v/>
      </c>
      <c r="V117" s="266" t="str">
        <f ca="1">IF(OR(D117=0,D117="",D117="Athlete"),"",COUNTIF($D$4:$D117,D117))</f>
        <v/>
      </c>
      <c r="W117" s="266" t="str">
        <f t="shared" ca="1" si="6"/>
        <v/>
      </c>
      <c r="Z117" s="266" t="str">
        <f t="shared" ca="1" si="7"/>
        <v/>
      </c>
    </row>
    <row r="118" spans="1:26" x14ac:dyDescent="0.35">
      <c r="B118" s="66" t="str">
        <f ca="1">IFERROR(INDIRECT(CONCATENATE("Field!D",A113+6)),"")</f>
        <v/>
      </c>
      <c r="C118" s="66" t="str">
        <f ca="1">IFERROR(INDIRECT(CONCATENATE("Field!e",A113+6)),"")</f>
        <v/>
      </c>
      <c r="D118" s="85" t="str">
        <f ca="1">IFERROR(INDIRECT(CONCATENATE("Field!f",A113+6)),"")</f>
        <v/>
      </c>
      <c r="E118" s="85" t="str">
        <f ca="1">IFERROR(INDIRECT(CONCATENATE("Field!g",A113+6)),"")</f>
        <v/>
      </c>
      <c r="F118" s="65">
        <f ca="1">IFERROR(INDIRECT(CONCATENATE("Field!h",A113+6)),"")</f>
        <v>0</v>
      </c>
      <c r="G118" s="108" t="str">
        <f ca="1">IFERROR(INDIRECT(CONCATENATE("Field!i",A113+6)),"")</f>
        <v/>
      </c>
      <c r="H118" s="66"/>
      <c r="I118" s="66" t="str">
        <f ca="1">IFERROR(INDIRECT(CONCATENATE("Field!k",A113+6)),"")</f>
        <v/>
      </c>
      <c r="J118" s="66" t="str">
        <f ca="1">IFERROR(INDIRECT(CONCATENATE("Field!l",A113+6)),"")</f>
        <v/>
      </c>
      <c r="K118" s="85" t="str">
        <f ca="1">IFERROR(INDIRECT(CONCATENATE("Field!m",A113+6)),"")</f>
        <v/>
      </c>
      <c r="L118" s="85" t="str">
        <f ca="1">IFERROR(INDIRECT(CONCATENATE("Field!n",A113+6)),"")</f>
        <v/>
      </c>
      <c r="M118" s="65">
        <f ca="1">IFERROR(INDIRECT(CONCATENATE("Field!o",A113+6)),"")</f>
        <v>0</v>
      </c>
      <c r="N118" s="108" t="str">
        <f ca="1">IFERROR(INDIRECT(CONCATENATE("Field!p",A113+6)),"")</f>
        <v/>
      </c>
      <c r="T118" s="64" t="str">
        <f t="shared" ca="1" si="4"/>
        <v/>
      </c>
      <c r="U118" s="64" t="str">
        <f t="shared" ca="1" si="5"/>
        <v/>
      </c>
      <c r="V118" s="266" t="str">
        <f ca="1">IF(OR(D118=0,D118="",D118="Athlete"),"",COUNTIF($D$4:$D118,D118))</f>
        <v/>
      </c>
      <c r="W118" s="266" t="str">
        <f t="shared" ca="1" si="6"/>
        <v/>
      </c>
      <c r="Z118" s="266" t="str">
        <f t="shared" ca="1" si="7"/>
        <v/>
      </c>
    </row>
    <row r="119" spans="1:26" x14ac:dyDescent="0.35">
      <c r="B119" s="66" t="str">
        <f ca="1">IFERROR(INDIRECT(CONCATENATE("Field!D",A113+7)),"")</f>
        <v/>
      </c>
      <c r="C119" s="66" t="str">
        <f ca="1">IFERROR(INDIRECT(CONCATENATE("Field!e",A113+7)),"")</f>
        <v/>
      </c>
      <c r="D119" s="85" t="str">
        <f ca="1">IFERROR(INDIRECT(CONCATENATE("Field!f",A113+7)),"")</f>
        <v/>
      </c>
      <c r="E119" s="85" t="str">
        <f ca="1">IFERROR(INDIRECT(CONCATENATE("Field!g",A113+7)),"")</f>
        <v/>
      </c>
      <c r="F119" s="65">
        <f ca="1">IFERROR(INDIRECT(CONCATENATE("Field!h",A113+7)),"")</f>
        <v>0</v>
      </c>
      <c r="G119" s="108" t="str">
        <f ca="1">IFERROR(INDIRECT(CONCATENATE("Field!i",A113+7)),"")</f>
        <v/>
      </c>
      <c r="H119" s="66"/>
      <c r="I119" s="66" t="str">
        <f ca="1">IFERROR(INDIRECT(CONCATENATE("Field!k",A113+7)),"")</f>
        <v/>
      </c>
      <c r="J119" s="66" t="str">
        <f ca="1">IFERROR(INDIRECT(CONCATENATE("Field!l",A113+7)),"")</f>
        <v/>
      </c>
      <c r="K119" s="85" t="str">
        <f ca="1">IFERROR(INDIRECT(CONCATENATE("Field!m",A113+7)),"")</f>
        <v/>
      </c>
      <c r="L119" s="85" t="str">
        <f ca="1">IFERROR(INDIRECT(CONCATENATE("Field!n",A113+7)),"")</f>
        <v/>
      </c>
      <c r="M119" s="65">
        <f ca="1">IFERROR(INDIRECT(CONCATENATE("Field!o",A113+7)),"")</f>
        <v>0</v>
      </c>
      <c r="N119" s="108" t="str">
        <f ca="1">IFERROR(INDIRECT(CONCATENATE("Field!p",A113+7)),"")</f>
        <v/>
      </c>
      <c r="T119" s="64" t="str">
        <f t="shared" ca="1" si="4"/>
        <v/>
      </c>
      <c r="U119" s="64" t="str">
        <f t="shared" ca="1" si="5"/>
        <v/>
      </c>
      <c r="V119" s="266" t="str">
        <f ca="1">IF(OR(D119=0,D119="",D119="Athlete"),"",COUNTIF($D$4:$D119,D119))</f>
        <v/>
      </c>
      <c r="W119" s="266" t="str">
        <f t="shared" ca="1" si="6"/>
        <v/>
      </c>
      <c r="Z119" s="266" t="str">
        <f t="shared" ca="1" si="7"/>
        <v/>
      </c>
    </row>
    <row r="120" spans="1:26" x14ac:dyDescent="0.35">
      <c r="B120" s="66" t="str">
        <f ca="1">IFERROR(INDIRECT(CONCATENATE("Field!D",A113+8)),"")</f>
        <v/>
      </c>
      <c r="C120" s="66" t="str">
        <f ca="1">IFERROR(INDIRECT(CONCATENATE("Field!e",A113+8)),"")</f>
        <v/>
      </c>
      <c r="D120" s="85" t="str">
        <f ca="1">IFERROR(INDIRECT(CONCATENATE("Field!f",A113+8)),"")</f>
        <v/>
      </c>
      <c r="E120" s="85" t="str">
        <f ca="1">IFERROR(INDIRECT(CONCATENATE("Field!g",A113+8)),"")</f>
        <v/>
      </c>
      <c r="F120" s="65">
        <f ca="1">IFERROR(INDIRECT(CONCATENATE("Field!h",A113+8)),"")</f>
        <v>0</v>
      </c>
      <c r="G120" s="108" t="str">
        <f ca="1">IFERROR(INDIRECT(CONCATENATE("Field!i",A113+8)),"")</f>
        <v/>
      </c>
      <c r="H120" s="66"/>
      <c r="I120" s="66" t="str">
        <f ca="1">IFERROR(INDIRECT(CONCATENATE("Field!k",A113+8)),"")</f>
        <v/>
      </c>
      <c r="J120" s="66" t="str">
        <f ca="1">IFERROR(INDIRECT(CONCATENATE("Field!l",A113+8)),"")</f>
        <v/>
      </c>
      <c r="K120" s="85" t="str">
        <f ca="1">IFERROR(INDIRECT(CONCATENATE("Field!m",A113+8)),"")</f>
        <v/>
      </c>
      <c r="L120" s="85" t="str">
        <f ca="1">IFERROR(INDIRECT(CONCATENATE("Field!n",A113+8)),"")</f>
        <v/>
      </c>
      <c r="M120" s="65">
        <f ca="1">IFERROR(INDIRECT(CONCATENATE("Field!o",A113+8)),"")</f>
        <v>0</v>
      </c>
      <c r="N120" s="108" t="str">
        <f ca="1">IFERROR(INDIRECT(CONCATENATE("Field!p",A113+8)),"")</f>
        <v/>
      </c>
      <c r="T120" s="64" t="str">
        <f t="shared" ca="1" si="4"/>
        <v/>
      </c>
      <c r="U120" s="64" t="str">
        <f t="shared" ca="1" si="5"/>
        <v/>
      </c>
      <c r="V120" s="266" t="str">
        <f ca="1">IF(OR(D120=0,D120="",D120="Athlete"),"",COUNTIF($D$4:$D120,D120))</f>
        <v/>
      </c>
      <c r="W120" s="266" t="str">
        <f t="shared" ca="1" si="6"/>
        <v/>
      </c>
      <c r="Z120" s="266" t="str">
        <f t="shared" ca="1" si="7"/>
        <v/>
      </c>
    </row>
    <row r="121" spans="1:26" x14ac:dyDescent="0.35">
      <c r="B121" s="66" t="str">
        <f ca="1">IFERROR(INDIRECT(CONCATENATE("Field!D",A113+9)),"")</f>
        <v/>
      </c>
      <c r="C121" s="66" t="str">
        <f ca="1">IFERROR(INDIRECT(CONCATENATE("Field!e",A113+9)),"")</f>
        <v/>
      </c>
      <c r="D121" s="85" t="str">
        <f ca="1">IFERROR(INDIRECT(CONCATENATE("Field!f",A113+9)),"")</f>
        <v/>
      </c>
      <c r="E121" s="85" t="str">
        <f ca="1">IFERROR(INDIRECT(CONCATENATE("Field!g",A113+9)),"")</f>
        <v/>
      </c>
      <c r="F121" s="65">
        <f ca="1">IFERROR(INDIRECT(CONCATENATE("Field!h",A113+9)),"")</f>
        <v>0</v>
      </c>
      <c r="G121" s="108" t="str">
        <f ca="1">IFERROR(INDIRECT(CONCATENATE("Field!i",A113+9)),"")</f>
        <v/>
      </c>
      <c r="H121" s="66"/>
      <c r="I121" s="66" t="str">
        <f ca="1">IFERROR(INDIRECT(CONCATENATE("Field!k",A113+9)),"")</f>
        <v/>
      </c>
      <c r="J121" s="66" t="str">
        <f ca="1">IFERROR(INDIRECT(CONCATENATE("Field!l",A113+9)),"")</f>
        <v/>
      </c>
      <c r="K121" s="85" t="str">
        <f ca="1">IFERROR(INDIRECT(CONCATENATE("Field!m",A113+9)),"")</f>
        <v/>
      </c>
      <c r="L121" s="85" t="str">
        <f ca="1">IFERROR(INDIRECT(CONCATENATE("Field!n",A113+9)),"")</f>
        <v/>
      </c>
      <c r="M121" s="65">
        <f ca="1">IFERROR(INDIRECT(CONCATENATE("Field!o",A113+9)),"")</f>
        <v>0</v>
      </c>
      <c r="N121" s="108" t="str">
        <f ca="1">IFERROR(INDIRECT(CONCATENATE("Field!p",A113+9)),"")</f>
        <v/>
      </c>
      <c r="T121" s="64" t="str">
        <f t="shared" ca="1" si="4"/>
        <v/>
      </c>
      <c r="U121" s="64" t="str">
        <f t="shared" ca="1" si="5"/>
        <v/>
      </c>
      <c r="V121" s="266" t="str">
        <f ca="1">IF(OR(D121=0,D121="",D121="Athlete"),"",COUNTIF($D$4:$D121,D121))</f>
        <v/>
      </c>
      <c r="W121" s="266" t="str">
        <f t="shared" ca="1" si="6"/>
        <v/>
      </c>
      <c r="Z121" s="266" t="str">
        <f t="shared" ca="1" si="7"/>
        <v/>
      </c>
    </row>
    <row r="122" spans="1:26" x14ac:dyDescent="0.35">
      <c r="T122" s="64" t="str">
        <f t="shared" si="4"/>
        <v/>
      </c>
      <c r="U122" s="64" t="str">
        <f t="shared" si="5"/>
        <v/>
      </c>
      <c r="V122" s="266" t="str">
        <f>IF(OR(D122=0,D122="",D122="Athlete"),"",COUNTIF($D$4:$D122,D122))</f>
        <v/>
      </c>
      <c r="W122" s="266" t="str">
        <f t="shared" si="6"/>
        <v/>
      </c>
      <c r="Z122" s="266" t="str">
        <f t="shared" si="7"/>
        <v/>
      </c>
    </row>
    <row r="123" spans="1:26" x14ac:dyDescent="0.35">
      <c r="A123" s="66" t="s">
        <v>189</v>
      </c>
      <c r="B123" s="102" t="str">
        <f ca="1">IFERROR(INDIRECT(CONCATENATE("Field!D",A124)),"")</f>
        <v>Shot U15 Boys A</v>
      </c>
      <c r="G123" s="256" t="str">
        <f ca="1">IFERROR(INDIRECT(CONCATENATE("Field!i",A124)),"")</f>
        <v/>
      </c>
      <c r="I123" s="102" t="str">
        <f ca="1">IFERROR(INDIRECT(CONCATENATE("Field!k",A124)),"")</f>
        <v>Shot U15 Boys B</v>
      </c>
      <c r="T123" s="64" t="str">
        <f t="shared" si="4"/>
        <v/>
      </c>
      <c r="U123" s="64" t="str">
        <f t="shared" si="5"/>
        <v/>
      </c>
      <c r="V123" s="266" t="str">
        <f>IF(OR(D123=0,D123="",D123="Athlete"),"",COUNTIF($D$4:$D123,D123))</f>
        <v/>
      </c>
      <c r="W123" s="266" t="str">
        <f t="shared" si="6"/>
        <v/>
      </c>
      <c r="Z123" s="266" t="str">
        <f t="shared" ca="1" si="7"/>
        <v/>
      </c>
    </row>
    <row r="124" spans="1:26" x14ac:dyDescent="0.35">
      <c r="A124" s="66">
        <f>IFERROR(MATCH(A123,Field!C:C,0),"")</f>
        <v>57</v>
      </c>
      <c r="B124" s="45" t="str">
        <f ca="1">IFERROR(INDIRECT(CONCATENATE("Field!D",A124+1)),"")</f>
        <v>Posn</v>
      </c>
      <c r="C124" s="45" t="str">
        <f ca="1">IFERROR(INDIRECT(CONCATENATE("Field!e",A124+1)),"")</f>
        <v>Bib</v>
      </c>
      <c r="D124" s="139" t="str">
        <f ca="1">IFERROR(INDIRECT(CONCATENATE("Field!f",A124+1)),"")</f>
        <v>Athlete</v>
      </c>
      <c r="E124" s="139" t="str">
        <f ca="1">IFERROR(INDIRECT(CONCATENATE("Field!g",A124+1)),"")</f>
        <v>Club</v>
      </c>
      <c r="F124" s="133" t="str">
        <f ca="1">IFERROR(INDIRECT(CONCATENATE("Field!h",A124+1)),"")</f>
        <v>Perf</v>
      </c>
      <c r="G124" s="167" t="str">
        <f ca="1">IFERROR(INDIRECT(CONCATENATE("Field!i",A124+1)),"")</f>
        <v>EA</v>
      </c>
      <c r="H124" s="45"/>
      <c r="I124" s="45" t="str">
        <f ca="1">IFERROR(INDIRECT(CONCATENATE("Field!k",A124+1)),"")</f>
        <v>Posn</v>
      </c>
      <c r="J124" s="45" t="str">
        <f ca="1">IFERROR(INDIRECT(CONCATENATE("Field!l",A124+1)),"")</f>
        <v>Bib</v>
      </c>
      <c r="K124" s="139" t="str">
        <f ca="1">IFERROR(INDIRECT(CONCATENATE("Field!m",A124+1)),"")</f>
        <v>Athlete</v>
      </c>
      <c r="L124" s="139" t="str">
        <f ca="1">IFERROR(INDIRECT(CONCATENATE("Field!n",A124+1)),"")</f>
        <v>Club</v>
      </c>
      <c r="M124" s="133" t="str">
        <f ca="1">IFERROR(INDIRECT(CONCATENATE("Field!o",A124+1)),"")</f>
        <v>Perf</v>
      </c>
      <c r="N124" s="167" t="str">
        <f ca="1">IFERROR(INDIRECT(CONCATENATE("Field!p",A124+1)),"")</f>
        <v>EA</v>
      </c>
      <c r="T124" s="64" t="str">
        <f t="shared" ca="1" si="4"/>
        <v/>
      </c>
      <c r="U124" s="64" t="str">
        <f t="shared" ca="1" si="5"/>
        <v/>
      </c>
      <c r="V124" s="266" t="str">
        <f ca="1">IF(OR(D124=0,D124="",D124="Athlete"),"",COUNTIF($D$4:$D124,D124))</f>
        <v/>
      </c>
      <c r="W124" s="266" t="str">
        <f t="shared" ca="1" si="6"/>
        <v/>
      </c>
      <c r="Z124" s="266">
        <f t="shared" ca="1" si="7"/>
        <v>0</v>
      </c>
    </row>
    <row r="125" spans="1:26" x14ac:dyDescent="0.35">
      <c r="B125" s="66">
        <f ca="1">IFERROR(INDIRECT(CONCATENATE("Field!D",A124+2)),"")</f>
        <v>1</v>
      </c>
      <c r="C125" s="66">
        <f ca="1">IFERROR(INDIRECT(CONCATENATE("Field!e",A124+2)),"")</f>
        <v>1</v>
      </c>
      <c r="D125" s="85" t="str">
        <f ca="1">IFERROR(INDIRECT(CONCATENATE("Field!f",A124+2)),"")</f>
        <v>Lucas BEECH</v>
      </c>
      <c r="E125" s="85" t="str">
        <f ca="1">IFERROR(INDIRECT(CONCATENATE("Field!g",A124+2)),"")</f>
        <v>C&amp;N</v>
      </c>
      <c r="F125" s="65">
        <f ca="1">IFERROR(INDIRECT(CONCATENATE("Field!h",A124+2)),"")</f>
        <v>7.47</v>
      </c>
      <c r="G125" s="108">
        <f ca="1">IFERROR(INDIRECT(CONCATENATE("Field!i",A124+2)),"")</f>
        <v>1</v>
      </c>
      <c r="H125" s="66"/>
      <c r="I125" s="66">
        <f ca="1">IFERROR(INDIRECT(CONCATENATE("Field!k",A124+2)),"")</f>
        <v>1</v>
      </c>
      <c r="J125" s="66">
        <f ca="1">IFERROR(INDIRECT(CONCATENATE("Field!l",A124+2)),"")</f>
        <v>11</v>
      </c>
      <c r="K125" s="85" t="str">
        <f ca="1">IFERROR(INDIRECT(CONCATENATE("Field!m",A124+2)),"")</f>
        <v>Oliver BORG-HEFFERNAN</v>
      </c>
      <c r="L125" s="85" t="str">
        <f ca="1">IFERROR(INDIRECT(CONCATENATE("Field!n",A124+2)),"")</f>
        <v>C&amp;N</v>
      </c>
      <c r="M125" s="65">
        <f ca="1">IFERROR(INDIRECT(CONCATENATE("Field!o",A124+2)),"")</f>
        <v>5.92</v>
      </c>
      <c r="N125" s="108" t="str">
        <f ca="1">IFERROR(INDIRECT(CONCATENATE("Field!p",A124+2)),"")</f>
        <v/>
      </c>
      <c r="R125" s="168">
        <f ca="1">IFERROR(INDIRECT(CONCATENATE("Field!r",A124+2)),"")</f>
        <v>10</v>
      </c>
      <c r="T125" s="64">
        <f t="shared" ca="1" si="4"/>
        <v>3</v>
      </c>
      <c r="U125" s="64">
        <f t="shared" ca="1" si="5"/>
        <v>3</v>
      </c>
      <c r="V125" s="266">
        <f ca="1">IF(OR(D125=0,D125="",D125="Athlete"),"",COUNTIF($D$4:$D125,D125))</f>
        <v>1</v>
      </c>
      <c r="W125" s="266" t="str">
        <f t="shared" ca="1" si="6"/>
        <v>C&amp;N</v>
      </c>
      <c r="Z125" s="266">
        <f t="shared" ca="1" si="7"/>
        <v>0</v>
      </c>
    </row>
    <row r="126" spans="1:26" x14ac:dyDescent="0.35">
      <c r="B126" s="66">
        <f ca="1">IFERROR(INDIRECT(CONCATENATE("Field!D",A124+3)),"")</f>
        <v>2</v>
      </c>
      <c r="C126" s="66">
        <f ca="1">IFERROR(INDIRECT(CONCATENATE("Field!e",A124+3)),"")</f>
        <v>2</v>
      </c>
      <c r="D126" s="85" t="str">
        <f ca="1">IFERROR(INDIRECT(CONCATENATE("Field!f",A124+3)),"")</f>
        <v>Marshall FLEET</v>
      </c>
      <c r="E126" s="85" t="str">
        <f ca="1">IFERROR(INDIRECT(CONCATENATE("Field!g",A124+3)),"")</f>
        <v>ECHT</v>
      </c>
      <c r="F126" s="65">
        <f ca="1">IFERROR(INDIRECT(CONCATENATE("Field!h",A124+3)),"")</f>
        <v>7.1</v>
      </c>
      <c r="G126" s="108" t="str">
        <f ca="1">IFERROR(INDIRECT(CONCATENATE("Field!i",A124+3)),"")</f>
        <v/>
      </c>
      <c r="H126" s="66"/>
      <c r="I126" s="66">
        <f ca="1">IFERROR(INDIRECT(CONCATENATE("Field!k",A124+3)),"")</f>
        <v>2</v>
      </c>
      <c r="J126" s="66">
        <f ca="1">IFERROR(INDIRECT(CONCATENATE("Field!l",A124+3)),"")</f>
        <v>3</v>
      </c>
      <c r="K126" s="85" t="str">
        <f ca="1">IFERROR(INDIRECT(CONCATENATE("Field!m",A124+3)),"")</f>
        <v>Oliver SANDERSON</v>
      </c>
      <c r="L126" s="85" t="str">
        <f ca="1">IFERROR(INDIRECT(CONCATENATE("Field!n",A124+3)),"")</f>
        <v>Leigh</v>
      </c>
      <c r="M126" s="65">
        <f ca="1">IFERROR(INDIRECT(CONCATENATE("Field!o",A124+3)),"")</f>
        <v>5.61</v>
      </c>
      <c r="N126" s="108" t="str">
        <f ca="1">IFERROR(INDIRECT(CONCATENATE("Field!p",A124+3)),"")</f>
        <v/>
      </c>
      <c r="T126" s="64">
        <f t="shared" ca="1" si="4"/>
        <v>2</v>
      </c>
      <c r="U126" s="64">
        <f t="shared" ca="1" si="5"/>
        <v>2</v>
      </c>
      <c r="V126" s="266">
        <f ca="1">IF(OR(D126=0,D126="",D126="Athlete"),"",COUNTIF($D$4:$D126,D126))</f>
        <v>2</v>
      </c>
      <c r="W126" s="266" t="str">
        <f t="shared" ca="1" si="6"/>
        <v>ECHT</v>
      </c>
      <c r="Z126" s="266" t="str">
        <f t="shared" ca="1" si="7"/>
        <v/>
      </c>
    </row>
    <row r="127" spans="1:26" x14ac:dyDescent="0.35">
      <c r="B127" s="66">
        <f ca="1">IFERROR(INDIRECT(CONCATENATE("Field!D",A124+4)),"")</f>
        <v>3</v>
      </c>
      <c r="C127" s="66">
        <f ca="1">IFERROR(INDIRECT(CONCATENATE("Field!e",A124+4)),"")</f>
        <v>33</v>
      </c>
      <c r="D127" s="85" t="str">
        <f ca="1">IFERROR(INDIRECT(CONCATENATE("Field!f",A124+4)),"")</f>
        <v>Archer GILDART</v>
      </c>
      <c r="E127" s="85" t="str">
        <f ca="1">IFERROR(INDIRECT(CONCATENATE("Field!g",A124+4)),"")</f>
        <v>Leigh</v>
      </c>
      <c r="F127" s="65">
        <f ca="1">IFERROR(INDIRECT(CONCATENATE("Field!h",A124+4)),"")</f>
        <v>6.4</v>
      </c>
      <c r="G127" s="108" t="str">
        <f ca="1">IFERROR(INDIRECT(CONCATENATE("Field!i",A124+4)),"")</f>
        <v/>
      </c>
      <c r="H127" s="66"/>
      <c r="I127" s="66">
        <f ca="1">IFERROR(INDIRECT(CONCATENATE("Field!k",A124+4)),"")</f>
        <v>3</v>
      </c>
      <c r="J127" s="66" t="str">
        <f ca="1">IFERROR(INDIRECT(CONCATENATE("Field!l",A124+4)),"")</f>
        <v/>
      </c>
      <c r="K127" s="85" t="str">
        <f ca="1">IFERROR(INDIRECT(CONCATENATE("Field!m",A124+4)),"")</f>
        <v/>
      </c>
      <c r="L127" s="85" t="str">
        <f ca="1">IFERROR(INDIRECT(CONCATENATE("Field!n",A124+4)),"")</f>
        <v/>
      </c>
      <c r="M127" s="65" t="str">
        <f ca="1">IFERROR(INDIRECT(CONCATENATE("Field!o",A124+4)),"")</f>
        <v/>
      </c>
      <c r="N127" s="108" t="str">
        <f ca="1">IFERROR(INDIRECT(CONCATENATE("Field!p",A124+4)),"")</f>
        <v/>
      </c>
      <c r="T127" s="64">
        <f t="shared" ca="1" si="4"/>
        <v>3</v>
      </c>
      <c r="U127" s="64" t="str">
        <f t="shared" ca="1" si="5"/>
        <v/>
      </c>
      <c r="V127" s="266">
        <f ca="1">IF(OR(D127=0,D127="",D127="Athlete"),"",COUNTIF($D$4:$D127,D127))</f>
        <v>2</v>
      </c>
      <c r="W127" s="266" t="str">
        <f t="shared" ca="1" si="6"/>
        <v>Leigh</v>
      </c>
      <c r="Z127" s="266" t="str">
        <f t="shared" ca="1" si="7"/>
        <v/>
      </c>
    </row>
    <row r="128" spans="1:26" x14ac:dyDescent="0.35">
      <c r="B128" s="66">
        <f ca="1">IFERROR(INDIRECT(CONCATENATE("Field!D",A124+5)),"")</f>
        <v>4</v>
      </c>
      <c r="C128" s="66">
        <f ca="1">IFERROR(INDIRECT(CONCATENATE("Field!e",A124+5)),"")</f>
        <v>6</v>
      </c>
      <c r="D128" s="85" t="str">
        <f ca="1">IFERROR(INDIRECT(CONCATENATE("Field!f",A124+5)),"")</f>
        <v>Campbell JOHNSON</v>
      </c>
      <c r="E128" s="85" t="str">
        <f ca="1">IFERROR(INDIRECT(CONCATENATE("Field!g",A124+5)),"")</f>
        <v>Stock</v>
      </c>
      <c r="F128" s="65">
        <f ca="1">IFERROR(INDIRECT(CONCATENATE("Field!h",A124+5)),"")</f>
        <v>5.57</v>
      </c>
      <c r="G128" s="108" t="str">
        <f ca="1">IFERROR(INDIRECT(CONCATENATE("Field!i",A124+5)),"")</f>
        <v/>
      </c>
      <c r="H128" s="66"/>
      <c r="I128" s="66">
        <f ca="1">IFERROR(INDIRECT(CONCATENATE("Field!k",A124+5)),"")</f>
        <v>4</v>
      </c>
      <c r="J128" s="66" t="str">
        <f ca="1">IFERROR(INDIRECT(CONCATENATE("Field!l",A124+5)),"")</f>
        <v/>
      </c>
      <c r="K128" s="85" t="str">
        <f ca="1">IFERROR(INDIRECT(CONCATENATE("Field!m",A124+5)),"")</f>
        <v/>
      </c>
      <c r="L128" s="85" t="str">
        <f ca="1">IFERROR(INDIRECT(CONCATENATE("Field!n",A124+5)),"")</f>
        <v/>
      </c>
      <c r="M128" s="65" t="str">
        <f ca="1">IFERROR(INDIRECT(CONCATENATE("Field!o",A124+5)),"")</f>
        <v/>
      </c>
      <c r="N128" s="108" t="str">
        <f ca="1">IFERROR(INDIRECT(CONCATENATE("Field!p",A124+5)),"")</f>
        <v/>
      </c>
      <c r="T128" s="64">
        <f t="shared" ca="1" si="4"/>
        <v>3</v>
      </c>
      <c r="U128" s="64" t="str">
        <f t="shared" ca="1" si="5"/>
        <v/>
      </c>
      <c r="V128" s="266">
        <f ca="1">IF(OR(D128=0,D128="",D128="Athlete"),"",COUNTIF($D$4:$D128,D128))</f>
        <v>1</v>
      </c>
      <c r="W128" s="266" t="str">
        <f t="shared" ca="1" si="6"/>
        <v>Stock</v>
      </c>
      <c r="Z128" s="266" t="str">
        <f t="shared" ca="1" si="7"/>
        <v/>
      </c>
    </row>
    <row r="129" spans="1:26" x14ac:dyDescent="0.35">
      <c r="B129" s="66">
        <f ca="1">IFERROR(INDIRECT(CONCATENATE("Field!D",A124+6)),"")</f>
        <v>5</v>
      </c>
      <c r="C129" s="66">
        <f ca="1">IFERROR(INDIRECT(CONCATENATE("Field!e",A124+6)),"")</f>
        <v>7</v>
      </c>
      <c r="D129" s="85" t="str">
        <f ca="1">IFERROR(INDIRECT(CONCATENATE("Field!f",A124+6)),"")</f>
        <v>Matthew HAYTON</v>
      </c>
      <c r="E129" s="85" t="str">
        <f ca="1">IFERROR(INDIRECT(CONCATENATE("Field!g",A124+6)),"")</f>
        <v>Wigan</v>
      </c>
      <c r="F129" s="65">
        <f ca="1">IFERROR(INDIRECT(CONCATENATE("Field!h",A124+6)),"")</f>
        <v>5.0999999999999996</v>
      </c>
      <c r="G129" s="108" t="str">
        <f ca="1">IFERROR(INDIRECT(CONCATENATE("Field!i",A124+6)),"")</f>
        <v/>
      </c>
      <c r="H129" s="66"/>
      <c r="I129" s="66">
        <f ca="1">IFERROR(INDIRECT(CONCATENATE("Field!k",A124+6)),"")</f>
        <v>5</v>
      </c>
      <c r="J129" s="66" t="str">
        <f ca="1">IFERROR(INDIRECT(CONCATENATE("Field!l",A124+6)),"")</f>
        <v/>
      </c>
      <c r="K129" s="85" t="str">
        <f ca="1">IFERROR(INDIRECT(CONCATENATE("Field!m",A124+6)),"")</f>
        <v/>
      </c>
      <c r="L129" s="85" t="str">
        <f ca="1">IFERROR(INDIRECT(CONCATENATE("Field!n",A124+6)),"")</f>
        <v/>
      </c>
      <c r="M129" s="65" t="str">
        <f ca="1">IFERROR(INDIRECT(CONCATENATE("Field!o",A124+6)),"")</f>
        <v/>
      </c>
      <c r="N129" s="108" t="str">
        <f ca="1">IFERROR(INDIRECT(CONCATENATE("Field!p",A124+6)),"")</f>
        <v/>
      </c>
      <c r="T129" s="64">
        <f t="shared" ca="1" si="4"/>
        <v>3</v>
      </c>
      <c r="U129" s="64" t="str">
        <f t="shared" ca="1" si="5"/>
        <v/>
      </c>
      <c r="V129" s="266">
        <f ca="1">IF(OR(D129=0,D129="",D129="Athlete"),"",COUNTIF($D$4:$D129,D129))</f>
        <v>2</v>
      </c>
      <c r="W129" s="266" t="str">
        <f t="shared" ca="1" si="6"/>
        <v>Wigan</v>
      </c>
      <c r="Z129" s="266" t="str">
        <f t="shared" ca="1" si="7"/>
        <v/>
      </c>
    </row>
    <row r="130" spans="1:26" x14ac:dyDescent="0.35">
      <c r="B130" s="66">
        <f ca="1">IFERROR(INDIRECT(CONCATENATE("Field!D",A124+7)),"")</f>
        <v>6</v>
      </c>
      <c r="C130" s="66" t="str">
        <f ca="1">IFERROR(INDIRECT(CONCATENATE("Field!e",A124+7)),"")</f>
        <v/>
      </c>
      <c r="D130" s="85" t="str">
        <f ca="1">IFERROR(INDIRECT(CONCATENATE("Field!f",A124+7)),"")</f>
        <v/>
      </c>
      <c r="E130" s="85" t="str">
        <f ca="1">IFERROR(INDIRECT(CONCATENATE("Field!g",A124+7)),"")</f>
        <v/>
      </c>
      <c r="F130" s="65" t="str">
        <f ca="1">IFERROR(INDIRECT(CONCATENATE("Field!h",A124+7)),"")</f>
        <v/>
      </c>
      <c r="G130" s="108" t="str">
        <f ca="1">IFERROR(INDIRECT(CONCATENATE("Field!i",A124+7)),"")</f>
        <v/>
      </c>
      <c r="H130" s="66"/>
      <c r="I130" s="66">
        <f ca="1">IFERROR(INDIRECT(CONCATENATE("Field!k",A124+7)),"")</f>
        <v>6</v>
      </c>
      <c r="J130" s="66" t="str">
        <f ca="1">IFERROR(INDIRECT(CONCATENATE("Field!l",A124+7)),"")</f>
        <v/>
      </c>
      <c r="K130" s="85" t="str">
        <f ca="1">IFERROR(INDIRECT(CONCATENATE("Field!m",A124+7)),"")</f>
        <v/>
      </c>
      <c r="L130" s="85" t="str">
        <f ca="1">IFERROR(INDIRECT(CONCATENATE("Field!n",A124+7)),"")</f>
        <v/>
      </c>
      <c r="M130" s="65" t="str">
        <f ca="1">IFERROR(INDIRECT(CONCATENATE("Field!o",A124+7)),"")</f>
        <v/>
      </c>
      <c r="N130" s="108" t="str">
        <f ca="1">IFERROR(INDIRECT(CONCATENATE("Field!p",A124+7)),"")</f>
        <v/>
      </c>
      <c r="T130" s="64" t="str">
        <f t="shared" ca="1" si="4"/>
        <v/>
      </c>
      <c r="U130" s="64" t="str">
        <f t="shared" ca="1" si="5"/>
        <v/>
      </c>
      <c r="V130" s="266" t="str">
        <f ca="1">IF(OR(D130=0,D130="",D130="Athlete"),"",COUNTIF($D$4:$D130,D130))</f>
        <v/>
      </c>
      <c r="W130" s="266" t="str">
        <f t="shared" ca="1" si="6"/>
        <v/>
      </c>
      <c r="Z130" s="266" t="str">
        <f t="shared" ca="1" si="7"/>
        <v/>
      </c>
    </row>
    <row r="131" spans="1:26" x14ac:dyDescent="0.35">
      <c r="B131" s="66">
        <f ca="1">IFERROR(INDIRECT(CONCATENATE("Field!D",A124+8)),"")</f>
        <v>7</v>
      </c>
      <c r="C131" s="66" t="str">
        <f ca="1">IFERROR(INDIRECT(CONCATENATE("Field!e",A124+8)),"")</f>
        <v/>
      </c>
      <c r="D131" s="85" t="str">
        <f ca="1">IFERROR(INDIRECT(CONCATENATE("Field!f",A124+8)),"")</f>
        <v/>
      </c>
      <c r="E131" s="85" t="str">
        <f ca="1">IFERROR(INDIRECT(CONCATENATE("Field!g",A124+8)),"")</f>
        <v/>
      </c>
      <c r="F131" s="65" t="str">
        <f ca="1">IFERROR(INDIRECT(CONCATENATE("Field!h",A124+8)),"")</f>
        <v/>
      </c>
      <c r="G131" s="108" t="str">
        <f ca="1">IFERROR(INDIRECT(CONCATENATE("Field!i",A124+8)),"")</f>
        <v/>
      </c>
      <c r="H131" s="66"/>
      <c r="I131" s="66">
        <f ca="1">IFERROR(INDIRECT(CONCATENATE("Field!k",A124+8)),"")</f>
        <v>7</v>
      </c>
      <c r="J131" s="66" t="str">
        <f ca="1">IFERROR(INDIRECT(CONCATENATE("Field!l",A124+8)),"")</f>
        <v/>
      </c>
      <c r="K131" s="85" t="str">
        <f ca="1">IFERROR(INDIRECT(CONCATENATE("Field!m",A124+8)),"")</f>
        <v/>
      </c>
      <c r="L131" s="85" t="str">
        <f ca="1">IFERROR(INDIRECT(CONCATENATE("Field!n",A124+8)),"")</f>
        <v/>
      </c>
      <c r="M131" s="65" t="str">
        <f ca="1">IFERROR(INDIRECT(CONCATENATE("Field!o",A124+8)),"")</f>
        <v/>
      </c>
      <c r="N131" s="108" t="str">
        <f ca="1">IFERROR(INDIRECT(CONCATENATE("Field!p",A124+8)),"")</f>
        <v/>
      </c>
      <c r="T131" s="64" t="str">
        <f t="shared" ca="1" si="4"/>
        <v/>
      </c>
      <c r="U131" s="64" t="str">
        <f t="shared" ca="1" si="5"/>
        <v/>
      </c>
      <c r="V131" s="266" t="str">
        <f ca="1">IF(OR(D131=0,D131="",D131="Athlete"),"",COUNTIF($D$4:$D131,D131))</f>
        <v/>
      </c>
      <c r="W131" s="266" t="str">
        <f t="shared" ca="1" si="6"/>
        <v/>
      </c>
      <c r="Z131" s="266" t="str">
        <f t="shared" ca="1" si="7"/>
        <v/>
      </c>
    </row>
    <row r="132" spans="1:26" x14ac:dyDescent="0.35">
      <c r="B132" s="66">
        <f ca="1">IFERROR(INDIRECT(CONCATENATE("Field!D",A124+9)),"")</f>
        <v>8</v>
      </c>
      <c r="C132" s="66" t="str">
        <f ca="1">IFERROR(INDIRECT(CONCATENATE("Field!e",A124+9)),"")</f>
        <v/>
      </c>
      <c r="D132" s="85" t="str">
        <f ca="1">IFERROR(INDIRECT(CONCATENATE("Field!f",A124+9)),"")</f>
        <v/>
      </c>
      <c r="E132" s="85" t="str">
        <f ca="1">IFERROR(INDIRECT(CONCATENATE("Field!g",A124+9)),"")</f>
        <v/>
      </c>
      <c r="F132" s="65" t="str">
        <f ca="1">IFERROR(INDIRECT(CONCATENATE("Field!h",A124+9)),"")</f>
        <v/>
      </c>
      <c r="G132" s="108" t="str">
        <f ca="1">IFERROR(INDIRECT(CONCATENATE("Field!i",A124+9)),"")</f>
        <v/>
      </c>
      <c r="H132" s="66"/>
      <c r="I132" s="66">
        <f ca="1">IFERROR(INDIRECT(CONCATENATE("Field!k",A124+9)),"")</f>
        <v>8</v>
      </c>
      <c r="J132" s="66" t="str">
        <f ca="1">IFERROR(INDIRECT(CONCATENATE("Field!l",A124+9)),"")</f>
        <v/>
      </c>
      <c r="K132" s="85" t="str">
        <f ca="1">IFERROR(INDIRECT(CONCATENATE("Field!m",A124+9)),"")</f>
        <v/>
      </c>
      <c r="L132" s="85" t="str">
        <f ca="1">IFERROR(INDIRECT(CONCATENATE("Field!n",A124+9)),"")</f>
        <v/>
      </c>
      <c r="M132" s="65" t="str">
        <f ca="1">IFERROR(INDIRECT(CONCATENATE("Field!o",A124+9)),"")</f>
        <v/>
      </c>
      <c r="N132" s="108" t="str">
        <f ca="1">IFERROR(INDIRECT(CONCATENATE("Field!p",A124+9)),"")</f>
        <v/>
      </c>
      <c r="T132" s="64" t="str">
        <f t="shared" ca="1" si="4"/>
        <v/>
      </c>
      <c r="U132" s="64" t="str">
        <f t="shared" ca="1" si="5"/>
        <v/>
      </c>
      <c r="V132" s="266" t="str">
        <f ca="1">IF(OR(D132=0,D132="",D132="Athlete"),"",COUNTIF($D$4:$D132,D132))</f>
        <v/>
      </c>
      <c r="W132" s="266" t="str">
        <f t="shared" ca="1" si="6"/>
        <v/>
      </c>
      <c r="Z132" s="266" t="str">
        <f t="shared" ca="1" si="7"/>
        <v/>
      </c>
    </row>
    <row r="133" spans="1:26" x14ac:dyDescent="0.35">
      <c r="T133" s="64" t="str">
        <f t="shared" ref="T133:T196" si="8">IF(OR(D133=0,D133="",D133="Athlete"),"",COUNTIF($D$4:$D$352,D133))</f>
        <v/>
      </c>
      <c r="U133" s="64" t="str">
        <f t="shared" ref="U133:U196" si="9">IF(OR(K133=0,K133="",K133="Athlete"),"",COUNTIF($D$4:$D$352,K133))</f>
        <v/>
      </c>
      <c r="V133" s="266" t="str">
        <f>IF(OR(D133=0,D133="",D133="Athlete"),"",COUNTIF($D$4:$D133,D133))</f>
        <v/>
      </c>
      <c r="W133" s="266" t="str">
        <f t="shared" ref="W133:W165" si="10">IF(OR(D133=0,D133="",D133="Athlete"),"",E133)</f>
        <v/>
      </c>
      <c r="Z133" s="266" t="str">
        <f t="shared" ref="Z133:Z165" si="11">IF(OR(G133=0,G133="",G133="Athlete"),"",H133)</f>
        <v/>
      </c>
    </row>
    <row r="134" spans="1:26" x14ac:dyDescent="0.35">
      <c r="A134" s="66" t="s">
        <v>184</v>
      </c>
      <c r="B134" s="102" t="str">
        <f ca="1">IFERROR(INDIRECT(CONCATENATE("Field!D",A135)),"")</f>
        <v>Discus U15 Boys A</v>
      </c>
      <c r="G134" s="256" t="str">
        <f ca="1">IFERROR(INDIRECT(CONCATENATE("Field!i",A135)),"")</f>
        <v/>
      </c>
      <c r="I134" s="102" t="str">
        <f ca="1">IFERROR(INDIRECT(CONCATENATE("Field!k",A135)),"")</f>
        <v>Discus U15 Boys B</v>
      </c>
      <c r="T134" s="64" t="str">
        <f t="shared" si="8"/>
        <v/>
      </c>
      <c r="U134" s="64" t="str">
        <f t="shared" si="9"/>
        <v/>
      </c>
      <c r="V134" s="266" t="str">
        <f>IF(OR(D134=0,D134="",D134="Athlete"),"",COUNTIF($D$4:$D134,D134))</f>
        <v/>
      </c>
      <c r="W134" s="266" t="str">
        <f t="shared" si="10"/>
        <v/>
      </c>
      <c r="Z134" s="266" t="str">
        <f t="shared" ca="1" si="11"/>
        <v/>
      </c>
    </row>
    <row r="135" spans="1:26" x14ac:dyDescent="0.35">
      <c r="A135" s="66">
        <f>IFERROR(MATCH(A134,Field!C:C,0),"")</f>
        <v>35</v>
      </c>
      <c r="B135" s="45" t="str">
        <f ca="1">IFERROR(INDIRECT(CONCATENATE("Field!D",A135+1)),"")</f>
        <v>Posn</v>
      </c>
      <c r="C135" s="45" t="str">
        <f ca="1">IFERROR(INDIRECT(CONCATENATE("Field!e",A135+1)),"")</f>
        <v>Bib</v>
      </c>
      <c r="D135" s="139" t="str">
        <f ca="1">IFERROR(INDIRECT(CONCATENATE("Field!f",A135+1)),"")</f>
        <v>Athlete</v>
      </c>
      <c r="E135" s="139" t="str">
        <f ca="1">IFERROR(INDIRECT(CONCATENATE("Field!g",A135+1)),"")</f>
        <v>Club</v>
      </c>
      <c r="F135" s="133" t="str">
        <f ca="1">IFERROR(INDIRECT(CONCATENATE("Field!h",A135+1)),"")</f>
        <v>Perf</v>
      </c>
      <c r="G135" s="167" t="str">
        <f ca="1">IFERROR(INDIRECT(CONCATENATE("Field!i",A135+1)),"")</f>
        <v>EA</v>
      </c>
      <c r="H135" s="45"/>
      <c r="I135" s="45" t="str">
        <f ca="1">IFERROR(INDIRECT(CONCATENATE("Field!k",A135+1)),"")</f>
        <v>Posn</v>
      </c>
      <c r="J135" s="45" t="str">
        <f ca="1">IFERROR(INDIRECT(CONCATENATE("Field!l",A135+1)),"")</f>
        <v>Bib</v>
      </c>
      <c r="K135" s="139" t="str">
        <f ca="1">IFERROR(INDIRECT(CONCATENATE("Field!m",A135+1)),"")</f>
        <v>Athlete</v>
      </c>
      <c r="L135" s="139" t="str">
        <f ca="1">IFERROR(INDIRECT(CONCATENATE("Field!n",A135+1)),"")</f>
        <v>Club</v>
      </c>
      <c r="M135" s="133" t="str">
        <f ca="1">IFERROR(INDIRECT(CONCATENATE("Field!o",A135+1)),"")</f>
        <v>Perf</v>
      </c>
      <c r="N135" s="167" t="str">
        <f ca="1">IFERROR(INDIRECT(CONCATENATE("Field!p",A135+1)),"")</f>
        <v>EA</v>
      </c>
      <c r="T135" s="64" t="str">
        <f t="shared" ca="1" si="8"/>
        <v/>
      </c>
      <c r="U135" s="64" t="str">
        <f t="shared" ca="1" si="9"/>
        <v/>
      </c>
      <c r="V135" s="266" t="str">
        <f ca="1">IF(OR(D135=0,D135="",D135="Athlete"),"",COUNTIF($D$4:$D135,D135))</f>
        <v/>
      </c>
      <c r="W135" s="266" t="str">
        <f t="shared" ca="1" si="10"/>
        <v/>
      </c>
      <c r="Z135" s="266">
        <f t="shared" ca="1" si="11"/>
        <v>0</v>
      </c>
    </row>
    <row r="136" spans="1:26" x14ac:dyDescent="0.35">
      <c r="B136" s="66">
        <f ca="1">IFERROR(INDIRECT(CONCATENATE("Field!D",A135+2)),"")</f>
        <v>1</v>
      </c>
      <c r="C136" s="66">
        <f ca="1">IFERROR(INDIRECT(CONCATENATE("Field!e",A135+2)),"")</f>
        <v>1</v>
      </c>
      <c r="D136" s="85" t="str">
        <f ca="1">IFERROR(INDIRECT(CONCATENATE("Field!f",A135+2)),"")</f>
        <v>Jack TILLEY</v>
      </c>
      <c r="E136" s="85" t="str">
        <f ca="1">IFERROR(INDIRECT(CONCATENATE("Field!g",A135+2)),"")</f>
        <v>C&amp;N</v>
      </c>
      <c r="F136" s="65">
        <f ca="1">IFERROR(INDIRECT(CONCATENATE("Field!h",A135+2)),"")</f>
        <v>14.65</v>
      </c>
      <c r="G136" s="108" t="str">
        <f ca="1">IFERROR(INDIRECT(CONCATENATE("Field!i",A135+2)),"")</f>
        <v/>
      </c>
      <c r="H136" s="66"/>
      <c r="I136" s="66">
        <f ca="1">IFERROR(INDIRECT(CONCATENATE("Field!k",A135+2)),"")</f>
        <v>1</v>
      </c>
      <c r="J136" s="66">
        <f ca="1">IFERROR(INDIRECT(CONCATENATE("Field!l",A135+2)),"")</f>
        <v>11</v>
      </c>
      <c r="K136" s="85" t="str">
        <f ca="1">IFERROR(INDIRECT(CONCATENATE("Field!m",A135+2)),"")</f>
        <v>Oliver BORG-HEFFERNAN</v>
      </c>
      <c r="L136" s="85" t="str">
        <f ca="1">IFERROR(INDIRECT(CONCATENATE("Field!n",A135+2)),"")</f>
        <v>C&amp;N</v>
      </c>
      <c r="M136" s="65">
        <f ca="1">IFERROR(INDIRECT(CONCATENATE("Field!o",A135+2)),"")</f>
        <v>12.9</v>
      </c>
      <c r="N136" s="108" t="str">
        <f ca="1">IFERROR(INDIRECT(CONCATENATE("Field!p",A135+2)),"")</f>
        <v/>
      </c>
      <c r="R136" s="168">
        <f ca="1">IFERROR(INDIRECT(CONCATENATE("Field!r",A135+2)),"")</f>
        <v>10</v>
      </c>
      <c r="T136" s="64">
        <f t="shared" ca="1" si="8"/>
        <v>3</v>
      </c>
      <c r="U136" s="64">
        <f t="shared" ca="1" si="9"/>
        <v>3</v>
      </c>
      <c r="V136" s="266">
        <f ca="1">IF(OR(D136=0,D136="",D136="Athlete"),"",COUNTIF($D$4:$D136,D136))</f>
        <v>2</v>
      </c>
      <c r="W136" s="266" t="str">
        <f t="shared" ca="1" si="10"/>
        <v>C&amp;N</v>
      </c>
      <c r="Z136" s="266" t="str">
        <f t="shared" ca="1" si="11"/>
        <v/>
      </c>
    </row>
    <row r="137" spans="1:26" x14ac:dyDescent="0.35">
      <c r="B137" s="66">
        <f ca="1">IFERROR(INDIRECT(CONCATENATE("Field!D",A135+3)),"")</f>
        <v>2</v>
      </c>
      <c r="C137" s="66" t="str">
        <f ca="1">IFERROR(INDIRECT(CONCATENATE("Field!e",A135+3)),"")</f>
        <v/>
      </c>
      <c r="D137" s="85" t="str">
        <f ca="1">IFERROR(INDIRECT(CONCATENATE("Field!f",A135+3)),"")</f>
        <v/>
      </c>
      <c r="E137" s="85" t="str">
        <f ca="1">IFERROR(INDIRECT(CONCATENATE("Field!g",A135+3)),"")</f>
        <v/>
      </c>
      <c r="F137" s="65" t="str">
        <f ca="1">IFERROR(INDIRECT(CONCATENATE("Field!h",A135+3)),"")</f>
        <v/>
      </c>
      <c r="G137" s="108" t="str">
        <f ca="1">IFERROR(INDIRECT(CONCATENATE("Field!i",A135+3)),"")</f>
        <v/>
      </c>
      <c r="H137" s="66"/>
      <c r="I137" s="66">
        <f ca="1">IFERROR(INDIRECT(CONCATENATE("Field!k",A135+3)),"")</f>
        <v>2</v>
      </c>
      <c r="J137" s="66" t="str">
        <f ca="1">IFERROR(INDIRECT(CONCATENATE("Field!l",A135+3)),"")</f>
        <v/>
      </c>
      <c r="K137" s="85" t="str">
        <f ca="1">IFERROR(INDIRECT(CONCATENATE("Field!m",A135+3)),"")</f>
        <v/>
      </c>
      <c r="L137" s="85" t="str">
        <f ca="1">IFERROR(INDIRECT(CONCATENATE("Field!n",A135+3)),"")</f>
        <v/>
      </c>
      <c r="M137" s="65" t="str">
        <f ca="1">IFERROR(INDIRECT(CONCATENATE("Field!o",A135+3)),"")</f>
        <v/>
      </c>
      <c r="N137" s="108" t="str">
        <f ca="1">IFERROR(INDIRECT(CONCATENATE("Field!p",A135+3)),"")</f>
        <v/>
      </c>
      <c r="T137" s="64" t="str">
        <f t="shared" ca="1" si="8"/>
        <v/>
      </c>
      <c r="U137" s="64" t="str">
        <f t="shared" ca="1" si="9"/>
        <v/>
      </c>
      <c r="V137" s="266" t="str">
        <f ca="1">IF(OR(D137=0,D137="",D137="Athlete"),"",COUNTIF($D$4:$D137,D137))</f>
        <v/>
      </c>
      <c r="W137" s="266" t="str">
        <f t="shared" ca="1" si="10"/>
        <v/>
      </c>
      <c r="Z137" s="266" t="str">
        <f t="shared" ca="1" si="11"/>
        <v/>
      </c>
    </row>
    <row r="138" spans="1:26" x14ac:dyDescent="0.35">
      <c r="B138" s="66">
        <f ca="1">IFERROR(INDIRECT(CONCATENATE("Field!D",A135+4)),"")</f>
        <v>3</v>
      </c>
      <c r="C138" s="66" t="str">
        <f ca="1">IFERROR(INDIRECT(CONCATENATE("Field!e",A135+4)),"")</f>
        <v/>
      </c>
      <c r="D138" s="85" t="str">
        <f ca="1">IFERROR(INDIRECT(CONCATENATE("Field!f",A135+4)),"")</f>
        <v/>
      </c>
      <c r="E138" s="85" t="str">
        <f ca="1">IFERROR(INDIRECT(CONCATENATE("Field!g",A135+4)),"")</f>
        <v/>
      </c>
      <c r="F138" s="65" t="str">
        <f ca="1">IFERROR(INDIRECT(CONCATENATE("Field!h",A135+4)),"")</f>
        <v/>
      </c>
      <c r="G138" s="108" t="str">
        <f ca="1">IFERROR(INDIRECT(CONCATENATE("Field!i",A135+4)),"")</f>
        <v/>
      </c>
      <c r="H138" s="66"/>
      <c r="I138" s="66">
        <f ca="1">IFERROR(INDIRECT(CONCATENATE("Field!k",A135+4)),"")</f>
        <v>3</v>
      </c>
      <c r="J138" s="66" t="str">
        <f ca="1">IFERROR(INDIRECT(CONCATENATE("Field!l",A135+4)),"")</f>
        <v/>
      </c>
      <c r="K138" s="85" t="str">
        <f ca="1">IFERROR(INDIRECT(CONCATENATE("Field!m",A135+4)),"")</f>
        <v/>
      </c>
      <c r="L138" s="85" t="str">
        <f ca="1">IFERROR(INDIRECT(CONCATENATE("Field!n",A135+4)),"")</f>
        <v/>
      </c>
      <c r="M138" s="65" t="str">
        <f ca="1">IFERROR(INDIRECT(CONCATENATE("Field!o",A135+4)),"")</f>
        <v/>
      </c>
      <c r="N138" s="108" t="str">
        <f ca="1">IFERROR(INDIRECT(CONCATENATE("Field!p",A135+4)),"")</f>
        <v/>
      </c>
      <c r="T138" s="64" t="str">
        <f t="shared" ca="1" si="8"/>
        <v/>
      </c>
      <c r="U138" s="64" t="str">
        <f t="shared" ca="1" si="9"/>
        <v/>
      </c>
      <c r="V138" s="266" t="str">
        <f ca="1">IF(OR(D138=0,D138="",D138="Athlete"),"",COUNTIF($D$4:$D138,D138))</f>
        <v/>
      </c>
      <c r="W138" s="266" t="str">
        <f t="shared" ca="1" si="10"/>
        <v/>
      </c>
      <c r="Z138" s="266" t="str">
        <f t="shared" ca="1" si="11"/>
        <v/>
      </c>
    </row>
    <row r="139" spans="1:26" x14ac:dyDescent="0.35">
      <c r="B139" s="66">
        <f ca="1">IFERROR(INDIRECT(CONCATENATE("Field!D",A135+5)),"")</f>
        <v>4</v>
      </c>
      <c r="C139" s="66" t="str">
        <f ca="1">IFERROR(INDIRECT(CONCATENATE("Field!e",A135+5)),"")</f>
        <v/>
      </c>
      <c r="D139" s="85" t="str">
        <f ca="1">IFERROR(INDIRECT(CONCATENATE("Field!f",A135+5)),"")</f>
        <v/>
      </c>
      <c r="E139" s="85" t="str">
        <f ca="1">IFERROR(INDIRECT(CONCATENATE("Field!g",A135+5)),"")</f>
        <v/>
      </c>
      <c r="F139" s="65" t="str">
        <f ca="1">IFERROR(INDIRECT(CONCATENATE("Field!h",A135+5)),"")</f>
        <v/>
      </c>
      <c r="G139" s="108" t="str">
        <f ca="1">IFERROR(INDIRECT(CONCATENATE("Field!i",A135+5)),"")</f>
        <v/>
      </c>
      <c r="H139" s="66"/>
      <c r="I139" s="66">
        <f ca="1">IFERROR(INDIRECT(CONCATENATE("Field!k",A135+5)),"")</f>
        <v>4</v>
      </c>
      <c r="J139" s="66" t="str">
        <f ca="1">IFERROR(INDIRECT(CONCATENATE("Field!l",A135+5)),"")</f>
        <v/>
      </c>
      <c r="K139" s="85" t="str">
        <f ca="1">IFERROR(INDIRECT(CONCATENATE("Field!m",A135+5)),"")</f>
        <v/>
      </c>
      <c r="L139" s="85" t="str">
        <f ca="1">IFERROR(INDIRECT(CONCATENATE("Field!n",A135+5)),"")</f>
        <v/>
      </c>
      <c r="M139" s="65" t="str">
        <f ca="1">IFERROR(INDIRECT(CONCATENATE("Field!o",A135+5)),"")</f>
        <v/>
      </c>
      <c r="N139" s="108" t="str">
        <f ca="1">IFERROR(INDIRECT(CONCATENATE("Field!p",A135+5)),"")</f>
        <v/>
      </c>
      <c r="T139" s="64" t="str">
        <f t="shared" ca="1" si="8"/>
        <v/>
      </c>
      <c r="U139" s="64" t="str">
        <f t="shared" ca="1" si="9"/>
        <v/>
      </c>
      <c r="V139" s="266" t="str">
        <f ca="1">IF(OR(D139=0,D139="",D139="Athlete"),"",COUNTIF($D$4:$D139,D139))</f>
        <v/>
      </c>
      <c r="W139" s="266" t="str">
        <f t="shared" ca="1" si="10"/>
        <v/>
      </c>
      <c r="Z139" s="266" t="str">
        <f t="shared" ca="1" si="11"/>
        <v/>
      </c>
    </row>
    <row r="140" spans="1:26" x14ac:dyDescent="0.35">
      <c r="B140" s="66">
        <f ca="1">IFERROR(INDIRECT(CONCATENATE("Field!D",A135+6)),"")</f>
        <v>5</v>
      </c>
      <c r="C140" s="66" t="str">
        <f ca="1">IFERROR(INDIRECT(CONCATENATE("Field!e",A135+6)),"")</f>
        <v/>
      </c>
      <c r="D140" s="85" t="str">
        <f ca="1">IFERROR(INDIRECT(CONCATENATE("Field!f",A135+6)),"")</f>
        <v/>
      </c>
      <c r="E140" s="85" t="str">
        <f ca="1">IFERROR(INDIRECT(CONCATENATE("Field!g",A135+6)),"")</f>
        <v/>
      </c>
      <c r="F140" s="65" t="str">
        <f ca="1">IFERROR(INDIRECT(CONCATENATE("Field!h",A135+6)),"")</f>
        <v/>
      </c>
      <c r="G140" s="108" t="str">
        <f ca="1">IFERROR(INDIRECT(CONCATENATE("Field!i",A135+6)),"")</f>
        <v/>
      </c>
      <c r="H140" s="66"/>
      <c r="I140" s="66">
        <f ca="1">IFERROR(INDIRECT(CONCATENATE("Field!k",A135+6)),"")</f>
        <v>5</v>
      </c>
      <c r="J140" s="66" t="str">
        <f ca="1">IFERROR(INDIRECT(CONCATENATE("Field!l",A135+6)),"")</f>
        <v/>
      </c>
      <c r="K140" s="85" t="str">
        <f ca="1">IFERROR(INDIRECT(CONCATENATE("Field!m",A135+6)),"")</f>
        <v/>
      </c>
      <c r="L140" s="85" t="str">
        <f ca="1">IFERROR(INDIRECT(CONCATENATE("Field!n",A135+6)),"")</f>
        <v/>
      </c>
      <c r="M140" s="65" t="str">
        <f ca="1">IFERROR(INDIRECT(CONCATENATE("Field!o",A135+6)),"")</f>
        <v/>
      </c>
      <c r="N140" s="108" t="str">
        <f ca="1">IFERROR(INDIRECT(CONCATENATE("Field!p",A135+6)),"")</f>
        <v/>
      </c>
      <c r="T140" s="64" t="str">
        <f t="shared" ca="1" si="8"/>
        <v/>
      </c>
      <c r="U140" s="64" t="str">
        <f t="shared" ca="1" si="9"/>
        <v/>
      </c>
      <c r="V140" s="266" t="str">
        <f ca="1">IF(OR(D140=0,D140="",D140="Athlete"),"",COUNTIF($D$4:$D140,D140))</f>
        <v/>
      </c>
      <c r="W140" s="266" t="str">
        <f t="shared" ca="1" si="10"/>
        <v/>
      </c>
      <c r="Z140" s="266" t="str">
        <f t="shared" ca="1" si="11"/>
        <v/>
      </c>
    </row>
    <row r="141" spans="1:26" x14ac:dyDescent="0.35">
      <c r="B141" s="66">
        <f ca="1">IFERROR(INDIRECT(CONCATENATE("Field!D",A135+7)),"")</f>
        <v>6</v>
      </c>
      <c r="C141" s="66" t="str">
        <f ca="1">IFERROR(INDIRECT(CONCATENATE("Field!e",A135+7)),"")</f>
        <v/>
      </c>
      <c r="D141" s="85" t="str">
        <f ca="1">IFERROR(INDIRECT(CONCATENATE("Field!f",A135+7)),"")</f>
        <v/>
      </c>
      <c r="E141" s="85" t="str">
        <f ca="1">IFERROR(INDIRECT(CONCATENATE("Field!g",A135+7)),"")</f>
        <v/>
      </c>
      <c r="F141" s="65" t="str">
        <f ca="1">IFERROR(INDIRECT(CONCATENATE("Field!h",A135+7)),"")</f>
        <v/>
      </c>
      <c r="G141" s="108" t="str">
        <f ca="1">IFERROR(INDIRECT(CONCATENATE("Field!i",A135+7)),"")</f>
        <v/>
      </c>
      <c r="H141" s="66"/>
      <c r="I141" s="66">
        <f ca="1">IFERROR(INDIRECT(CONCATENATE("Field!k",A135+7)),"")</f>
        <v>6</v>
      </c>
      <c r="J141" s="66" t="str">
        <f ca="1">IFERROR(INDIRECT(CONCATENATE("Field!l",A135+7)),"")</f>
        <v/>
      </c>
      <c r="K141" s="85" t="str">
        <f ca="1">IFERROR(INDIRECT(CONCATENATE("Field!m",A135+7)),"")</f>
        <v/>
      </c>
      <c r="L141" s="85" t="str">
        <f ca="1">IFERROR(INDIRECT(CONCATENATE("Field!n",A135+7)),"")</f>
        <v/>
      </c>
      <c r="M141" s="65" t="str">
        <f ca="1">IFERROR(INDIRECT(CONCATENATE("Field!o",A135+7)),"")</f>
        <v/>
      </c>
      <c r="N141" s="108" t="str">
        <f ca="1">IFERROR(INDIRECT(CONCATENATE("Field!p",A135+7)),"")</f>
        <v/>
      </c>
      <c r="T141" s="64" t="str">
        <f t="shared" ca="1" si="8"/>
        <v/>
      </c>
      <c r="U141" s="64" t="str">
        <f t="shared" ca="1" si="9"/>
        <v/>
      </c>
      <c r="V141" s="266" t="str">
        <f ca="1">IF(OR(D141=0,D141="",D141="Athlete"),"",COUNTIF($D$4:$D141,D141))</f>
        <v/>
      </c>
      <c r="W141" s="266" t="str">
        <f t="shared" ca="1" si="10"/>
        <v/>
      </c>
      <c r="Z141" s="266" t="str">
        <f t="shared" ca="1" si="11"/>
        <v/>
      </c>
    </row>
    <row r="142" spans="1:26" x14ac:dyDescent="0.35">
      <c r="B142" s="66">
        <f ca="1">IFERROR(INDIRECT(CONCATENATE("Field!D",A135+8)),"")</f>
        <v>7</v>
      </c>
      <c r="C142" s="66" t="str">
        <f ca="1">IFERROR(INDIRECT(CONCATENATE("Field!e",A135+8)),"")</f>
        <v/>
      </c>
      <c r="D142" s="85" t="str">
        <f ca="1">IFERROR(INDIRECT(CONCATENATE("Field!f",A135+8)),"")</f>
        <v/>
      </c>
      <c r="E142" s="85" t="str">
        <f ca="1">IFERROR(INDIRECT(CONCATENATE("Field!g",A135+8)),"")</f>
        <v/>
      </c>
      <c r="F142" s="65" t="str">
        <f ca="1">IFERROR(INDIRECT(CONCATENATE("Field!h",A135+8)),"")</f>
        <v/>
      </c>
      <c r="G142" s="108" t="str">
        <f ca="1">IFERROR(INDIRECT(CONCATENATE("Field!i",A135+8)),"")</f>
        <v/>
      </c>
      <c r="H142" s="66"/>
      <c r="I142" s="66">
        <f ca="1">IFERROR(INDIRECT(CONCATENATE("Field!k",A135+8)),"")</f>
        <v>7</v>
      </c>
      <c r="J142" s="66" t="str">
        <f ca="1">IFERROR(INDIRECT(CONCATENATE("Field!l",A135+8)),"")</f>
        <v/>
      </c>
      <c r="K142" s="85" t="str">
        <f ca="1">IFERROR(INDIRECT(CONCATENATE("Field!m",A135+8)),"")</f>
        <v/>
      </c>
      <c r="L142" s="85" t="str">
        <f ca="1">IFERROR(INDIRECT(CONCATENATE("Field!n",A135+8)),"")</f>
        <v/>
      </c>
      <c r="M142" s="65" t="str">
        <f ca="1">IFERROR(INDIRECT(CONCATENATE("Field!o",A135+8)),"")</f>
        <v/>
      </c>
      <c r="N142" s="108" t="str">
        <f ca="1">IFERROR(INDIRECT(CONCATENATE("Field!p",A135+8)),"")</f>
        <v/>
      </c>
      <c r="T142" s="64" t="str">
        <f t="shared" ca="1" si="8"/>
        <v/>
      </c>
      <c r="U142" s="64" t="str">
        <f t="shared" ca="1" si="9"/>
        <v/>
      </c>
      <c r="V142" s="266" t="str">
        <f ca="1">IF(OR(D142=0,D142="",D142="Athlete"),"",COUNTIF($D$4:$D142,D142))</f>
        <v/>
      </c>
      <c r="W142" s="266" t="str">
        <f t="shared" ca="1" si="10"/>
        <v/>
      </c>
      <c r="Z142" s="266" t="str">
        <f t="shared" ca="1" si="11"/>
        <v/>
      </c>
    </row>
    <row r="143" spans="1:26" x14ac:dyDescent="0.35">
      <c r="B143" s="66">
        <f ca="1">IFERROR(INDIRECT(CONCATENATE("Field!D",A135+9)),"")</f>
        <v>8</v>
      </c>
      <c r="C143" s="66" t="str">
        <f ca="1">IFERROR(INDIRECT(CONCATENATE("Field!e",A135+9)),"")</f>
        <v/>
      </c>
      <c r="D143" s="85" t="str">
        <f ca="1">IFERROR(INDIRECT(CONCATENATE("Field!f",A135+9)),"")</f>
        <v/>
      </c>
      <c r="E143" s="85" t="str">
        <f ca="1">IFERROR(INDIRECT(CONCATENATE("Field!g",A135+9)),"")</f>
        <v/>
      </c>
      <c r="F143" s="65" t="str">
        <f ca="1">IFERROR(INDIRECT(CONCATENATE("Field!h",A135+9)),"")</f>
        <v/>
      </c>
      <c r="G143" s="108" t="str">
        <f ca="1">IFERROR(INDIRECT(CONCATENATE("Field!i",A135+9)),"")</f>
        <v/>
      </c>
      <c r="H143" s="66"/>
      <c r="I143" s="66">
        <f ca="1">IFERROR(INDIRECT(CONCATENATE("Field!k",A135+9)),"")</f>
        <v>8</v>
      </c>
      <c r="J143" s="66" t="str">
        <f ca="1">IFERROR(INDIRECT(CONCATENATE("Field!l",A135+9)),"")</f>
        <v/>
      </c>
      <c r="K143" s="85" t="str">
        <f ca="1">IFERROR(INDIRECT(CONCATENATE("Field!m",A135+9)),"")</f>
        <v/>
      </c>
      <c r="L143" s="85" t="str">
        <f ca="1">IFERROR(INDIRECT(CONCATENATE("Field!n",A135+9)),"")</f>
        <v/>
      </c>
      <c r="M143" s="65" t="str">
        <f ca="1">IFERROR(INDIRECT(CONCATENATE("Field!o",A135+9)),"")</f>
        <v/>
      </c>
      <c r="N143" s="108" t="str">
        <f ca="1">IFERROR(INDIRECT(CONCATENATE("Field!p",A135+9)),"")</f>
        <v/>
      </c>
      <c r="T143" s="64" t="str">
        <f t="shared" ca="1" si="8"/>
        <v/>
      </c>
      <c r="U143" s="64" t="str">
        <f t="shared" ca="1" si="9"/>
        <v/>
      </c>
      <c r="V143" s="266" t="str">
        <f ca="1">IF(OR(D143=0,D143="",D143="Athlete"),"",COUNTIF($D$4:$D143,D143))</f>
        <v/>
      </c>
      <c r="W143" s="266" t="str">
        <f t="shared" ca="1" si="10"/>
        <v/>
      </c>
      <c r="Z143" s="266" t="str">
        <f t="shared" ca="1" si="11"/>
        <v/>
      </c>
    </row>
    <row r="144" spans="1:26" x14ac:dyDescent="0.35">
      <c r="T144" s="64" t="str">
        <f t="shared" si="8"/>
        <v/>
      </c>
      <c r="U144" s="64" t="str">
        <f t="shared" si="9"/>
        <v/>
      </c>
      <c r="V144" s="266" t="str">
        <f>IF(OR(D144=0,D144="",D144="Athlete"),"",COUNTIF($D$4:$D144,D144))</f>
        <v/>
      </c>
      <c r="W144" s="266" t="str">
        <f t="shared" si="10"/>
        <v/>
      </c>
      <c r="Z144" s="266" t="str">
        <f t="shared" si="11"/>
        <v/>
      </c>
    </row>
    <row r="145" spans="1:26" x14ac:dyDescent="0.35">
      <c r="A145" s="66" t="s">
        <v>178</v>
      </c>
      <c r="B145" s="102" t="str">
        <f ca="1">IFERROR(INDIRECT(CONCATENATE("Field!D",A146)),"")</f>
        <v>Hammer U15 Boys A</v>
      </c>
      <c r="G145" s="256" t="str">
        <f ca="1">IFERROR(INDIRECT(CONCATENATE("Field!i",A146)),"")</f>
        <v/>
      </c>
      <c r="I145" s="102" t="str">
        <f ca="1">IFERROR(INDIRECT(CONCATENATE("Field!k",A146)),"")</f>
        <v>Hammer U15 Boys B</v>
      </c>
      <c r="T145" s="64" t="str">
        <f t="shared" si="8"/>
        <v/>
      </c>
      <c r="U145" s="64" t="str">
        <f t="shared" si="9"/>
        <v/>
      </c>
      <c r="V145" s="266" t="str">
        <f>IF(OR(D145=0,D145="",D145="Athlete"),"",COUNTIF($D$4:$D145,D145))</f>
        <v/>
      </c>
      <c r="W145" s="266" t="str">
        <f t="shared" si="10"/>
        <v/>
      </c>
      <c r="Z145" s="266" t="str">
        <f t="shared" ca="1" si="11"/>
        <v/>
      </c>
    </row>
    <row r="146" spans="1:26" x14ac:dyDescent="0.35">
      <c r="A146" s="66">
        <f>IFERROR(MATCH(A145,Field!C:C,0),"")</f>
        <v>2</v>
      </c>
      <c r="B146" s="45" t="str">
        <f ca="1">IFERROR(INDIRECT(CONCATENATE("Field!D",A146+1)),"")</f>
        <v>Posn</v>
      </c>
      <c r="C146" s="45" t="str">
        <f ca="1">IFERROR(INDIRECT(CONCATENATE("Field!e",A146+1)),"")</f>
        <v>Bib</v>
      </c>
      <c r="D146" s="139" t="str">
        <f ca="1">IFERROR(INDIRECT(CONCATENATE("Field!f",A146+1)),"")</f>
        <v>Athlete</v>
      </c>
      <c r="E146" s="139" t="str">
        <f ca="1">IFERROR(INDIRECT(CONCATENATE("Field!g",A146+1)),"")</f>
        <v>Club</v>
      </c>
      <c r="F146" s="133" t="str">
        <f ca="1">IFERROR(INDIRECT(CONCATENATE("Field!h",A146+1)),"")</f>
        <v>Perf</v>
      </c>
      <c r="G146" s="167" t="str">
        <f ca="1">IFERROR(INDIRECT(CONCATENATE("Field!i",A146+1)),"")</f>
        <v>EA</v>
      </c>
      <c r="H146" s="45"/>
      <c r="I146" s="45" t="str">
        <f ca="1">IFERROR(INDIRECT(CONCATENATE("Field!k",A146+1)),"")</f>
        <v>Posn</v>
      </c>
      <c r="J146" s="45" t="str">
        <f ca="1">IFERROR(INDIRECT(CONCATENATE("Field!l",A146+1)),"")</f>
        <v>Bib</v>
      </c>
      <c r="K146" s="139" t="str">
        <f ca="1">IFERROR(INDIRECT(CONCATENATE("Field!m",A146+1)),"")</f>
        <v>Athlete</v>
      </c>
      <c r="L146" s="139" t="str">
        <f ca="1">IFERROR(INDIRECT(CONCATENATE("Field!n",A146+1)),"")</f>
        <v>Club</v>
      </c>
      <c r="M146" s="133" t="str">
        <f ca="1">IFERROR(INDIRECT(CONCATENATE("Field!o",A146+1)),"")</f>
        <v>Perf</v>
      </c>
      <c r="N146" s="167" t="str">
        <f ca="1">IFERROR(INDIRECT(CONCATENATE("Field!p",A146+1)),"")</f>
        <v>EA</v>
      </c>
      <c r="T146" s="64" t="str">
        <f t="shared" ca="1" si="8"/>
        <v/>
      </c>
      <c r="U146" s="64" t="str">
        <f t="shared" ca="1" si="9"/>
        <v/>
      </c>
      <c r="V146" s="266" t="str">
        <f ca="1">IF(OR(D146=0,D146="",D146="Athlete"),"",COUNTIF($D$4:$D146,D146))</f>
        <v/>
      </c>
      <c r="W146" s="266" t="str">
        <f t="shared" ca="1" si="10"/>
        <v/>
      </c>
      <c r="Z146" s="266">
        <f t="shared" ca="1" si="11"/>
        <v>0</v>
      </c>
    </row>
    <row r="147" spans="1:26" x14ac:dyDescent="0.35">
      <c r="B147" s="66">
        <f ca="1">IFERROR(INDIRECT(CONCATENATE("Field!D",A146+2)),"")</f>
        <v>1</v>
      </c>
      <c r="C147" s="66">
        <f ca="1">IFERROR(INDIRECT(CONCATENATE("Field!e",A146+2)),"")</f>
        <v>6</v>
      </c>
      <c r="D147" s="85" t="str">
        <f ca="1">IFERROR(INDIRECT(CONCATENATE("Field!f",A146+2)),"")</f>
        <v>Jacob HARWOOD-BRETNALL</v>
      </c>
      <c r="E147" s="85" t="str">
        <f ca="1">IFERROR(INDIRECT(CONCATENATE("Field!g",A146+2)),"")</f>
        <v>Stock</v>
      </c>
      <c r="F147" s="65">
        <f ca="1">IFERROR(INDIRECT(CONCATENATE("Field!h",A146+2)),"")</f>
        <v>20.73</v>
      </c>
      <c r="G147" s="108">
        <f ca="1">IFERROR(INDIRECT(CONCATENATE("Field!i",A146+2)),"")</f>
        <v>1</v>
      </c>
      <c r="H147" s="66"/>
      <c r="I147" s="66">
        <f ca="1">IFERROR(INDIRECT(CONCATENATE("Field!k",A146+2)),"")</f>
        <v>1</v>
      </c>
      <c r="J147" s="66" t="str">
        <f ca="1">IFERROR(INDIRECT(CONCATENATE("Field!l",A146+2)),"")</f>
        <v/>
      </c>
      <c r="K147" s="85" t="str">
        <f ca="1">IFERROR(INDIRECT(CONCATENATE("Field!m",A146+2)),"")</f>
        <v/>
      </c>
      <c r="L147" s="85" t="str">
        <f ca="1">IFERROR(INDIRECT(CONCATENATE("Field!n",A146+2)),"")</f>
        <v/>
      </c>
      <c r="M147" s="65" t="str">
        <f ca="1">IFERROR(INDIRECT(CONCATENATE("Field!o",A146+2)),"")</f>
        <v/>
      </c>
      <c r="N147" s="108" t="str">
        <f ca="1">IFERROR(INDIRECT(CONCATENATE("Field!p",A146+2)),"")</f>
        <v/>
      </c>
      <c r="R147" s="168">
        <f ca="1">IFERROR(INDIRECT(CONCATENATE("Field!r",A146+2)),"")</f>
        <v>10</v>
      </c>
      <c r="T147" s="64">
        <f t="shared" ca="1" si="8"/>
        <v>3</v>
      </c>
      <c r="U147" s="64" t="str">
        <f t="shared" ca="1" si="9"/>
        <v/>
      </c>
      <c r="V147" s="266">
        <f ca="1">IF(OR(D147=0,D147="",D147="Athlete"),"",COUNTIF($D$4:$D147,D147))</f>
        <v>2</v>
      </c>
      <c r="W147" s="266" t="str">
        <f t="shared" ca="1" si="10"/>
        <v>Stock</v>
      </c>
      <c r="Z147" s="266">
        <f t="shared" ca="1" si="11"/>
        <v>0</v>
      </c>
    </row>
    <row r="148" spans="1:26" x14ac:dyDescent="0.35">
      <c r="B148" s="66">
        <f ca="1">IFERROR(INDIRECT(CONCATENATE("Field!D",A146+3)),"")</f>
        <v>2</v>
      </c>
      <c r="C148" s="66" t="str">
        <f ca="1">IFERROR(INDIRECT(CONCATENATE("Field!e",A146+3)),"")</f>
        <v/>
      </c>
      <c r="D148" s="85" t="str">
        <f ca="1">IFERROR(INDIRECT(CONCATENATE("Field!f",A146+3)),"")</f>
        <v/>
      </c>
      <c r="E148" s="85" t="str">
        <f ca="1">IFERROR(INDIRECT(CONCATENATE("Field!g",A146+3)),"")</f>
        <v/>
      </c>
      <c r="F148" s="65" t="str">
        <f ca="1">IFERROR(INDIRECT(CONCATENATE("Field!h",A146+3)),"")</f>
        <v/>
      </c>
      <c r="G148" s="108" t="str">
        <f ca="1">IFERROR(INDIRECT(CONCATENATE("Field!i",A146+3)),"")</f>
        <v/>
      </c>
      <c r="H148" s="66"/>
      <c r="I148" s="66">
        <f ca="1">IFERROR(INDIRECT(CONCATENATE("Field!k",A146+3)),"")</f>
        <v>2</v>
      </c>
      <c r="J148" s="66" t="str">
        <f ca="1">IFERROR(INDIRECT(CONCATENATE("Field!l",A146+3)),"")</f>
        <v/>
      </c>
      <c r="K148" s="85" t="str">
        <f ca="1">IFERROR(INDIRECT(CONCATENATE("Field!m",A146+3)),"")</f>
        <v/>
      </c>
      <c r="L148" s="85" t="str">
        <f ca="1">IFERROR(INDIRECT(CONCATENATE("Field!n",A146+3)),"")</f>
        <v/>
      </c>
      <c r="M148" s="65" t="str">
        <f ca="1">IFERROR(INDIRECT(CONCATENATE("Field!o",A146+3)),"")</f>
        <v/>
      </c>
      <c r="N148" s="108" t="str">
        <f ca="1">IFERROR(INDIRECT(CONCATENATE("Field!p",A146+3)),"")</f>
        <v/>
      </c>
      <c r="T148" s="64" t="str">
        <f t="shared" ca="1" si="8"/>
        <v/>
      </c>
      <c r="U148" s="64" t="str">
        <f t="shared" ca="1" si="9"/>
        <v/>
      </c>
      <c r="V148" s="266" t="str">
        <f ca="1">IF(OR(D148=0,D148="",D148="Athlete"),"",COUNTIF($D$4:$D148,D148))</f>
        <v/>
      </c>
      <c r="W148" s="266" t="str">
        <f t="shared" ca="1" si="10"/>
        <v/>
      </c>
      <c r="Z148" s="266" t="str">
        <f t="shared" ca="1" si="11"/>
        <v/>
      </c>
    </row>
    <row r="149" spans="1:26" x14ac:dyDescent="0.35">
      <c r="B149" s="66">
        <f ca="1">IFERROR(INDIRECT(CONCATENATE("Field!D",A146+4)),"")</f>
        <v>3</v>
      </c>
      <c r="C149" s="66" t="str">
        <f ca="1">IFERROR(INDIRECT(CONCATENATE("Field!e",A146+4)),"")</f>
        <v/>
      </c>
      <c r="D149" s="85" t="str">
        <f ca="1">IFERROR(INDIRECT(CONCATENATE("Field!f",A146+4)),"")</f>
        <v/>
      </c>
      <c r="E149" s="85" t="str">
        <f ca="1">IFERROR(INDIRECT(CONCATENATE("Field!g",A146+4)),"")</f>
        <v/>
      </c>
      <c r="F149" s="65" t="str">
        <f ca="1">IFERROR(INDIRECT(CONCATENATE("Field!h",A146+4)),"")</f>
        <v/>
      </c>
      <c r="G149" s="108" t="str">
        <f ca="1">IFERROR(INDIRECT(CONCATENATE("Field!i",A146+4)),"")</f>
        <v/>
      </c>
      <c r="H149" s="66"/>
      <c r="I149" s="66">
        <f ca="1">IFERROR(INDIRECT(CONCATENATE("Field!k",A146+4)),"")</f>
        <v>3</v>
      </c>
      <c r="J149" s="66" t="str">
        <f ca="1">IFERROR(INDIRECT(CONCATENATE("Field!l",A146+4)),"")</f>
        <v/>
      </c>
      <c r="K149" s="85" t="str">
        <f ca="1">IFERROR(INDIRECT(CONCATENATE("Field!m",A146+4)),"")</f>
        <v/>
      </c>
      <c r="L149" s="85" t="str">
        <f ca="1">IFERROR(INDIRECT(CONCATENATE("Field!n",A146+4)),"")</f>
        <v/>
      </c>
      <c r="M149" s="65" t="str">
        <f ca="1">IFERROR(INDIRECT(CONCATENATE("Field!o",A146+4)),"")</f>
        <v/>
      </c>
      <c r="N149" s="108" t="str">
        <f ca="1">IFERROR(INDIRECT(CONCATENATE("Field!p",A146+4)),"")</f>
        <v/>
      </c>
      <c r="T149" s="64" t="str">
        <f t="shared" ca="1" si="8"/>
        <v/>
      </c>
      <c r="U149" s="64" t="str">
        <f t="shared" ca="1" si="9"/>
        <v/>
      </c>
      <c r="V149" s="266" t="str">
        <f ca="1">IF(OR(D149=0,D149="",D149="Athlete"),"",COUNTIF($D$4:$D149,D149))</f>
        <v/>
      </c>
      <c r="W149" s="266" t="str">
        <f t="shared" ca="1" si="10"/>
        <v/>
      </c>
      <c r="Z149" s="266" t="str">
        <f t="shared" ca="1" si="11"/>
        <v/>
      </c>
    </row>
    <row r="150" spans="1:26" x14ac:dyDescent="0.35">
      <c r="B150" s="66">
        <f ca="1">IFERROR(INDIRECT(CONCATENATE("Field!D",A146+5)),"")</f>
        <v>4</v>
      </c>
      <c r="C150" s="66" t="str">
        <f ca="1">IFERROR(INDIRECT(CONCATENATE("Field!e",A146+5)),"")</f>
        <v/>
      </c>
      <c r="D150" s="85" t="str">
        <f ca="1">IFERROR(INDIRECT(CONCATENATE("Field!f",A146+5)),"")</f>
        <v/>
      </c>
      <c r="E150" s="85" t="str">
        <f ca="1">IFERROR(INDIRECT(CONCATENATE("Field!g",A146+5)),"")</f>
        <v/>
      </c>
      <c r="F150" s="65" t="str">
        <f ca="1">IFERROR(INDIRECT(CONCATENATE("Field!h",A146+5)),"")</f>
        <v/>
      </c>
      <c r="G150" s="108" t="str">
        <f ca="1">IFERROR(INDIRECT(CONCATENATE("Field!i",A146+5)),"")</f>
        <v/>
      </c>
      <c r="H150" s="66"/>
      <c r="I150" s="66">
        <f ca="1">IFERROR(INDIRECT(CONCATENATE("Field!k",A146+5)),"")</f>
        <v>4</v>
      </c>
      <c r="J150" s="66" t="str">
        <f ca="1">IFERROR(INDIRECT(CONCATENATE("Field!l",A146+5)),"")</f>
        <v/>
      </c>
      <c r="K150" s="85" t="str">
        <f ca="1">IFERROR(INDIRECT(CONCATENATE("Field!m",A146+5)),"")</f>
        <v/>
      </c>
      <c r="L150" s="85" t="str">
        <f ca="1">IFERROR(INDIRECT(CONCATENATE("Field!n",A146+5)),"")</f>
        <v/>
      </c>
      <c r="M150" s="65" t="str">
        <f ca="1">IFERROR(INDIRECT(CONCATENATE("Field!o",A146+5)),"")</f>
        <v/>
      </c>
      <c r="N150" s="108" t="str">
        <f ca="1">IFERROR(INDIRECT(CONCATENATE("Field!p",A146+5)),"")</f>
        <v/>
      </c>
      <c r="T150" s="64" t="str">
        <f t="shared" ca="1" si="8"/>
        <v/>
      </c>
      <c r="U150" s="64" t="str">
        <f t="shared" ca="1" si="9"/>
        <v/>
      </c>
      <c r="V150" s="266" t="str">
        <f ca="1">IF(OR(D150=0,D150="",D150="Athlete"),"",COUNTIF($D$4:$D150,D150))</f>
        <v/>
      </c>
      <c r="W150" s="266" t="str">
        <f t="shared" ca="1" si="10"/>
        <v/>
      </c>
      <c r="Z150" s="266" t="str">
        <f t="shared" ca="1" si="11"/>
        <v/>
      </c>
    </row>
    <row r="151" spans="1:26" x14ac:dyDescent="0.35">
      <c r="B151" s="66">
        <f ca="1">IFERROR(INDIRECT(CONCATENATE("Field!D",A146+6)),"")</f>
        <v>5</v>
      </c>
      <c r="C151" s="66" t="str">
        <f ca="1">IFERROR(INDIRECT(CONCATENATE("Field!e",A146+6)),"")</f>
        <v/>
      </c>
      <c r="D151" s="85" t="str">
        <f ca="1">IFERROR(INDIRECT(CONCATENATE("Field!f",A146+6)),"")</f>
        <v/>
      </c>
      <c r="E151" s="85" t="str">
        <f ca="1">IFERROR(INDIRECT(CONCATENATE("Field!g",A146+6)),"")</f>
        <v/>
      </c>
      <c r="F151" s="65" t="str">
        <f ca="1">IFERROR(INDIRECT(CONCATENATE("Field!h",A146+6)),"")</f>
        <v/>
      </c>
      <c r="G151" s="108" t="str">
        <f ca="1">IFERROR(INDIRECT(CONCATENATE("Field!i",A146+6)),"")</f>
        <v/>
      </c>
      <c r="H151" s="66"/>
      <c r="I151" s="66">
        <f ca="1">IFERROR(INDIRECT(CONCATENATE("Field!k",A146+6)),"")</f>
        <v>5</v>
      </c>
      <c r="J151" s="66" t="str">
        <f ca="1">IFERROR(INDIRECT(CONCATENATE("Field!l",A146+6)),"")</f>
        <v/>
      </c>
      <c r="K151" s="85" t="str">
        <f ca="1">IFERROR(INDIRECT(CONCATENATE("Field!m",A146+6)),"")</f>
        <v/>
      </c>
      <c r="L151" s="85" t="str">
        <f ca="1">IFERROR(INDIRECT(CONCATENATE("Field!n",A146+6)),"")</f>
        <v/>
      </c>
      <c r="M151" s="65" t="str">
        <f ca="1">IFERROR(INDIRECT(CONCATENATE("Field!o",A146+6)),"")</f>
        <v/>
      </c>
      <c r="N151" s="108" t="str">
        <f ca="1">IFERROR(INDIRECT(CONCATENATE("Field!p",A146+6)),"")</f>
        <v/>
      </c>
      <c r="T151" s="64" t="str">
        <f t="shared" ca="1" si="8"/>
        <v/>
      </c>
      <c r="U151" s="64" t="str">
        <f t="shared" ca="1" si="9"/>
        <v/>
      </c>
      <c r="V151" s="266" t="str">
        <f ca="1">IF(OR(D151=0,D151="",D151="Athlete"),"",COUNTIF($D$4:$D151,D151))</f>
        <v/>
      </c>
      <c r="W151" s="266" t="str">
        <f t="shared" ca="1" si="10"/>
        <v/>
      </c>
      <c r="Z151" s="266" t="str">
        <f t="shared" ca="1" si="11"/>
        <v/>
      </c>
    </row>
    <row r="152" spans="1:26" x14ac:dyDescent="0.35">
      <c r="B152" s="66">
        <f ca="1">IFERROR(INDIRECT(CONCATENATE("Field!D",A146+7)),"")</f>
        <v>6</v>
      </c>
      <c r="C152" s="66" t="str">
        <f ca="1">IFERROR(INDIRECT(CONCATENATE("Field!e",A146+7)),"")</f>
        <v/>
      </c>
      <c r="D152" s="85" t="str">
        <f ca="1">IFERROR(INDIRECT(CONCATENATE("Field!f",A146+7)),"")</f>
        <v/>
      </c>
      <c r="E152" s="85" t="str">
        <f ca="1">IFERROR(INDIRECT(CONCATENATE("Field!g",A146+7)),"")</f>
        <v/>
      </c>
      <c r="F152" s="65" t="str">
        <f ca="1">IFERROR(INDIRECT(CONCATENATE("Field!h",A146+7)),"")</f>
        <v/>
      </c>
      <c r="G152" s="108" t="str">
        <f ca="1">IFERROR(INDIRECT(CONCATENATE("Field!i",A146+7)),"")</f>
        <v/>
      </c>
      <c r="H152" s="66"/>
      <c r="I152" s="66">
        <f ca="1">IFERROR(INDIRECT(CONCATENATE("Field!k",A146+7)),"")</f>
        <v>6</v>
      </c>
      <c r="J152" s="66" t="str">
        <f ca="1">IFERROR(INDIRECT(CONCATENATE("Field!l",A146+7)),"")</f>
        <v/>
      </c>
      <c r="K152" s="85" t="str">
        <f ca="1">IFERROR(INDIRECT(CONCATENATE("Field!m",A146+7)),"")</f>
        <v/>
      </c>
      <c r="L152" s="85" t="str">
        <f ca="1">IFERROR(INDIRECT(CONCATENATE("Field!n",A146+7)),"")</f>
        <v/>
      </c>
      <c r="M152" s="65" t="str">
        <f ca="1">IFERROR(INDIRECT(CONCATENATE("Field!o",A146+7)),"")</f>
        <v/>
      </c>
      <c r="N152" s="108" t="str">
        <f ca="1">IFERROR(INDIRECT(CONCATENATE("Field!p",A146+7)),"")</f>
        <v/>
      </c>
      <c r="T152" s="64" t="str">
        <f t="shared" ca="1" si="8"/>
        <v/>
      </c>
      <c r="U152" s="64" t="str">
        <f t="shared" ca="1" si="9"/>
        <v/>
      </c>
      <c r="V152" s="266" t="str">
        <f ca="1">IF(OR(D152=0,D152="",D152="Athlete"),"",COUNTIF($D$4:$D152,D152))</f>
        <v/>
      </c>
      <c r="W152" s="266" t="str">
        <f t="shared" ca="1" si="10"/>
        <v/>
      </c>
      <c r="Z152" s="266" t="str">
        <f t="shared" ca="1" si="11"/>
        <v/>
      </c>
    </row>
    <row r="153" spans="1:26" x14ac:dyDescent="0.35">
      <c r="B153" s="66">
        <f ca="1">IFERROR(INDIRECT(CONCATENATE("Field!D",A146+8)),"")</f>
        <v>7</v>
      </c>
      <c r="C153" s="66" t="str">
        <f ca="1">IFERROR(INDIRECT(CONCATENATE("Field!e",A146+8)),"")</f>
        <v/>
      </c>
      <c r="D153" s="85" t="str">
        <f ca="1">IFERROR(INDIRECT(CONCATENATE("Field!f",A146+8)),"")</f>
        <v/>
      </c>
      <c r="E153" s="85" t="str">
        <f ca="1">IFERROR(INDIRECT(CONCATENATE("Field!g",A146+8)),"")</f>
        <v/>
      </c>
      <c r="F153" s="65" t="str">
        <f ca="1">IFERROR(INDIRECT(CONCATENATE("Field!h",A146+8)),"")</f>
        <v/>
      </c>
      <c r="G153" s="108" t="str">
        <f ca="1">IFERROR(INDIRECT(CONCATENATE("Field!i",A146+8)),"")</f>
        <v/>
      </c>
      <c r="H153" s="66"/>
      <c r="I153" s="66">
        <f ca="1">IFERROR(INDIRECT(CONCATENATE("Field!k",A146+8)),"")</f>
        <v>7</v>
      </c>
      <c r="J153" s="66" t="str">
        <f ca="1">IFERROR(INDIRECT(CONCATENATE("Field!l",A146+8)),"")</f>
        <v/>
      </c>
      <c r="K153" s="85" t="str">
        <f ca="1">IFERROR(INDIRECT(CONCATENATE("Field!m",A146+8)),"")</f>
        <v/>
      </c>
      <c r="L153" s="85" t="str">
        <f ca="1">IFERROR(INDIRECT(CONCATENATE("Field!n",A146+8)),"")</f>
        <v/>
      </c>
      <c r="M153" s="65" t="str">
        <f ca="1">IFERROR(INDIRECT(CONCATENATE("Field!o",A146+8)),"")</f>
        <v/>
      </c>
      <c r="N153" s="108" t="str">
        <f ca="1">IFERROR(INDIRECT(CONCATENATE("Field!p",A146+8)),"")</f>
        <v/>
      </c>
      <c r="T153" s="64" t="str">
        <f t="shared" ca="1" si="8"/>
        <v/>
      </c>
      <c r="U153" s="64" t="str">
        <f t="shared" ca="1" si="9"/>
        <v/>
      </c>
      <c r="V153" s="266" t="str">
        <f ca="1">IF(OR(D153=0,D153="",D153="Athlete"),"",COUNTIF($D$4:$D153,D153))</f>
        <v/>
      </c>
      <c r="W153" s="266" t="str">
        <f t="shared" ca="1" si="10"/>
        <v/>
      </c>
      <c r="Z153" s="266" t="str">
        <f t="shared" ca="1" si="11"/>
        <v/>
      </c>
    </row>
    <row r="154" spans="1:26" x14ac:dyDescent="0.35">
      <c r="B154" s="66">
        <f ca="1">IFERROR(INDIRECT(CONCATENATE("Field!D",A146+9)),"")</f>
        <v>8</v>
      </c>
      <c r="C154" s="66" t="str">
        <f ca="1">IFERROR(INDIRECT(CONCATENATE("Field!e",A146+9)),"")</f>
        <v/>
      </c>
      <c r="D154" s="85" t="str">
        <f ca="1">IFERROR(INDIRECT(CONCATENATE("Field!f",A146+9)),"")</f>
        <v/>
      </c>
      <c r="E154" s="85" t="str">
        <f ca="1">IFERROR(INDIRECT(CONCATENATE("Field!g",A146+9)),"")</f>
        <v/>
      </c>
      <c r="F154" s="65" t="str">
        <f ca="1">IFERROR(INDIRECT(CONCATENATE("Field!h",A146+9)),"")</f>
        <v/>
      </c>
      <c r="G154" s="108" t="str">
        <f ca="1">IFERROR(INDIRECT(CONCATENATE("Field!i",A146+9)),"")</f>
        <v/>
      </c>
      <c r="H154" s="66"/>
      <c r="I154" s="66">
        <f ca="1">IFERROR(INDIRECT(CONCATENATE("Field!k",A146+9)),"")</f>
        <v>8</v>
      </c>
      <c r="J154" s="66" t="str">
        <f ca="1">IFERROR(INDIRECT(CONCATENATE("Field!l",A146+9)),"")</f>
        <v/>
      </c>
      <c r="K154" s="85" t="str">
        <f ca="1">IFERROR(INDIRECT(CONCATENATE("Field!m",A146+9)),"")</f>
        <v/>
      </c>
      <c r="L154" s="85" t="str">
        <f ca="1">IFERROR(INDIRECT(CONCATENATE("Field!n",A146+9)),"")</f>
        <v/>
      </c>
      <c r="M154" s="65" t="str">
        <f ca="1">IFERROR(INDIRECT(CONCATENATE("Field!o",A146+9)),"")</f>
        <v/>
      </c>
      <c r="N154" s="108" t="str">
        <f ca="1">IFERROR(INDIRECT(CONCATENATE("Field!p",A146+9)),"")</f>
        <v/>
      </c>
      <c r="T154" s="64" t="str">
        <f t="shared" ca="1" si="8"/>
        <v/>
      </c>
      <c r="U154" s="64" t="str">
        <f t="shared" ca="1" si="9"/>
        <v/>
      </c>
      <c r="V154" s="266" t="str">
        <f ca="1">IF(OR(D154=0,D154="",D154="Athlete"),"",COUNTIF($D$4:$D154,D154))</f>
        <v/>
      </c>
      <c r="W154" s="266" t="str">
        <f t="shared" ca="1" si="10"/>
        <v/>
      </c>
      <c r="Z154" s="266" t="str">
        <f t="shared" ca="1" si="11"/>
        <v/>
      </c>
    </row>
    <row r="155" spans="1:26" x14ac:dyDescent="0.35">
      <c r="T155" s="64" t="str">
        <f t="shared" si="8"/>
        <v/>
      </c>
      <c r="U155" s="64" t="str">
        <f t="shared" si="9"/>
        <v/>
      </c>
      <c r="V155" s="266" t="str">
        <f>IF(OR(D155=0,D155="",D155="Athlete"),"",COUNTIF($D$4:$D155,D155))</f>
        <v/>
      </c>
      <c r="W155" s="266" t="str">
        <f t="shared" si="10"/>
        <v/>
      </c>
      <c r="Z155" s="266" t="str">
        <f t="shared" si="11"/>
        <v/>
      </c>
    </row>
    <row r="156" spans="1:26" x14ac:dyDescent="0.35">
      <c r="A156" s="66" t="s">
        <v>190</v>
      </c>
      <c r="B156" s="102" t="str">
        <f ca="1">IFERROR(INDIRECT(CONCATENATE("Field!D",A157)),"")</f>
        <v>Javelin U15 Boys A</v>
      </c>
      <c r="G156" s="256" t="str">
        <f ca="1">IFERROR(INDIRECT(CONCATENATE("Field!i",A157)),"")</f>
        <v/>
      </c>
      <c r="I156" s="102" t="str">
        <f ca="1">IFERROR(INDIRECT(CONCATENATE("Field!k",A157)),"")</f>
        <v>Javelin U15 Boys B</v>
      </c>
      <c r="T156" s="64" t="str">
        <f t="shared" si="8"/>
        <v/>
      </c>
      <c r="U156" s="64" t="str">
        <f t="shared" si="9"/>
        <v/>
      </c>
      <c r="V156" s="266" t="str">
        <f>IF(OR(D156=0,D156="",D156="Athlete"),"",COUNTIF($D$4:$D156,D156))</f>
        <v/>
      </c>
      <c r="W156" s="266" t="str">
        <f t="shared" si="10"/>
        <v/>
      </c>
      <c r="Z156" s="266" t="str">
        <f t="shared" ca="1" si="11"/>
        <v/>
      </c>
    </row>
    <row r="157" spans="1:26" x14ac:dyDescent="0.35">
      <c r="A157" s="66">
        <f>IFERROR(MATCH(A156,Field!C:C,0),"")</f>
        <v>68</v>
      </c>
      <c r="B157" s="45" t="str">
        <f ca="1">IFERROR(INDIRECT(CONCATENATE("Field!D",A157+1)),"")</f>
        <v>Posn</v>
      </c>
      <c r="C157" s="45" t="str">
        <f ca="1">IFERROR(INDIRECT(CONCATENATE("Field!e",A157+1)),"")</f>
        <v>Bib</v>
      </c>
      <c r="D157" s="139" t="str">
        <f ca="1">IFERROR(INDIRECT(CONCATENATE("Field!f",A157+1)),"")</f>
        <v>Athlete</v>
      </c>
      <c r="E157" s="139" t="str">
        <f ca="1">IFERROR(INDIRECT(CONCATENATE("Field!g",A157+1)),"")</f>
        <v>Club</v>
      </c>
      <c r="F157" s="133" t="str">
        <f ca="1">IFERROR(INDIRECT(CONCATENATE("Field!h",A157+1)),"")</f>
        <v>Perf</v>
      </c>
      <c r="G157" s="167" t="str">
        <f ca="1">IFERROR(INDIRECT(CONCATENATE("Field!i",A157+1)),"")</f>
        <v>EA</v>
      </c>
      <c r="H157" s="45"/>
      <c r="I157" s="45" t="str">
        <f ca="1">IFERROR(INDIRECT(CONCATENATE("Field!k",A157+1)),"")</f>
        <v>Posn</v>
      </c>
      <c r="J157" s="45" t="str">
        <f ca="1">IFERROR(INDIRECT(CONCATENATE("Field!l",A157+1)),"")</f>
        <v>Bib</v>
      </c>
      <c r="K157" s="139" t="str">
        <f ca="1">IFERROR(INDIRECT(CONCATENATE("Field!m",A157+1)),"")</f>
        <v>Athlete</v>
      </c>
      <c r="L157" s="139" t="str">
        <f ca="1">IFERROR(INDIRECT(CONCATENATE("Field!n",A157+1)),"")</f>
        <v>Club</v>
      </c>
      <c r="M157" s="133" t="str">
        <f ca="1">IFERROR(INDIRECT(CONCATENATE("Field!o",A157+1)),"")</f>
        <v>Perf</v>
      </c>
      <c r="N157" s="167" t="str">
        <f ca="1">IFERROR(INDIRECT(CONCATENATE("Field!p",A157+1)),"")</f>
        <v>EA</v>
      </c>
      <c r="T157" s="64" t="str">
        <f t="shared" ca="1" si="8"/>
        <v/>
      </c>
      <c r="U157" s="64" t="str">
        <f t="shared" ca="1" si="9"/>
        <v/>
      </c>
      <c r="V157" s="266" t="str">
        <f ca="1">IF(OR(D157=0,D157="",D157="Athlete"),"",COUNTIF($D$4:$D157,D157))</f>
        <v/>
      </c>
      <c r="W157" s="266" t="str">
        <f t="shared" ca="1" si="10"/>
        <v/>
      </c>
      <c r="Z157" s="266">
        <f t="shared" ca="1" si="11"/>
        <v>0</v>
      </c>
    </row>
    <row r="158" spans="1:26" x14ac:dyDescent="0.35">
      <c r="B158" s="66">
        <f ca="1">IFERROR(INDIRECT(CONCATENATE("Field!D",A157+2)),"")</f>
        <v>1</v>
      </c>
      <c r="C158" s="66">
        <f ca="1">IFERROR(INDIRECT(CONCATENATE("Field!e",A157+2)),"")</f>
        <v>4</v>
      </c>
      <c r="D158" s="85" t="str">
        <f ca="1">IFERROR(INDIRECT(CONCATENATE("Field!f",A157+2)),"")</f>
        <v>Tristan LAMPRECHT</v>
      </c>
      <c r="E158" s="85" t="str">
        <f ca="1">IFERROR(INDIRECT(CONCATENATE("Field!g",A157+2)),"")</f>
        <v>Macc</v>
      </c>
      <c r="F158" s="65">
        <f ca="1">IFERROR(INDIRECT(CONCATENATE("Field!h",A157+2)),"")</f>
        <v>37.17</v>
      </c>
      <c r="G158" s="108">
        <f ca="1">IFERROR(INDIRECT(CONCATENATE("Field!i",A157+2)),"")</f>
        <v>6</v>
      </c>
      <c r="H158" s="66"/>
      <c r="I158" s="66">
        <f ca="1">IFERROR(INDIRECT(CONCATENATE("Field!k",A157+2)),"")</f>
        <v>1</v>
      </c>
      <c r="J158" s="66">
        <f ca="1">IFERROR(INDIRECT(CONCATENATE("Field!l",A157+2)),"")</f>
        <v>11</v>
      </c>
      <c r="K158" s="85" t="str">
        <f ca="1">IFERROR(INDIRECT(CONCATENATE("Field!m",A157+2)),"")</f>
        <v>Saif AL-BAYATTI</v>
      </c>
      <c r="L158" s="85" t="str">
        <f ca="1">IFERROR(INDIRECT(CONCATENATE("Field!n",A157+2)),"")</f>
        <v>C&amp;N</v>
      </c>
      <c r="M158" s="65">
        <f ca="1">IFERROR(INDIRECT(CONCATENATE("Field!o",A157+2)),"")</f>
        <v>15.71</v>
      </c>
      <c r="N158" s="108" t="str">
        <f ca="1">IFERROR(INDIRECT(CONCATENATE("Field!p",A157+2)),"")</f>
        <v/>
      </c>
      <c r="R158" s="168">
        <f ca="1">IFERROR(INDIRECT(CONCATENATE("Field!r",A157+2)),"")</f>
        <v>10</v>
      </c>
      <c r="T158" s="64">
        <f t="shared" ca="1" si="8"/>
        <v>3</v>
      </c>
      <c r="U158" s="64">
        <f t="shared" ca="1" si="9"/>
        <v>2</v>
      </c>
      <c r="V158" s="266">
        <f ca="1">IF(OR(D158=0,D158="",D158="Athlete"),"",COUNTIF($D$4:$D158,D158))</f>
        <v>2</v>
      </c>
      <c r="W158" s="266" t="str">
        <f t="shared" ca="1" si="10"/>
        <v>Macc</v>
      </c>
      <c r="Z158" s="266">
        <f t="shared" ca="1" si="11"/>
        <v>0</v>
      </c>
    </row>
    <row r="159" spans="1:26" x14ac:dyDescent="0.35">
      <c r="B159" s="66">
        <f ca="1">IFERROR(INDIRECT(CONCATENATE("Field!D",A157+3)),"")</f>
        <v>2</v>
      </c>
      <c r="C159" s="66">
        <f ca="1">IFERROR(INDIRECT(CONCATENATE("Field!e",A157+3)),"")</f>
        <v>3</v>
      </c>
      <c r="D159" s="85" t="str">
        <f ca="1">IFERROR(INDIRECT(CONCATENATE("Field!f",A157+3)),"")</f>
        <v>Oliver SANDERSON</v>
      </c>
      <c r="E159" s="85" t="str">
        <f ca="1">IFERROR(INDIRECT(CONCATENATE("Field!g",A157+3)),"")</f>
        <v>Leigh</v>
      </c>
      <c r="F159" s="65">
        <f ca="1">IFERROR(INDIRECT(CONCATENATE("Field!h",A157+3)),"")</f>
        <v>29.79</v>
      </c>
      <c r="G159" s="108">
        <f ca="1">IFERROR(INDIRECT(CONCATENATE("Field!i",A157+3)),"")</f>
        <v>4</v>
      </c>
      <c r="H159" s="66"/>
      <c r="I159" s="66">
        <f ca="1">IFERROR(INDIRECT(CONCATENATE("Field!k",A157+3)),"")</f>
        <v>2</v>
      </c>
      <c r="J159" s="66">
        <f ca="1">IFERROR(INDIRECT(CONCATENATE("Field!l",A157+3)),"")</f>
        <v>66</v>
      </c>
      <c r="K159" s="85" t="str">
        <f ca="1">IFERROR(INDIRECT(CONCATENATE("Field!m",A157+3)),"")</f>
        <v>Arthur WOLSTENHOLME</v>
      </c>
      <c r="L159" s="85" t="str">
        <f ca="1">IFERROR(INDIRECT(CONCATENATE("Field!n",A157+3)),"")</f>
        <v>Stock</v>
      </c>
      <c r="M159" s="65">
        <f ca="1">IFERROR(INDIRECT(CONCATENATE("Field!o",A157+3)),"")</f>
        <v>12.48</v>
      </c>
      <c r="N159" s="108" t="str">
        <f ca="1">IFERROR(INDIRECT(CONCATENATE("Field!p",A157+3)),"")</f>
        <v/>
      </c>
      <c r="T159" s="64">
        <f t="shared" ca="1" si="8"/>
        <v>2</v>
      </c>
      <c r="U159" s="64">
        <f t="shared" ca="1" si="9"/>
        <v>3</v>
      </c>
      <c r="V159" s="266">
        <f ca="1">IF(OR(D159=0,D159="",D159="Athlete"),"",COUNTIF($D$4:$D159,D159))</f>
        <v>1</v>
      </c>
      <c r="W159" s="266" t="str">
        <f t="shared" ca="1" si="10"/>
        <v>Leigh</v>
      </c>
      <c r="Z159" s="266">
        <f t="shared" ca="1" si="11"/>
        <v>0</v>
      </c>
    </row>
    <row r="160" spans="1:26" x14ac:dyDescent="0.35">
      <c r="B160" s="66">
        <f ca="1">IFERROR(INDIRECT(CONCATENATE("Field!D",A157+4)),"")</f>
        <v>3</v>
      </c>
      <c r="C160" s="66">
        <f ca="1">IFERROR(INDIRECT(CONCATENATE("Field!e",A157+4)),"")</f>
        <v>1</v>
      </c>
      <c r="D160" s="85" t="str">
        <f ca="1">IFERROR(INDIRECT(CONCATENATE("Field!f",A157+4)),"")</f>
        <v>Jack TILLEY</v>
      </c>
      <c r="E160" s="85" t="str">
        <f ca="1">IFERROR(INDIRECT(CONCATENATE("Field!g",A157+4)),"")</f>
        <v>C&amp;N</v>
      </c>
      <c r="F160" s="65">
        <f ca="1">IFERROR(INDIRECT(CONCATENATE("Field!h",A157+4)),"")</f>
        <v>19.510000000000002</v>
      </c>
      <c r="G160" s="108" t="str">
        <f ca="1">IFERROR(INDIRECT(CONCATENATE("Field!i",A157+4)),"")</f>
        <v/>
      </c>
      <c r="H160" s="66"/>
      <c r="I160" s="66">
        <f ca="1">IFERROR(INDIRECT(CONCATENATE("Field!k",A157+4)),"")</f>
        <v>3</v>
      </c>
      <c r="J160" s="66" t="str">
        <f ca="1">IFERROR(INDIRECT(CONCATENATE("Field!l",A157+4)),"")</f>
        <v/>
      </c>
      <c r="K160" s="85" t="str">
        <f ca="1">IFERROR(INDIRECT(CONCATENATE("Field!m",A157+4)),"")</f>
        <v/>
      </c>
      <c r="L160" s="85" t="str">
        <f ca="1">IFERROR(INDIRECT(CONCATENATE("Field!n",A157+4)),"")</f>
        <v/>
      </c>
      <c r="M160" s="65" t="str">
        <f ca="1">IFERROR(INDIRECT(CONCATENATE("Field!o",A157+4)),"")</f>
        <v/>
      </c>
      <c r="N160" s="108" t="str">
        <f ca="1">IFERROR(INDIRECT(CONCATENATE("Field!p",A157+4)),"")</f>
        <v/>
      </c>
      <c r="T160" s="64">
        <f t="shared" ca="1" si="8"/>
        <v>3</v>
      </c>
      <c r="U160" s="64" t="str">
        <f t="shared" ca="1" si="9"/>
        <v/>
      </c>
      <c r="V160" s="266">
        <f ca="1">IF(OR(D160=0,D160="",D160="Athlete"),"",COUNTIF($D$4:$D160,D160))</f>
        <v>3</v>
      </c>
      <c r="W160" s="266" t="str">
        <f t="shared" ca="1" si="10"/>
        <v>C&amp;N</v>
      </c>
      <c r="Z160" s="266" t="str">
        <f t="shared" ca="1" si="11"/>
        <v/>
      </c>
    </row>
    <row r="161" spans="1:27" x14ac:dyDescent="0.35">
      <c r="B161" s="66">
        <f ca="1">IFERROR(INDIRECT(CONCATENATE("Field!D",A157+5)),"")</f>
        <v>4</v>
      </c>
      <c r="C161" s="66">
        <f ca="1">IFERROR(INDIRECT(CONCATENATE("Field!e",A157+5)),"")</f>
        <v>6</v>
      </c>
      <c r="D161" s="85" t="str">
        <f ca="1">IFERROR(INDIRECT(CONCATENATE("Field!f",A157+5)),"")</f>
        <v>Jacob HARWOOD-BRETNALL</v>
      </c>
      <c r="E161" s="85" t="str">
        <f ca="1">IFERROR(INDIRECT(CONCATENATE("Field!g",A157+5)),"")</f>
        <v>Stock</v>
      </c>
      <c r="F161" s="65">
        <f ca="1">IFERROR(INDIRECT(CONCATENATE("Field!h",A157+5)),"")</f>
        <v>17.87</v>
      </c>
      <c r="G161" s="108" t="str">
        <f ca="1">IFERROR(INDIRECT(CONCATENATE("Field!i",A157+5)),"")</f>
        <v/>
      </c>
      <c r="H161" s="66"/>
      <c r="I161" s="66">
        <f ca="1">IFERROR(INDIRECT(CONCATENATE("Field!k",A157+5)),"")</f>
        <v>4</v>
      </c>
      <c r="J161" s="66" t="str">
        <f ca="1">IFERROR(INDIRECT(CONCATENATE("Field!l",A157+5)),"")</f>
        <v/>
      </c>
      <c r="K161" s="85" t="str">
        <f ca="1">IFERROR(INDIRECT(CONCATENATE("Field!m",A157+5)),"")</f>
        <v/>
      </c>
      <c r="L161" s="85" t="str">
        <f ca="1">IFERROR(INDIRECT(CONCATENATE("Field!n",A157+5)),"")</f>
        <v/>
      </c>
      <c r="M161" s="65" t="str">
        <f ca="1">IFERROR(INDIRECT(CONCATENATE("Field!o",A157+5)),"")</f>
        <v/>
      </c>
      <c r="N161" s="108" t="str">
        <f ca="1">IFERROR(INDIRECT(CONCATENATE("Field!p",A157+5)),"")</f>
        <v/>
      </c>
      <c r="T161" s="64">
        <f t="shared" ca="1" si="8"/>
        <v>3</v>
      </c>
      <c r="U161" s="64" t="str">
        <f t="shared" ca="1" si="9"/>
        <v/>
      </c>
      <c r="V161" s="266">
        <f ca="1">IF(OR(D161=0,D161="",D161="Athlete"),"",COUNTIF($D$4:$D161,D161))</f>
        <v>3</v>
      </c>
      <c r="W161" s="266" t="str">
        <f t="shared" ca="1" si="10"/>
        <v>Stock</v>
      </c>
      <c r="Z161" s="266" t="str">
        <f t="shared" ca="1" si="11"/>
        <v/>
      </c>
    </row>
    <row r="162" spans="1:27" x14ac:dyDescent="0.35">
      <c r="B162" s="66">
        <f ca="1">IFERROR(INDIRECT(CONCATENATE("Field!D",A157+6)),"")</f>
        <v>5</v>
      </c>
      <c r="C162" s="66">
        <f ca="1">IFERROR(INDIRECT(CONCATENATE("Field!e",A157+6)),"")</f>
        <v>2</v>
      </c>
      <c r="D162" s="85" t="str">
        <f ca="1">IFERROR(INDIRECT(CONCATENATE("Field!f",A157+6)),"")</f>
        <v>Sebastian STEWART</v>
      </c>
      <c r="E162" s="85" t="str">
        <f ca="1">IFERROR(INDIRECT(CONCATENATE("Field!g",A157+6)),"")</f>
        <v>ECHT</v>
      </c>
      <c r="F162" s="65">
        <f ca="1">IFERROR(INDIRECT(CONCATENATE("Field!h",A157+6)),"")</f>
        <v>14.47</v>
      </c>
      <c r="G162" s="108" t="str">
        <f ca="1">IFERROR(INDIRECT(CONCATENATE("Field!i",A157+6)),"")</f>
        <v/>
      </c>
      <c r="H162" s="66"/>
      <c r="I162" s="66">
        <f ca="1">IFERROR(INDIRECT(CONCATENATE("Field!k",A157+6)),"")</f>
        <v>5</v>
      </c>
      <c r="J162" s="66" t="str">
        <f ca="1">IFERROR(INDIRECT(CONCATENATE("Field!l",A157+6)),"")</f>
        <v/>
      </c>
      <c r="K162" s="85" t="str">
        <f ca="1">IFERROR(INDIRECT(CONCATENATE("Field!m",A157+6)),"")</f>
        <v/>
      </c>
      <c r="L162" s="85" t="str">
        <f ca="1">IFERROR(INDIRECT(CONCATENATE("Field!n",A157+6)),"")</f>
        <v/>
      </c>
      <c r="M162" s="65" t="str">
        <f ca="1">IFERROR(INDIRECT(CONCATENATE("Field!o",A157+6)),"")</f>
        <v/>
      </c>
      <c r="N162" s="108" t="str">
        <f ca="1">IFERROR(INDIRECT(CONCATENATE("Field!p",A157+6)),"")</f>
        <v/>
      </c>
      <c r="T162" s="64">
        <f t="shared" ca="1" si="8"/>
        <v>3</v>
      </c>
      <c r="U162" s="64" t="str">
        <f t="shared" ca="1" si="9"/>
        <v/>
      </c>
      <c r="V162" s="266">
        <f ca="1">IF(OR(D162=0,D162="",D162="Athlete"),"",COUNTIF($D$4:$D162,D162))</f>
        <v>1</v>
      </c>
      <c r="W162" s="266" t="str">
        <f t="shared" ca="1" si="10"/>
        <v>ECHT</v>
      </c>
      <c r="Z162" s="266" t="str">
        <f t="shared" ca="1" si="11"/>
        <v/>
      </c>
    </row>
    <row r="163" spans="1:27" x14ac:dyDescent="0.35">
      <c r="B163" s="66">
        <f ca="1">IFERROR(INDIRECT(CONCATENATE("Field!D",A157+7)),"")</f>
        <v>6</v>
      </c>
      <c r="C163" s="66">
        <f ca="1">IFERROR(INDIRECT(CONCATENATE("Field!e",A157+7)),"")</f>
        <v>5</v>
      </c>
      <c r="D163" s="85" t="str">
        <f ca="1">IFERROR(INDIRECT(CONCATENATE("Field!f",A157+7)),"")</f>
        <v>Alex BAYNHAM</v>
      </c>
      <c r="E163" s="85" t="str">
        <f ca="1">IFERROR(INDIRECT(CONCATENATE("Field!g",A157+7)),"")</f>
        <v>Menai</v>
      </c>
      <c r="F163" s="65">
        <f ca="1">IFERROR(INDIRECT(CONCATENATE("Field!h",A157+7)),"")</f>
        <v>7.28</v>
      </c>
      <c r="G163" s="108" t="str">
        <f ca="1">IFERROR(INDIRECT(CONCATENATE("Field!i",A157+7)),"")</f>
        <v/>
      </c>
      <c r="H163" s="66"/>
      <c r="I163" s="66">
        <f ca="1">IFERROR(INDIRECT(CONCATENATE("Field!k",A157+7)),"")</f>
        <v>6</v>
      </c>
      <c r="J163" s="66" t="str">
        <f ca="1">IFERROR(INDIRECT(CONCATENATE("Field!l",A157+7)),"")</f>
        <v/>
      </c>
      <c r="K163" s="85" t="str">
        <f ca="1">IFERROR(INDIRECT(CONCATENATE("Field!m",A157+7)),"")</f>
        <v/>
      </c>
      <c r="L163" s="85" t="str">
        <f ca="1">IFERROR(INDIRECT(CONCATENATE("Field!n",A157+7)),"")</f>
        <v/>
      </c>
      <c r="M163" s="65" t="str">
        <f ca="1">IFERROR(INDIRECT(CONCATENATE("Field!o",A157+7)),"")</f>
        <v/>
      </c>
      <c r="N163" s="108" t="str">
        <f ca="1">IFERROR(INDIRECT(CONCATENATE("Field!p",A157+7)),"")</f>
        <v/>
      </c>
      <c r="T163" s="64">
        <f t="shared" ca="1" si="8"/>
        <v>3</v>
      </c>
      <c r="U163" s="64" t="str">
        <f t="shared" ca="1" si="9"/>
        <v/>
      </c>
      <c r="V163" s="266">
        <f ca="1">IF(OR(D163=0,D163="",D163="Athlete"),"",COUNTIF($D$4:$D163,D163))</f>
        <v>3</v>
      </c>
      <c r="W163" s="266" t="str">
        <f t="shared" ca="1" si="10"/>
        <v>Menai</v>
      </c>
      <c r="Z163" s="266" t="str">
        <f t="shared" ca="1" si="11"/>
        <v/>
      </c>
    </row>
    <row r="164" spans="1:27" x14ac:dyDescent="0.35">
      <c r="B164" s="66">
        <f ca="1">IFERROR(INDIRECT(CONCATENATE("Field!D",A157+8)),"")</f>
        <v>7</v>
      </c>
      <c r="C164" s="66">
        <f ca="1">IFERROR(INDIRECT(CONCATENATE("Field!e",A157+8)),"")</f>
        <v>7</v>
      </c>
      <c r="D164" s="85" t="str">
        <f ca="1">IFERROR(INDIRECT(CONCATENATE("Field!f",A157+8)),"")</f>
        <v>Joshua BOURNE</v>
      </c>
      <c r="E164" s="85" t="str">
        <f ca="1">IFERROR(INDIRECT(CONCATENATE("Field!g",A157+8)),"")</f>
        <v>Wigan</v>
      </c>
      <c r="F164" s="65" t="str">
        <f ca="1">IFERROR(INDIRECT(CONCATENATE("Field!h",A157+8)),"")</f>
        <v>X</v>
      </c>
      <c r="G164" s="108">
        <f ca="1">IFERROR(INDIRECT(CONCATENATE("Field!i",A157+8)),"")</f>
        <v>9</v>
      </c>
      <c r="H164" s="66"/>
      <c r="I164" s="66">
        <f ca="1">IFERROR(INDIRECT(CONCATENATE("Field!k",A157+8)),"")</f>
        <v>7</v>
      </c>
      <c r="J164" s="66" t="str">
        <f ca="1">IFERROR(INDIRECT(CONCATENATE("Field!l",A157+8)),"")</f>
        <v/>
      </c>
      <c r="K164" s="85" t="str">
        <f ca="1">IFERROR(INDIRECT(CONCATENATE("Field!m",A157+8)),"")</f>
        <v/>
      </c>
      <c r="L164" s="85" t="str">
        <f ca="1">IFERROR(INDIRECT(CONCATENATE("Field!n",A157+8)),"")</f>
        <v/>
      </c>
      <c r="M164" s="65" t="str">
        <f ca="1">IFERROR(INDIRECT(CONCATENATE("Field!o",A157+8)),"")</f>
        <v/>
      </c>
      <c r="N164" s="108" t="str">
        <f ca="1">IFERROR(INDIRECT(CONCATENATE("Field!p",A157+8)),"")</f>
        <v/>
      </c>
      <c r="T164" s="64">
        <f t="shared" ca="1" si="8"/>
        <v>3</v>
      </c>
      <c r="U164" s="64" t="str">
        <f t="shared" ca="1" si="9"/>
        <v/>
      </c>
      <c r="V164" s="266">
        <f ca="1">IF(OR(D164=0,D164="",D164="Athlete"),"",COUNTIF($D$4:$D164,D164))</f>
        <v>1</v>
      </c>
      <c r="W164" s="266" t="str">
        <f t="shared" ca="1" si="10"/>
        <v>Wigan</v>
      </c>
      <c r="Z164" s="266">
        <f t="shared" ca="1" si="11"/>
        <v>0</v>
      </c>
    </row>
    <row r="165" spans="1:27" x14ac:dyDescent="0.35">
      <c r="B165" s="66">
        <f ca="1">IFERROR(INDIRECT(CONCATENATE("Field!D",A157+9)),"")</f>
        <v>8</v>
      </c>
      <c r="C165" s="66" t="str">
        <f ca="1">IFERROR(INDIRECT(CONCATENATE("Field!e",A157+9)),"")</f>
        <v/>
      </c>
      <c r="D165" s="85" t="str">
        <f ca="1">IFERROR(INDIRECT(CONCATENATE("Field!f",A157+9)),"")</f>
        <v/>
      </c>
      <c r="E165" s="85" t="str">
        <f ca="1">IFERROR(INDIRECT(CONCATENATE("Field!g",A157+9)),"")</f>
        <v/>
      </c>
      <c r="F165" s="65" t="str">
        <f ca="1">IFERROR(INDIRECT(CONCATENATE("Field!h",A157+9)),"")</f>
        <v/>
      </c>
      <c r="G165" s="108" t="str">
        <f ca="1">IFERROR(INDIRECT(CONCATENATE("Field!i",A157+9)),"")</f>
        <v/>
      </c>
      <c r="H165" s="66"/>
      <c r="I165" s="66">
        <f ca="1">IFERROR(INDIRECT(CONCATENATE("Field!k",A157+9)),"")</f>
        <v>8</v>
      </c>
      <c r="J165" s="66" t="str">
        <f ca="1">IFERROR(INDIRECT(CONCATENATE("Field!l",A157+9)),"")</f>
        <v/>
      </c>
      <c r="K165" s="85" t="str">
        <f ca="1">IFERROR(INDIRECT(CONCATENATE("Field!m",A157+9)),"")</f>
        <v/>
      </c>
      <c r="L165" s="85" t="str">
        <f ca="1">IFERROR(INDIRECT(CONCATENATE("Field!n",A157+9)),"")</f>
        <v/>
      </c>
      <c r="M165" s="65" t="str">
        <f ca="1">IFERROR(INDIRECT(CONCATENATE("Field!o",A157+9)),"")</f>
        <v/>
      </c>
      <c r="N165" s="108" t="str">
        <f ca="1">IFERROR(INDIRECT(CONCATENATE("Field!p",A157+9)),"")</f>
        <v/>
      </c>
      <c r="T165" s="64" t="str">
        <f t="shared" ca="1" si="8"/>
        <v/>
      </c>
      <c r="U165" s="64" t="str">
        <f t="shared" ca="1" si="9"/>
        <v/>
      </c>
      <c r="V165" s="266" t="str">
        <f ca="1">IF(OR(D165=0,D165="",D165="Athlete"),"",COUNTIF($D$4:$D165,D165))</f>
        <v/>
      </c>
      <c r="W165" s="266" t="str">
        <f t="shared" ca="1" si="10"/>
        <v/>
      </c>
      <c r="Z165" s="266" t="str">
        <f t="shared" ca="1" si="11"/>
        <v/>
      </c>
    </row>
    <row r="166" spans="1:27" x14ac:dyDescent="0.35">
      <c r="T166" s="64" t="str">
        <f t="shared" si="8"/>
        <v/>
      </c>
      <c r="U166" s="64" t="str">
        <f t="shared" si="9"/>
        <v/>
      </c>
      <c r="V166" s="266" t="str">
        <f>IF(OR(D166=0,D166="",D166="Athlete"),"",COUNTIF($D$4:$D166,D166))</f>
        <v/>
      </c>
    </row>
    <row r="167" spans="1:27" x14ac:dyDescent="0.35">
      <c r="A167" s="66" t="s">
        <v>265</v>
      </c>
      <c r="B167" s="102" t="str">
        <f ca="1">IFERROR(INDIRECT(CONCATENATE("Relays!b",A168)),"")</f>
        <v xml:space="preserve"> 4 x 100m U15 Boys A</v>
      </c>
      <c r="M167" s="133" t="str">
        <f ca="1">IFERROR(INDIRECT(CONCATENATE("Relays!i",A168)),"")</f>
        <v/>
      </c>
      <c r="T167" s="64" t="str">
        <f t="shared" si="8"/>
        <v/>
      </c>
      <c r="U167" s="64" t="str">
        <f t="shared" si="9"/>
        <v/>
      </c>
      <c r="V167" s="266" t="str">
        <f>IF(OR(D167=0,D167="",D167="Athlete"),"",COUNTIF($D$4:$D167,D167))</f>
        <v/>
      </c>
    </row>
    <row r="168" spans="1:27" x14ac:dyDescent="0.35">
      <c r="A168" s="66">
        <f>IFERROR(MATCH(A167,Relays!A:A,0),"")</f>
        <v>35</v>
      </c>
      <c r="B168" s="45" t="str">
        <f ca="1">IFERROR(INDIRECT(CONCATENATE("Relays!b",A168+1)),"")</f>
        <v>Posn</v>
      </c>
      <c r="C168" s="45" t="str">
        <f ca="1">IFERROR(INDIRECT(CONCATENATE("Relays!c",A168+1)),"")</f>
        <v>No.</v>
      </c>
      <c r="D168" s="139" t="s">
        <v>539</v>
      </c>
      <c r="G168" s="45"/>
      <c r="K168" s="45"/>
      <c r="L168" s="85" t="str">
        <f ca="1">IFERROR(INDIRECT(CONCATENATE("Relays!D",A168+1)),"")</f>
        <v>Club</v>
      </c>
      <c r="M168" s="133" t="str">
        <f ca="1">IFERROR(INDIRECT(CONCATENATE("Relays!i",A168+1)),"")</f>
        <v>Perf</v>
      </c>
      <c r="T168" s="64" t="e">
        <f>IF(OR(#REF!=0,#REF!="",#REF!="Athlete"),"",COUNTIF($D$4:$D$352,#REF!))</f>
        <v>#REF!</v>
      </c>
      <c r="U168" s="64" t="str">
        <f t="shared" si="9"/>
        <v/>
      </c>
    </row>
    <row r="169" spans="1:27" x14ac:dyDescent="0.35">
      <c r="B169" s="66">
        <f ca="1">IFERROR(INDIRECT(CONCATENATE("Relays!b",A168+2)),"")</f>
        <v>1</v>
      </c>
      <c r="C169" s="66">
        <f ca="1">IFERROR(INDIRECT(CONCATENATE("Relays!c",A168+2)),"")</f>
        <v>1</v>
      </c>
      <c r="D169" s="85" t="str">
        <f ca="1">IFERROR(IF(INDIRECT(CONCATENATE("Relays!e",A168+2))="","",INDIRECT(CONCATENATE("Relays!e",A168+2))),"")</f>
        <v>Isaac PICKERING, William CATTELL, Oliver BORG-HEFFERNAN, James HOWARTH</v>
      </c>
      <c r="F169" s="67"/>
      <c r="G169" s="66"/>
      <c r="K169" s="66"/>
      <c r="L169" s="85" t="str">
        <f ca="1">IFERROR(INDIRECT(CONCATENATE("Relays!D",A168+2)),"")</f>
        <v>C&amp;N</v>
      </c>
      <c r="M169" s="395">
        <f ca="1">IFERROR(INDIRECT(CONCATENATE("Relays!i",A168+2)),"")</f>
        <v>51.9</v>
      </c>
      <c r="R169" s="66">
        <f ca="1">IFERROR(INDIRECT(CONCATENATE("Relays!M",A168+2)),"")</f>
        <v>1</v>
      </c>
      <c r="T169" s="64">
        <f t="shared" ref="T169:T175" ca="1" si="12">IF(OR(L169=0,L169="",L169="Athlete"),"",COUNTIF($D$4:$D$352,L169))</f>
        <v>0</v>
      </c>
      <c r="U169" s="64" t="str">
        <f t="shared" si="9"/>
        <v/>
      </c>
    </row>
    <row r="170" spans="1:27" x14ac:dyDescent="0.35">
      <c r="B170" s="66">
        <f ca="1">IFERROR(INDIRECT(CONCATENATE("Relays!b",A168+3)),"")</f>
        <v>2</v>
      </c>
      <c r="C170" s="66">
        <f ca="1">IFERROR(INDIRECT(CONCATENATE("Relays!c",A168+3)),"")</f>
        <v>2</v>
      </c>
      <c r="D170" s="85" t="str">
        <f ca="1">IFERROR(IF(INDIRECT(CONCATENATE("Relays!e",A168+3))="","",INDIRECT(CONCATENATE("Relays!e",A168+3))),"")</f>
        <v>James ROOK, Alfie MANSER, Marshall FLEET, Max ORMSTON</v>
      </c>
      <c r="F170" s="67"/>
      <c r="G170" s="66"/>
      <c r="K170" s="66"/>
      <c r="L170" s="85" t="str">
        <f ca="1">IFERROR(INDIRECT(CONCATENATE("Relays!D",A168+3)),"")</f>
        <v>ECHT</v>
      </c>
      <c r="M170" s="395">
        <f ca="1">IFERROR(INDIRECT(CONCATENATE("Relays!i",A168+3)),"")</f>
        <v>53.9</v>
      </c>
      <c r="T170" s="64">
        <f t="shared" ca="1" si="12"/>
        <v>0</v>
      </c>
      <c r="U170" s="64" t="str">
        <f t="shared" si="9"/>
        <v/>
      </c>
    </row>
    <row r="171" spans="1:27" x14ac:dyDescent="0.35">
      <c r="B171" s="66">
        <f ca="1">IFERROR(INDIRECT(CONCATENATE("Relays!b",A168+4)),"")</f>
        <v>3</v>
      </c>
      <c r="C171" s="66">
        <f ca="1">IFERROR(INDIRECT(CONCATENATE("Relays!c",A168+4)),"")</f>
        <v>4</v>
      </c>
      <c r="D171" s="85" t="str">
        <f ca="1">IFERROR(IF(INDIRECT(CONCATENATE("Relays!e",A168+4))="","",INDIRECT(CONCATENATE("Relays!e",A168+4))),"")</f>
        <v>Thomas WOOD, Oliver STEWART, Will HAMMOND, Tristan LAMPRECHT</v>
      </c>
      <c r="F171" s="67"/>
      <c r="G171" s="66"/>
      <c r="K171" s="66"/>
      <c r="L171" s="85" t="str">
        <f ca="1">IFERROR(INDIRECT(CONCATENATE("Relays!D",A168+4)),"")</f>
        <v>Macc</v>
      </c>
      <c r="M171" s="395">
        <f ca="1">IFERROR(INDIRECT(CONCATENATE("Relays!i",A168+4)),"")</f>
        <v>54.5</v>
      </c>
      <c r="T171" s="64">
        <f t="shared" ca="1" si="12"/>
        <v>0</v>
      </c>
      <c r="U171" s="64" t="str">
        <f t="shared" si="9"/>
        <v/>
      </c>
    </row>
    <row r="172" spans="1:27" x14ac:dyDescent="0.35">
      <c r="B172" s="66">
        <f ca="1">IFERROR(INDIRECT(CONCATENATE("Relays!b",A168+5)),"")</f>
        <v>4</v>
      </c>
      <c r="C172" s="66">
        <f ca="1">IFERROR(INDIRECT(CONCATENATE("Relays!c",A168+5)),"")</f>
        <v>6</v>
      </c>
      <c r="D172" s="85" t="str">
        <f ca="1">IFERROR(IF(INDIRECT(CONCATENATE("Relays!e",A168+5))="","",INDIRECT(CONCATENATE("Relays!e",A168+5))),"")</f>
        <v>Quaid SIN, Campbell JOHNSON, Luc BRADBURY, Jacob HARWOOD-BRETNALL</v>
      </c>
      <c r="F172" s="67"/>
      <c r="G172" s="66"/>
      <c r="K172" s="66"/>
      <c r="L172" s="85" t="str">
        <f ca="1">IFERROR(INDIRECT(CONCATENATE("Relays!D",A168+5)),"")</f>
        <v>Stock</v>
      </c>
      <c r="M172" s="395">
        <f ca="1">IFERROR(INDIRECT(CONCATENATE("Relays!i",A168+5)),"")</f>
        <v>54.8</v>
      </c>
      <c r="T172" s="64">
        <f t="shared" ca="1" si="12"/>
        <v>0</v>
      </c>
      <c r="U172" s="64" t="str">
        <f t="shared" si="9"/>
        <v/>
      </c>
    </row>
    <row r="173" spans="1:27" x14ac:dyDescent="0.35">
      <c r="B173" s="66">
        <f ca="1">IFERROR(INDIRECT(CONCATENATE("Relays!b",A168+6)),"")</f>
        <v>5</v>
      </c>
      <c r="C173" s="66">
        <f ca="1">IFERROR(INDIRECT(CONCATENATE("Relays!c",A168+6)),"")</f>
        <v>5</v>
      </c>
      <c r="D173" s="85" t="str">
        <f ca="1">IFERROR(IF(INDIRECT(CONCATENATE("Relays!e",A168+6))="","",INDIRECT(CONCATENATE("Relays!e",A168+6))),"")</f>
        <v>Morgan JONES, Oliver NESBITT, Owain WILLIAMS, Alex BAYNHAM</v>
      </c>
      <c r="F173" s="67"/>
      <c r="G173" s="66"/>
      <c r="K173" s="66"/>
      <c r="L173" s="85" t="str">
        <f ca="1">IFERROR(INDIRECT(CONCATENATE("Relays!D",A168+6)),"")</f>
        <v>Menai</v>
      </c>
      <c r="M173" s="395">
        <f ca="1">IFERROR(INDIRECT(CONCATENATE("Relays!i",A168+6)),"")</f>
        <v>59.4</v>
      </c>
      <c r="T173" s="64">
        <f t="shared" ca="1" si="12"/>
        <v>0</v>
      </c>
      <c r="U173" s="64" t="str">
        <f t="shared" si="9"/>
        <v/>
      </c>
    </row>
    <row r="174" spans="1:27" x14ac:dyDescent="0.35">
      <c r="B174" s="66">
        <f ca="1">IFERROR(INDIRECT(CONCATENATE("Relays!b",A168+7)),"")</f>
        <v>6</v>
      </c>
      <c r="C174" s="66">
        <f ca="1">IFERROR(INDIRECT(CONCATENATE("Relays!c",A168+7)),"")</f>
        <v>0</v>
      </c>
      <c r="D174" s="85" t="str">
        <f ca="1">IFERROR(IF(INDIRECT(CONCATENATE("Relays!e",A168+7))="","",INDIRECT(CONCATENATE("Relays!e",A168+7))&amp;", "&amp;INDIRECT(CONCATENATE("Relays!f",A168+7))&amp;", "&amp;INDIRECT(CONCATENATE("Relays!g",A168+7))&amp;", "&amp;INDIRECT(CONCATENATE("Relays!h",A168+7))),"")</f>
        <v/>
      </c>
      <c r="F174" s="67"/>
      <c r="G174" s="66"/>
      <c r="K174" s="66"/>
      <c r="L174" s="85" t="str">
        <f ca="1">IFERROR(INDIRECT(CONCATENATE("Relays!D",A168+7)),"")</f>
        <v/>
      </c>
      <c r="M174" s="395">
        <f ca="1">IFERROR(INDIRECT(CONCATENATE("Relays!i",A168+7)),"")</f>
        <v>0</v>
      </c>
      <c r="T174" s="64" t="str">
        <f t="shared" ca="1" si="12"/>
        <v/>
      </c>
      <c r="U174" s="64" t="str">
        <f t="shared" si="9"/>
        <v/>
      </c>
    </row>
    <row r="175" spans="1:27" x14ac:dyDescent="0.35">
      <c r="B175" s="66">
        <f ca="1">IFERROR(INDIRECT(CONCATENATE("Relays!b",A168+8)),"")</f>
        <v>7</v>
      </c>
      <c r="C175" s="66">
        <f ca="1">IFERROR(INDIRECT(CONCATENATE("Relays!c",A168+8)),"")</f>
        <v>0</v>
      </c>
      <c r="D175" s="85" t="str">
        <f ca="1">IFERROR(IF(INDIRECT(CONCATENATE("Relays!e",A168+8))="","",INDIRECT(CONCATENATE("Relays!e",A168+8))&amp;", "&amp;INDIRECT(CONCATENATE("Relays!f",A168+8))&amp;", "&amp;INDIRECT(CONCATENATE("Relays!g",A168+8))&amp;", "&amp;INDIRECT(CONCATENATE("Relays!h",A168+8))),"")</f>
        <v/>
      </c>
      <c r="F175" s="67"/>
      <c r="G175" s="66"/>
      <c r="K175" s="66"/>
      <c r="L175" s="85" t="str">
        <f ca="1">IFERROR(INDIRECT(CONCATENATE("Relays!D",A168+8)),"")</f>
        <v/>
      </c>
      <c r="M175" s="395">
        <f ca="1">IFERROR(INDIRECT(CONCATENATE("Relays!i",A168+8)),"")</f>
        <v>0</v>
      </c>
      <c r="T175" s="64" t="str">
        <f t="shared" ca="1" si="12"/>
        <v/>
      </c>
      <c r="U175" s="64" t="str">
        <f t="shared" si="9"/>
        <v/>
      </c>
    </row>
    <row r="176" spans="1:27" x14ac:dyDescent="0.35">
      <c r="B176" s="66">
        <f ca="1">IFERROR(INDIRECT(CONCATENATE("Relays!b",A168+9)),"")</f>
        <v>8</v>
      </c>
      <c r="C176" s="66">
        <f ca="1">IFERROR(INDIRECT(CONCATENATE("Relays!c",A168+9)),"")</f>
        <v>0</v>
      </c>
      <c r="D176" s="85" t="str">
        <f ca="1">IFERROR(IF(INDIRECT(CONCATENATE("Relays!e",A168+9))="","",INDIRECT(CONCATENATE("Relays!e",A168+9))&amp;", "&amp;INDIRECT(CONCATENATE("Relays!f",A168+9))&amp;", "&amp;INDIRECT(CONCATENATE("Relays!g",A168+9))&amp;", "&amp;INDIRECT(CONCATENATE("Relays!h",A168+9))),"")</f>
        <v/>
      </c>
      <c r="F176" s="67"/>
      <c r="G176" s="66"/>
      <c r="K176" s="66"/>
      <c r="L176" s="85" t="str">
        <f ca="1">IFERROR(INDIRECT(CONCATENATE("Relays!D",A168+9)),"")</f>
        <v/>
      </c>
      <c r="M176" s="395">
        <f ca="1">IFERROR(INDIRECT(CONCATENATE("Relays!i",A168+9)),"")</f>
        <v>0</v>
      </c>
      <c r="T176" s="64" t="str">
        <f>IF(OR(AA176=0,AA176="",AA176="Athlete"),"",COUNTIF($D$4:$D$352,AA176))</f>
        <v/>
      </c>
      <c r="U176" s="64" t="str">
        <f t="shared" si="9"/>
        <v/>
      </c>
      <c r="AA176" s="85"/>
    </row>
    <row r="177" spans="1:22" x14ac:dyDescent="0.35">
      <c r="T177" s="64" t="str">
        <f t="shared" si="8"/>
        <v/>
      </c>
      <c r="U177" s="64" t="str">
        <f t="shared" si="9"/>
        <v/>
      </c>
    </row>
    <row r="178" spans="1:22" x14ac:dyDescent="0.35">
      <c r="A178" s="66" t="s">
        <v>261</v>
      </c>
      <c r="B178" s="102" t="str">
        <f ca="1">IFERROR(INDIRECT(CONCATENATE("Relays!b",A179)),"")</f>
        <v xml:space="preserve"> 4 x 300m U15 Boys A</v>
      </c>
      <c r="M178" s="133" t="str">
        <f ca="1">IFERROR(INDIRECT(CONCATENATE("Relays!i",A179)),"")</f>
        <v/>
      </c>
      <c r="T178" s="64" t="str">
        <f t="shared" si="8"/>
        <v/>
      </c>
      <c r="U178" s="64" t="str">
        <f t="shared" si="9"/>
        <v/>
      </c>
    </row>
    <row r="179" spans="1:22" x14ac:dyDescent="0.35">
      <c r="A179" s="66">
        <f>IFERROR(MATCH(A178,Relays!A:A,0),"")</f>
        <v>57</v>
      </c>
      <c r="B179" s="45" t="str">
        <f ca="1">IFERROR(INDIRECT(CONCATENATE("Relays!b",A179+1)),"")</f>
        <v>Posn</v>
      </c>
      <c r="C179" s="45" t="str">
        <f ca="1">IFERROR(INDIRECT(CONCATENATE("Relays!c",A179+1)),"")</f>
        <v>No.</v>
      </c>
      <c r="D179" s="139" t="s">
        <v>539</v>
      </c>
      <c r="G179" s="45"/>
      <c r="K179" s="45"/>
      <c r="L179" s="139" t="str">
        <f ca="1">IFERROR(INDIRECT(CONCATENATE("Relays!D",A179+1)),"")</f>
        <v>Club</v>
      </c>
      <c r="M179" s="133" t="str">
        <f ca="1">IFERROR(INDIRECT(CONCATENATE("Relays!i",A179+1)),"")</f>
        <v>Perf</v>
      </c>
      <c r="T179" s="64">
        <f t="shared" ref="T179:T187" ca="1" si="13">IF(OR(L179=0,L179="",L179="Athlete"),"",COUNTIF($D$4:$D$352,L179))</f>
        <v>0</v>
      </c>
      <c r="U179" s="64" t="str">
        <f t="shared" si="9"/>
        <v/>
      </c>
    </row>
    <row r="180" spans="1:22" x14ac:dyDescent="0.35">
      <c r="B180" s="66">
        <f ca="1">IFERROR(INDIRECT(CONCATENATE("Relays!b",A179+2)),"")</f>
        <v>1</v>
      </c>
      <c r="C180" s="66">
        <f ca="1">IFERROR(INDIRECT(CONCATENATE("Relays!c",A179+2)),"")</f>
        <v>2</v>
      </c>
      <c r="D180" s="85" t="str">
        <f ca="1">IFERROR(IF(INDIRECT(CONCATENATE("Relays!e",A179+2))="","",INDIRECT(CONCATENATE("Relays!e",A179+2))),"")</f>
        <v>Marshall FLEET, Sebastian STEWART, Oliver WALKER, Alfie MANSER</v>
      </c>
      <c r="G180" s="66"/>
      <c r="K180" s="66"/>
      <c r="L180" s="85" t="str">
        <f ca="1">IFERROR(INDIRECT(CONCATENATE("Relays!D",A179+2)),"")</f>
        <v>ECHT</v>
      </c>
      <c r="M180" s="96">
        <f ca="1">IFERROR(INDIRECT(CONCATENATE("Relays!K",A179+2)),"")</f>
        <v>2.2291666666666666E-3</v>
      </c>
      <c r="R180" s="66">
        <f ca="1">IFERROR(INDIRECT(CONCATENATE("Relays!M",A179+2)),"")</f>
        <v>1</v>
      </c>
      <c r="T180" s="64">
        <f t="shared" ca="1" si="13"/>
        <v>0</v>
      </c>
      <c r="U180" s="64" t="str">
        <f t="shared" si="9"/>
        <v/>
      </c>
    </row>
    <row r="181" spans="1:22" x14ac:dyDescent="0.35">
      <c r="B181" s="66">
        <f ca="1">IFERROR(INDIRECT(CONCATENATE("Relays!b",A179+3)),"")</f>
        <v>2</v>
      </c>
      <c r="C181" s="66">
        <f ca="1">IFERROR(INDIRECT(CONCATENATE("Relays!c",A179+3)),"")</f>
        <v>3</v>
      </c>
      <c r="D181" s="85" t="str">
        <f ca="1">IFERROR(IF(INDIRECT(CONCATENATE("Relays!e",A179+3))="","",INDIRECT(CONCATENATE("Relays!e",A179+3))),"")</f>
        <v>Barnaby CROMBLEHOLME, Lucas GREGORY, William GUY, Archer GILDART</v>
      </c>
      <c r="G181" s="66"/>
      <c r="K181" s="66"/>
      <c r="L181" s="85" t="str">
        <f ca="1">IFERROR(INDIRECT(CONCATENATE("Relays!D",A179+3)),"")</f>
        <v>Leigh</v>
      </c>
      <c r="M181" s="96">
        <f ca="1">IFERROR(INDIRECT(CONCATENATE("Relays!K",A179+3)),"")</f>
        <v>2.2743055555555555E-3</v>
      </c>
      <c r="T181" s="64">
        <f t="shared" ca="1" si="13"/>
        <v>0</v>
      </c>
      <c r="U181" s="64" t="str">
        <f t="shared" si="9"/>
        <v/>
      </c>
    </row>
    <row r="182" spans="1:22" x14ac:dyDescent="0.35">
      <c r="B182" s="66">
        <f ca="1">IFERROR(INDIRECT(CONCATENATE("Relays!b",A179+4)),"")</f>
        <v>3</v>
      </c>
      <c r="C182" s="66">
        <f ca="1">IFERROR(INDIRECT(CONCATENATE("Relays!c",A179+4)),"")</f>
        <v>4</v>
      </c>
      <c r="D182" s="85" t="str">
        <f ca="1">IFERROR(IF(INDIRECT(CONCATENATE("Relays!e",A179+4))="","",INDIRECT(CONCATENATE("Relays!e",A179+4))),"")</f>
        <v>Toby BROADRICK, Bobby TOMLINSON, Douglas POINTON, Thomas WOOD</v>
      </c>
      <c r="G182" s="66"/>
      <c r="K182" s="66"/>
      <c r="L182" s="85" t="str">
        <f ca="1">IFERROR(INDIRECT(CONCATENATE("Relays!D",A179+4)),"")</f>
        <v>Macc</v>
      </c>
      <c r="M182" s="96">
        <f ca="1">IFERROR(INDIRECT(CONCATENATE("Relays!K",A179+4)),"")</f>
        <v>2.2974537037037039E-3</v>
      </c>
      <c r="T182" s="64">
        <f t="shared" ca="1" si="13"/>
        <v>0</v>
      </c>
      <c r="U182" s="64" t="str">
        <f t="shared" si="9"/>
        <v/>
      </c>
    </row>
    <row r="183" spans="1:22" x14ac:dyDescent="0.35">
      <c r="B183" s="66">
        <f ca="1">IFERROR(INDIRECT(CONCATENATE("Relays!b",A179+5)),"")</f>
        <v>4</v>
      </c>
      <c r="C183" s="66">
        <f ca="1">IFERROR(INDIRECT(CONCATENATE("Relays!c",A179+5)),"")</f>
        <v>0</v>
      </c>
      <c r="D183" s="85" t="str">
        <f ca="1">IFERROR(IF(INDIRECT(CONCATENATE("Relays!e",A179+5))="","",INDIRECT(CONCATENATE("Relays!e",A179+5))),"")</f>
        <v/>
      </c>
      <c r="G183" s="66"/>
      <c r="K183" s="66"/>
      <c r="L183" s="85" t="str">
        <f ca="1">IFERROR(INDIRECT(CONCATENATE("Relays!D",A179+5)),"")</f>
        <v/>
      </c>
      <c r="M183" s="96">
        <f ca="1">IFERROR(INDIRECT(CONCATENATE("Relays!K",A179+5)),"")</f>
        <v>0</v>
      </c>
      <c r="T183" s="64" t="str">
        <f t="shared" ca="1" si="13"/>
        <v/>
      </c>
      <c r="U183" s="64" t="str">
        <f t="shared" si="9"/>
        <v/>
      </c>
    </row>
    <row r="184" spans="1:22" x14ac:dyDescent="0.35">
      <c r="B184" s="66">
        <f ca="1">IFERROR(INDIRECT(CONCATENATE("Relays!b",A179+6)),"")</f>
        <v>5</v>
      </c>
      <c r="C184" s="66">
        <f ca="1">IFERROR(INDIRECT(CONCATENATE("Relays!c",A179+6)),"")</f>
        <v>0</v>
      </c>
      <c r="D184" s="85" t="str">
        <f ca="1">IFERROR(IF(INDIRECT(CONCATENATE("Relays!e",A179+6))="","",INDIRECT(CONCATENATE("Relays!e",A179+6))),"")</f>
        <v/>
      </c>
      <c r="G184" s="66"/>
      <c r="K184" s="66"/>
      <c r="L184" s="85" t="str">
        <f ca="1">IFERROR(INDIRECT(CONCATENATE("Relays!D",A179+6)),"")</f>
        <v/>
      </c>
      <c r="M184" s="96">
        <f ca="1">IFERROR(INDIRECT(CONCATENATE("Relays!K",A179+6)),"")</f>
        <v>0</v>
      </c>
      <c r="T184" s="64" t="str">
        <f t="shared" ca="1" si="13"/>
        <v/>
      </c>
      <c r="U184" s="64" t="str">
        <f t="shared" si="9"/>
        <v/>
      </c>
    </row>
    <row r="185" spans="1:22" x14ac:dyDescent="0.35">
      <c r="B185" s="66">
        <f ca="1">IFERROR(INDIRECT(CONCATENATE("Relays!b",A179+7)),"")</f>
        <v>6</v>
      </c>
      <c r="C185" s="66">
        <f ca="1">IFERROR(INDIRECT(CONCATENATE("Relays!c",A179+7)),"")</f>
        <v>0</v>
      </c>
      <c r="D185" s="85" t="str">
        <f ca="1">IFERROR(IF(INDIRECT(CONCATENATE("Relays!e",A179+7))="","",INDIRECT(CONCATENATE("Relays!e",A179+7))&amp;", "&amp;INDIRECT(CONCATENATE("Relays!f",A179+7))&amp;", "&amp;INDIRECT(CONCATENATE("Relays!g",A179+7))&amp;", "&amp;INDIRECT(CONCATENATE("Relays!h",A179+7))),"")</f>
        <v/>
      </c>
      <c r="G185" s="66"/>
      <c r="K185" s="66"/>
      <c r="L185" s="85" t="str">
        <f ca="1">IFERROR(INDIRECT(CONCATENATE("Relays!D",A179+7)),"")</f>
        <v/>
      </c>
      <c r="M185" s="96">
        <f ca="1">IFERROR(INDIRECT(CONCATENATE("Relays!K",A179+7)),"")</f>
        <v>0</v>
      </c>
      <c r="T185" s="64" t="str">
        <f t="shared" ca="1" si="13"/>
        <v/>
      </c>
      <c r="U185" s="64" t="str">
        <f t="shared" si="9"/>
        <v/>
      </c>
    </row>
    <row r="186" spans="1:22" x14ac:dyDescent="0.35">
      <c r="B186" s="66">
        <f ca="1">IFERROR(INDIRECT(CONCATENATE("Relays!b",A179+8)),"")</f>
        <v>7</v>
      </c>
      <c r="C186" s="66">
        <f ca="1">IFERROR(INDIRECT(CONCATENATE("Relays!c",A179+8)),"")</f>
        <v>0</v>
      </c>
      <c r="D186" s="85" t="str">
        <f ca="1">IFERROR(IF(INDIRECT(CONCATENATE("Relays!e",A179+8))="","",INDIRECT(CONCATENATE("Relays!e",A179+8))&amp;", "&amp;INDIRECT(CONCATENATE("Relays!f",A179+8))&amp;", "&amp;INDIRECT(CONCATENATE("Relays!g",A179+8))&amp;", "&amp;INDIRECT(CONCATENATE("Relays!h",A179+8))),"")</f>
        <v/>
      </c>
      <c r="G186" s="66"/>
      <c r="K186" s="66"/>
      <c r="L186" s="85" t="str">
        <f ca="1">IFERROR(INDIRECT(CONCATENATE("Relays!D",A179+8)),"")</f>
        <v/>
      </c>
      <c r="M186" s="96">
        <f ca="1">IFERROR(INDIRECT(CONCATENATE("Relays!K",A179+8)),"")</f>
        <v>0</v>
      </c>
      <c r="T186" s="64" t="str">
        <f t="shared" ca="1" si="13"/>
        <v/>
      </c>
      <c r="U186" s="64" t="str">
        <f t="shared" si="9"/>
        <v/>
      </c>
    </row>
    <row r="187" spans="1:22" x14ac:dyDescent="0.35">
      <c r="B187" s="66">
        <f ca="1">IFERROR(INDIRECT(CONCATENATE("Relays!b",A179+9)),"")</f>
        <v>8</v>
      </c>
      <c r="C187" s="66">
        <f ca="1">IFERROR(INDIRECT(CONCATENATE("Relays!c",A179+9)),"")</f>
        <v>0</v>
      </c>
      <c r="D187" s="85" t="str">
        <f ca="1">IFERROR(IF(INDIRECT(CONCATENATE("Relays!e",A179+9))="","",INDIRECT(CONCATENATE("Relays!e",A179+9))&amp;", "&amp;INDIRECT(CONCATENATE("Relays!f",A179+9))&amp;", "&amp;INDIRECT(CONCATENATE("Relays!g",A179+9))&amp;", "&amp;INDIRECT(CONCATENATE("Relays!h",A179+9))),"")</f>
        <v/>
      </c>
      <c r="G187" s="66"/>
      <c r="K187" s="66"/>
      <c r="L187" s="85" t="str">
        <f ca="1">IFERROR(INDIRECT(CONCATENATE("Relays!D",A179+9)),"")</f>
        <v/>
      </c>
      <c r="M187" s="96">
        <f ca="1">IFERROR(INDIRECT(CONCATENATE("Relays!iK",A179+9)),"")</f>
        <v>0</v>
      </c>
      <c r="T187" s="64" t="str">
        <f t="shared" ca="1" si="13"/>
        <v/>
      </c>
      <c r="U187" s="64" t="str">
        <f t="shared" si="9"/>
        <v/>
      </c>
    </row>
    <row r="188" spans="1:22" x14ac:dyDescent="0.35">
      <c r="T188" s="64" t="str">
        <f t="shared" si="8"/>
        <v/>
      </c>
      <c r="U188" s="64" t="str">
        <f t="shared" si="9"/>
        <v/>
      </c>
      <c r="V188" s="266" t="str">
        <f>IF(OR(D188=0,D188="",D188="Athlete"),"",COUNTIF($D$4:$D188,D188))</f>
        <v/>
      </c>
    </row>
    <row r="189" spans="1:22" x14ac:dyDescent="0.35">
      <c r="T189" s="64" t="str">
        <f t="shared" si="8"/>
        <v/>
      </c>
      <c r="U189" s="64" t="str">
        <f t="shared" si="9"/>
        <v/>
      </c>
      <c r="V189" s="266" t="str">
        <f>IF(OR(D189=0,D189="",D189="Athlete"),"",COUNTIF($D$4:$D189,D189))</f>
        <v/>
      </c>
    </row>
    <row r="190" spans="1:22" x14ac:dyDescent="0.35">
      <c r="T190" s="64" t="str">
        <f t="shared" si="8"/>
        <v/>
      </c>
      <c r="U190" s="64" t="str">
        <f t="shared" si="9"/>
        <v/>
      </c>
      <c r="V190" s="266" t="str">
        <f>IF(OR(D190=0,D190="",D190="Athlete"),"",COUNTIF($D$4:$D190,D190))</f>
        <v/>
      </c>
    </row>
    <row r="191" spans="1:22" hidden="1" x14ac:dyDescent="0.35">
      <c r="D191" s="85" t="str">
        <f ca="1">K4</f>
        <v>James ROOK</v>
      </c>
      <c r="E191" s="85" t="str">
        <f ca="1">L4</f>
        <v>ECHT</v>
      </c>
      <c r="T191" s="64">
        <f t="shared" ca="1" si="8"/>
        <v>2</v>
      </c>
      <c r="U191" s="64" t="str">
        <f t="shared" si="9"/>
        <v/>
      </c>
      <c r="V191" s="266">
        <f ca="1">IF(OR(D191=0,D191="",D191="Athlete"),"",COUNTIF($D$4:$D191,D191))</f>
        <v>1</v>
      </c>
    </row>
    <row r="192" spans="1:22" hidden="1" x14ac:dyDescent="0.35">
      <c r="D192" s="85" t="str">
        <f t="shared" ref="D192:E192" ca="1" si="14">K5</f>
        <v>Will HAMMOND</v>
      </c>
      <c r="E192" s="85" t="str">
        <f t="shared" ca="1" si="14"/>
        <v>Macc</v>
      </c>
      <c r="T192" s="64">
        <f t="shared" ca="1" si="8"/>
        <v>3</v>
      </c>
      <c r="U192" s="64" t="str">
        <f t="shared" si="9"/>
        <v/>
      </c>
      <c r="V192" s="266">
        <f ca="1">IF(OR(D192=0,D192="",D192="Athlete"),"",COUNTIF($D$4:$D192,D192))</f>
        <v>3</v>
      </c>
    </row>
    <row r="193" spans="4:22" hidden="1" x14ac:dyDescent="0.35">
      <c r="D193" s="85" t="str">
        <f t="shared" ref="D193:E193" ca="1" si="15">K6</f>
        <v>Joshua BOURNE</v>
      </c>
      <c r="E193" s="85" t="str">
        <f t="shared" ca="1" si="15"/>
        <v>Wigan</v>
      </c>
      <c r="T193" s="64">
        <f t="shared" ca="1" si="8"/>
        <v>3</v>
      </c>
      <c r="U193" s="64" t="str">
        <f t="shared" si="9"/>
        <v/>
      </c>
      <c r="V193" s="266">
        <f ca="1">IF(OR(D193=0,D193="",D193="Athlete"),"",COUNTIF($D$4:$D193,D193))</f>
        <v>2</v>
      </c>
    </row>
    <row r="194" spans="4:22" hidden="1" x14ac:dyDescent="0.35">
      <c r="D194" s="85" t="str">
        <f t="shared" ref="D194:E194" ca="1" si="16">K7</f>
        <v>Luc BRADBURY</v>
      </c>
      <c r="E194" s="85" t="str">
        <f t="shared" ca="1" si="16"/>
        <v>Stock</v>
      </c>
      <c r="T194" s="64">
        <f t="shared" ca="1" si="8"/>
        <v>2</v>
      </c>
      <c r="U194" s="64" t="str">
        <f t="shared" si="9"/>
        <v/>
      </c>
      <c r="V194" s="266">
        <f ca="1">IF(OR(D194=0,D194="",D194="Athlete"),"",COUNTIF($D$4:$D194,D194))</f>
        <v>1</v>
      </c>
    </row>
    <row r="195" spans="4:22" hidden="1" x14ac:dyDescent="0.35">
      <c r="D195" s="85" t="str">
        <f t="shared" ref="D195:E195" ca="1" si="17">K8</f>
        <v>Lucas BEECH</v>
      </c>
      <c r="E195" s="85" t="str">
        <f t="shared" ca="1" si="17"/>
        <v>C&amp;N</v>
      </c>
      <c r="T195" s="64">
        <f t="shared" ca="1" si="8"/>
        <v>3</v>
      </c>
      <c r="U195" s="64" t="str">
        <f t="shared" si="9"/>
        <v/>
      </c>
      <c r="V195" s="266">
        <f ca="1">IF(OR(D195=0,D195="",D195="Athlete"),"",COUNTIF($D$4:$D195,D195))</f>
        <v>2</v>
      </c>
    </row>
    <row r="196" spans="4:22" hidden="1" x14ac:dyDescent="0.35">
      <c r="D196" s="85" t="str">
        <f t="shared" ref="D196:E196" ca="1" si="18">K9</f>
        <v/>
      </c>
      <c r="E196" s="85" t="str">
        <f t="shared" ca="1" si="18"/>
        <v/>
      </c>
      <c r="T196" s="64" t="str">
        <f t="shared" ca="1" si="8"/>
        <v/>
      </c>
      <c r="U196" s="64" t="str">
        <f t="shared" si="9"/>
        <v/>
      </c>
      <c r="V196" s="266" t="str">
        <f ca="1">IF(OR(D196=0,D196="",D196="Athlete"),"",COUNTIF($D$4:$D196,D196))</f>
        <v/>
      </c>
    </row>
    <row r="197" spans="4:22" hidden="1" x14ac:dyDescent="0.35">
      <c r="D197" s="85" t="str">
        <f t="shared" ref="D197:E197" ca="1" si="19">K10</f>
        <v/>
      </c>
      <c r="E197" s="85" t="str">
        <f t="shared" ca="1" si="19"/>
        <v/>
      </c>
      <c r="T197" s="64" t="str">
        <f t="shared" ref="T197:T260" ca="1" si="20">IF(OR(D197=0,D197="",D197="Athlete"),"",COUNTIF($D$4:$D$352,D197))</f>
        <v/>
      </c>
      <c r="U197" s="64" t="str">
        <f t="shared" ref="U197:U260" si="21">IF(OR(K197=0,K197="",K197="Athlete"),"",COUNTIF($D$4:$D$352,K197))</f>
        <v/>
      </c>
      <c r="V197" s="266" t="str">
        <f ca="1">IF(OR(D197=0,D197="",D197="Athlete"),"",COUNTIF($D$4:$D197,D197))</f>
        <v/>
      </c>
    </row>
    <row r="198" spans="4:22" hidden="1" x14ac:dyDescent="0.35">
      <c r="D198" s="85" t="str">
        <f t="shared" ref="D198:E198" ca="1" si="22">K11</f>
        <v/>
      </c>
      <c r="E198" s="85" t="str">
        <f t="shared" ca="1" si="22"/>
        <v/>
      </c>
      <c r="T198" s="64" t="str">
        <f t="shared" ca="1" si="20"/>
        <v/>
      </c>
      <c r="U198" s="64" t="str">
        <f t="shared" si="21"/>
        <v/>
      </c>
      <c r="V198" s="266" t="str">
        <f ca="1">IF(OR(D198=0,D198="",D198="Athlete"),"",COUNTIF($D$4:$D198,D198))</f>
        <v/>
      </c>
    </row>
    <row r="199" spans="4:22" hidden="1" x14ac:dyDescent="0.35">
      <c r="D199" s="85">
        <f t="shared" ref="D199:E199" si="23">K12</f>
        <v>0</v>
      </c>
      <c r="E199" s="85">
        <f t="shared" si="23"/>
        <v>0</v>
      </c>
      <c r="T199" s="64" t="str">
        <f t="shared" si="20"/>
        <v/>
      </c>
      <c r="U199" s="64" t="str">
        <f t="shared" si="21"/>
        <v/>
      </c>
      <c r="V199" s="266" t="str">
        <f>IF(OR(D199=0,D199="",D199="Athlete"),"",COUNTIF($D$4:$D199,D199))</f>
        <v/>
      </c>
    </row>
    <row r="200" spans="4:22" hidden="1" x14ac:dyDescent="0.35">
      <c r="D200" s="85">
        <f t="shared" ref="D200:E200" si="24">K13</f>
        <v>0</v>
      </c>
      <c r="E200" s="85" t="str">
        <f t="shared" si="24"/>
        <v>Wind</v>
      </c>
      <c r="T200" s="64" t="str">
        <f t="shared" si="20"/>
        <v/>
      </c>
      <c r="U200" s="64" t="str">
        <f t="shared" si="21"/>
        <v/>
      </c>
      <c r="V200" s="266" t="str">
        <f>IF(OR(D200=0,D200="",D200="Athlete"),"",COUNTIF($D$4:$D200,D200))</f>
        <v/>
      </c>
    </row>
    <row r="201" spans="4:22" hidden="1" x14ac:dyDescent="0.35">
      <c r="D201" s="85" t="str">
        <f t="shared" ref="D201:E201" ca="1" si="25">K14</f>
        <v>Athlete</v>
      </c>
      <c r="E201" s="85" t="str">
        <f t="shared" ca="1" si="25"/>
        <v>Club</v>
      </c>
      <c r="T201" s="64" t="str">
        <f t="shared" ca="1" si="20"/>
        <v/>
      </c>
      <c r="U201" s="64" t="str">
        <f t="shared" si="21"/>
        <v/>
      </c>
      <c r="V201" s="266" t="str">
        <f ca="1">IF(OR(D201=0,D201="",D201="Athlete"),"",COUNTIF($D$4:$D201,D201))</f>
        <v/>
      </c>
    </row>
    <row r="202" spans="4:22" hidden="1" x14ac:dyDescent="0.35">
      <c r="D202" s="85" t="str">
        <f t="shared" ref="D202:E202" ca="1" si="26">K15</f>
        <v/>
      </c>
      <c r="E202" s="85" t="str">
        <f t="shared" ca="1" si="26"/>
        <v/>
      </c>
      <c r="T202" s="64" t="str">
        <f t="shared" ca="1" si="20"/>
        <v/>
      </c>
      <c r="U202" s="64" t="str">
        <f t="shared" si="21"/>
        <v/>
      </c>
      <c r="V202" s="266" t="str">
        <f ca="1">IF(OR(D202=0,D202="",D202="Athlete"),"",COUNTIF($D$4:$D202,D202))</f>
        <v/>
      </c>
    </row>
    <row r="203" spans="4:22" hidden="1" x14ac:dyDescent="0.35">
      <c r="D203" s="85" t="str">
        <f t="shared" ref="D203:E203" ca="1" si="27">K16</f>
        <v/>
      </c>
      <c r="E203" s="85" t="str">
        <f t="shared" ca="1" si="27"/>
        <v/>
      </c>
      <c r="T203" s="64" t="str">
        <f t="shared" ca="1" si="20"/>
        <v/>
      </c>
      <c r="U203" s="64" t="str">
        <f t="shared" si="21"/>
        <v/>
      </c>
      <c r="V203" s="266" t="str">
        <f ca="1">IF(OR(D203=0,D203="",D203="Athlete"),"",COUNTIF($D$4:$D203,D203))</f>
        <v/>
      </c>
    </row>
    <row r="204" spans="4:22" hidden="1" x14ac:dyDescent="0.35">
      <c r="D204" s="85" t="str">
        <f t="shared" ref="D204:E204" ca="1" si="28">K17</f>
        <v/>
      </c>
      <c r="E204" s="85" t="str">
        <f t="shared" ca="1" si="28"/>
        <v/>
      </c>
      <c r="T204" s="64" t="str">
        <f t="shared" ca="1" si="20"/>
        <v/>
      </c>
      <c r="U204" s="64" t="str">
        <f t="shared" si="21"/>
        <v/>
      </c>
      <c r="V204" s="266" t="str">
        <f ca="1">IF(OR(D204=0,D204="",D204="Athlete"),"",COUNTIF($D$4:$D204,D204))</f>
        <v/>
      </c>
    </row>
    <row r="205" spans="4:22" hidden="1" x14ac:dyDescent="0.35">
      <c r="D205" s="85" t="str">
        <f t="shared" ref="D205:E205" ca="1" si="29">K18</f>
        <v/>
      </c>
      <c r="E205" s="85" t="str">
        <f t="shared" ca="1" si="29"/>
        <v/>
      </c>
      <c r="T205" s="64" t="str">
        <f t="shared" ca="1" si="20"/>
        <v/>
      </c>
      <c r="U205" s="64" t="str">
        <f t="shared" si="21"/>
        <v/>
      </c>
      <c r="V205" s="266" t="str">
        <f ca="1">IF(OR(D205=0,D205="",D205="Athlete"),"",COUNTIF($D$4:$D205,D205))</f>
        <v/>
      </c>
    </row>
    <row r="206" spans="4:22" hidden="1" x14ac:dyDescent="0.35">
      <c r="D206" s="85" t="str">
        <f t="shared" ref="D206:E206" ca="1" si="30">K19</f>
        <v/>
      </c>
      <c r="E206" s="85" t="str">
        <f t="shared" ca="1" si="30"/>
        <v/>
      </c>
      <c r="T206" s="64" t="str">
        <f t="shared" ca="1" si="20"/>
        <v/>
      </c>
      <c r="U206" s="64" t="str">
        <f t="shared" si="21"/>
        <v/>
      </c>
      <c r="V206" s="266" t="str">
        <f ca="1">IF(OR(D206=0,D206="",D206="Athlete"),"",COUNTIF($D$4:$D206,D206))</f>
        <v/>
      </c>
    </row>
    <row r="207" spans="4:22" hidden="1" x14ac:dyDescent="0.35">
      <c r="D207" s="85" t="str">
        <f t="shared" ref="D207:E207" ca="1" si="31">K20</f>
        <v/>
      </c>
      <c r="E207" s="85" t="str">
        <f t="shared" ca="1" si="31"/>
        <v/>
      </c>
      <c r="T207" s="64" t="str">
        <f t="shared" ca="1" si="20"/>
        <v/>
      </c>
      <c r="U207" s="64" t="str">
        <f t="shared" si="21"/>
        <v/>
      </c>
      <c r="V207" s="266" t="str">
        <f ca="1">IF(OR(D207=0,D207="",D207="Athlete"),"",COUNTIF($D$4:$D207,D207))</f>
        <v/>
      </c>
    </row>
    <row r="208" spans="4:22" hidden="1" x14ac:dyDescent="0.35">
      <c r="D208" s="85" t="str">
        <f t="shared" ref="D208:E208" ca="1" si="32">K21</f>
        <v/>
      </c>
      <c r="E208" s="85" t="str">
        <f t="shared" ca="1" si="32"/>
        <v/>
      </c>
      <c r="T208" s="64" t="str">
        <f t="shared" ca="1" si="20"/>
        <v/>
      </c>
      <c r="U208" s="64" t="str">
        <f t="shared" si="21"/>
        <v/>
      </c>
      <c r="V208" s="266" t="str">
        <f ca="1">IF(OR(D208=0,D208="",D208="Athlete"),"",COUNTIF($D$4:$D208,D208))</f>
        <v/>
      </c>
    </row>
    <row r="209" spans="4:22" hidden="1" x14ac:dyDescent="0.35">
      <c r="D209" s="85" t="str">
        <f t="shared" ref="D209:E209" ca="1" si="33">K22</f>
        <v/>
      </c>
      <c r="E209" s="85" t="str">
        <f t="shared" ca="1" si="33"/>
        <v/>
      </c>
      <c r="T209" s="64" t="str">
        <f t="shared" ca="1" si="20"/>
        <v/>
      </c>
      <c r="U209" s="64" t="str">
        <f t="shared" si="21"/>
        <v/>
      </c>
      <c r="V209" s="266" t="str">
        <f ca="1">IF(OR(D209=0,D209="",D209="Athlete"),"",COUNTIF($D$4:$D209,D209))</f>
        <v/>
      </c>
    </row>
    <row r="210" spans="4:22" hidden="1" x14ac:dyDescent="0.35">
      <c r="D210" s="85">
        <f t="shared" ref="D210:E210" si="34">K23</f>
        <v>0</v>
      </c>
      <c r="E210" s="85">
        <f t="shared" si="34"/>
        <v>0</v>
      </c>
      <c r="T210" s="64" t="str">
        <f t="shared" si="20"/>
        <v/>
      </c>
      <c r="U210" s="64" t="str">
        <f t="shared" si="21"/>
        <v/>
      </c>
      <c r="V210" s="266" t="str">
        <f>IF(OR(D210=0,D210="",D210="Athlete"),"",COUNTIF($D$4:$D210,D210))</f>
        <v/>
      </c>
    </row>
    <row r="211" spans="4:22" hidden="1" x14ac:dyDescent="0.35">
      <c r="D211" s="85">
        <f t="shared" ref="D211:E211" si="35">K24</f>
        <v>0</v>
      </c>
      <c r="E211" s="85" t="str">
        <f t="shared" si="35"/>
        <v>Wind</v>
      </c>
      <c r="T211" s="64" t="str">
        <f t="shared" si="20"/>
        <v/>
      </c>
      <c r="U211" s="64" t="str">
        <f t="shared" si="21"/>
        <v/>
      </c>
      <c r="V211" s="266" t="str">
        <f>IF(OR(D211=0,D211="",D211="Athlete"),"",COUNTIF($D$4:$D211,D211))</f>
        <v/>
      </c>
    </row>
    <row r="212" spans="4:22" hidden="1" x14ac:dyDescent="0.35">
      <c r="D212" s="85" t="str">
        <f t="shared" ref="D212:E212" ca="1" si="36">K25</f>
        <v>Athlete</v>
      </c>
      <c r="E212" s="85" t="str">
        <f t="shared" ca="1" si="36"/>
        <v>Club</v>
      </c>
      <c r="T212" s="64" t="str">
        <f t="shared" ca="1" si="20"/>
        <v/>
      </c>
      <c r="U212" s="64" t="str">
        <f t="shared" si="21"/>
        <v/>
      </c>
      <c r="V212" s="266" t="str">
        <f ca="1">IF(OR(D212=0,D212="",D212="Athlete"),"",COUNTIF($D$4:$D212,D212))</f>
        <v/>
      </c>
    </row>
    <row r="213" spans="4:22" hidden="1" x14ac:dyDescent="0.35">
      <c r="D213" s="85" t="str">
        <f t="shared" ref="D213:E213" ca="1" si="37">K26</f>
        <v>Matthew HAYTON</v>
      </c>
      <c r="E213" s="85" t="str">
        <f t="shared" ca="1" si="37"/>
        <v>Wigan</v>
      </c>
      <c r="T213" s="64">
        <f t="shared" ca="1" si="20"/>
        <v>3</v>
      </c>
      <c r="U213" s="64" t="str">
        <f t="shared" si="21"/>
        <v/>
      </c>
      <c r="V213" s="266">
        <f ca="1">IF(OR(D213=0,D213="",D213="Athlete"),"",COUNTIF($D$4:$D213,D213))</f>
        <v>3</v>
      </c>
    </row>
    <row r="214" spans="4:22" hidden="1" x14ac:dyDescent="0.35">
      <c r="D214" s="85" t="str">
        <f t="shared" ref="D214:E214" ca="1" si="38">K27</f>
        <v>Lucas BEECH</v>
      </c>
      <c r="E214" s="85" t="str">
        <f t="shared" ca="1" si="38"/>
        <v>C&amp;N</v>
      </c>
      <c r="T214" s="64">
        <f t="shared" ca="1" si="20"/>
        <v>3</v>
      </c>
      <c r="U214" s="64" t="str">
        <f t="shared" si="21"/>
        <v/>
      </c>
      <c r="V214" s="266">
        <f ca="1">IF(OR(D214=0,D214="",D214="Athlete"),"",COUNTIF($D$4:$D214,D214))</f>
        <v>3</v>
      </c>
    </row>
    <row r="215" spans="4:22" hidden="1" x14ac:dyDescent="0.35">
      <c r="D215" s="85" t="str">
        <f t="shared" ref="D215:E215" ca="1" si="39">K28</f>
        <v>James ROOK</v>
      </c>
      <c r="E215" s="85" t="str">
        <f t="shared" ca="1" si="39"/>
        <v>ECHT</v>
      </c>
      <c r="T215" s="64">
        <f t="shared" ca="1" si="20"/>
        <v>2</v>
      </c>
      <c r="U215" s="64" t="str">
        <f t="shared" si="21"/>
        <v/>
      </c>
      <c r="V215" s="266">
        <f ca="1">IF(OR(D215=0,D215="",D215="Athlete"),"",COUNTIF($D$4:$D215,D215))</f>
        <v>2</v>
      </c>
    </row>
    <row r="216" spans="4:22" hidden="1" x14ac:dyDescent="0.35">
      <c r="D216" s="85" t="str">
        <f t="shared" ref="D216:E216" ca="1" si="40">K29</f>
        <v>Oliver STEWART</v>
      </c>
      <c r="E216" s="85" t="str">
        <f t="shared" ca="1" si="40"/>
        <v>Macc</v>
      </c>
      <c r="T216" s="64">
        <f t="shared" ca="1" si="20"/>
        <v>2</v>
      </c>
      <c r="U216" s="64" t="str">
        <f t="shared" si="21"/>
        <v/>
      </c>
      <c r="V216" s="266">
        <f ca="1">IF(OR(D216=0,D216="",D216="Athlete"),"",COUNTIF($D$4:$D216,D216))</f>
        <v>2</v>
      </c>
    </row>
    <row r="217" spans="4:22" hidden="1" x14ac:dyDescent="0.35">
      <c r="D217" s="85" t="str">
        <f t="shared" ref="D217:E217" ca="1" si="41">K30</f>
        <v>Luc BRADBURY</v>
      </c>
      <c r="E217" s="85" t="str">
        <f t="shared" ca="1" si="41"/>
        <v>Stock</v>
      </c>
      <c r="T217" s="64">
        <f t="shared" ca="1" si="20"/>
        <v>2</v>
      </c>
      <c r="U217" s="64" t="str">
        <f t="shared" si="21"/>
        <v/>
      </c>
      <c r="V217" s="266">
        <f ca="1">IF(OR(D217=0,D217="",D217="Athlete"),"",COUNTIF($D$4:$D217,D217))</f>
        <v>2</v>
      </c>
    </row>
    <row r="218" spans="4:22" hidden="1" x14ac:dyDescent="0.35">
      <c r="D218" s="85" t="str">
        <f t="shared" ref="D218:E218" ca="1" si="42">K31</f>
        <v>Barnaby CROMBLEHOLME</v>
      </c>
      <c r="E218" s="85" t="str">
        <f t="shared" ca="1" si="42"/>
        <v>Leigh</v>
      </c>
      <c r="T218" s="64">
        <f t="shared" ca="1" si="20"/>
        <v>3</v>
      </c>
      <c r="U218" s="64" t="str">
        <f t="shared" si="21"/>
        <v/>
      </c>
      <c r="V218" s="266">
        <f ca="1">IF(OR(D218=0,D218="",D218="Athlete"),"",COUNTIF($D$4:$D218,D218))</f>
        <v>3</v>
      </c>
    </row>
    <row r="219" spans="4:22" hidden="1" x14ac:dyDescent="0.35">
      <c r="D219" s="85" t="str">
        <f t="shared" ref="D219:E219" ca="1" si="43">K32</f>
        <v/>
      </c>
      <c r="E219" s="85" t="str">
        <f t="shared" ca="1" si="43"/>
        <v/>
      </c>
      <c r="T219" s="64" t="str">
        <f t="shared" ca="1" si="20"/>
        <v/>
      </c>
      <c r="U219" s="64" t="str">
        <f t="shared" si="21"/>
        <v/>
      </c>
      <c r="V219" s="266" t="str">
        <f ca="1">IF(OR(D219=0,D219="",D219="Athlete"),"",COUNTIF($D$4:$D219,D219))</f>
        <v/>
      </c>
    </row>
    <row r="220" spans="4:22" hidden="1" x14ac:dyDescent="0.35">
      <c r="D220" s="85" t="str">
        <f t="shared" ref="D220:E220" ca="1" si="44">K33</f>
        <v/>
      </c>
      <c r="E220" s="85" t="str">
        <f t="shared" ca="1" si="44"/>
        <v/>
      </c>
      <c r="T220" s="64" t="str">
        <f t="shared" ca="1" si="20"/>
        <v/>
      </c>
      <c r="U220" s="64" t="str">
        <f t="shared" si="21"/>
        <v/>
      </c>
      <c r="V220" s="266" t="str">
        <f ca="1">IF(OR(D220=0,D220="",D220="Athlete"),"",COUNTIF($D$4:$D220,D220))</f>
        <v/>
      </c>
    </row>
    <row r="221" spans="4:22" hidden="1" x14ac:dyDescent="0.35">
      <c r="D221" s="85">
        <f t="shared" ref="D221:E221" si="45">K34</f>
        <v>0</v>
      </c>
      <c r="E221" s="85">
        <f t="shared" si="45"/>
        <v>0</v>
      </c>
      <c r="T221" s="64" t="str">
        <f t="shared" si="20"/>
        <v/>
      </c>
      <c r="U221" s="64" t="str">
        <f t="shared" si="21"/>
        <v/>
      </c>
      <c r="V221" s="266" t="str">
        <f>IF(OR(D221=0,D221="",D221="Athlete"),"",COUNTIF($D$4:$D221,D221))</f>
        <v/>
      </c>
    </row>
    <row r="222" spans="4:22" hidden="1" x14ac:dyDescent="0.35">
      <c r="D222" s="85">
        <f t="shared" ref="D222:E222" si="46">K35</f>
        <v>0</v>
      </c>
      <c r="E222" s="85">
        <f t="shared" si="46"/>
        <v>0</v>
      </c>
      <c r="T222" s="64" t="str">
        <f t="shared" si="20"/>
        <v/>
      </c>
      <c r="U222" s="64" t="str">
        <f t="shared" si="21"/>
        <v/>
      </c>
      <c r="V222" s="266" t="str">
        <f>IF(OR(D222=0,D222="",D222="Athlete"),"",COUNTIF($D$4:$D222,D222))</f>
        <v/>
      </c>
    </row>
    <row r="223" spans="4:22" hidden="1" x14ac:dyDescent="0.35">
      <c r="D223" s="85" t="str">
        <f t="shared" ref="D223:E223" ca="1" si="47">K36</f>
        <v>Athlete</v>
      </c>
      <c r="E223" s="85" t="str">
        <f t="shared" ca="1" si="47"/>
        <v>Club</v>
      </c>
      <c r="T223" s="64" t="str">
        <f t="shared" ca="1" si="20"/>
        <v/>
      </c>
      <c r="U223" s="64" t="str">
        <f t="shared" si="21"/>
        <v/>
      </c>
      <c r="V223" s="266" t="str">
        <f ca="1">IF(OR(D223=0,D223="",D223="Athlete"),"",COUNTIF($D$4:$D223,D223))</f>
        <v/>
      </c>
    </row>
    <row r="224" spans="4:22" hidden="1" x14ac:dyDescent="0.35">
      <c r="D224" s="85" t="str">
        <f t="shared" ref="D224:E224" ca="1" si="48">K37</f>
        <v>Joshua KANDA</v>
      </c>
      <c r="E224" s="85" t="str">
        <f t="shared" ca="1" si="48"/>
        <v>Stock</v>
      </c>
      <c r="T224" s="64">
        <f t="shared" ca="1" si="20"/>
        <v>2</v>
      </c>
      <c r="U224" s="64" t="str">
        <f t="shared" si="21"/>
        <v/>
      </c>
      <c r="V224" s="266">
        <f ca="1">IF(OR(D224=0,D224="",D224="Athlete"),"",COUNTIF($D$4:$D224,D224))</f>
        <v>2</v>
      </c>
    </row>
    <row r="225" spans="4:22" hidden="1" x14ac:dyDescent="0.35">
      <c r="D225" s="85" t="str">
        <f t="shared" ref="D225:E225" ca="1" si="49">K38</f>
        <v>Sebastian STEWART</v>
      </c>
      <c r="E225" s="85" t="str">
        <f t="shared" ca="1" si="49"/>
        <v>ECHT</v>
      </c>
      <c r="T225" s="64">
        <f t="shared" ca="1" si="20"/>
        <v>3</v>
      </c>
      <c r="U225" s="64" t="str">
        <f t="shared" si="21"/>
        <v/>
      </c>
      <c r="V225" s="266">
        <f ca="1">IF(OR(D225=0,D225="",D225="Athlete"),"",COUNTIF($D$4:$D225,D225))</f>
        <v>2</v>
      </c>
    </row>
    <row r="226" spans="4:22" hidden="1" x14ac:dyDescent="0.35">
      <c r="D226" s="85" t="str">
        <f t="shared" ref="D226:E226" ca="1" si="50">K39</f>
        <v>Sam FIRMAN</v>
      </c>
      <c r="E226" s="85" t="str">
        <f t="shared" ca="1" si="50"/>
        <v>C&amp;N</v>
      </c>
      <c r="T226" s="64">
        <f t="shared" ca="1" si="20"/>
        <v>3</v>
      </c>
      <c r="U226" s="64" t="str">
        <f t="shared" si="21"/>
        <v/>
      </c>
      <c r="V226" s="266">
        <f ca="1">IF(OR(D226=0,D226="",D226="Athlete"),"",COUNTIF($D$4:$D226,D226))</f>
        <v>1</v>
      </c>
    </row>
    <row r="227" spans="4:22" hidden="1" x14ac:dyDescent="0.35">
      <c r="D227" s="85" t="str">
        <f t="shared" ref="D227:E227" ca="1" si="51">K40</f>
        <v/>
      </c>
      <c r="E227" s="85" t="str">
        <f t="shared" ca="1" si="51"/>
        <v/>
      </c>
      <c r="T227" s="64" t="str">
        <f t="shared" ca="1" si="20"/>
        <v/>
      </c>
      <c r="U227" s="64" t="str">
        <f t="shared" si="21"/>
        <v/>
      </c>
      <c r="V227" s="266" t="str">
        <f ca="1">IF(OR(D227=0,D227="",D227="Athlete"),"",COUNTIF($D$4:$D227,D227))</f>
        <v/>
      </c>
    </row>
    <row r="228" spans="4:22" hidden="1" x14ac:dyDescent="0.35">
      <c r="D228" s="85" t="str">
        <f t="shared" ref="D228:E228" ca="1" si="52">K41</f>
        <v/>
      </c>
      <c r="E228" s="85" t="str">
        <f t="shared" ca="1" si="52"/>
        <v/>
      </c>
      <c r="T228" s="64" t="str">
        <f t="shared" ca="1" si="20"/>
        <v/>
      </c>
      <c r="U228" s="64" t="str">
        <f t="shared" si="21"/>
        <v/>
      </c>
      <c r="V228" s="266" t="str">
        <f ca="1">IF(OR(D228=0,D228="",D228="Athlete"),"",COUNTIF($D$4:$D228,D228))</f>
        <v/>
      </c>
    </row>
    <row r="229" spans="4:22" hidden="1" x14ac:dyDescent="0.35">
      <c r="D229" s="85" t="str">
        <f t="shared" ref="D229:E229" ca="1" si="53">K42</f>
        <v/>
      </c>
      <c r="E229" s="85" t="str">
        <f t="shared" ca="1" si="53"/>
        <v/>
      </c>
      <c r="T229" s="64" t="str">
        <f t="shared" ca="1" si="20"/>
        <v/>
      </c>
      <c r="U229" s="64" t="str">
        <f t="shared" si="21"/>
        <v/>
      </c>
      <c r="V229" s="266" t="str">
        <f ca="1">IF(OR(D229=0,D229="",D229="Athlete"),"",COUNTIF($D$4:$D229,D229))</f>
        <v/>
      </c>
    </row>
    <row r="230" spans="4:22" hidden="1" x14ac:dyDescent="0.35">
      <c r="D230" s="85" t="str">
        <f t="shared" ref="D230:E230" ca="1" si="54">K43</f>
        <v/>
      </c>
      <c r="E230" s="85" t="str">
        <f t="shared" ca="1" si="54"/>
        <v/>
      </c>
      <c r="T230" s="64" t="str">
        <f t="shared" ca="1" si="20"/>
        <v/>
      </c>
      <c r="U230" s="64" t="str">
        <f t="shared" si="21"/>
        <v/>
      </c>
      <c r="V230" s="266" t="str">
        <f ca="1">IF(OR(D230=0,D230="",D230="Athlete"),"",COUNTIF($D$4:$D230,D230))</f>
        <v/>
      </c>
    </row>
    <row r="231" spans="4:22" hidden="1" x14ac:dyDescent="0.35">
      <c r="D231" s="85" t="str">
        <f t="shared" ref="D231:E231" ca="1" si="55">K44</f>
        <v/>
      </c>
      <c r="E231" s="85" t="str">
        <f t="shared" ca="1" si="55"/>
        <v/>
      </c>
      <c r="T231" s="64" t="str">
        <f t="shared" ca="1" si="20"/>
        <v/>
      </c>
      <c r="U231" s="64" t="str">
        <f t="shared" si="21"/>
        <v/>
      </c>
      <c r="V231" s="266" t="str">
        <f ca="1">IF(OR(D231=0,D231="",D231="Athlete"),"",COUNTIF($D$4:$D231,D231))</f>
        <v/>
      </c>
    </row>
    <row r="232" spans="4:22" hidden="1" x14ac:dyDescent="0.35">
      <c r="D232" s="85">
        <f t="shared" ref="D232:E232" si="56">K45</f>
        <v>0</v>
      </c>
      <c r="E232" s="85">
        <f t="shared" si="56"/>
        <v>0</v>
      </c>
      <c r="T232" s="64" t="str">
        <f t="shared" si="20"/>
        <v/>
      </c>
      <c r="U232" s="64" t="str">
        <f t="shared" si="21"/>
        <v/>
      </c>
      <c r="V232" s="266" t="str">
        <f>IF(OR(D232=0,D232="",D232="Athlete"),"",COUNTIF($D$4:$D232,D232))</f>
        <v/>
      </c>
    </row>
    <row r="233" spans="4:22" hidden="1" x14ac:dyDescent="0.35">
      <c r="D233" s="85">
        <f t="shared" ref="D233:E233" si="57">K46</f>
        <v>0</v>
      </c>
      <c r="E233" s="85">
        <f t="shared" si="57"/>
        <v>0</v>
      </c>
      <c r="T233" s="64" t="str">
        <f t="shared" si="20"/>
        <v/>
      </c>
      <c r="U233" s="64" t="str">
        <f t="shared" si="21"/>
        <v/>
      </c>
      <c r="V233" s="266" t="str">
        <f>IF(OR(D233=0,D233="",D233="Athlete"),"",COUNTIF($D$4:$D233,D233))</f>
        <v/>
      </c>
    </row>
    <row r="234" spans="4:22" hidden="1" x14ac:dyDescent="0.35">
      <c r="D234" s="85" t="str">
        <f t="shared" ref="D234:E234" ca="1" si="58">K47</f>
        <v>Athlete</v>
      </c>
      <c r="E234" s="85" t="str">
        <f t="shared" ca="1" si="58"/>
        <v>Club</v>
      </c>
      <c r="T234" s="64" t="str">
        <f t="shared" ca="1" si="20"/>
        <v/>
      </c>
      <c r="U234" s="64" t="str">
        <f t="shared" si="21"/>
        <v/>
      </c>
      <c r="V234" s="266" t="str">
        <f ca="1">IF(OR(D234=0,D234="",D234="Athlete"),"",COUNTIF($D$4:$D234,D234))</f>
        <v/>
      </c>
    </row>
    <row r="235" spans="4:22" hidden="1" x14ac:dyDescent="0.35">
      <c r="D235" s="85" t="str">
        <f t="shared" ref="D235:E235" ca="1" si="59">K48</f>
        <v>Archer GILDART</v>
      </c>
      <c r="E235" s="85" t="str">
        <f t="shared" ca="1" si="59"/>
        <v>Leigh</v>
      </c>
      <c r="T235" s="64">
        <f t="shared" ca="1" si="20"/>
        <v>3</v>
      </c>
      <c r="U235" s="64" t="str">
        <f t="shared" si="21"/>
        <v/>
      </c>
      <c r="V235" s="266">
        <f ca="1">IF(OR(D235=0,D235="",D235="Athlete"),"",COUNTIF($D$4:$D235,D235))</f>
        <v>3</v>
      </c>
    </row>
    <row r="236" spans="4:22" hidden="1" x14ac:dyDescent="0.35">
      <c r="D236" s="85" t="str">
        <f t="shared" ref="D236:E236" ca="1" si="60">K49</f>
        <v>Sebastian STEWART</v>
      </c>
      <c r="E236" s="85" t="str">
        <f t="shared" ca="1" si="60"/>
        <v>ECHT</v>
      </c>
      <c r="T236" s="64">
        <f t="shared" ca="1" si="20"/>
        <v>3</v>
      </c>
      <c r="U236" s="64" t="str">
        <f t="shared" si="21"/>
        <v/>
      </c>
      <c r="V236" s="266">
        <f ca="1">IF(OR(D236=0,D236="",D236="Athlete"),"",COUNTIF($D$4:$D236,D236))</f>
        <v>3</v>
      </c>
    </row>
    <row r="237" spans="4:22" hidden="1" x14ac:dyDescent="0.35">
      <c r="D237" s="85" t="str">
        <f t="shared" ref="D237:E237" ca="1" si="61">K50</f>
        <v>Sam FIRMAN</v>
      </c>
      <c r="E237" s="85" t="str">
        <f t="shared" ca="1" si="61"/>
        <v>C&amp;N</v>
      </c>
      <c r="T237" s="64">
        <f t="shared" ca="1" si="20"/>
        <v>3</v>
      </c>
      <c r="U237" s="64" t="str">
        <f t="shared" si="21"/>
        <v/>
      </c>
      <c r="V237" s="266">
        <f ca="1">IF(OR(D237=0,D237="",D237="Athlete"),"",COUNTIF($D$4:$D237,D237))</f>
        <v>2</v>
      </c>
    </row>
    <row r="238" spans="4:22" hidden="1" x14ac:dyDescent="0.35">
      <c r="D238" s="85" t="str">
        <f t="shared" ref="D238:E238" ca="1" si="62">K51</f>
        <v>Douglas POINTON</v>
      </c>
      <c r="E238" s="85" t="str">
        <f t="shared" ca="1" si="62"/>
        <v>Macc</v>
      </c>
      <c r="T238" s="64">
        <f t="shared" ca="1" si="20"/>
        <v>2</v>
      </c>
      <c r="U238" s="64" t="str">
        <f t="shared" si="21"/>
        <v/>
      </c>
      <c r="V238" s="266">
        <f ca="1">IF(OR(D238=0,D238="",D238="Athlete"),"",COUNTIF($D$4:$D238,D238))</f>
        <v>2</v>
      </c>
    </row>
    <row r="239" spans="4:22" hidden="1" x14ac:dyDescent="0.35">
      <c r="D239" s="85" t="str">
        <f t="shared" ref="D239:E239" ca="1" si="63">K52</f>
        <v/>
      </c>
      <c r="E239" s="85" t="str">
        <f t="shared" ca="1" si="63"/>
        <v/>
      </c>
      <c r="T239" s="64" t="str">
        <f t="shared" ca="1" si="20"/>
        <v/>
      </c>
      <c r="U239" s="64" t="str">
        <f t="shared" si="21"/>
        <v/>
      </c>
      <c r="V239" s="266" t="str">
        <f ca="1">IF(OR(D239=0,D239="",D239="Athlete"),"",COUNTIF($D$4:$D239,D239))</f>
        <v/>
      </c>
    </row>
    <row r="240" spans="4:22" hidden="1" x14ac:dyDescent="0.35">
      <c r="D240" s="85" t="str">
        <f t="shared" ref="D240:E240" ca="1" si="64">K53</f>
        <v/>
      </c>
      <c r="E240" s="85" t="str">
        <f t="shared" ca="1" si="64"/>
        <v/>
      </c>
      <c r="T240" s="64" t="str">
        <f t="shared" ca="1" si="20"/>
        <v/>
      </c>
      <c r="U240" s="64" t="str">
        <f t="shared" si="21"/>
        <v/>
      </c>
      <c r="V240" s="266" t="str">
        <f ca="1">IF(OR(D240=0,D240="",D240="Athlete"),"",COUNTIF($D$4:$D240,D240))</f>
        <v/>
      </c>
    </row>
    <row r="241" spans="4:22" hidden="1" x14ac:dyDescent="0.35">
      <c r="D241" s="85" t="str">
        <f t="shared" ref="D241:E241" ca="1" si="65">K54</f>
        <v/>
      </c>
      <c r="E241" s="85" t="str">
        <f t="shared" ca="1" si="65"/>
        <v/>
      </c>
      <c r="T241" s="64" t="str">
        <f t="shared" ca="1" si="20"/>
        <v/>
      </c>
      <c r="U241" s="64" t="str">
        <f t="shared" si="21"/>
        <v/>
      </c>
      <c r="V241" s="266" t="str">
        <f ca="1">IF(OR(D241=0,D241="",D241="Athlete"),"",COUNTIF($D$4:$D241,D241))</f>
        <v/>
      </c>
    </row>
    <row r="242" spans="4:22" hidden="1" x14ac:dyDescent="0.35">
      <c r="D242" s="85" t="str">
        <f t="shared" ref="D242:E242" ca="1" si="66">K55</f>
        <v/>
      </c>
      <c r="E242" s="85" t="str">
        <f t="shared" ca="1" si="66"/>
        <v/>
      </c>
      <c r="T242" s="64" t="str">
        <f t="shared" ca="1" si="20"/>
        <v/>
      </c>
      <c r="U242" s="64" t="str">
        <f t="shared" si="21"/>
        <v/>
      </c>
      <c r="V242" s="266" t="str">
        <f ca="1">IF(OR(D242=0,D242="",D242="Athlete"),"",COUNTIF($D$4:$D242,D242))</f>
        <v/>
      </c>
    </row>
    <row r="243" spans="4:22" hidden="1" x14ac:dyDescent="0.35">
      <c r="D243" s="85">
        <f t="shared" ref="D243:E243" si="67">K56</f>
        <v>0</v>
      </c>
      <c r="E243" s="85">
        <f t="shared" si="67"/>
        <v>0</v>
      </c>
      <c r="T243" s="64" t="str">
        <f t="shared" si="20"/>
        <v/>
      </c>
      <c r="U243" s="64" t="str">
        <f t="shared" si="21"/>
        <v/>
      </c>
      <c r="V243" s="266" t="str">
        <f>IF(OR(D243=0,D243="",D243="Athlete"),"",COUNTIF($D$4:$D243,D243))</f>
        <v/>
      </c>
    </row>
    <row r="244" spans="4:22" hidden="1" x14ac:dyDescent="0.35">
      <c r="D244" s="85">
        <f t="shared" ref="D244:E244" si="68">K57</f>
        <v>0</v>
      </c>
      <c r="E244" s="85">
        <f t="shared" si="68"/>
        <v>0</v>
      </c>
      <c r="T244" s="64" t="str">
        <f t="shared" si="20"/>
        <v/>
      </c>
      <c r="U244" s="64" t="str">
        <f t="shared" si="21"/>
        <v/>
      </c>
      <c r="V244" s="266" t="str">
        <f>IF(OR(D244=0,D244="",D244="Athlete"),"",COUNTIF($D$4:$D244,D244))</f>
        <v/>
      </c>
    </row>
    <row r="245" spans="4:22" hidden="1" x14ac:dyDescent="0.35">
      <c r="D245" s="85" t="str">
        <f t="shared" ref="D245:E245" ca="1" si="69">K58</f>
        <v>Athlete</v>
      </c>
      <c r="E245" s="85" t="str">
        <f t="shared" ca="1" si="69"/>
        <v>Club</v>
      </c>
      <c r="T245" s="64" t="str">
        <f t="shared" ca="1" si="20"/>
        <v/>
      </c>
      <c r="U245" s="64" t="str">
        <f t="shared" si="21"/>
        <v/>
      </c>
      <c r="V245" s="266" t="str">
        <f ca="1">IF(OR(D245=0,D245="",D245="Athlete"),"",COUNTIF($D$4:$D245,D245))</f>
        <v/>
      </c>
    </row>
    <row r="246" spans="4:22" hidden="1" x14ac:dyDescent="0.35">
      <c r="D246" s="85" t="str">
        <f t="shared" ref="D246:E246" ca="1" si="70">K59</f>
        <v/>
      </c>
      <c r="E246" s="85" t="str">
        <f t="shared" ca="1" si="70"/>
        <v>No Competitors</v>
      </c>
      <c r="T246" s="64" t="str">
        <f t="shared" ca="1" si="20"/>
        <v/>
      </c>
      <c r="U246" s="64" t="str">
        <f t="shared" si="21"/>
        <v/>
      </c>
      <c r="V246" s="266" t="str">
        <f ca="1">IF(OR(D246=0,D246="",D246="Athlete"),"",COUNTIF($D$4:$D246,D246))</f>
        <v/>
      </c>
    </row>
    <row r="247" spans="4:22" hidden="1" x14ac:dyDescent="0.35">
      <c r="D247" s="85" t="str">
        <f t="shared" ref="D247:E247" ca="1" si="71">K60</f>
        <v/>
      </c>
      <c r="E247" s="85" t="str">
        <f t="shared" ca="1" si="71"/>
        <v/>
      </c>
      <c r="T247" s="64" t="str">
        <f t="shared" ca="1" si="20"/>
        <v/>
      </c>
      <c r="U247" s="64" t="str">
        <f t="shared" si="21"/>
        <v/>
      </c>
      <c r="V247" s="266" t="str">
        <f ca="1">IF(OR(D247=0,D247="",D247="Athlete"),"",COUNTIF($D$4:$D247,D247))</f>
        <v/>
      </c>
    </row>
    <row r="248" spans="4:22" hidden="1" x14ac:dyDescent="0.35">
      <c r="D248" s="85" t="str">
        <f t="shared" ref="D248:E248" ca="1" si="72">K61</f>
        <v/>
      </c>
      <c r="E248" s="85" t="str">
        <f t="shared" ca="1" si="72"/>
        <v/>
      </c>
      <c r="T248" s="64" t="str">
        <f t="shared" ca="1" si="20"/>
        <v/>
      </c>
      <c r="U248" s="64" t="str">
        <f t="shared" si="21"/>
        <v/>
      </c>
      <c r="V248" s="266" t="str">
        <f ca="1">IF(OR(D248=0,D248="",D248="Athlete"),"",COUNTIF($D$4:$D248,D248))</f>
        <v/>
      </c>
    </row>
    <row r="249" spans="4:22" hidden="1" x14ac:dyDescent="0.35">
      <c r="D249" s="85" t="str">
        <f t="shared" ref="D249:E249" ca="1" si="73">K62</f>
        <v/>
      </c>
      <c r="E249" s="85" t="str">
        <f t="shared" ca="1" si="73"/>
        <v/>
      </c>
      <c r="T249" s="64" t="str">
        <f t="shared" ca="1" si="20"/>
        <v/>
      </c>
      <c r="U249" s="64" t="str">
        <f t="shared" si="21"/>
        <v/>
      </c>
      <c r="V249" s="266" t="str">
        <f ca="1">IF(OR(D249=0,D249="",D249="Athlete"),"",COUNTIF($D$4:$D249,D249))</f>
        <v/>
      </c>
    </row>
    <row r="250" spans="4:22" hidden="1" x14ac:dyDescent="0.35">
      <c r="D250" s="85" t="str">
        <f t="shared" ref="D250:E250" ca="1" si="74">K63</f>
        <v/>
      </c>
      <c r="E250" s="85" t="str">
        <f t="shared" ca="1" si="74"/>
        <v/>
      </c>
      <c r="T250" s="64" t="str">
        <f t="shared" ca="1" si="20"/>
        <v/>
      </c>
      <c r="U250" s="64" t="str">
        <f t="shared" si="21"/>
        <v/>
      </c>
      <c r="V250" s="266" t="str">
        <f ca="1">IF(OR(D250=0,D250="",D250="Athlete"),"",COUNTIF($D$4:$D250,D250))</f>
        <v/>
      </c>
    </row>
    <row r="251" spans="4:22" hidden="1" x14ac:dyDescent="0.35">
      <c r="D251" s="85" t="str">
        <f t="shared" ref="D251:E251" ca="1" si="75">K64</f>
        <v/>
      </c>
      <c r="E251" s="85" t="str">
        <f t="shared" ca="1" si="75"/>
        <v/>
      </c>
      <c r="T251" s="64" t="str">
        <f t="shared" ca="1" si="20"/>
        <v/>
      </c>
      <c r="U251" s="64" t="str">
        <f t="shared" si="21"/>
        <v/>
      </c>
      <c r="V251" s="266" t="str">
        <f ca="1">IF(OR(D251=0,D251="",D251="Athlete"),"",COUNTIF($D$4:$D251,D251))</f>
        <v/>
      </c>
    </row>
    <row r="252" spans="4:22" hidden="1" x14ac:dyDescent="0.35">
      <c r="D252" s="85" t="str">
        <f t="shared" ref="D252:E252" ca="1" si="76">K65</f>
        <v/>
      </c>
      <c r="E252" s="85" t="str">
        <f t="shared" ca="1" si="76"/>
        <v/>
      </c>
      <c r="T252" s="64" t="str">
        <f t="shared" ca="1" si="20"/>
        <v/>
      </c>
      <c r="U252" s="64" t="str">
        <f t="shared" si="21"/>
        <v/>
      </c>
      <c r="V252" s="266" t="str">
        <f ca="1">IF(OR(D252=0,D252="",D252="Athlete"),"",COUNTIF($D$4:$D252,D252))</f>
        <v/>
      </c>
    </row>
    <row r="253" spans="4:22" hidden="1" x14ac:dyDescent="0.35">
      <c r="D253" s="85" t="str">
        <f t="shared" ref="D253:E253" ca="1" si="77">K66</f>
        <v/>
      </c>
      <c r="E253" s="85" t="str">
        <f t="shared" ca="1" si="77"/>
        <v/>
      </c>
      <c r="T253" s="64" t="str">
        <f t="shared" ca="1" si="20"/>
        <v/>
      </c>
      <c r="U253" s="64" t="str">
        <f t="shared" si="21"/>
        <v/>
      </c>
      <c r="V253" s="266" t="str">
        <f ca="1">IF(OR(D253=0,D253="",D253="Athlete"),"",COUNTIF($D$4:$D253,D253))</f>
        <v/>
      </c>
    </row>
    <row r="254" spans="4:22" hidden="1" x14ac:dyDescent="0.35">
      <c r="D254" s="85">
        <f t="shared" ref="D254:E254" si="78">K67</f>
        <v>0</v>
      </c>
      <c r="E254" s="85">
        <f t="shared" si="78"/>
        <v>0</v>
      </c>
      <c r="T254" s="64" t="str">
        <f t="shared" si="20"/>
        <v/>
      </c>
      <c r="U254" s="64" t="str">
        <f t="shared" si="21"/>
        <v/>
      </c>
      <c r="V254" s="266" t="str">
        <f>IF(OR(D254=0,D254="",D254="Athlete"),"",COUNTIF($D$4:$D254,D254))</f>
        <v/>
      </c>
    </row>
    <row r="255" spans="4:22" hidden="1" x14ac:dyDescent="0.35">
      <c r="D255" s="85">
        <f t="shared" ref="D255:E255" si="79">K68</f>
        <v>0</v>
      </c>
      <c r="E255" s="85">
        <f t="shared" si="79"/>
        <v>0</v>
      </c>
      <c r="T255" s="64" t="str">
        <f t="shared" si="20"/>
        <v/>
      </c>
      <c r="U255" s="64" t="str">
        <f t="shared" si="21"/>
        <v/>
      </c>
      <c r="V255" s="266" t="str">
        <f>IF(OR(D255=0,D255="",D255="Athlete"),"",COUNTIF($D$4:$D255,D255))</f>
        <v/>
      </c>
    </row>
    <row r="256" spans="4:22" hidden="1" x14ac:dyDescent="0.35">
      <c r="D256" s="85" t="str">
        <f t="shared" ref="D256:E256" ca="1" si="80">K69</f>
        <v>Athlete</v>
      </c>
      <c r="E256" s="85" t="str">
        <f t="shared" ca="1" si="80"/>
        <v>Club</v>
      </c>
      <c r="T256" s="64" t="str">
        <f t="shared" ca="1" si="20"/>
        <v/>
      </c>
      <c r="U256" s="64" t="str">
        <f t="shared" si="21"/>
        <v/>
      </c>
      <c r="V256" s="266" t="str">
        <f ca="1">IF(OR(D256=0,D256="",D256="Athlete"),"",COUNTIF($D$4:$D256,D256))</f>
        <v/>
      </c>
    </row>
    <row r="257" spans="4:22" hidden="1" x14ac:dyDescent="0.35">
      <c r="D257" s="85" t="str">
        <f t="shared" ref="D257:E257" ca="1" si="81">K70</f>
        <v>Bobby TOMLINSON</v>
      </c>
      <c r="E257" s="85" t="str">
        <f t="shared" ca="1" si="81"/>
        <v>Macc</v>
      </c>
      <c r="T257" s="64">
        <f t="shared" ca="1" si="20"/>
        <v>1</v>
      </c>
      <c r="U257" s="64" t="str">
        <f t="shared" si="21"/>
        <v/>
      </c>
      <c r="V257" s="266">
        <f ca="1">IF(OR(D257=0,D257="",D257="Athlete"),"",COUNTIF($D$4:$D257,D257))</f>
        <v>1</v>
      </c>
    </row>
    <row r="258" spans="4:22" hidden="1" x14ac:dyDescent="0.35">
      <c r="D258" s="85" t="str">
        <f t="shared" ref="D258:E258" ca="1" si="82">K71</f>
        <v>Oliver WALKER</v>
      </c>
      <c r="E258" s="85" t="str">
        <f t="shared" ca="1" si="82"/>
        <v>ECHT</v>
      </c>
      <c r="T258" s="64">
        <f t="shared" ca="1" si="20"/>
        <v>1</v>
      </c>
      <c r="U258" s="64" t="str">
        <f t="shared" si="21"/>
        <v/>
      </c>
      <c r="V258" s="266">
        <f ca="1">IF(OR(D258=0,D258="",D258="Athlete"),"",COUNTIF($D$4:$D258,D258))</f>
        <v>1</v>
      </c>
    </row>
    <row r="259" spans="4:22" hidden="1" x14ac:dyDescent="0.35">
      <c r="D259" s="85" t="str">
        <f t="shared" ref="D259:E259" ca="1" si="83">K72</f>
        <v>William GUY</v>
      </c>
      <c r="E259" s="85" t="str">
        <f t="shared" ca="1" si="83"/>
        <v>Leigh</v>
      </c>
      <c r="T259" s="64">
        <f t="shared" ca="1" si="20"/>
        <v>1</v>
      </c>
      <c r="U259" s="64" t="str">
        <f t="shared" si="21"/>
        <v/>
      </c>
      <c r="V259" s="266">
        <f ca="1">IF(OR(D259=0,D259="",D259="Athlete"),"",COUNTIF($D$4:$D259,D259))</f>
        <v>1</v>
      </c>
    </row>
    <row r="260" spans="4:22" hidden="1" x14ac:dyDescent="0.35">
      <c r="D260" s="85" t="str">
        <f t="shared" ref="D260:E260" ca="1" si="84">K73</f>
        <v/>
      </c>
      <c r="E260" s="85" t="str">
        <f t="shared" ca="1" si="84"/>
        <v/>
      </c>
      <c r="T260" s="64" t="str">
        <f t="shared" ca="1" si="20"/>
        <v/>
      </c>
      <c r="U260" s="64" t="str">
        <f t="shared" si="21"/>
        <v/>
      </c>
      <c r="V260" s="266" t="str">
        <f ca="1">IF(OR(D260=0,D260="",D260="Athlete"),"",COUNTIF($D$4:$D260,D260))</f>
        <v/>
      </c>
    </row>
    <row r="261" spans="4:22" hidden="1" x14ac:dyDescent="0.35">
      <c r="D261" s="85" t="str">
        <f t="shared" ref="D261:E261" ca="1" si="85">K74</f>
        <v/>
      </c>
      <c r="E261" s="85" t="str">
        <f t="shared" ca="1" si="85"/>
        <v/>
      </c>
      <c r="T261" s="64" t="str">
        <f t="shared" ref="T261:T324" ca="1" si="86">IF(OR(D261=0,D261="",D261="Athlete"),"",COUNTIF($D$4:$D$352,D261))</f>
        <v/>
      </c>
      <c r="U261" s="64" t="str">
        <f t="shared" ref="U261:U324" si="87">IF(OR(K261=0,K261="",K261="Athlete"),"",COUNTIF($D$4:$D$352,K261))</f>
        <v/>
      </c>
      <c r="V261" s="266" t="str">
        <f ca="1">IF(OR(D261=0,D261="",D261="Athlete"),"",COUNTIF($D$4:$D261,D261))</f>
        <v/>
      </c>
    </row>
    <row r="262" spans="4:22" hidden="1" x14ac:dyDescent="0.35">
      <c r="D262" s="85" t="str">
        <f t="shared" ref="D262:E262" ca="1" si="88">K75</f>
        <v/>
      </c>
      <c r="E262" s="85" t="str">
        <f t="shared" ca="1" si="88"/>
        <v/>
      </c>
      <c r="T262" s="64" t="str">
        <f t="shared" ca="1" si="86"/>
        <v/>
      </c>
      <c r="U262" s="64" t="str">
        <f t="shared" si="87"/>
        <v/>
      </c>
      <c r="V262" s="266" t="str">
        <f ca="1">IF(OR(D262=0,D262="",D262="Athlete"),"",COUNTIF($D$4:$D262,D262))</f>
        <v/>
      </c>
    </row>
    <row r="263" spans="4:22" hidden="1" x14ac:dyDescent="0.35">
      <c r="D263" s="85" t="str">
        <f t="shared" ref="D263:E263" ca="1" si="89">K76</f>
        <v/>
      </c>
      <c r="E263" s="85" t="str">
        <f t="shared" ca="1" si="89"/>
        <v/>
      </c>
      <c r="T263" s="64" t="str">
        <f t="shared" ca="1" si="86"/>
        <v/>
      </c>
      <c r="U263" s="64" t="str">
        <f t="shared" si="87"/>
        <v/>
      </c>
      <c r="V263" s="266" t="str">
        <f ca="1">IF(OR(D263=0,D263="",D263="Athlete"),"",COUNTIF($D$4:$D263,D263))</f>
        <v/>
      </c>
    </row>
    <row r="264" spans="4:22" hidden="1" x14ac:dyDescent="0.35">
      <c r="D264" s="85" t="str">
        <f t="shared" ref="D264:E264" ca="1" si="90">K77</f>
        <v/>
      </c>
      <c r="E264" s="85" t="str">
        <f t="shared" ca="1" si="90"/>
        <v/>
      </c>
      <c r="T264" s="64" t="str">
        <f t="shared" ca="1" si="86"/>
        <v/>
      </c>
      <c r="U264" s="64" t="str">
        <f t="shared" si="87"/>
        <v/>
      </c>
      <c r="V264" s="266" t="str">
        <f ca="1">IF(OR(D264=0,D264="",D264="Athlete"),"",COUNTIF($D$4:$D264,D264))</f>
        <v/>
      </c>
    </row>
    <row r="265" spans="4:22" hidden="1" x14ac:dyDescent="0.35">
      <c r="D265" s="85">
        <f t="shared" ref="D265:E265" si="91">K78</f>
        <v>0</v>
      </c>
      <c r="E265" s="85">
        <f t="shared" si="91"/>
        <v>0</v>
      </c>
      <c r="T265" s="64" t="str">
        <f t="shared" si="86"/>
        <v/>
      </c>
      <c r="U265" s="64" t="str">
        <f t="shared" si="87"/>
        <v/>
      </c>
      <c r="V265" s="266" t="str">
        <f>IF(OR(D265=0,D265="",D265="Athlete"),"",COUNTIF($D$4:$D265,D265))</f>
        <v/>
      </c>
    </row>
    <row r="266" spans="4:22" hidden="1" x14ac:dyDescent="0.35">
      <c r="D266" s="85">
        <f t="shared" ref="D266:E266" si="92">K79</f>
        <v>0</v>
      </c>
      <c r="E266" s="85" t="str">
        <f t="shared" si="92"/>
        <v>Wind</v>
      </c>
      <c r="T266" s="64" t="str">
        <f t="shared" si="86"/>
        <v/>
      </c>
      <c r="U266" s="64" t="str">
        <f t="shared" si="87"/>
        <v/>
      </c>
      <c r="V266" s="266" t="str">
        <f>IF(OR(D266=0,D266="",D266="Athlete"),"",COUNTIF($D$4:$D266,D266))</f>
        <v/>
      </c>
    </row>
    <row r="267" spans="4:22" hidden="1" x14ac:dyDescent="0.35">
      <c r="D267" s="85" t="str">
        <f t="shared" ref="D267:E267" ca="1" si="93">K80</f>
        <v>Athlete</v>
      </c>
      <c r="E267" s="85" t="str">
        <f t="shared" ca="1" si="93"/>
        <v>Club</v>
      </c>
      <c r="T267" s="64" t="str">
        <f t="shared" ca="1" si="86"/>
        <v/>
      </c>
      <c r="U267" s="64" t="str">
        <f t="shared" si="87"/>
        <v/>
      </c>
      <c r="V267" s="266" t="str">
        <f ca="1">IF(OR(D267=0,D267="",D267="Athlete"),"",COUNTIF($D$4:$D267,D267))</f>
        <v/>
      </c>
    </row>
    <row r="268" spans="4:22" hidden="1" x14ac:dyDescent="0.35">
      <c r="D268" s="85" t="str">
        <f t="shared" ref="D268:E268" ca="1" si="94">K81</f>
        <v>Isaac PICKERING</v>
      </c>
      <c r="E268" s="85" t="str">
        <f t="shared" ca="1" si="94"/>
        <v>C&amp;N</v>
      </c>
      <c r="T268" s="64">
        <f t="shared" ca="1" si="86"/>
        <v>3</v>
      </c>
      <c r="U268" s="64" t="str">
        <f t="shared" si="87"/>
        <v/>
      </c>
      <c r="V268" s="266">
        <f ca="1">IF(OR(D268=0,D268="",D268="Athlete"),"",COUNTIF($D$4:$D268,D268))</f>
        <v>3</v>
      </c>
    </row>
    <row r="269" spans="4:22" hidden="1" x14ac:dyDescent="0.35">
      <c r="D269" s="85" t="str">
        <f t="shared" ref="D269:E269" ca="1" si="95">K82</f>
        <v/>
      </c>
      <c r="E269" s="85" t="str">
        <f t="shared" ca="1" si="95"/>
        <v/>
      </c>
      <c r="T269" s="64" t="str">
        <f t="shared" ca="1" si="86"/>
        <v/>
      </c>
      <c r="U269" s="64" t="str">
        <f t="shared" si="87"/>
        <v/>
      </c>
      <c r="V269" s="266" t="str">
        <f ca="1">IF(OR(D269=0,D269="",D269="Athlete"),"",COUNTIF($D$4:$D269,D269))</f>
        <v/>
      </c>
    </row>
    <row r="270" spans="4:22" hidden="1" x14ac:dyDescent="0.35">
      <c r="D270" s="85" t="str">
        <f t="shared" ref="D270:E270" ca="1" si="96">K83</f>
        <v/>
      </c>
      <c r="E270" s="85" t="str">
        <f t="shared" ca="1" si="96"/>
        <v/>
      </c>
      <c r="T270" s="64" t="str">
        <f t="shared" ca="1" si="86"/>
        <v/>
      </c>
      <c r="U270" s="64" t="str">
        <f t="shared" si="87"/>
        <v/>
      </c>
      <c r="V270" s="266" t="str">
        <f ca="1">IF(OR(D270=0,D270="",D270="Athlete"),"",COUNTIF($D$4:$D270,D270))</f>
        <v/>
      </c>
    </row>
    <row r="271" spans="4:22" hidden="1" x14ac:dyDescent="0.35">
      <c r="D271" s="85" t="str">
        <f t="shared" ref="D271:E271" ca="1" si="97">K84</f>
        <v/>
      </c>
      <c r="E271" s="85" t="str">
        <f t="shared" ca="1" si="97"/>
        <v/>
      </c>
      <c r="T271" s="64" t="str">
        <f t="shared" ca="1" si="86"/>
        <v/>
      </c>
      <c r="U271" s="64" t="str">
        <f t="shared" si="87"/>
        <v/>
      </c>
      <c r="V271" s="266" t="str">
        <f ca="1">IF(OR(D271=0,D271="",D271="Athlete"),"",COUNTIF($D$4:$D271,D271))</f>
        <v/>
      </c>
    </row>
    <row r="272" spans="4:22" hidden="1" x14ac:dyDescent="0.35">
      <c r="D272" s="85" t="str">
        <f t="shared" ref="D272:E272" ca="1" si="98">K85</f>
        <v/>
      </c>
      <c r="E272" s="85" t="str">
        <f t="shared" ca="1" si="98"/>
        <v/>
      </c>
      <c r="T272" s="64" t="str">
        <f t="shared" ca="1" si="86"/>
        <v/>
      </c>
      <c r="U272" s="64" t="str">
        <f t="shared" si="87"/>
        <v/>
      </c>
      <c r="V272" s="266" t="str">
        <f ca="1">IF(OR(D272=0,D272="",D272="Athlete"),"",COUNTIF($D$4:$D272,D272))</f>
        <v/>
      </c>
    </row>
    <row r="273" spans="4:22" hidden="1" x14ac:dyDescent="0.35">
      <c r="D273" s="85" t="str">
        <f t="shared" ref="D273:E273" ca="1" si="99">K86</f>
        <v/>
      </c>
      <c r="E273" s="85" t="str">
        <f t="shared" ca="1" si="99"/>
        <v/>
      </c>
      <c r="T273" s="64" t="str">
        <f t="shared" ca="1" si="86"/>
        <v/>
      </c>
      <c r="U273" s="64" t="str">
        <f t="shared" si="87"/>
        <v/>
      </c>
      <c r="V273" s="266" t="str">
        <f ca="1">IF(OR(D273=0,D273="",D273="Athlete"),"",COUNTIF($D$4:$D273,D273))</f>
        <v/>
      </c>
    </row>
    <row r="274" spans="4:22" hidden="1" x14ac:dyDescent="0.35">
      <c r="D274" s="85" t="str">
        <f t="shared" ref="D274:E274" ca="1" si="100">K87</f>
        <v/>
      </c>
      <c r="E274" s="85" t="str">
        <f t="shared" ca="1" si="100"/>
        <v/>
      </c>
      <c r="T274" s="64" t="str">
        <f t="shared" ca="1" si="86"/>
        <v/>
      </c>
      <c r="U274" s="64" t="str">
        <f t="shared" si="87"/>
        <v/>
      </c>
      <c r="V274" s="266" t="str">
        <f ca="1">IF(OR(D274=0,D274="",D274="Athlete"),"",COUNTIF($D$4:$D274,D274))</f>
        <v/>
      </c>
    </row>
    <row r="275" spans="4:22" hidden="1" x14ac:dyDescent="0.35">
      <c r="D275" s="85" t="str">
        <f t="shared" ref="D275:E275" ca="1" si="101">K88</f>
        <v/>
      </c>
      <c r="E275" s="85" t="str">
        <f t="shared" ca="1" si="101"/>
        <v/>
      </c>
      <c r="T275" s="64" t="str">
        <f t="shared" ca="1" si="86"/>
        <v/>
      </c>
      <c r="U275" s="64" t="str">
        <f t="shared" si="87"/>
        <v/>
      </c>
      <c r="V275" s="266" t="str">
        <f ca="1">IF(OR(D275=0,D275="",D275="Athlete"),"",COUNTIF($D$4:$D275,D275))</f>
        <v/>
      </c>
    </row>
    <row r="276" spans="4:22" hidden="1" x14ac:dyDescent="0.35">
      <c r="D276" s="85">
        <f t="shared" ref="D276:E276" si="102">K89</f>
        <v>0</v>
      </c>
      <c r="E276" s="85">
        <f t="shared" si="102"/>
        <v>0</v>
      </c>
      <c r="T276" s="64" t="str">
        <f t="shared" si="86"/>
        <v/>
      </c>
      <c r="U276" s="64" t="str">
        <f t="shared" si="87"/>
        <v/>
      </c>
      <c r="V276" s="266" t="str">
        <f>IF(OR(D276=0,D276="",D276="Athlete"),"",COUNTIF($D$4:$D276,D276))</f>
        <v/>
      </c>
    </row>
    <row r="277" spans="4:22" hidden="1" x14ac:dyDescent="0.35">
      <c r="D277" s="85">
        <f t="shared" ref="D277:E277" si="103">K90</f>
        <v>0</v>
      </c>
      <c r="E277" s="85">
        <f t="shared" si="103"/>
        <v>0</v>
      </c>
      <c r="T277" s="64" t="str">
        <f t="shared" si="86"/>
        <v/>
      </c>
      <c r="U277" s="64" t="str">
        <f t="shared" si="87"/>
        <v/>
      </c>
      <c r="V277" s="266" t="str">
        <f>IF(OR(D277=0,D277="",D277="Athlete"),"",COUNTIF($D$4:$D277,D277))</f>
        <v/>
      </c>
    </row>
    <row r="278" spans="4:22" hidden="1" x14ac:dyDescent="0.35">
      <c r="D278" s="85" t="str">
        <f t="shared" ref="D278:E278" ca="1" si="104">K91</f>
        <v>Athlete</v>
      </c>
      <c r="E278" s="85" t="str">
        <f t="shared" ca="1" si="104"/>
        <v>Club</v>
      </c>
      <c r="T278" s="64" t="str">
        <f t="shared" ca="1" si="86"/>
        <v/>
      </c>
      <c r="U278" s="64" t="str">
        <f t="shared" si="87"/>
        <v/>
      </c>
      <c r="V278" s="266" t="str">
        <f ca="1">IF(OR(D278=0,D278="",D278="Athlete"),"",COUNTIF($D$4:$D278,D278))</f>
        <v/>
      </c>
    </row>
    <row r="279" spans="4:22" hidden="1" x14ac:dyDescent="0.35">
      <c r="D279" s="85" t="str">
        <f t="shared" ref="D279:E279" ca="1" si="105">K92</f>
        <v>William CATTELL</v>
      </c>
      <c r="E279" s="85" t="str">
        <f t="shared" ca="1" si="105"/>
        <v>C&amp;N</v>
      </c>
      <c r="T279" s="64">
        <f t="shared" ca="1" si="86"/>
        <v>3</v>
      </c>
      <c r="U279" s="64" t="str">
        <f t="shared" si="87"/>
        <v/>
      </c>
      <c r="V279" s="266">
        <f ca="1">IF(OR(D279=0,D279="",D279="Athlete"),"",COUNTIF($D$4:$D279,D279))</f>
        <v>3</v>
      </c>
    </row>
    <row r="280" spans="4:22" hidden="1" x14ac:dyDescent="0.35">
      <c r="D280" s="85" t="str">
        <f t="shared" ref="D280:E280" ca="1" si="106">K93</f>
        <v>Campbell JOHNSON</v>
      </c>
      <c r="E280" s="85" t="str">
        <f t="shared" ca="1" si="106"/>
        <v>Stock</v>
      </c>
      <c r="T280" s="64">
        <f t="shared" ca="1" si="86"/>
        <v>3</v>
      </c>
      <c r="U280" s="64" t="str">
        <f t="shared" si="87"/>
        <v/>
      </c>
      <c r="V280" s="266">
        <f ca="1">IF(OR(D280=0,D280="",D280="Athlete"),"",COUNTIF($D$4:$D280,D280))</f>
        <v>2</v>
      </c>
    </row>
    <row r="281" spans="4:22" hidden="1" x14ac:dyDescent="0.35">
      <c r="D281" s="85" t="str">
        <f t="shared" ref="D281:E281" ca="1" si="107">K94</f>
        <v>Thomas WOOD</v>
      </c>
      <c r="E281" s="85" t="str">
        <f t="shared" ca="1" si="107"/>
        <v>Macc</v>
      </c>
      <c r="T281" s="64">
        <f t="shared" ca="1" si="86"/>
        <v>2</v>
      </c>
      <c r="U281" s="64" t="str">
        <f t="shared" si="87"/>
        <v/>
      </c>
      <c r="V281" s="266">
        <f ca="1">IF(OR(D281=0,D281="",D281="Athlete"),"",COUNTIF($D$4:$D281,D281))</f>
        <v>2</v>
      </c>
    </row>
    <row r="282" spans="4:22" hidden="1" x14ac:dyDescent="0.35">
      <c r="D282" s="85" t="str">
        <f t="shared" ref="D282:E282" ca="1" si="108">K95</f>
        <v>Joshua BOURNE</v>
      </c>
      <c r="E282" s="85" t="str">
        <f t="shared" ca="1" si="108"/>
        <v>Wigan</v>
      </c>
      <c r="T282" s="64">
        <f t="shared" ca="1" si="86"/>
        <v>3</v>
      </c>
      <c r="U282" s="64" t="str">
        <f t="shared" si="87"/>
        <v/>
      </c>
      <c r="V282" s="266">
        <f ca="1">IF(OR(D282=0,D282="",D282="Athlete"),"",COUNTIF($D$4:$D282,D282))</f>
        <v>3</v>
      </c>
    </row>
    <row r="283" spans="4:22" hidden="1" x14ac:dyDescent="0.35">
      <c r="D283" s="85" t="str">
        <f t="shared" ref="D283:E283" ca="1" si="109">K96</f>
        <v>Owain WILLIAMS</v>
      </c>
      <c r="E283" s="85" t="str">
        <f t="shared" ca="1" si="109"/>
        <v>Menai</v>
      </c>
      <c r="T283" s="64">
        <f t="shared" ca="1" si="86"/>
        <v>3</v>
      </c>
      <c r="U283" s="64" t="str">
        <f t="shared" si="87"/>
        <v/>
      </c>
      <c r="V283" s="266">
        <f ca="1">IF(OR(D283=0,D283="",D283="Athlete"),"",COUNTIF($D$4:$D283,D283))</f>
        <v>3</v>
      </c>
    </row>
    <row r="284" spans="4:22" hidden="1" x14ac:dyDescent="0.35">
      <c r="D284" s="85" t="str">
        <f t="shared" ref="D284:E284" ca="1" si="110">K97</f>
        <v>Ben JAYATILLEKE</v>
      </c>
      <c r="E284" s="85" t="str">
        <f t="shared" ca="1" si="110"/>
        <v>Leigh</v>
      </c>
      <c r="T284" s="64">
        <f t="shared" ca="1" si="86"/>
        <v>2</v>
      </c>
      <c r="U284" s="64" t="str">
        <f t="shared" si="87"/>
        <v/>
      </c>
      <c r="V284" s="266">
        <f ca="1">IF(OR(D284=0,D284="",D284="Athlete"),"",COUNTIF($D$4:$D284,D284))</f>
        <v>2</v>
      </c>
    </row>
    <row r="285" spans="4:22" hidden="1" x14ac:dyDescent="0.35">
      <c r="D285" s="85" t="str">
        <f t="shared" ref="D285:E285" ca="1" si="111">K98</f>
        <v>Alfie MILLINGTON</v>
      </c>
      <c r="E285" s="85" t="str">
        <f t="shared" ca="1" si="111"/>
        <v>ECHT</v>
      </c>
      <c r="T285" s="64">
        <f t="shared" ca="1" si="86"/>
        <v>1</v>
      </c>
      <c r="U285" s="64" t="str">
        <f t="shared" si="87"/>
        <v/>
      </c>
      <c r="V285" s="266">
        <f ca="1">IF(OR(D285=0,D285="",D285="Athlete"),"",COUNTIF($D$4:$D285,D285))</f>
        <v>1</v>
      </c>
    </row>
    <row r="286" spans="4:22" hidden="1" x14ac:dyDescent="0.35">
      <c r="D286" s="85" t="str">
        <f t="shared" ref="D286:E286" ca="1" si="112">K99</f>
        <v/>
      </c>
      <c r="E286" s="85" t="str">
        <f t="shared" ca="1" si="112"/>
        <v/>
      </c>
      <c r="T286" s="64" t="str">
        <f t="shared" ca="1" si="86"/>
        <v/>
      </c>
      <c r="U286" s="64" t="str">
        <f t="shared" si="87"/>
        <v/>
      </c>
      <c r="V286" s="266" t="str">
        <f ca="1">IF(OR(D286=0,D286="",D286="Athlete"),"",COUNTIF($D$4:$D286,D286))</f>
        <v/>
      </c>
    </row>
    <row r="287" spans="4:22" hidden="1" x14ac:dyDescent="0.35">
      <c r="D287" s="85">
        <f t="shared" ref="D287:E287" si="113">K100</f>
        <v>0</v>
      </c>
      <c r="E287" s="85">
        <f t="shared" si="113"/>
        <v>0</v>
      </c>
      <c r="T287" s="64" t="str">
        <f t="shared" si="86"/>
        <v/>
      </c>
      <c r="U287" s="64" t="str">
        <f t="shared" si="87"/>
        <v/>
      </c>
      <c r="V287" s="266" t="str">
        <f>IF(OR(D287=0,D287="",D287="Athlete"),"",COUNTIF($D$4:$D287,D287))</f>
        <v/>
      </c>
    </row>
    <row r="288" spans="4:22" hidden="1" x14ac:dyDescent="0.35">
      <c r="D288" s="85">
        <f t="shared" ref="D288:E288" si="114">K101</f>
        <v>0</v>
      </c>
      <c r="E288" s="85">
        <f t="shared" si="114"/>
        <v>0</v>
      </c>
      <c r="T288" s="64" t="str">
        <f t="shared" si="86"/>
        <v/>
      </c>
      <c r="U288" s="64" t="str">
        <f t="shared" si="87"/>
        <v/>
      </c>
      <c r="V288" s="266" t="str">
        <f>IF(OR(D288=0,D288="",D288="Athlete"),"",COUNTIF($D$4:$D288,D288))</f>
        <v/>
      </c>
    </row>
    <row r="289" spans="4:22" hidden="1" x14ac:dyDescent="0.35">
      <c r="D289" s="85" t="str">
        <f t="shared" ref="D289:E289" ca="1" si="115">K102</f>
        <v>Athlete</v>
      </c>
      <c r="E289" s="85" t="str">
        <f t="shared" ca="1" si="115"/>
        <v>Club</v>
      </c>
      <c r="T289" s="64" t="str">
        <f t="shared" ca="1" si="86"/>
        <v/>
      </c>
      <c r="U289" s="64" t="str">
        <f t="shared" si="87"/>
        <v/>
      </c>
      <c r="V289" s="266" t="str">
        <f ca="1">IF(OR(D289=0,D289="",D289="Athlete"),"",COUNTIF($D$4:$D289,D289))</f>
        <v/>
      </c>
    </row>
    <row r="290" spans="4:22" hidden="1" x14ac:dyDescent="0.35">
      <c r="D290" s="85" t="str">
        <f t="shared" ref="D290:E290" ca="1" si="116">K103</f>
        <v>Tristan LAMPRECHT</v>
      </c>
      <c r="E290" s="85" t="str">
        <f t="shared" ca="1" si="116"/>
        <v>Macc</v>
      </c>
      <c r="T290" s="64">
        <f t="shared" ca="1" si="86"/>
        <v>3</v>
      </c>
      <c r="U290" s="64" t="str">
        <f t="shared" si="87"/>
        <v/>
      </c>
      <c r="V290" s="266">
        <f ca="1">IF(OR(D290=0,D290="",D290="Athlete"),"",COUNTIF($D$4:$D290,D290))</f>
        <v>3</v>
      </c>
    </row>
    <row r="291" spans="4:22" hidden="1" x14ac:dyDescent="0.35">
      <c r="D291" s="85" t="str">
        <f t="shared" ref="D291:E291" ca="1" si="117">K104</f>
        <v>Campbell JOHNSON</v>
      </c>
      <c r="E291" s="85" t="str">
        <f t="shared" ca="1" si="117"/>
        <v>Stock</v>
      </c>
      <c r="T291" s="64">
        <f t="shared" ca="1" si="86"/>
        <v>3</v>
      </c>
      <c r="U291" s="64" t="str">
        <f t="shared" si="87"/>
        <v/>
      </c>
      <c r="V291" s="266">
        <f ca="1">IF(OR(D291=0,D291="",D291="Athlete"),"",COUNTIF($D$4:$D291,D291))</f>
        <v>3</v>
      </c>
    </row>
    <row r="292" spans="4:22" hidden="1" x14ac:dyDescent="0.35">
      <c r="D292" s="85" t="str">
        <f t="shared" ref="D292:E292" ca="1" si="118">K105</f>
        <v>Sam FIRMAN</v>
      </c>
      <c r="E292" s="85" t="str">
        <f t="shared" ca="1" si="118"/>
        <v>C&amp;N</v>
      </c>
      <c r="T292" s="64">
        <f t="shared" ca="1" si="86"/>
        <v>3</v>
      </c>
      <c r="U292" s="64" t="str">
        <f t="shared" si="87"/>
        <v/>
      </c>
      <c r="V292" s="266">
        <f ca="1">IF(OR(D292=0,D292="",D292="Athlete"),"",COUNTIF($D$4:$D292,D292))</f>
        <v>3</v>
      </c>
    </row>
    <row r="293" spans="4:22" hidden="1" x14ac:dyDescent="0.35">
      <c r="D293" s="85" t="str">
        <f t="shared" ref="D293:E293" ca="1" si="119">K106</f>
        <v/>
      </c>
      <c r="E293" s="85" t="str">
        <f t="shared" ca="1" si="119"/>
        <v/>
      </c>
      <c r="T293" s="64" t="str">
        <f t="shared" ca="1" si="86"/>
        <v/>
      </c>
      <c r="U293" s="64" t="str">
        <f t="shared" si="87"/>
        <v/>
      </c>
      <c r="V293" s="266" t="str">
        <f ca="1">IF(OR(D293=0,D293="",D293="Athlete"),"",COUNTIF($D$4:$D293,D293))</f>
        <v/>
      </c>
    </row>
    <row r="294" spans="4:22" hidden="1" x14ac:dyDescent="0.35">
      <c r="D294" s="85" t="str">
        <f t="shared" ref="D294:E294" ca="1" si="120">K107</f>
        <v/>
      </c>
      <c r="E294" s="85" t="str">
        <f t="shared" ca="1" si="120"/>
        <v/>
      </c>
      <c r="T294" s="64" t="str">
        <f t="shared" ca="1" si="86"/>
        <v/>
      </c>
      <c r="U294" s="64" t="str">
        <f t="shared" si="87"/>
        <v/>
      </c>
      <c r="V294" s="266" t="str">
        <f ca="1">IF(OR(D294=0,D294="",D294="Athlete"),"",COUNTIF($D$4:$D294,D294))</f>
        <v/>
      </c>
    </row>
    <row r="295" spans="4:22" hidden="1" x14ac:dyDescent="0.35">
      <c r="D295" s="85" t="str">
        <f t="shared" ref="D295:E295" ca="1" si="121">K108</f>
        <v/>
      </c>
      <c r="E295" s="85" t="str">
        <f t="shared" ca="1" si="121"/>
        <v/>
      </c>
      <c r="T295" s="64" t="str">
        <f t="shared" ca="1" si="86"/>
        <v/>
      </c>
      <c r="U295" s="64" t="str">
        <f t="shared" si="87"/>
        <v/>
      </c>
      <c r="V295" s="266" t="str">
        <f ca="1">IF(OR(D295=0,D295="",D295="Athlete"),"",COUNTIF($D$4:$D295,D295))</f>
        <v/>
      </c>
    </row>
    <row r="296" spans="4:22" hidden="1" x14ac:dyDescent="0.35">
      <c r="D296" s="85" t="str">
        <f t="shared" ref="D296:E296" ca="1" si="122">K109</f>
        <v/>
      </c>
      <c r="E296" s="85" t="str">
        <f t="shared" ca="1" si="122"/>
        <v/>
      </c>
      <c r="T296" s="64" t="str">
        <f t="shared" ca="1" si="86"/>
        <v/>
      </c>
      <c r="U296" s="64" t="str">
        <f t="shared" si="87"/>
        <v/>
      </c>
      <c r="V296" s="266" t="str">
        <f ca="1">IF(OR(D296=0,D296="",D296="Athlete"),"",COUNTIF($D$4:$D296,D296))</f>
        <v/>
      </c>
    </row>
    <row r="297" spans="4:22" hidden="1" x14ac:dyDescent="0.35">
      <c r="D297" s="85" t="str">
        <f t="shared" ref="D297:E297" ca="1" si="123">K110</f>
        <v/>
      </c>
      <c r="E297" s="85" t="str">
        <f t="shared" ca="1" si="123"/>
        <v/>
      </c>
      <c r="T297" s="64" t="str">
        <f t="shared" ca="1" si="86"/>
        <v/>
      </c>
      <c r="U297" s="64" t="str">
        <f t="shared" si="87"/>
        <v/>
      </c>
      <c r="V297" s="266" t="str">
        <f ca="1">IF(OR(D297=0,D297="",D297="Athlete"),"",COUNTIF($D$4:$D297,D297))</f>
        <v/>
      </c>
    </row>
    <row r="298" spans="4:22" hidden="1" x14ac:dyDescent="0.35">
      <c r="D298" s="85">
        <f t="shared" ref="D298:E298" si="124">K111</f>
        <v>0</v>
      </c>
      <c r="E298" s="85">
        <f t="shared" si="124"/>
        <v>0</v>
      </c>
      <c r="T298" s="64" t="str">
        <f t="shared" si="86"/>
        <v/>
      </c>
      <c r="U298" s="64" t="str">
        <f t="shared" si="87"/>
        <v/>
      </c>
      <c r="V298" s="266" t="str">
        <f>IF(OR(D298=0,D298="",D298="Athlete"),"",COUNTIF($D$4:$D298,D298))</f>
        <v/>
      </c>
    </row>
    <row r="299" spans="4:22" hidden="1" x14ac:dyDescent="0.35">
      <c r="D299" s="85">
        <f t="shared" ref="D299:E299" si="125">K112</f>
        <v>0</v>
      </c>
      <c r="E299" s="85">
        <f t="shared" si="125"/>
        <v>0</v>
      </c>
      <c r="T299" s="64" t="str">
        <f t="shared" si="86"/>
        <v/>
      </c>
      <c r="U299" s="64" t="str">
        <f t="shared" si="87"/>
        <v/>
      </c>
      <c r="V299" s="266" t="str">
        <f>IF(OR(D299=0,D299="",D299="Athlete"),"",COUNTIF($D$4:$D299,D299))</f>
        <v/>
      </c>
    </row>
    <row r="300" spans="4:22" hidden="1" x14ac:dyDescent="0.35">
      <c r="D300" s="85" t="str">
        <f t="shared" ref="D300:E300" ca="1" si="126">K113</f>
        <v>Athlete</v>
      </c>
      <c r="E300" s="85" t="str">
        <f t="shared" ca="1" si="126"/>
        <v>Club</v>
      </c>
      <c r="T300" s="64" t="str">
        <f t="shared" ca="1" si="86"/>
        <v/>
      </c>
      <c r="U300" s="64" t="str">
        <f t="shared" si="87"/>
        <v/>
      </c>
      <c r="V300" s="266" t="str">
        <f ca="1">IF(OR(D300=0,D300="",D300="Athlete"),"",COUNTIF($D$4:$D300,D300))</f>
        <v/>
      </c>
    </row>
    <row r="301" spans="4:22" hidden="1" x14ac:dyDescent="0.35">
      <c r="D301" s="85" t="str">
        <f t="shared" ref="D301:E301" ca="1" si="127">K114</f>
        <v/>
      </c>
      <c r="E301" s="85" t="str">
        <f t="shared" ca="1" si="127"/>
        <v/>
      </c>
      <c r="T301" s="64" t="str">
        <f t="shared" ca="1" si="86"/>
        <v/>
      </c>
      <c r="U301" s="64" t="str">
        <f t="shared" si="87"/>
        <v/>
      </c>
      <c r="V301" s="266" t="str">
        <f ca="1">IF(OR(D301=0,D301="",D301="Athlete"),"",COUNTIF($D$4:$D301,D301))</f>
        <v/>
      </c>
    </row>
    <row r="302" spans="4:22" hidden="1" x14ac:dyDescent="0.35">
      <c r="D302" s="85" t="str">
        <f t="shared" ref="D302:E302" ca="1" si="128">K115</f>
        <v/>
      </c>
      <c r="E302" s="85" t="str">
        <f t="shared" ca="1" si="128"/>
        <v/>
      </c>
      <c r="T302" s="64" t="str">
        <f t="shared" ca="1" si="86"/>
        <v/>
      </c>
      <c r="U302" s="64" t="str">
        <f t="shared" si="87"/>
        <v/>
      </c>
      <c r="V302" s="266" t="str">
        <f ca="1">IF(OR(D302=0,D302="",D302="Athlete"),"",COUNTIF($D$4:$D302,D302))</f>
        <v/>
      </c>
    </row>
    <row r="303" spans="4:22" hidden="1" x14ac:dyDescent="0.35">
      <c r="D303" s="85" t="str">
        <f t="shared" ref="D303:E303" ca="1" si="129">K116</f>
        <v/>
      </c>
      <c r="E303" s="85" t="str">
        <f t="shared" ca="1" si="129"/>
        <v/>
      </c>
      <c r="T303" s="64" t="str">
        <f t="shared" ca="1" si="86"/>
        <v/>
      </c>
      <c r="U303" s="64" t="str">
        <f t="shared" si="87"/>
        <v/>
      </c>
      <c r="V303" s="266" t="str">
        <f ca="1">IF(OR(D303=0,D303="",D303="Athlete"),"",COUNTIF($D$4:$D303,D303))</f>
        <v/>
      </c>
    </row>
    <row r="304" spans="4:22" hidden="1" x14ac:dyDescent="0.35">
      <c r="D304" s="85" t="str">
        <f t="shared" ref="D304:E304" ca="1" si="130">K117</f>
        <v/>
      </c>
      <c r="E304" s="85" t="str">
        <f t="shared" ca="1" si="130"/>
        <v/>
      </c>
      <c r="T304" s="64" t="str">
        <f t="shared" ca="1" si="86"/>
        <v/>
      </c>
      <c r="U304" s="64" t="str">
        <f t="shared" si="87"/>
        <v/>
      </c>
      <c r="V304" s="266" t="str">
        <f ca="1">IF(OR(D304=0,D304="",D304="Athlete"),"",COUNTIF($D$4:$D304,D304))</f>
        <v/>
      </c>
    </row>
    <row r="305" spans="4:22" hidden="1" x14ac:dyDescent="0.35">
      <c r="D305" s="85" t="str">
        <f t="shared" ref="D305:E305" ca="1" si="131">K118</f>
        <v/>
      </c>
      <c r="E305" s="85" t="str">
        <f t="shared" ca="1" si="131"/>
        <v/>
      </c>
      <c r="T305" s="64" t="str">
        <f t="shared" ca="1" si="86"/>
        <v/>
      </c>
      <c r="U305" s="64" t="str">
        <f t="shared" si="87"/>
        <v/>
      </c>
      <c r="V305" s="266" t="str">
        <f ca="1">IF(OR(D305=0,D305="",D305="Athlete"),"",COUNTIF($D$4:$D305,D305))</f>
        <v/>
      </c>
    </row>
    <row r="306" spans="4:22" hidden="1" x14ac:dyDescent="0.35">
      <c r="D306" s="85" t="str">
        <f ca="1">K119</f>
        <v/>
      </c>
      <c r="E306" s="85" t="str">
        <f ca="1">L119</f>
        <v/>
      </c>
      <c r="T306" s="64" t="str">
        <f t="shared" ca="1" si="86"/>
        <v/>
      </c>
      <c r="U306" s="64" t="str">
        <f t="shared" si="87"/>
        <v/>
      </c>
      <c r="V306" s="266" t="str">
        <f ca="1">IF(OR(D306=0,D306="",D306="Athlete"),"",COUNTIF($D$4:$D306,D306))</f>
        <v/>
      </c>
    </row>
    <row r="307" spans="4:22" hidden="1" x14ac:dyDescent="0.35">
      <c r="D307" s="85" t="str">
        <f t="shared" ref="D307:D320" ca="1" si="132">K120</f>
        <v/>
      </c>
      <c r="E307" s="85" t="str">
        <f t="shared" ref="E307:E320" ca="1" si="133">L120</f>
        <v/>
      </c>
      <c r="T307" s="64" t="str">
        <f t="shared" ca="1" si="86"/>
        <v/>
      </c>
      <c r="U307" s="64" t="str">
        <f t="shared" si="87"/>
        <v/>
      </c>
      <c r="V307" s="266" t="str">
        <f ca="1">IF(OR(D307=0,D307="",D307="Athlete"),"",COUNTIF($D$4:$D307,D307))</f>
        <v/>
      </c>
    </row>
    <row r="308" spans="4:22" hidden="1" x14ac:dyDescent="0.35">
      <c r="D308" s="85" t="str">
        <f t="shared" ca="1" si="132"/>
        <v/>
      </c>
      <c r="E308" s="85" t="str">
        <f t="shared" ca="1" si="133"/>
        <v/>
      </c>
      <c r="T308" s="64" t="str">
        <f t="shared" ca="1" si="86"/>
        <v/>
      </c>
      <c r="U308" s="64" t="str">
        <f t="shared" si="87"/>
        <v/>
      </c>
      <c r="V308" s="266" t="str">
        <f ca="1">IF(OR(D308=0,D308="",D308="Athlete"),"",COUNTIF($D$4:$D308,D308))</f>
        <v/>
      </c>
    </row>
    <row r="309" spans="4:22" hidden="1" x14ac:dyDescent="0.35">
      <c r="D309" s="85">
        <f t="shared" si="132"/>
        <v>0</v>
      </c>
      <c r="E309" s="85">
        <f t="shared" si="133"/>
        <v>0</v>
      </c>
      <c r="T309" s="64" t="str">
        <f t="shared" si="86"/>
        <v/>
      </c>
      <c r="U309" s="64" t="str">
        <f t="shared" si="87"/>
        <v/>
      </c>
      <c r="V309" s="266" t="str">
        <f>IF(OR(D309=0,D309="",D309="Athlete"),"",COUNTIF($D$4:$D309,D309))</f>
        <v/>
      </c>
    </row>
    <row r="310" spans="4:22" hidden="1" x14ac:dyDescent="0.35">
      <c r="D310" s="85">
        <f t="shared" si="132"/>
        <v>0</v>
      </c>
      <c r="E310" s="85">
        <f t="shared" si="133"/>
        <v>0</v>
      </c>
      <c r="T310" s="64" t="str">
        <f t="shared" si="86"/>
        <v/>
      </c>
      <c r="U310" s="64" t="str">
        <f t="shared" si="87"/>
        <v/>
      </c>
      <c r="V310" s="266" t="str">
        <f>IF(OR(D310=0,D310="",D310="Athlete"),"",COUNTIF($D$4:$D310,D310))</f>
        <v/>
      </c>
    </row>
    <row r="311" spans="4:22" hidden="1" x14ac:dyDescent="0.35">
      <c r="D311" s="85" t="str">
        <f t="shared" ca="1" si="132"/>
        <v>Athlete</v>
      </c>
      <c r="E311" s="85" t="str">
        <f t="shared" ca="1" si="133"/>
        <v>Club</v>
      </c>
      <c r="T311" s="64" t="str">
        <f t="shared" ca="1" si="86"/>
        <v/>
      </c>
      <c r="U311" s="64" t="str">
        <f t="shared" si="87"/>
        <v/>
      </c>
      <c r="V311" s="266" t="str">
        <f ca="1">IF(OR(D311=0,D311="",D311="Athlete"),"",COUNTIF($D$4:$D311,D311))</f>
        <v/>
      </c>
    </row>
    <row r="312" spans="4:22" hidden="1" x14ac:dyDescent="0.35">
      <c r="D312" s="85" t="str">
        <f t="shared" ca="1" si="132"/>
        <v>Oliver BORG-HEFFERNAN</v>
      </c>
      <c r="E312" s="85" t="str">
        <f t="shared" ca="1" si="133"/>
        <v>C&amp;N</v>
      </c>
      <c r="T312" s="64">
        <f t="shared" ca="1" si="86"/>
        <v>3</v>
      </c>
      <c r="U312" s="64" t="str">
        <f t="shared" si="87"/>
        <v/>
      </c>
      <c r="V312" s="266">
        <f ca="1">IF(OR(D312=0,D312="",D312="Athlete"),"",COUNTIF($D$4:$D312,D312))</f>
        <v>2</v>
      </c>
    </row>
    <row r="313" spans="4:22" hidden="1" x14ac:dyDescent="0.35">
      <c r="D313" s="85" t="str">
        <f t="shared" ca="1" si="132"/>
        <v>Oliver SANDERSON</v>
      </c>
      <c r="E313" s="85" t="str">
        <f t="shared" ca="1" si="133"/>
        <v>Leigh</v>
      </c>
      <c r="T313" s="64">
        <f t="shared" ca="1" si="86"/>
        <v>2</v>
      </c>
      <c r="U313" s="64" t="str">
        <f t="shared" si="87"/>
        <v/>
      </c>
      <c r="V313" s="266">
        <f ca="1">IF(OR(D313=0,D313="",D313="Athlete"),"",COUNTIF($D$4:$D313,D313))</f>
        <v>2</v>
      </c>
    </row>
    <row r="314" spans="4:22" hidden="1" x14ac:dyDescent="0.35">
      <c r="D314" s="85" t="str">
        <f t="shared" ca="1" si="132"/>
        <v/>
      </c>
      <c r="E314" s="85" t="str">
        <f t="shared" ca="1" si="133"/>
        <v/>
      </c>
      <c r="T314" s="64" t="str">
        <f t="shared" ca="1" si="86"/>
        <v/>
      </c>
      <c r="U314" s="64" t="str">
        <f t="shared" si="87"/>
        <v/>
      </c>
      <c r="V314" s="266" t="str">
        <f ca="1">IF(OR(D314=0,D314="",D314="Athlete"),"",COUNTIF($D$4:$D314,D314))</f>
        <v/>
      </c>
    </row>
    <row r="315" spans="4:22" hidden="1" x14ac:dyDescent="0.35">
      <c r="D315" s="85" t="str">
        <f t="shared" ca="1" si="132"/>
        <v/>
      </c>
      <c r="E315" s="85" t="str">
        <f t="shared" ca="1" si="133"/>
        <v/>
      </c>
      <c r="T315" s="64" t="str">
        <f t="shared" ca="1" si="86"/>
        <v/>
      </c>
      <c r="U315" s="64" t="str">
        <f t="shared" si="87"/>
        <v/>
      </c>
      <c r="V315" s="266" t="str">
        <f ca="1">IF(OR(D315=0,D315="",D315="Athlete"),"",COUNTIF($D$4:$D315,D315))</f>
        <v/>
      </c>
    </row>
    <row r="316" spans="4:22" hidden="1" x14ac:dyDescent="0.35">
      <c r="D316" s="85" t="str">
        <f t="shared" ca="1" si="132"/>
        <v/>
      </c>
      <c r="E316" s="85" t="str">
        <f t="shared" ca="1" si="133"/>
        <v/>
      </c>
      <c r="T316" s="64" t="str">
        <f t="shared" ca="1" si="86"/>
        <v/>
      </c>
      <c r="U316" s="64" t="str">
        <f t="shared" si="87"/>
        <v/>
      </c>
      <c r="V316" s="266" t="str">
        <f ca="1">IF(OR(D316=0,D316="",D316="Athlete"),"",COUNTIF($D$4:$D316,D316))</f>
        <v/>
      </c>
    </row>
    <row r="317" spans="4:22" hidden="1" x14ac:dyDescent="0.35">
      <c r="D317" s="85" t="str">
        <f t="shared" ca="1" si="132"/>
        <v/>
      </c>
      <c r="E317" s="85" t="str">
        <f t="shared" ca="1" si="133"/>
        <v/>
      </c>
      <c r="T317" s="64" t="str">
        <f t="shared" ca="1" si="86"/>
        <v/>
      </c>
      <c r="U317" s="64" t="str">
        <f t="shared" si="87"/>
        <v/>
      </c>
      <c r="V317" s="266" t="str">
        <f ca="1">IF(OR(D317=0,D317="",D317="Athlete"),"",COUNTIF($D$4:$D317,D317))</f>
        <v/>
      </c>
    </row>
    <row r="318" spans="4:22" hidden="1" x14ac:dyDescent="0.35">
      <c r="D318" s="85" t="str">
        <f t="shared" ca="1" si="132"/>
        <v/>
      </c>
      <c r="E318" s="85" t="str">
        <f t="shared" ca="1" si="133"/>
        <v/>
      </c>
      <c r="T318" s="64" t="str">
        <f t="shared" ca="1" si="86"/>
        <v/>
      </c>
      <c r="U318" s="64" t="str">
        <f t="shared" si="87"/>
        <v/>
      </c>
      <c r="V318" s="266" t="str">
        <f ca="1">IF(OR(D318=0,D318="",D318="Athlete"),"",COUNTIF($D$4:$D318,D318))</f>
        <v/>
      </c>
    </row>
    <row r="319" spans="4:22" hidden="1" x14ac:dyDescent="0.35">
      <c r="D319" s="85" t="str">
        <f t="shared" ca="1" si="132"/>
        <v/>
      </c>
      <c r="E319" s="85" t="str">
        <f t="shared" ca="1" si="133"/>
        <v/>
      </c>
      <c r="T319" s="64" t="str">
        <f t="shared" ca="1" si="86"/>
        <v/>
      </c>
      <c r="U319" s="64" t="str">
        <f t="shared" si="87"/>
        <v/>
      </c>
      <c r="V319" s="266" t="str">
        <f ca="1">IF(OR(D319=0,D319="",D319="Athlete"),"",COUNTIF($D$4:$D319,D319))</f>
        <v/>
      </c>
    </row>
    <row r="320" spans="4:22" hidden="1" x14ac:dyDescent="0.35">
      <c r="D320" s="85">
        <f t="shared" si="132"/>
        <v>0</v>
      </c>
      <c r="E320" s="85">
        <f t="shared" si="133"/>
        <v>0</v>
      </c>
      <c r="T320" s="64" t="str">
        <f t="shared" si="86"/>
        <v/>
      </c>
      <c r="U320" s="64" t="str">
        <f t="shared" si="87"/>
        <v/>
      </c>
      <c r="V320" s="266" t="str">
        <f>IF(OR(D320=0,D320="",D320="Athlete"),"",COUNTIF($D$4:$D320,D320))</f>
        <v/>
      </c>
    </row>
    <row r="321" spans="4:22" hidden="1" x14ac:dyDescent="0.35">
      <c r="D321" s="85">
        <f>K134</f>
        <v>0</v>
      </c>
      <c r="E321" s="85">
        <f>L134</f>
        <v>0</v>
      </c>
      <c r="T321" s="64" t="str">
        <f t="shared" si="86"/>
        <v/>
      </c>
      <c r="U321" s="64" t="str">
        <f t="shared" si="87"/>
        <v/>
      </c>
      <c r="V321" s="266" t="str">
        <f>IF(OR(D321=0,D321="",D321="Athlete"),"",COUNTIF($D$4:$D321,D321))</f>
        <v/>
      </c>
    </row>
    <row r="322" spans="4:22" hidden="1" x14ac:dyDescent="0.35">
      <c r="D322" s="85" t="str">
        <f t="shared" ref="D322:D352" ca="1" si="134">K135</f>
        <v>Athlete</v>
      </c>
      <c r="E322" s="85" t="str">
        <f t="shared" ref="E322:E352" ca="1" si="135">L135</f>
        <v>Club</v>
      </c>
      <c r="T322" s="64" t="str">
        <f t="shared" ca="1" si="86"/>
        <v/>
      </c>
      <c r="U322" s="64" t="str">
        <f t="shared" si="87"/>
        <v/>
      </c>
      <c r="V322" s="266" t="str">
        <f ca="1">IF(OR(D322=0,D322="",D322="Athlete"),"",COUNTIF($D$4:$D322,D322))</f>
        <v/>
      </c>
    </row>
    <row r="323" spans="4:22" hidden="1" x14ac:dyDescent="0.35">
      <c r="D323" s="85" t="str">
        <f t="shared" ca="1" si="134"/>
        <v>Oliver BORG-HEFFERNAN</v>
      </c>
      <c r="E323" s="85" t="str">
        <f t="shared" ca="1" si="135"/>
        <v>C&amp;N</v>
      </c>
      <c r="T323" s="64">
        <f t="shared" ca="1" si="86"/>
        <v>3</v>
      </c>
      <c r="U323" s="64" t="str">
        <f t="shared" si="87"/>
        <v/>
      </c>
      <c r="V323" s="266">
        <f ca="1">IF(OR(D323=0,D323="",D323="Athlete"),"",COUNTIF($D$4:$D323,D323))</f>
        <v>3</v>
      </c>
    </row>
    <row r="324" spans="4:22" hidden="1" x14ac:dyDescent="0.35">
      <c r="D324" s="85" t="str">
        <f t="shared" ca="1" si="134"/>
        <v/>
      </c>
      <c r="E324" s="85" t="str">
        <f t="shared" ca="1" si="135"/>
        <v/>
      </c>
      <c r="T324" s="64" t="str">
        <f t="shared" ca="1" si="86"/>
        <v/>
      </c>
      <c r="U324" s="64" t="str">
        <f t="shared" si="87"/>
        <v/>
      </c>
      <c r="V324" s="266" t="str">
        <f ca="1">IF(OR(D324=0,D324="",D324="Athlete"),"",COUNTIF($D$4:$D324,D324))</f>
        <v/>
      </c>
    </row>
    <row r="325" spans="4:22" hidden="1" x14ac:dyDescent="0.35">
      <c r="D325" s="85" t="str">
        <f t="shared" ca="1" si="134"/>
        <v/>
      </c>
      <c r="E325" s="85" t="str">
        <f t="shared" ca="1" si="135"/>
        <v/>
      </c>
      <c r="T325" s="64" t="str">
        <f t="shared" ref="T325:T352" ca="1" si="136">IF(OR(D325=0,D325="",D325="Athlete"),"",COUNTIF($D$4:$D$352,D325))</f>
        <v/>
      </c>
      <c r="U325" s="64" t="str">
        <f t="shared" ref="U325:U352" si="137">IF(OR(K325=0,K325="",K325="Athlete"),"",COUNTIF($D$4:$D$352,K325))</f>
        <v/>
      </c>
      <c r="V325" s="266" t="str">
        <f ca="1">IF(OR(D325=0,D325="",D325="Athlete"),"",COUNTIF($D$4:$D325,D325))</f>
        <v/>
      </c>
    </row>
    <row r="326" spans="4:22" hidden="1" x14ac:dyDescent="0.35">
      <c r="D326" s="85" t="str">
        <f t="shared" ca="1" si="134"/>
        <v/>
      </c>
      <c r="E326" s="85" t="str">
        <f t="shared" ca="1" si="135"/>
        <v/>
      </c>
      <c r="T326" s="64" t="str">
        <f t="shared" ca="1" si="136"/>
        <v/>
      </c>
      <c r="U326" s="64" t="str">
        <f t="shared" si="137"/>
        <v/>
      </c>
      <c r="V326" s="266" t="str">
        <f ca="1">IF(OR(D326=0,D326="",D326="Athlete"),"",COUNTIF($D$4:$D326,D326))</f>
        <v/>
      </c>
    </row>
    <row r="327" spans="4:22" hidden="1" x14ac:dyDescent="0.35">
      <c r="D327" s="85" t="str">
        <f t="shared" ca="1" si="134"/>
        <v/>
      </c>
      <c r="E327" s="85" t="str">
        <f t="shared" ca="1" si="135"/>
        <v/>
      </c>
      <c r="T327" s="64" t="str">
        <f t="shared" ca="1" si="136"/>
        <v/>
      </c>
      <c r="U327" s="64" t="str">
        <f t="shared" si="137"/>
        <v/>
      </c>
      <c r="V327" s="266" t="str">
        <f ca="1">IF(OR(D327=0,D327="",D327="Athlete"),"",COUNTIF($D$4:$D327,D327))</f>
        <v/>
      </c>
    </row>
    <row r="328" spans="4:22" hidden="1" x14ac:dyDescent="0.35">
      <c r="D328" s="85" t="str">
        <f t="shared" ca="1" si="134"/>
        <v/>
      </c>
      <c r="E328" s="85" t="str">
        <f t="shared" ca="1" si="135"/>
        <v/>
      </c>
      <c r="T328" s="64" t="str">
        <f t="shared" ca="1" si="136"/>
        <v/>
      </c>
      <c r="U328" s="64" t="str">
        <f t="shared" si="137"/>
        <v/>
      </c>
      <c r="V328" s="266" t="str">
        <f ca="1">IF(OR(D328=0,D328="",D328="Athlete"),"",COUNTIF($D$4:$D328,D328))</f>
        <v/>
      </c>
    </row>
    <row r="329" spans="4:22" hidden="1" x14ac:dyDescent="0.35">
      <c r="D329" s="85" t="str">
        <f t="shared" ca="1" si="134"/>
        <v/>
      </c>
      <c r="E329" s="85" t="str">
        <f t="shared" ca="1" si="135"/>
        <v/>
      </c>
      <c r="T329" s="64" t="str">
        <f t="shared" ca="1" si="136"/>
        <v/>
      </c>
      <c r="U329" s="64" t="str">
        <f t="shared" si="137"/>
        <v/>
      </c>
      <c r="V329" s="266" t="str">
        <f ca="1">IF(OR(D329=0,D329="",D329="Athlete"),"",COUNTIF($D$4:$D329,D329))</f>
        <v/>
      </c>
    </row>
    <row r="330" spans="4:22" hidden="1" x14ac:dyDescent="0.35">
      <c r="D330" s="85" t="str">
        <f t="shared" ca="1" si="134"/>
        <v/>
      </c>
      <c r="E330" s="85" t="str">
        <f t="shared" ca="1" si="135"/>
        <v/>
      </c>
      <c r="T330" s="64" t="str">
        <f t="shared" ca="1" si="136"/>
        <v/>
      </c>
      <c r="U330" s="64" t="str">
        <f t="shared" si="137"/>
        <v/>
      </c>
      <c r="V330" s="266" t="str">
        <f ca="1">IF(OR(D330=0,D330="",D330="Athlete"),"",COUNTIF($D$4:$D330,D330))</f>
        <v/>
      </c>
    </row>
    <row r="331" spans="4:22" hidden="1" x14ac:dyDescent="0.35">
      <c r="D331" s="85">
        <f t="shared" si="134"/>
        <v>0</v>
      </c>
      <c r="E331" s="85">
        <f t="shared" si="135"/>
        <v>0</v>
      </c>
      <c r="T331" s="64" t="str">
        <f t="shared" si="136"/>
        <v/>
      </c>
      <c r="U331" s="64" t="str">
        <f t="shared" si="137"/>
        <v/>
      </c>
      <c r="V331" s="266" t="str">
        <f>IF(OR(D331=0,D331="",D331="Athlete"),"",COUNTIF($D$4:$D331,D331))</f>
        <v/>
      </c>
    </row>
    <row r="332" spans="4:22" hidden="1" x14ac:dyDescent="0.35">
      <c r="D332" s="85">
        <f t="shared" si="134"/>
        <v>0</v>
      </c>
      <c r="E332" s="85">
        <f t="shared" si="135"/>
        <v>0</v>
      </c>
      <c r="T332" s="64" t="str">
        <f t="shared" si="136"/>
        <v/>
      </c>
      <c r="U332" s="64" t="str">
        <f t="shared" si="137"/>
        <v/>
      </c>
      <c r="V332" s="266" t="str">
        <f>IF(OR(D332=0,D332="",D332="Athlete"),"",COUNTIF($D$4:$D332,D332))</f>
        <v/>
      </c>
    </row>
    <row r="333" spans="4:22" hidden="1" x14ac:dyDescent="0.35">
      <c r="D333" s="85" t="str">
        <f t="shared" ca="1" si="134"/>
        <v>Athlete</v>
      </c>
      <c r="E333" s="85" t="str">
        <f t="shared" ca="1" si="135"/>
        <v>Club</v>
      </c>
      <c r="T333" s="64" t="str">
        <f t="shared" ca="1" si="136"/>
        <v/>
      </c>
      <c r="U333" s="64" t="str">
        <f t="shared" si="137"/>
        <v/>
      </c>
      <c r="V333" s="266" t="str">
        <f ca="1">IF(OR(D333=0,D333="",D333="Athlete"),"",COUNTIF($D$4:$D333,D333))</f>
        <v/>
      </c>
    </row>
    <row r="334" spans="4:22" hidden="1" x14ac:dyDescent="0.35">
      <c r="D334" s="85" t="str">
        <f t="shared" ca="1" si="134"/>
        <v/>
      </c>
      <c r="E334" s="85" t="str">
        <f t="shared" ca="1" si="135"/>
        <v/>
      </c>
      <c r="T334" s="64" t="str">
        <f t="shared" ca="1" si="136"/>
        <v/>
      </c>
      <c r="U334" s="64" t="str">
        <f t="shared" si="137"/>
        <v/>
      </c>
      <c r="V334" s="266" t="str">
        <f ca="1">IF(OR(D334=0,D334="",D334="Athlete"),"",COUNTIF($D$4:$D334,D334))</f>
        <v/>
      </c>
    </row>
    <row r="335" spans="4:22" hidden="1" x14ac:dyDescent="0.35">
      <c r="D335" s="85" t="str">
        <f t="shared" ca="1" si="134"/>
        <v/>
      </c>
      <c r="E335" s="85" t="str">
        <f t="shared" ca="1" si="135"/>
        <v/>
      </c>
      <c r="T335" s="64" t="str">
        <f t="shared" ca="1" si="136"/>
        <v/>
      </c>
      <c r="U335" s="64" t="str">
        <f t="shared" si="137"/>
        <v/>
      </c>
      <c r="V335" s="266" t="str">
        <f ca="1">IF(OR(D335=0,D335="",D335="Athlete"),"",COUNTIF($D$4:$D335,D335))</f>
        <v/>
      </c>
    </row>
    <row r="336" spans="4:22" hidden="1" x14ac:dyDescent="0.35">
      <c r="D336" s="85" t="str">
        <f t="shared" ca="1" si="134"/>
        <v/>
      </c>
      <c r="E336" s="85" t="str">
        <f t="shared" ca="1" si="135"/>
        <v/>
      </c>
      <c r="T336" s="64" t="str">
        <f t="shared" ca="1" si="136"/>
        <v/>
      </c>
      <c r="U336" s="64" t="str">
        <f t="shared" si="137"/>
        <v/>
      </c>
      <c r="V336" s="266" t="str">
        <f ca="1">IF(OR(D336=0,D336="",D336="Athlete"),"",COUNTIF($D$4:$D336,D336))</f>
        <v/>
      </c>
    </row>
    <row r="337" spans="4:22" hidden="1" x14ac:dyDescent="0.35">
      <c r="D337" s="85" t="str">
        <f t="shared" ca="1" si="134"/>
        <v/>
      </c>
      <c r="E337" s="85" t="str">
        <f t="shared" ca="1" si="135"/>
        <v/>
      </c>
      <c r="T337" s="64" t="str">
        <f t="shared" ca="1" si="136"/>
        <v/>
      </c>
      <c r="U337" s="64" t="str">
        <f t="shared" si="137"/>
        <v/>
      </c>
      <c r="V337" s="266" t="str">
        <f ca="1">IF(OR(D337=0,D337="",D337="Athlete"),"",COUNTIF($D$4:$D337,D337))</f>
        <v/>
      </c>
    </row>
    <row r="338" spans="4:22" hidden="1" x14ac:dyDescent="0.35">
      <c r="D338" s="85" t="str">
        <f t="shared" ca="1" si="134"/>
        <v/>
      </c>
      <c r="E338" s="85" t="str">
        <f t="shared" ca="1" si="135"/>
        <v/>
      </c>
      <c r="T338" s="64" t="str">
        <f t="shared" ca="1" si="136"/>
        <v/>
      </c>
      <c r="U338" s="64" t="str">
        <f t="shared" si="137"/>
        <v/>
      </c>
      <c r="V338" s="266" t="str">
        <f ca="1">IF(OR(D338=0,D338="",D338="Athlete"),"",COUNTIF($D$4:$D338,D338))</f>
        <v/>
      </c>
    </row>
    <row r="339" spans="4:22" hidden="1" x14ac:dyDescent="0.35">
      <c r="D339" s="85" t="str">
        <f t="shared" ca="1" si="134"/>
        <v/>
      </c>
      <c r="E339" s="85" t="str">
        <f t="shared" ca="1" si="135"/>
        <v/>
      </c>
      <c r="T339" s="64" t="str">
        <f t="shared" ca="1" si="136"/>
        <v/>
      </c>
      <c r="U339" s="64" t="str">
        <f t="shared" si="137"/>
        <v/>
      </c>
      <c r="V339" s="266" t="str">
        <f ca="1">IF(OR(D339=0,D339="",D339="Athlete"),"",COUNTIF($D$4:$D339,D339))</f>
        <v/>
      </c>
    </row>
    <row r="340" spans="4:22" hidden="1" x14ac:dyDescent="0.35">
      <c r="D340" s="85" t="str">
        <f t="shared" ca="1" si="134"/>
        <v/>
      </c>
      <c r="E340" s="85" t="str">
        <f t="shared" ca="1" si="135"/>
        <v/>
      </c>
      <c r="T340" s="64" t="str">
        <f t="shared" ca="1" si="136"/>
        <v/>
      </c>
      <c r="U340" s="64" t="str">
        <f t="shared" si="137"/>
        <v/>
      </c>
      <c r="V340" s="266" t="str">
        <f ca="1">IF(OR(D340=0,D340="",D340="Athlete"),"",COUNTIF($D$4:$D340,D340))</f>
        <v/>
      </c>
    </row>
    <row r="341" spans="4:22" hidden="1" x14ac:dyDescent="0.35">
      <c r="D341" s="85" t="str">
        <f t="shared" ca="1" si="134"/>
        <v/>
      </c>
      <c r="E341" s="85" t="str">
        <f t="shared" ca="1" si="135"/>
        <v/>
      </c>
      <c r="T341" s="64" t="str">
        <f t="shared" ca="1" si="136"/>
        <v/>
      </c>
      <c r="U341" s="64" t="str">
        <f t="shared" si="137"/>
        <v/>
      </c>
      <c r="V341" s="266" t="str">
        <f ca="1">IF(OR(D341=0,D341="",D341="Athlete"),"",COUNTIF($D$4:$D341,D341))</f>
        <v/>
      </c>
    </row>
    <row r="342" spans="4:22" hidden="1" x14ac:dyDescent="0.35">
      <c r="D342" s="85">
        <f t="shared" si="134"/>
        <v>0</v>
      </c>
      <c r="E342" s="85">
        <f t="shared" si="135"/>
        <v>0</v>
      </c>
      <c r="T342" s="64" t="str">
        <f t="shared" si="136"/>
        <v/>
      </c>
      <c r="U342" s="64" t="str">
        <f t="shared" si="137"/>
        <v/>
      </c>
      <c r="V342" s="266" t="str">
        <f>IF(OR(D342=0,D342="",D342="Athlete"),"",COUNTIF($D$4:$D342,D342))</f>
        <v/>
      </c>
    </row>
    <row r="343" spans="4:22" hidden="1" x14ac:dyDescent="0.35">
      <c r="D343" s="85">
        <f t="shared" si="134"/>
        <v>0</v>
      </c>
      <c r="E343" s="85">
        <f t="shared" si="135"/>
        <v>0</v>
      </c>
      <c r="T343" s="64" t="str">
        <f t="shared" si="136"/>
        <v/>
      </c>
      <c r="U343" s="64" t="str">
        <f t="shared" si="137"/>
        <v/>
      </c>
      <c r="V343" s="266" t="str">
        <f>IF(OR(D343=0,D343="",D343="Athlete"),"",COUNTIF($D$4:$D343,D343))</f>
        <v/>
      </c>
    </row>
    <row r="344" spans="4:22" hidden="1" x14ac:dyDescent="0.35">
      <c r="D344" s="85" t="str">
        <f t="shared" ca="1" si="134"/>
        <v>Athlete</v>
      </c>
      <c r="E344" s="85" t="str">
        <f t="shared" ca="1" si="135"/>
        <v>Club</v>
      </c>
      <c r="T344" s="64" t="str">
        <f t="shared" ca="1" si="136"/>
        <v/>
      </c>
      <c r="U344" s="64" t="str">
        <f t="shared" si="137"/>
        <v/>
      </c>
      <c r="V344" s="266" t="str">
        <f ca="1">IF(OR(D344=0,D344="",D344="Athlete"),"",COUNTIF($D$4:$D344,D344))</f>
        <v/>
      </c>
    </row>
    <row r="345" spans="4:22" hidden="1" x14ac:dyDescent="0.35">
      <c r="D345" s="85" t="str">
        <f t="shared" ca="1" si="134"/>
        <v>Saif AL-BAYATTI</v>
      </c>
      <c r="E345" s="85" t="str">
        <f t="shared" ca="1" si="135"/>
        <v>C&amp;N</v>
      </c>
      <c r="T345" s="64">
        <f t="shared" ca="1" si="136"/>
        <v>2</v>
      </c>
      <c r="U345" s="64" t="str">
        <f t="shared" si="137"/>
        <v/>
      </c>
      <c r="V345" s="266">
        <f ca="1">IF(OR(D345=0,D345="",D345="Athlete"),"",COUNTIF($D$4:$D345,D345))</f>
        <v>2</v>
      </c>
    </row>
    <row r="346" spans="4:22" hidden="1" x14ac:dyDescent="0.35">
      <c r="D346" s="85" t="str">
        <f t="shared" ca="1" si="134"/>
        <v>Arthur WOLSTENHOLME</v>
      </c>
      <c r="E346" s="85" t="str">
        <f t="shared" ca="1" si="135"/>
        <v>Stock</v>
      </c>
      <c r="T346" s="64">
        <f t="shared" ca="1" si="136"/>
        <v>3</v>
      </c>
      <c r="U346" s="64" t="str">
        <f t="shared" si="137"/>
        <v/>
      </c>
      <c r="V346" s="266">
        <f ca="1">IF(OR(D346=0,D346="",D346="Athlete"),"",COUNTIF($D$4:$D346,D346))</f>
        <v>3</v>
      </c>
    </row>
    <row r="347" spans="4:22" hidden="1" x14ac:dyDescent="0.35">
      <c r="D347" s="85" t="str">
        <f t="shared" ca="1" si="134"/>
        <v/>
      </c>
      <c r="E347" s="85" t="str">
        <f t="shared" ca="1" si="135"/>
        <v/>
      </c>
      <c r="T347" s="64" t="str">
        <f t="shared" ca="1" si="136"/>
        <v/>
      </c>
      <c r="U347" s="64" t="str">
        <f t="shared" si="137"/>
        <v/>
      </c>
      <c r="V347" s="266" t="str">
        <f ca="1">IF(OR(D347=0,D347="",D347="Athlete"),"",COUNTIF($D$4:$D347,D347))</f>
        <v/>
      </c>
    </row>
    <row r="348" spans="4:22" hidden="1" x14ac:dyDescent="0.35">
      <c r="D348" s="85" t="str">
        <f t="shared" ca="1" si="134"/>
        <v/>
      </c>
      <c r="E348" s="85" t="str">
        <f t="shared" ca="1" si="135"/>
        <v/>
      </c>
      <c r="T348" s="64" t="str">
        <f t="shared" ca="1" si="136"/>
        <v/>
      </c>
      <c r="U348" s="64" t="str">
        <f t="shared" si="137"/>
        <v/>
      </c>
      <c r="V348" s="266" t="str">
        <f ca="1">IF(OR(D348=0,D348="",D348="Athlete"),"",COUNTIF($D$4:$D348,D348))</f>
        <v/>
      </c>
    </row>
    <row r="349" spans="4:22" hidden="1" x14ac:dyDescent="0.35">
      <c r="D349" s="85" t="str">
        <f t="shared" ca="1" si="134"/>
        <v/>
      </c>
      <c r="E349" s="85" t="str">
        <f t="shared" ca="1" si="135"/>
        <v/>
      </c>
      <c r="T349" s="64" t="str">
        <f t="shared" ca="1" si="136"/>
        <v/>
      </c>
      <c r="U349" s="64" t="str">
        <f t="shared" si="137"/>
        <v/>
      </c>
      <c r="V349" s="266" t="str">
        <f ca="1">IF(OR(D349=0,D349="",D349="Athlete"),"",COUNTIF($D$4:$D349,D349))</f>
        <v/>
      </c>
    </row>
    <row r="350" spans="4:22" hidden="1" x14ac:dyDescent="0.35">
      <c r="D350" s="85" t="str">
        <f t="shared" ca="1" si="134"/>
        <v/>
      </c>
      <c r="E350" s="85" t="str">
        <f t="shared" ca="1" si="135"/>
        <v/>
      </c>
      <c r="T350" s="64" t="str">
        <f t="shared" ca="1" si="136"/>
        <v/>
      </c>
      <c r="U350" s="64" t="str">
        <f t="shared" si="137"/>
        <v/>
      </c>
      <c r="V350" s="266" t="str">
        <f ca="1">IF(OR(D350=0,D350="",D350="Athlete"),"",COUNTIF($D$4:$D350,D350))</f>
        <v/>
      </c>
    </row>
    <row r="351" spans="4:22" hidden="1" x14ac:dyDescent="0.35">
      <c r="D351" s="85" t="str">
        <f t="shared" ca="1" si="134"/>
        <v/>
      </c>
      <c r="E351" s="85" t="str">
        <f t="shared" ca="1" si="135"/>
        <v/>
      </c>
      <c r="T351" s="64" t="str">
        <f t="shared" ca="1" si="136"/>
        <v/>
      </c>
      <c r="U351" s="64" t="str">
        <f t="shared" si="137"/>
        <v/>
      </c>
      <c r="V351" s="266" t="str">
        <f ca="1">IF(OR(D351=0,D351="",D351="Athlete"),"",COUNTIF($D$4:$D351,D351))</f>
        <v/>
      </c>
    </row>
    <row r="352" spans="4:22" hidden="1" x14ac:dyDescent="0.35">
      <c r="D352" s="85" t="str">
        <f t="shared" ca="1" si="134"/>
        <v/>
      </c>
      <c r="E352" s="85" t="str">
        <f t="shared" ca="1" si="135"/>
        <v/>
      </c>
      <c r="T352" s="64" t="str">
        <f t="shared" ca="1" si="136"/>
        <v/>
      </c>
      <c r="U352" s="64" t="str">
        <f t="shared" si="137"/>
        <v/>
      </c>
      <c r="V352" s="266" t="str">
        <f ca="1">IF(OR(D352=0,D352="",D352="Athlete"),"",COUNTIF($D$4:$D352,D352))</f>
        <v/>
      </c>
    </row>
  </sheetData>
  <sheetProtection algorithmName="SHA-512" hashValue="kFpXw8SLVIKzJQwRQ8lc63Ucj01xUKdB8/h5AlCi5NP2NXcAcyp5FxYqxFA8Lv6koc17mHB9Ec0St3ghjJTY1g==" saltValue="KS4O5mOuV9Y5D6965i9NHA==" spinCount="100000" sheet="1" objects="1" scenarios="1" formatCells="0" formatColumns="0" formatRows="0" sort="0" autoFilter="0"/>
  <mergeCells count="1">
    <mergeCell ref="L1:M1"/>
  </mergeCells>
  <printOptions horizontalCentered="1"/>
  <pageMargins left="0.31496062992125984" right="0.31496062992125984" top="0.98425196850393704" bottom="0.74803149606299213" header="0.31496062992125984" footer="0.31496062992125984"/>
  <pageSetup paperSize="9" scale="99" orientation="portrait" r:id="rId1"/>
  <headerFooter>
    <oddHeader>&amp;L&amp;G&amp;CUK ATHLETICS :: YOUTH DEVELOPMENT LEAGUE 2023&amp;R&amp;"+,Regular"&amp;U&amp;A</oddHeader>
    <oddFooter>&amp;L&amp;9&amp;D &amp;T&amp;C&amp;G&amp;R&amp;9Page &amp;P of &amp;N</oddFooter>
  </headerFooter>
  <rowBreaks count="4" manualBreakCount="4">
    <brk id="45" min="1" max="13" man="1"/>
    <brk id="89" min="1" max="13" man="1"/>
    <brk id="133" min="1" max="13" man="1"/>
    <brk id="166" min="1" max="13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3">
    <tabColor rgb="FFFFFF00"/>
  </sheetPr>
  <dimension ref="A1:AB352"/>
  <sheetViews>
    <sheetView showZeros="0" topLeftCell="B1" zoomScaleNormal="100" workbookViewId="0">
      <pane ySplit="1" topLeftCell="A176" activePane="bottomLeft" state="frozen"/>
      <selection activeCell="F7" sqref="F7"/>
      <selection pane="bottomLeft" activeCell="E166" sqref="E166"/>
    </sheetView>
  </sheetViews>
  <sheetFormatPr defaultColWidth="8.7109375" defaultRowHeight="15" x14ac:dyDescent="0.35"/>
  <cols>
    <col min="1" max="1" width="8.7109375" style="66" hidden="1" customWidth="1"/>
    <col min="2" max="3" width="3.7109375" style="66" customWidth="1"/>
    <col min="4" max="4" width="20.7109375" style="85" customWidth="1"/>
    <col min="5" max="5" width="7.7109375" style="85" customWidth="1"/>
    <col min="6" max="6" width="7.42578125" style="67" bestFit="1" customWidth="1"/>
    <col min="7" max="7" width="4" style="108" customWidth="1"/>
    <col min="8" max="8" width="1.7109375" style="64" customWidth="1"/>
    <col min="9" max="10" width="3.7109375" style="66" customWidth="1"/>
    <col min="11" max="11" width="20.7109375" style="64" customWidth="1"/>
    <col min="12" max="12" width="7.7109375" style="85" customWidth="1"/>
    <col min="13" max="13" width="7.42578125" style="67" bestFit="1" customWidth="1"/>
    <col min="14" max="14" width="4" style="108" customWidth="1"/>
    <col min="15" max="17" width="8.7109375" style="64"/>
    <col min="18" max="18" width="8.7109375" style="64" customWidth="1"/>
    <col min="19" max="19" width="8.7109375" style="64"/>
    <col min="20" max="21" width="0" style="64" hidden="1" customWidth="1"/>
    <col min="22" max="23" width="0" style="266" hidden="1" customWidth="1"/>
    <col min="24" max="28" width="8.7109375" style="266"/>
    <col min="29" max="16384" width="8.7109375" style="64"/>
  </cols>
  <sheetData>
    <row r="1" spans="1:26" ht="45" customHeight="1" x14ac:dyDescent="0.35">
      <c r="A1" s="150" t="s">
        <v>540</v>
      </c>
      <c r="B1" s="170" t="str">
        <f>Dashboard!E1</f>
        <v>LOWER NORTH West 2 Macclesfield Leisure Centre</v>
      </c>
      <c r="D1" s="193"/>
      <c r="G1" s="147"/>
      <c r="I1" s="64"/>
      <c r="J1" s="64"/>
      <c r="K1" s="151"/>
      <c r="L1" s="453">
        <f>Dashboard!E2</f>
        <v>45053</v>
      </c>
      <c r="M1" s="453"/>
      <c r="N1" s="149"/>
      <c r="P1" s="79"/>
      <c r="Q1" s="70"/>
      <c r="R1" s="79">
        <f ca="1">SUM(R2:R300)</f>
        <v>132</v>
      </c>
    </row>
    <row r="2" spans="1:26" x14ac:dyDescent="0.35">
      <c r="A2" s="66" t="s">
        <v>43</v>
      </c>
      <c r="B2" s="102" t="str">
        <f ca="1">IFERROR(INDIRECT(CONCATENATE("Track1!D",A3)),"")</f>
        <v>100m U15 Girls A</v>
      </c>
      <c r="E2" s="85" t="s">
        <v>206</v>
      </c>
      <c r="F2" s="195">
        <f ca="1">IFERROR(INDIRECT(CONCATENATE("Track1!h",A3)),"")</f>
        <v>0</v>
      </c>
      <c r="G2" s="108" t="str">
        <f ca="1">IFERROR(INDIRECT(CONCATENATE("Track1!i",A3)),"")</f>
        <v/>
      </c>
      <c r="I2" s="102" t="str">
        <f ca="1">IFERROR(INDIRECT(CONCATENATE("Track1!k",A3)),"")</f>
        <v>100m U15 Girls B</v>
      </c>
      <c r="L2" s="85" t="s">
        <v>206</v>
      </c>
      <c r="M2" s="195">
        <f ca="1">IFERROR(INDIRECT(CONCATENATE("Track1!o",A3)),"")</f>
        <v>0</v>
      </c>
    </row>
    <row r="3" spans="1:26" x14ac:dyDescent="0.35">
      <c r="A3" s="66">
        <f>IFERROR(MATCH(A2,Track1!C:C,0),"")</f>
        <v>112</v>
      </c>
      <c r="B3" s="45" t="str">
        <f ca="1">IFERROR(INDIRECT(CONCATENATE("Track1!D",A3+1)),"")</f>
        <v>Posn</v>
      </c>
      <c r="C3" s="45" t="str">
        <f ca="1">IFERROR(INDIRECT(CONCATENATE("Track1!e",A3+1)),"")</f>
        <v>No.</v>
      </c>
      <c r="D3" s="139" t="str">
        <f ca="1">IFERROR(INDIRECT(CONCATENATE("Track1!f",A3+1)),"")</f>
        <v>Athlete</v>
      </c>
      <c r="E3" s="139" t="str">
        <f ca="1">IFERROR(INDIRECT(CONCATENATE("Track1!g",A3+1)),"")</f>
        <v>Club</v>
      </c>
      <c r="F3" s="133" t="str">
        <f ca="1">IFERROR(INDIRECT(CONCATENATE("Track1!h",A3+1)),"")</f>
        <v>Perf</v>
      </c>
      <c r="G3" s="167" t="str">
        <f ca="1">IFERROR(INDIRECT(CONCATENATE("Track1!i",A3+1)),"")</f>
        <v>EA</v>
      </c>
      <c r="H3" s="45"/>
      <c r="I3" s="45" t="str">
        <f ca="1">IFERROR(INDIRECT(CONCATENATE("Track1!k",A3+1)),"")</f>
        <v>Posn</v>
      </c>
      <c r="J3" s="45" t="str">
        <f ca="1">IFERROR(INDIRECT(CONCATENATE("Track1!l",A3+1)),"")</f>
        <v>No.</v>
      </c>
      <c r="K3" s="139" t="str">
        <f ca="1">IFERROR(INDIRECT(CONCATENATE("Track1!m",A3+1)),"")</f>
        <v>Athlete</v>
      </c>
      <c r="L3" s="139" t="str">
        <f ca="1">IFERROR(INDIRECT(CONCATENATE("Track1!n",A3+1)),"")</f>
        <v>Club</v>
      </c>
      <c r="M3" s="133" t="str">
        <f ca="1">IFERROR(INDIRECT(CONCATENATE("Track1!o",A3+1)),"")</f>
        <v>Perf</v>
      </c>
      <c r="N3" s="167" t="str">
        <f ca="1">IFERROR(INDIRECT(CONCATENATE("Track1!p",A3+1)),"")</f>
        <v>EA</v>
      </c>
    </row>
    <row r="4" spans="1:26" x14ac:dyDescent="0.35">
      <c r="B4" s="66">
        <f ca="1">IFERROR(INDIRECT(CONCATENATE("Track1!D",A3+2)),"")</f>
        <v>1</v>
      </c>
      <c r="C4" s="66">
        <f ca="1">IFERROR(INDIRECT(CONCATENATE("Track1!e",A3+2)),"")</f>
        <v>7</v>
      </c>
      <c r="D4" s="85" t="str">
        <f ca="1">IFERROR(INDIRECT(CONCATENATE("Track1!f",A3+2)),"")</f>
        <v>Emma PIMBLETT</v>
      </c>
      <c r="E4" s="85" t="str">
        <f ca="1">IFERROR(INDIRECT(CONCATENATE("Track1!g",A3+2)),"")</f>
        <v>Wigan</v>
      </c>
      <c r="F4" s="395">
        <f ca="1">IFERROR(INDIRECT(CONCATENATE("Track1!h",A3+2)),"")</f>
        <v>13.1</v>
      </c>
      <c r="G4" s="108">
        <f ca="1">IFERROR(INDIRECT(CONCATENATE("Track1!i",A3+2)),"")</f>
        <v>7</v>
      </c>
      <c r="H4" s="66"/>
      <c r="I4" s="66">
        <f ca="1">IFERROR(INDIRECT(CONCATENATE("Track1!k",A3+2)),"")</f>
        <v>1</v>
      </c>
      <c r="J4" s="66">
        <f ca="1">IFERROR(INDIRECT(CONCATENATE("Track1!l",A3+2)),"")</f>
        <v>77</v>
      </c>
      <c r="K4" s="85" t="str">
        <f ca="1">IFERROR(INDIRECT(CONCATENATE("Track1!m",A3+2)),"")</f>
        <v>Kady HALL</v>
      </c>
      <c r="L4" s="85" t="str">
        <f ca="1">IFERROR(INDIRECT(CONCATENATE("Track1!n",A3+2)),"")</f>
        <v>Wigan</v>
      </c>
      <c r="M4" s="395">
        <f ca="1">IFERROR(INDIRECT(CONCATENATE("Track1!o",A3+2)),"")</f>
        <v>13.2</v>
      </c>
      <c r="N4" s="108">
        <f ca="1">IFERROR(INDIRECT(CONCATENATE("Track1!p",A3+2)),"")</f>
        <v>7</v>
      </c>
      <c r="R4" s="168">
        <f ca="1">IFERROR(INDIRECT(CONCATENATE("Track1!r",A3+2)),"")</f>
        <v>10</v>
      </c>
      <c r="T4" s="64">
        <f ca="1">IF(OR(D4=0,D4="",D4="Athlete"),"",COUNTIF($D$4:$D$352,D4))</f>
        <v>3</v>
      </c>
      <c r="U4" s="64">
        <f ca="1">IF(OR(K4=0,K4="",K4="Athlete"),"",COUNTIF($D$4:$D$352,K4))</f>
        <v>3</v>
      </c>
      <c r="V4" s="266">
        <f ca="1">IF(OR(D4=0,D4="",D4="Athlete"),"",COUNTIF($D$4:$D4,D4))</f>
        <v>1</v>
      </c>
      <c r="W4" s="266" t="str">
        <f ca="1">IF(OR(D4=0,D4="",D4="Athlete"),"",E4)</f>
        <v>Wigan</v>
      </c>
      <c r="Z4" s="266">
        <f ca="1">IF(OR(G4=0,G4="",G4="Athlete"),"",H4)</f>
        <v>0</v>
      </c>
    </row>
    <row r="5" spans="1:26" x14ac:dyDescent="0.35">
      <c r="B5" s="66">
        <f ca="1">IFERROR(INDIRECT(CONCATENATE("Track1!D",A3+3)),"")</f>
        <v>2</v>
      </c>
      <c r="C5" s="66">
        <f ca="1">IFERROR(INDIRECT(CONCATENATE("Track1!e",A3+3)),"")</f>
        <v>2</v>
      </c>
      <c r="D5" s="85" t="str">
        <f ca="1">IFERROR(INDIRECT(CONCATENATE("Track1!f",A3+3)),"")</f>
        <v>Amelia JONES</v>
      </c>
      <c r="E5" s="85" t="str">
        <f ca="1">IFERROR(INDIRECT(CONCATENATE("Track1!g",A3+3)),"")</f>
        <v>ECHT</v>
      </c>
      <c r="F5" s="395">
        <f ca="1">IFERROR(INDIRECT(CONCATENATE("Track1!h",A3+3)),"")</f>
        <v>13.2</v>
      </c>
      <c r="G5" s="108">
        <f ca="1">IFERROR(INDIRECT(CONCATENATE("Track1!i",A3+3)),"")</f>
        <v>7</v>
      </c>
      <c r="H5" s="66"/>
      <c r="I5" s="66">
        <f ca="1">IFERROR(INDIRECT(CONCATENATE("Track1!k",A3+3)),"")</f>
        <v>2</v>
      </c>
      <c r="J5" s="66">
        <f ca="1">IFERROR(INDIRECT(CONCATENATE("Track1!l",A3+3)),"")</f>
        <v>33</v>
      </c>
      <c r="K5" s="85" t="str">
        <f ca="1">IFERROR(INDIRECT(CONCATENATE("Track1!m",A3+3)),"")</f>
        <v>Eva MELLING</v>
      </c>
      <c r="L5" s="85" t="str">
        <f ca="1">IFERROR(INDIRECT(CONCATENATE("Track1!n",A3+3)),"")</f>
        <v>Leigh</v>
      </c>
      <c r="M5" s="395">
        <f ca="1">IFERROR(INDIRECT(CONCATENATE("Track1!o",A3+3)),"")</f>
        <v>14</v>
      </c>
      <c r="N5" s="108">
        <f ca="1">IFERROR(INDIRECT(CONCATENATE("Track1!p",A3+3)),"")</f>
        <v>3</v>
      </c>
      <c r="T5" s="64">
        <f t="shared" ref="T5:T68" ca="1" si="0">IF(OR(D5=0,D5="",D5="Athlete"),"",COUNTIF($D$4:$D$352,D5))</f>
        <v>3</v>
      </c>
      <c r="U5" s="64">
        <f t="shared" ref="U5:U68" ca="1" si="1">IF(OR(K5=0,K5="",K5="Athlete"),"",COUNTIF($D$4:$D$352,K5))</f>
        <v>3</v>
      </c>
      <c r="V5" s="266">
        <f ca="1">IF(OR(D5=0,D5="",D5="Athlete"),"",COUNTIF($D$4:$D5,D5))</f>
        <v>1</v>
      </c>
      <c r="W5" s="266" t="str">
        <f t="shared" ref="W5:W68" ca="1" si="2">IF(OR(D5=0,D5="",D5="Athlete"),"",E5)</f>
        <v>ECHT</v>
      </c>
      <c r="Z5" s="266">
        <f t="shared" ref="Z5:Z68" ca="1" si="3">IF(OR(G5=0,G5="",G5="Athlete"),"",H5)</f>
        <v>0</v>
      </c>
    </row>
    <row r="6" spans="1:26" x14ac:dyDescent="0.35">
      <c r="B6" s="66">
        <f ca="1">IFERROR(INDIRECT(CONCATENATE("Track1!D",A3+4)),"")</f>
        <v>3</v>
      </c>
      <c r="C6" s="66">
        <f ca="1">IFERROR(INDIRECT(CONCATENATE("Track1!e",A3+4)),"")</f>
        <v>6</v>
      </c>
      <c r="D6" s="85" t="str">
        <f ca="1">IFERROR(INDIRECT(CONCATENATE("Track1!f",A3+4)),"")</f>
        <v>Lucy JONES</v>
      </c>
      <c r="E6" s="85" t="str">
        <f ca="1">IFERROR(INDIRECT(CONCATENATE("Track1!g",A3+4)),"")</f>
        <v>Stock</v>
      </c>
      <c r="F6" s="395">
        <f ca="1">IFERROR(INDIRECT(CONCATENATE("Track1!h",A3+4)),"")</f>
        <v>13.7</v>
      </c>
      <c r="G6" s="108">
        <f ca="1">IFERROR(INDIRECT(CONCATENATE("Track1!i",A3+4)),"")</f>
        <v>4</v>
      </c>
      <c r="H6" s="66"/>
      <c r="I6" s="66">
        <f ca="1">IFERROR(INDIRECT(CONCATENATE("Track1!k",A3+4)),"")</f>
        <v>3</v>
      </c>
      <c r="J6" s="66">
        <f ca="1">IFERROR(INDIRECT(CONCATENATE("Track1!l",A3+4)),"")</f>
        <v>11</v>
      </c>
      <c r="K6" s="85" t="str">
        <f ca="1">IFERROR(INDIRECT(CONCATENATE("Track1!m",A3+4)),"")</f>
        <v>Bella VARLEY</v>
      </c>
      <c r="L6" s="85" t="str">
        <f ca="1">IFERROR(INDIRECT(CONCATENATE("Track1!n",A3+4)),"")</f>
        <v>C&amp;N</v>
      </c>
      <c r="M6" s="395">
        <f ca="1">IFERROR(INDIRECT(CONCATENATE("Track1!o",A3+4)),"")</f>
        <v>14.4</v>
      </c>
      <c r="N6" s="108">
        <f ca="1">IFERROR(INDIRECT(CONCATENATE("Track1!p",A3+4)),"")</f>
        <v>2</v>
      </c>
      <c r="T6" s="64">
        <f t="shared" ca="1" si="0"/>
        <v>3</v>
      </c>
      <c r="U6" s="64">
        <f t="shared" ca="1" si="1"/>
        <v>3</v>
      </c>
      <c r="V6" s="266">
        <f ca="1">IF(OR(D6=0,D6="",D6="Athlete"),"",COUNTIF($D$4:$D6,D6))</f>
        <v>1</v>
      </c>
      <c r="W6" s="266" t="str">
        <f t="shared" ca="1" si="2"/>
        <v>Stock</v>
      </c>
      <c r="Z6" s="266">
        <f t="shared" ca="1" si="3"/>
        <v>0</v>
      </c>
    </row>
    <row r="7" spans="1:26" x14ac:dyDescent="0.35">
      <c r="B7" s="66">
        <f ca="1">IFERROR(INDIRECT(CONCATENATE("Track1!D",A3+5)),"")</f>
        <v>4</v>
      </c>
      <c r="C7" s="66">
        <f ca="1">IFERROR(INDIRECT(CONCATENATE("Track1!e",A3+5)),"")</f>
        <v>5</v>
      </c>
      <c r="D7" s="85" t="str">
        <f ca="1">IFERROR(INDIRECT(CONCATENATE("Track1!f",A3+5)),"")</f>
        <v>Lily HARDY</v>
      </c>
      <c r="E7" s="85" t="str">
        <f ca="1">IFERROR(INDIRECT(CONCATENATE("Track1!g",A3+5)),"")</f>
        <v>Menai</v>
      </c>
      <c r="F7" s="395">
        <f ca="1">IFERROR(INDIRECT(CONCATENATE("Track1!h",A3+5)),"")</f>
        <v>14.2</v>
      </c>
      <c r="G7" s="108">
        <f ca="1">IFERROR(INDIRECT(CONCATENATE("Track1!i",A3+5)),"")</f>
        <v>3</v>
      </c>
      <c r="H7" s="66"/>
      <c r="I7" s="66">
        <f ca="1">IFERROR(INDIRECT(CONCATENATE("Track1!k",A3+5)),"")</f>
        <v>4</v>
      </c>
      <c r="J7" s="66">
        <f ca="1">IFERROR(INDIRECT(CONCATENATE("Track1!l",A3+5)),"")</f>
        <v>55</v>
      </c>
      <c r="K7" s="85" t="str">
        <f ca="1">IFERROR(INDIRECT(CONCATENATE("Track1!m",A3+5)),"")</f>
        <v>Nest OWEN</v>
      </c>
      <c r="L7" s="85" t="str">
        <f ca="1">IFERROR(INDIRECT(CONCATENATE("Track1!n",A3+5)),"")</f>
        <v>Menai</v>
      </c>
      <c r="M7" s="395">
        <f ca="1">IFERROR(INDIRECT(CONCATENATE("Track1!o",A3+5)),"")</f>
        <v>14.5</v>
      </c>
      <c r="N7" s="108">
        <f ca="1">IFERROR(INDIRECT(CONCATENATE("Track1!p",A3+5)),"")</f>
        <v>2</v>
      </c>
      <c r="T7" s="64">
        <f t="shared" ca="1" si="0"/>
        <v>3</v>
      </c>
      <c r="U7" s="64">
        <f t="shared" ca="1" si="1"/>
        <v>2</v>
      </c>
      <c r="V7" s="266">
        <f ca="1">IF(OR(D7=0,D7="",D7="Athlete"),"",COUNTIF($D$4:$D7,D7))</f>
        <v>1</v>
      </c>
      <c r="W7" s="266" t="str">
        <f t="shared" ca="1" si="2"/>
        <v>Menai</v>
      </c>
      <c r="Z7" s="266">
        <f t="shared" ca="1" si="3"/>
        <v>0</v>
      </c>
    </row>
    <row r="8" spans="1:26" x14ac:dyDescent="0.35">
      <c r="B8" s="66">
        <f ca="1">IFERROR(INDIRECT(CONCATENATE("Track1!D",A3+6)),"")</f>
        <v>5</v>
      </c>
      <c r="C8" s="66">
        <f ca="1">IFERROR(INDIRECT(CONCATENATE("Track1!e",A3+6)),"")</f>
        <v>1</v>
      </c>
      <c r="D8" s="85" t="str">
        <f ca="1">IFERROR(INDIRECT(CONCATENATE("Track1!f",A3+6)),"")</f>
        <v>Sophie STAINSBY</v>
      </c>
      <c r="E8" s="85" t="str">
        <f ca="1">IFERROR(INDIRECT(CONCATENATE("Track1!g",A3+6)),"")</f>
        <v>C&amp;N</v>
      </c>
      <c r="F8" s="395">
        <f ca="1">IFERROR(INDIRECT(CONCATENATE("Track1!h",A3+6)),"")</f>
        <v>14.7</v>
      </c>
      <c r="G8" s="108">
        <f ca="1">IFERROR(INDIRECT(CONCATENATE("Track1!i",A3+6)),"")</f>
        <v>2</v>
      </c>
      <c r="H8" s="66"/>
      <c r="I8" s="66">
        <f ca="1">IFERROR(INDIRECT(CONCATENATE("Track1!k",A3+6)),"")</f>
        <v>5</v>
      </c>
      <c r="J8" s="66">
        <f ca="1">IFERROR(INDIRECT(CONCATENATE("Track1!l",A3+6)),"")</f>
        <v>66</v>
      </c>
      <c r="K8" s="85" t="str">
        <f ca="1">IFERROR(INDIRECT(CONCATENATE("Track1!m",A3+6)),"")</f>
        <v>Charlotte UNDERWOOD</v>
      </c>
      <c r="L8" s="85" t="str">
        <f ca="1">IFERROR(INDIRECT(CONCATENATE("Track1!n",A3+6)),"")</f>
        <v>Stock</v>
      </c>
      <c r="M8" s="395">
        <f ca="1">IFERROR(INDIRECT(CONCATENATE("Track1!o",A3+6)),"")</f>
        <v>14.8</v>
      </c>
      <c r="N8" s="108">
        <f ca="1">IFERROR(INDIRECT(CONCATENATE("Track1!p",A3+6)),"")</f>
        <v>1</v>
      </c>
      <c r="T8" s="64">
        <f t="shared" ca="1" si="0"/>
        <v>2</v>
      </c>
      <c r="U8" s="64">
        <f t="shared" ca="1" si="1"/>
        <v>2</v>
      </c>
      <c r="V8" s="266">
        <f ca="1">IF(OR(D8=0,D8="",D8="Athlete"),"",COUNTIF($D$4:$D8,D8))</f>
        <v>1</v>
      </c>
      <c r="W8" s="266" t="str">
        <f t="shared" ca="1" si="2"/>
        <v>C&amp;N</v>
      </c>
      <c r="Z8" s="266">
        <f t="shared" ca="1" si="3"/>
        <v>0</v>
      </c>
    </row>
    <row r="9" spans="1:26" x14ac:dyDescent="0.35">
      <c r="B9" s="66">
        <f ca="1">IFERROR(INDIRECT(CONCATENATE("Track1!D",A3+7)),"")</f>
        <v>6</v>
      </c>
      <c r="C9" s="66">
        <f ca="1">IFERROR(INDIRECT(CONCATENATE("Track1!e",A3+7)),"")</f>
        <v>3</v>
      </c>
      <c r="D9" s="85" t="str">
        <f ca="1">IFERROR(INDIRECT(CONCATENATE("Track1!f",A3+7)),"")</f>
        <v>Isobel EVANS</v>
      </c>
      <c r="E9" s="85" t="str">
        <f ca="1">IFERROR(INDIRECT(CONCATENATE("Track1!g",A3+7)),"")</f>
        <v>Leigh</v>
      </c>
      <c r="F9" s="395">
        <f ca="1">IFERROR(INDIRECT(CONCATENATE("Track1!h",A3+7)),"")</f>
        <v>15.3</v>
      </c>
      <c r="G9" s="108" t="str">
        <f ca="1">IFERROR(INDIRECT(CONCATENATE("Track1!i",A3+7)),"")</f>
        <v/>
      </c>
      <c r="H9" s="66"/>
      <c r="I9" s="66">
        <f ca="1">IFERROR(INDIRECT(CONCATENATE("Track1!k",A3+7)),"")</f>
        <v>6</v>
      </c>
      <c r="J9" s="66">
        <f ca="1">IFERROR(INDIRECT(CONCATENATE("Track1!l",A3+7)),"")</f>
        <v>22</v>
      </c>
      <c r="K9" s="85" t="str">
        <f ca="1">IFERROR(INDIRECT(CONCATENATE("Track1!m",A3+7)),"")</f>
        <v>Lily-grace POOLE</v>
      </c>
      <c r="L9" s="85" t="str">
        <f ca="1">IFERROR(INDIRECT(CONCATENATE("Track1!n",A3+7)),"")</f>
        <v>ECHT</v>
      </c>
      <c r="M9" s="395">
        <f ca="1">IFERROR(INDIRECT(CONCATENATE("Track1!o",A3+7)),"")</f>
        <v>15.3</v>
      </c>
      <c r="N9" s="108" t="str">
        <f ca="1">IFERROR(INDIRECT(CONCATENATE("Track1!p",A3+7)),"")</f>
        <v/>
      </c>
      <c r="T9" s="64">
        <f t="shared" ca="1" si="0"/>
        <v>2</v>
      </c>
      <c r="U9" s="64">
        <f t="shared" ca="1" si="1"/>
        <v>1</v>
      </c>
      <c r="V9" s="266">
        <f ca="1">IF(OR(D9=0,D9="",D9="Athlete"),"",COUNTIF($D$4:$D9,D9))</f>
        <v>1</v>
      </c>
      <c r="W9" s="266" t="str">
        <f t="shared" ca="1" si="2"/>
        <v>Leigh</v>
      </c>
      <c r="Z9" s="266" t="str">
        <f t="shared" ca="1" si="3"/>
        <v/>
      </c>
    </row>
    <row r="10" spans="1:26" x14ac:dyDescent="0.35">
      <c r="B10" s="66">
        <f ca="1">IFERROR(INDIRECT(CONCATENATE("Track1!D",A3+8)),"")</f>
        <v>7</v>
      </c>
      <c r="C10" s="66">
        <f ca="1">IFERROR(INDIRECT(CONCATENATE("Track1!e",A3+8)),"")</f>
        <v>4</v>
      </c>
      <c r="D10" s="85" t="str">
        <f ca="1">IFERROR(INDIRECT(CONCATENATE("Track1!f",A3+8)),"")</f>
        <v>Tanvi KUTTY</v>
      </c>
      <c r="E10" s="85" t="str">
        <f ca="1">IFERROR(INDIRECT(CONCATENATE("Track1!g",A3+8)),"")</f>
        <v>Macc</v>
      </c>
      <c r="F10" s="395">
        <f ca="1">IFERROR(INDIRECT(CONCATENATE("Track1!h",A3+8)),"")</f>
        <v>15.4</v>
      </c>
      <c r="G10" s="108" t="str">
        <f ca="1">IFERROR(INDIRECT(CONCATENATE("Track1!i",A3+8)),"")</f>
        <v/>
      </c>
      <c r="H10" s="66"/>
      <c r="I10" s="66">
        <f ca="1">IFERROR(INDIRECT(CONCATENATE("Track1!k",A3+8)),"")</f>
        <v>7</v>
      </c>
      <c r="J10" s="66">
        <f ca="1">IFERROR(INDIRECT(CONCATENATE("Track1!l",A3+8)),"")</f>
        <v>0</v>
      </c>
      <c r="K10" s="85" t="str">
        <f ca="1">IFERROR(INDIRECT(CONCATENATE("Track1!m",A3+8)),"")</f>
        <v/>
      </c>
      <c r="L10" s="85" t="str">
        <f ca="1">IFERROR(INDIRECT(CONCATENATE("Track1!n",A3+8)),"")</f>
        <v/>
      </c>
      <c r="M10" s="395">
        <f ca="1">IFERROR(INDIRECT(CONCATENATE("Track1!o",A3+8)),"")</f>
        <v>0</v>
      </c>
      <c r="N10" s="108" t="str">
        <f ca="1">IFERROR(INDIRECT(CONCATENATE("Track1!p",A3+8)),"")</f>
        <v/>
      </c>
      <c r="T10" s="64">
        <f t="shared" ca="1" si="0"/>
        <v>2</v>
      </c>
      <c r="U10" s="64" t="str">
        <f t="shared" ca="1" si="1"/>
        <v/>
      </c>
      <c r="V10" s="266">
        <f ca="1">IF(OR(D10=0,D10="",D10="Athlete"),"",COUNTIF($D$4:$D10,D10))</f>
        <v>1</v>
      </c>
      <c r="W10" s="266" t="str">
        <f t="shared" ca="1" si="2"/>
        <v>Macc</v>
      </c>
      <c r="Z10" s="266" t="str">
        <f t="shared" ca="1" si="3"/>
        <v/>
      </c>
    </row>
    <row r="11" spans="1:26" x14ac:dyDescent="0.35">
      <c r="B11" s="66">
        <f ca="1">IFERROR(INDIRECT(CONCATENATE("Track1!D",A3+9)),"")</f>
        <v>8</v>
      </c>
      <c r="C11" s="66">
        <f ca="1">IFERROR(INDIRECT(CONCATENATE("Track1!e",A3+9)),"")</f>
        <v>0</v>
      </c>
      <c r="D11" s="85" t="str">
        <f ca="1">IFERROR(INDIRECT(CONCATENATE("Track1!f",A3+9)),"")</f>
        <v/>
      </c>
      <c r="E11" s="85" t="str">
        <f ca="1">IFERROR(INDIRECT(CONCATENATE("Track1!g",A3+9)),"")</f>
        <v/>
      </c>
      <c r="F11" s="395">
        <f ca="1">IFERROR(INDIRECT(CONCATENATE("Track1!h",A3+9)),"")</f>
        <v>0</v>
      </c>
      <c r="G11" s="108" t="str">
        <f ca="1">IFERROR(INDIRECT(CONCATENATE("Track1!i",A3+9)),"")</f>
        <v/>
      </c>
      <c r="H11" s="66"/>
      <c r="I11" s="66">
        <f ca="1">IFERROR(INDIRECT(CONCATENATE("Track1!k",A3+9)),"")</f>
        <v>8</v>
      </c>
      <c r="J11" s="66">
        <f ca="1">IFERROR(INDIRECT(CONCATENATE("Track1!l",A3+9)),"")</f>
        <v>0</v>
      </c>
      <c r="K11" s="85" t="str">
        <f ca="1">IFERROR(INDIRECT(CONCATENATE("Track1!m",A3+9)),"")</f>
        <v/>
      </c>
      <c r="L11" s="85" t="str">
        <f ca="1">IFERROR(INDIRECT(CONCATENATE("Track1!n",A3+9)),"")</f>
        <v/>
      </c>
      <c r="M11" s="395">
        <f ca="1">IFERROR(INDIRECT(CONCATENATE("Track1!o",A3+9)),"")</f>
        <v>0</v>
      </c>
      <c r="N11" s="108" t="str">
        <f ca="1">IFERROR(INDIRECT(CONCATENATE("Track1!p",A3+9)),"")</f>
        <v/>
      </c>
      <c r="T11" s="64" t="str">
        <f t="shared" ca="1" si="0"/>
        <v/>
      </c>
      <c r="U11" s="64" t="str">
        <f t="shared" ca="1" si="1"/>
        <v/>
      </c>
      <c r="V11" s="266" t="str">
        <f ca="1">IF(OR(D11=0,D11="",D11="Athlete"),"",COUNTIF($D$4:$D11,D11))</f>
        <v/>
      </c>
      <c r="W11" s="266" t="str">
        <f t="shared" ca="1" si="2"/>
        <v/>
      </c>
      <c r="Z11" s="266" t="str">
        <f t="shared" ca="1" si="3"/>
        <v/>
      </c>
    </row>
    <row r="12" spans="1:26" x14ac:dyDescent="0.35">
      <c r="F12" s="407"/>
      <c r="M12" s="407"/>
      <c r="T12" s="64" t="str">
        <f t="shared" si="0"/>
        <v/>
      </c>
      <c r="U12" s="64" t="str">
        <f t="shared" si="1"/>
        <v/>
      </c>
      <c r="V12" s="266" t="str">
        <f>IF(OR(D12=0,D12="",D12="Athlete"),"",COUNTIF($D$4:$D12,D12))</f>
        <v/>
      </c>
      <c r="W12" s="266" t="str">
        <f t="shared" si="2"/>
        <v/>
      </c>
      <c r="Z12" s="266" t="str">
        <f t="shared" si="3"/>
        <v/>
      </c>
    </row>
    <row r="13" spans="1:26" x14ac:dyDescent="0.35">
      <c r="A13" s="66" t="s">
        <v>46</v>
      </c>
      <c r="B13" s="102" t="str">
        <f ca="1">IFERROR(INDIRECT(CONCATENATE("Track1!D",A14)),"")</f>
        <v>100m NS U15 Girls A</v>
      </c>
      <c r="E13" s="85" t="s">
        <v>206</v>
      </c>
      <c r="F13" s="395">
        <f ca="1">IFERROR(INDIRECT(CONCATENATE("Track1!h",A14)),"")</f>
        <v>0</v>
      </c>
      <c r="G13" s="108" t="str">
        <f ca="1">IFERROR(INDIRECT(CONCATENATE("Track1!i",A14)),"")</f>
        <v/>
      </c>
      <c r="I13" s="102" t="str">
        <f ca="1">IFERROR(INDIRECT(CONCATENATE("Track1!k",A14)),"")</f>
        <v>100m NS U15 Girls B</v>
      </c>
      <c r="L13" s="85" t="s">
        <v>206</v>
      </c>
      <c r="M13" s="395">
        <f ca="1">IFERROR(INDIRECT(CONCATENATE("Track1!o",A14)),"")</f>
        <v>0</v>
      </c>
      <c r="T13" s="64" t="str">
        <f t="shared" si="0"/>
        <v/>
      </c>
      <c r="U13" s="64" t="str">
        <f t="shared" si="1"/>
        <v/>
      </c>
      <c r="V13" s="266" t="str">
        <f>IF(OR(D13=0,D13="",D13="Athlete"),"",COUNTIF($D$4:$D13,D13))</f>
        <v/>
      </c>
      <c r="W13" s="266" t="str">
        <f t="shared" si="2"/>
        <v/>
      </c>
      <c r="Z13" s="266" t="str">
        <f t="shared" ca="1" si="3"/>
        <v/>
      </c>
    </row>
    <row r="14" spans="1:26" x14ac:dyDescent="0.35">
      <c r="A14" s="66">
        <f>IFERROR(MATCH(A13,Track1!C:C,0),"")</f>
        <v>156</v>
      </c>
      <c r="B14" s="45" t="str">
        <f ca="1">IFERROR(INDIRECT(CONCATENATE("Track1!D",A14+1)),"")</f>
        <v>Posn</v>
      </c>
      <c r="C14" s="45" t="str">
        <f ca="1">IFERROR(INDIRECT(CONCATENATE("Track1!e",A14+1)),"")</f>
        <v>No.</v>
      </c>
      <c r="D14" s="139" t="str">
        <f ca="1">IFERROR(INDIRECT(CONCATENATE("Track1!f",A14+1)),"")</f>
        <v>Athlete</v>
      </c>
      <c r="E14" s="139" t="str">
        <f ca="1">IFERROR(INDIRECT(CONCATENATE("Track1!g",A14+1)),"")</f>
        <v>Club</v>
      </c>
      <c r="F14" s="392" t="str">
        <f ca="1">IFERROR(INDIRECT(CONCATENATE("Track1!h",A14+1)),"")</f>
        <v>Perf</v>
      </c>
      <c r="G14" s="167" t="str">
        <f ca="1">IFERROR(INDIRECT(CONCATENATE("Track1!i",A14+1)),"")</f>
        <v>EA</v>
      </c>
      <c r="H14" s="45"/>
      <c r="I14" s="45" t="str">
        <f ca="1">IFERROR(INDIRECT(CONCATENATE("Track1!k",A14+1)),"")</f>
        <v>Posn</v>
      </c>
      <c r="J14" s="45" t="str">
        <f ca="1">IFERROR(INDIRECT(CONCATENATE("Track1!l",A14+1)),"")</f>
        <v>No.</v>
      </c>
      <c r="K14" s="139" t="str">
        <f ca="1">IFERROR(INDIRECT(CONCATENATE("Track1!m",A14+1)),"")</f>
        <v>Athlete</v>
      </c>
      <c r="L14" s="139" t="str">
        <f ca="1">IFERROR(INDIRECT(CONCATENATE("Track1!n",A14+1)),"")</f>
        <v>Club</v>
      </c>
      <c r="M14" s="392" t="str">
        <f ca="1">IFERROR(INDIRECT(CONCATENATE("Track1!o",A14+1)),"")</f>
        <v>Perf</v>
      </c>
      <c r="N14" s="167" t="str">
        <f ca="1">IFERROR(INDIRECT(CONCATENATE("Track1!p",A14+1)),"")</f>
        <v>EA</v>
      </c>
      <c r="T14" s="64" t="str">
        <f t="shared" ca="1" si="0"/>
        <v/>
      </c>
      <c r="U14" s="64" t="str">
        <f t="shared" ca="1" si="1"/>
        <v/>
      </c>
      <c r="V14" s="266" t="str">
        <f ca="1">IF(OR(D14=0,D14="",D14="Athlete"),"",COUNTIF($D$4:$D14,D14))</f>
        <v/>
      </c>
      <c r="W14" s="266" t="str">
        <f t="shared" ca="1" si="2"/>
        <v/>
      </c>
      <c r="Z14" s="266">
        <f t="shared" ca="1" si="3"/>
        <v>0</v>
      </c>
    </row>
    <row r="15" spans="1:26" x14ac:dyDescent="0.35">
      <c r="B15" s="66">
        <f ca="1">IFERROR(INDIRECT(CONCATENATE("Track1!D",A14+2)),"")</f>
        <v>1</v>
      </c>
      <c r="C15" s="66">
        <f ca="1">IFERROR(INDIRECT(CONCATENATE("Track1!e",A14+2)),"")</f>
        <v>11</v>
      </c>
      <c r="D15" s="85" t="str">
        <f ca="1">IFERROR(INDIRECT(CONCATENATE("Track1!f",A14+2)),"")</f>
        <v>Heidi WOODS</v>
      </c>
      <c r="E15" s="85" t="str">
        <f ca="1">IFERROR(INDIRECT(CONCATENATE("Track1!g",A14+2)),"")</f>
        <v>C&amp;N</v>
      </c>
      <c r="F15" s="395">
        <f ca="1">IFERROR(INDIRECT(CONCATENATE("Track1!h",A14+2)),"")</f>
        <v>14.2</v>
      </c>
      <c r="G15" s="108">
        <f ca="1">IFERROR(INDIRECT(CONCATENATE("Track1!i",A14+2)),"")</f>
        <v>3</v>
      </c>
      <c r="H15" s="66"/>
      <c r="I15" s="66">
        <f ca="1">IFERROR(INDIRECT(CONCATENATE("Track1!k",A14+2)),"")</f>
        <v>1</v>
      </c>
      <c r="J15" s="66">
        <f ca="1">IFERROR(INDIRECT(CONCATENATE("Track1!l",A14+2)),"")</f>
        <v>0</v>
      </c>
      <c r="K15" s="85" t="str">
        <f ca="1">IFERROR(INDIRECT(CONCATENATE("Track1!m",A14+2)),"")</f>
        <v/>
      </c>
      <c r="L15" s="85" t="str">
        <f ca="1">IFERROR(INDIRECT(CONCATENATE("Track1!n",A14+2)),"")</f>
        <v/>
      </c>
      <c r="M15" s="395">
        <f ca="1">IFERROR(INDIRECT(CONCATENATE("Track1!o",A14+2)),"")</f>
        <v>0</v>
      </c>
      <c r="N15" s="108" t="str">
        <f ca="1">IFERROR(INDIRECT(CONCATENATE("Track1!p",A14+2)),"")</f>
        <v/>
      </c>
      <c r="R15" s="168">
        <f ca="1">IFERROR(INDIRECT(CONCATENATE("Track1!r",A14+2)),"")</f>
        <v>0</v>
      </c>
      <c r="T15" s="64">
        <f t="shared" ca="1" si="0"/>
        <v>2</v>
      </c>
      <c r="U15" s="64" t="str">
        <f t="shared" ca="1" si="1"/>
        <v/>
      </c>
      <c r="V15" s="266">
        <f ca="1">IF(OR(D15=0,D15="",D15="Athlete"),"",COUNTIF($D$4:$D15,D15))</f>
        <v>1</v>
      </c>
      <c r="W15" s="266" t="str">
        <f t="shared" ca="1" si="2"/>
        <v>C&amp;N</v>
      </c>
      <c r="Z15" s="266">
        <f t="shared" ca="1" si="3"/>
        <v>0</v>
      </c>
    </row>
    <row r="16" spans="1:26" x14ac:dyDescent="0.35">
      <c r="B16" s="66">
        <f ca="1">IFERROR(INDIRECT(CONCATENATE("Track1!D",A14+3)),"")</f>
        <v>2</v>
      </c>
      <c r="C16" s="66">
        <f ca="1">IFERROR(INDIRECT(CONCATENATE("Track1!e",A14+3)),"")</f>
        <v>7</v>
      </c>
      <c r="D16" s="85" t="str">
        <f ca="1">IFERROR(INDIRECT(CONCATENATE("Track1!f",A14+3)),"")</f>
        <v>Emily WILSON</v>
      </c>
      <c r="E16" s="85" t="str">
        <f ca="1">IFERROR(INDIRECT(CONCATENATE("Track1!g",A14+3)),"")</f>
        <v>Wigan</v>
      </c>
      <c r="F16" s="395">
        <f ca="1">IFERROR(INDIRECT(CONCATENATE("Track1!h",A14+3)),"")</f>
        <v>14.3</v>
      </c>
      <c r="G16" s="108">
        <f ca="1">IFERROR(INDIRECT(CONCATENATE("Track1!i",A14+3)),"")</f>
        <v>3</v>
      </c>
      <c r="H16" s="66"/>
      <c r="I16" s="66">
        <f ca="1">IFERROR(INDIRECT(CONCATENATE("Track1!k",A14+3)),"")</f>
        <v>2</v>
      </c>
      <c r="J16" s="66">
        <f ca="1">IFERROR(INDIRECT(CONCATENATE("Track1!l",A14+3)),"")</f>
        <v>0</v>
      </c>
      <c r="K16" s="85" t="str">
        <f ca="1">IFERROR(INDIRECT(CONCATENATE("Track1!m",A14+3)),"")</f>
        <v/>
      </c>
      <c r="L16" s="85" t="str">
        <f ca="1">IFERROR(INDIRECT(CONCATENATE("Track1!n",A14+3)),"")</f>
        <v/>
      </c>
      <c r="M16" s="395">
        <f ca="1">IFERROR(INDIRECT(CONCATENATE("Track1!o",A14+3)),"")</f>
        <v>0</v>
      </c>
      <c r="N16" s="108" t="str">
        <f ca="1">IFERROR(INDIRECT(CONCATENATE("Track1!p",A14+3)),"")</f>
        <v/>
      </c>
      <c r="T16" s="64">
        <f t="shared" ca="1" si="0"/>
        <v>2</v>
      </c>
      <c r="U16" s="64" t="str">
        <f t="shared" ca="1" si="1"/>
        <v/>
      </c>
      <c r="V16" s="266">
        <f ca="1">IF(OR(D16=0,D16="",D16="Athlete"),"",COUNTIF($D$4:$D16,D16))</f>
        <v>1</v>
      </c>
      <c r="W16" s="266" t="str">
        <f t="shared" ca="1" si="2"/>
        <v>Wigan</v>
      </c>
      <c r="Z16" s="266">
        <f t="shared" ca="1" si="3"/>
        <v>0</v>
      </c>
    </row>
    <row r="17" spans="1:26" x14ac:dyDescent="0.35">
      <c r="B17" s="66">
        <f ca="1">IFERROR(INDIRECT(CONCATENATE("Track1!D",A14+4)),"")</f>
        <v>3</v>
      </c>
      <c r="C17" s="66">
        <f ca="1">IFERROR(INDIRECT(CONCATENATE("Track1!e",A14+4)),"")</f>
        <v>55</v>
      </c>
      <c r="D17" s="85" t="str">
        <f ca="1">IFERROR(INDIRECT(CONCATENATE("Track1!f",A14+4)),"")</f>
        <v>Mabli WILLIAMS</v>
      </c>
      <c r="E17" s="85" t="str">
        <f ca="1">IFERROR(INDIRECT(CONCATENATE("Track1!g",A14+4)),"")</f>
        <v>Menai</v>
      </c>
      <c r="F17" s="395">
        <f ca="1">IFERROR(INDIRECT(CONCATENATE("Track1!h",A14+4)),"")</f>
        <v>14.4</v>
      </c>
      <c r="G17" s="108">
        <f ca="1">IFERROR(INDIRECT(CONCATENATE("Track1!i",A14+4)),"")</f>
        <v>2</v>
      </c>
      <c r="H17" s="66"/>
      <c r="I17" s="66">
        <f ca="1">IFERROR(INDIRECT(CONCATENATE("Track1!k",A14+4)),"")</f>
        <v>3</v>
      </c>
      <c r="J17" s="66">
        <f ca="1">IFERROR(INDIRECT(CONCATENATE("Track1!l",A14+4)),"")</f>
        <v>0</v>
      </c>
      <c r="K17" s="85" t="str">
        <f ca="1">IFERROR(INDIRECT(CONCATENATE("Track1!m",A14+4)),"")</f>
        <v/>
      </c>
      <c r="L17" s="85" t="str">
        <f ca="1">IFERROR(INDIRECT(CONCATENATE("Track1!n",A14+4)),"")</f>
        <v/>
      </c>
      <c r="M17" s="395">
        <f ca="1">IFERROR(INDIRECT(CONCATENATE("Track1!o",A14+4)),"")</f>
        <v>0</v>
      </c>
      <c r="N17" s="108" t="str">
        <f ca="1">IFERROR(INDIRECT(CONCATENATE("Track1!p",A14+4)),"")</f>
        <v/>
      </c>
      <c r="T17" s="64">
        <f t="shared" ca="1" si="0"/>
        <v>3</v>
      </c>
      <c r="U17" s="64" t="str">
        <f t="shared" ca="1" si="1"/>
        <v/>
      </c>
      <c r="V17" s="266">
        <f ca="1">IF(OR(D17=0,D17="",D17="Athlete"),"",COUNTIF($D$4:$D17,D17))</f>
        <v>1</v>
      </c>
      <c r="W17" s="266" t="str">
        <f t="shared" ca="1" si="2"/>
        <v>Menai</v>
      </c>
      <c r="Z17" s="266">
        <f t="shared" ca="1" si="3"/>
        <v>0</v>
      </c>
    </row>
    <row r="18" spans="1:26" x14ac:dyDescent="0.35">
      <c r="B18" s="66">
        <f ca="1">IFERROR(INDIRECT(CONCATENATE("Track1!D",A14+5)),"")</f>
        <v>4</v>
      </c>
      <c r="C18" s="66">
        <f ca="1">IFERROR(INDIRECT(CONCATENATE("Track1!e",A14+5)),"")</f>
        <v>77</v>
      </c>
      <c r="D18" s="85" t="str">
        <f ca="1">IFERROR(INDIRECT(CONCATENATE("Track1!f",A14+5)),"")</f>
        <v>Lucy STRETTON</v>
      </c>
      <c r="E18" s="85" t="str">
        <f ca="1">IFERROR(INDIRECT(CONCATENATE("Track1!g",A14+5)),"")</f>
        <v>Wigan</v>
      </c>
      <c r="F18" s="395">
        <f ca="1">IFERROR(INDIRECT(CONCATENATE("Track1!h",A14+5)),"")</f>
        <v>14.5</v>
      </c>
      <c r="G18" s="108">
        <f ca="1">IFERROR(INDIRECT(CONCATENATE("Track1!i",A14+5)),"")</f>
        <v>2</v>
      </c>
      <c r="H18" s="66"/>
      <c r="I18" s="66">
        <f ca="1">IFERROR(INDIRECT(CONCATENATE("Track1!k",A14+5)),"")</f>
        <v>4</v>
      </c>
      <c r="J18" s="66">
        <f ca="1">IFERROR(INDIRECT(CONCATENATE("Track1!l",A14+5)),"")</f>
        <v>0</v>
      </c>
      <c r="K18" s="85" t="str">
        <f ca="1">IFERROR(INDIRECT(CONCATENATE("Track1!m",A14+5)),"")</f>
        <v/>
      </c>
      <c r="L18" s="85" t="str">
        <f ca="1">IFERROR(INDIRECT(CONCATENATE("Track1!n",A14+5)),"")</f>
        <v/>
      </c>
      <c r="M18" s="395">
        <f ca="1">IFERROR(INDIRECT(CONCATENATE("Track1!o",A14+5)),"")</f>
        <v>0</v>
      </c>
      <c r="N18" s="108" t="str">
        <f ca="1">IFERROR(INDIRECT(CONCATENATE("Track1!p",A14+5)),"")</f>
        <v/>
      </c>
      <c r="T18" s="64">
        <f t="shared" ca="1" si="0"/>
        <v>3</v>
      </c>
      <c r="U18" s="64" t="str">
        <f t="shared" ca="1" si="1"/>
        <v/>
      </c>
      <c r="V18" s="266">
        <f ca="1">IF(OR(D18=0,D18="",D18="Athlete"),"",COUNTIF($D$4:$D18,D18))</f>
        <v>1</v>
      </c>
      <c r="W18" s="266" t="str">
        <f t="shared" ca="1" si="2"/>
        <v>Wigan</v>
      </c>
      <c r="Z18" s="266">
        <f t="shared" ca="1" si="3"/>
        <v>0</v>
      </c>
    </row>
    <row r="19" spans="1:26" x14ac:dyDescent="0.35">
      <c r="B19" s="66">
        <f ca="1">IFERROR(INDIRECT(CONCATENATE("Track1!D",A14+6)),"")</f>
        <v>5</v>
      </c>
      <c r="C19" s="66">
        <f ca="1">IFERROR(INDIRECT(CONCATENATE("Track1!e",A14+6)),"")</f>
        <v>5</v>
      </c>
      <c r="D19" s="85" t="str">
        <f ca="1">IFERROR(INDIRECT(CONCATENATE("Track1!f",A14+6)),"")</f>
        <v>Hawys OWEN</v>
      </c>
      <c r="E19" s="85" t="str">
        <f ca="1">IFERROR(INDIRECT(CONCATENATE("Track1!g",A14+6)),"")</f>
        <v>Menai</v>
      </c>
      <c r="F19" s="395">
        <f ca="1">IFERROR(INDIRECT(CONCATENATE("Track1!h",A14+6)),"")</f>
        <v>15.3</v>
      </c>
      <c r="G19" s="108" t="str">
        <f ca="1">IFERROR(INDIRECT(CONCATENATE("Track1!i",A14+6)),"")</f>
        <v/>
      </c>
      <c r="H19" s="66"/>
      <c r="I19" s="66">
        <f ca="1">IFERROR(INDIRECT(CONCATENATE("Track1!k",A14+6)),"")</f>
        <v>5</v>
      </c>
      <c r="J19" s="66">
        <f ca="1">IFERROR(INDIRECT(CONCATENATE("Track1!l",A14+6)),"")</f>
        <v>0</v>
      </c>
      <c r="K19" s="85" t="str">
        <f ca="1">IFERROR(INDIRECT(CONCATENATE("Track1!m",A14+6)),"")</f>
        <v/>
      </c>
      <c r="L19" s="85" t="str">
        <f ca="1">IFERROR(INDIRECT(CONCATENATE("Track1!n",A14+6)),"")</f>
        <v/>
      </c>
      <c r="M19" s="395">
        <f ca="1">IFERROR(INDIRECT(CONCATENATE("Track1!o",A14+6)),"")</f>
        <v>0</v>
      </c>
      <c r="N19" s="108" t="str">
        <f ca="1">IFERROR(INDIRECT(CONCATENATE("Track1!p",A14+6)),"")</f>
        <v/>
      </c>
      <c r="T19" s="64">
        <f t="shared" ca="1" si="0"/>
        <v>2</v>
      </c>
      <c r="U19" s="64" t="str">
        <f t="shared" ca="1" si="1"/>
        <v/>
      </c>
      <c r="V19" s="266">
        <f ca="1">IF(OR(D19=0,D19="",D19="Athlete"),"",COUNTIF($D$4:$D19,D19))</f>
        <v>1</v>
      </c>
      <c r="W19" s="266" t="str">
        <f t="shared" ca="1" si="2"/>
        <v>Menai</v>
      </c>
      <c r="Z19" s="266" t="str">
        <f t="shared" ca="1" si="3"/>
        <v/>
      </c>
    </row>
    <row r="20" spans="1:26" x14ac:dyDescent="0.35">
      <c r="B20" s="66">
        <f ca="1">IFERROR(INDIRECT(CONCATENATE("Track1!D",A14+7)),"")</f>
        <v>6</v>
      </c>
      <c r="C20" s="66">
        <f ca="1">IFERROR(INDIRECT(CONCATENATE("Track1!e",A14+7)),"")</f>
        <v>1</v>
      </c>
      <c r="D20" s="85" t="str">
        <f ca="1">IFERROR(INDIRECT(CONCATENATE("Track1!f",A14+7)),"")</f>
        <v>Freya MASON</v>
      </c>
      <c r="E20" s="85" t="str">
        <f ca="1">IFERROR(INDIRECT(CONCATENATE("Track1!g",A14+7)),"")</f>
        <v>C&amp;N</v>
      </c>
      <c r="F20" s="395">
        <f ca="1">IFERROR(INDIRECT(CONCATENATE("Track1!h",A14+7)),"")</f>
        <v>17</v>
      </c>
      <c r="G20" s="108" t="str">
        <f ca="1">IFERROR(INDIRECT(CONCATENATE("Track1!i",A14+7)),"")</f>
        <v/>
      </c>
      <c r="H20" s="66"/>
      <c r="I20" s="66">
        <f ca="1">IFERROR(INDIRECT(CONCATENATE("Track1!k",A14+7)),"")</f>
        <v>6</v>
      </c>
      <c r="J20" s="66">
        <f ca="1">IFERROR(INDIRECT(CONCATENATE("Track1!l",A14+7)),"")</f>
        <v>0</v>
      </c>
      <c r="K20" s="85" t="str">
        <f ca="1">IFERROR(INDIRECT(CONCATENATE("Track1!m",A14+7)),"")</f>
        <v/>
      </c>
      <c r="L20" s="85" t="str">
        <f ca="1">IFERROR(INDIRECT(CONCATENATE("Track1!n",A14+7)),"")</f>
        <v/>
      </c>
      <c r="M20" s="395">
        <f ca="1">IFERROR(INDIRECT(CONCATENATE("Track1!o",A14+7)),"")</f>
        <v>0</v>
      </c>
      <c r="N20" s="108" t="str">
        <f ca="1">IFERROR(INDIRECT(CONCATENATE("Track1!p",A14+7)),"")</f>
        <v/>
      </c>
      <c r="T20" s="64">
        <f t="shared" ca="1" si="0"/>
        <v>2</v>
      </c>
      <c r="U20" s="64" t="str">
        <f t="shared" ca="1" si="1"/>
        <v/>
      </c>
      <c r="V20" s="266">
        <f ca="1">IF(OR(D20=0,D20="",D20="Athlete"),"",COUNTIF($D$4:$D20,D20))</f>
        <v>1</v>
      </c>
      <c r="W20" s="266" t="str">
        <f t="shared" ca="1" si="2"/>
        <v>C&amp;N</v>
      </c>
      <c r="Z20" s="266" t="str">
        <f t="shared" ca="1" si="3"/>
        <v/>
      </c>
    </row>
    <row r="21" spans="1:26" x14ac:dyDescent="0.35">
      <c r="B21" s="66">
        <f ca="1">IFERROR(INDIRECT(CONCATENATE("Track1!D",A14+8)),"")</f>
        <v>7</v>
      </c>
      <c r="C21" s="66">
        <f ca="1">IFERROR(INDIRECT(CONCATENATE("Track1!e",A14+8)),"")</f>
        <v>0</v>
      </c>
      <c r="D21" s="85" t="str">
        <f ca="1">IFERROR(INDIRECT(CONCATENATE("Track1!f",A14+8)),"")</f>
        <v/>
      </c>
      <c r="E21" s="85" t="str">
        <f ca="1">IFERROR(INDIRECT(CONCATENATE("Track1!g",A14+8)),"")</f>
        <v/>
      </c>
      <c r="F21" s="395">
        <f ca="1">IFERROR(INDIRECT(CONCATENATE("Track1!h",A14+8)),"")</f>
        <v>0</v>
      </c>
      <c r="G21" s="108" t="str">
        <f ca="1">IFERROR(INDIRECT(CONCATENATE("Track1!i",A14+8)),"")</f>
        <v/>
      </c>
      <c r="H21" s="66"/>
      <c r="I21" s="66">
        <f ca="1">IFERROR(INDIRECT(CONCATENATE("Track1!k",A14+8)),"")</f>
        <v>7</v>
      </c>
      <c r="J21" s="66">
        <f ca="1">IFERROR(INDIRECT(CONCATENATE("Track1!l",A14+8)),"")</f>
        <v>0</v>
      </c>
      <c r="K21" s="85" t="str">
        <f ca="1">IFERROR(INDIRECT(CONCATENATE("Track1!m",A14+8)),"")</f>
        <v/>
      </c>
      <c r="L21" s="85" t="str">
        <f ca="1">IFERROR(INDIRECT(CONCATENATE("Track1!n",A14+8)),"")</f>
        <v/>
      </c>
      <c r="M21" s="395">
        <f ca="1">IFERROR(INDIRECT(CONCATENATE("Track1!o",A14+8)),"")</f>
        <v>0</v>
      </c>
      <c r="N21" s="108" t="str">
        <f ca="1">IFERROR(INDIRECT(CONCATENATE("Track1!p",A14+8)),"")</f>
        <v/>
      </c>
      <c r="T21" s="64" t="str">
        <f t="shared" ca="1" si="0"/>
        <v/>
      </c>
      <c r="U21" s="64" t="str">
        <f t="shared" ca="1" si="1"/>
        <v/>
      </c>
      <c r="V21" s="266" t="str">
        <f ca="1">IF(OR(D21=0,D21="",D21="Athlete"),"",COUNTIF($D$4:$D21,D21))</f>
        <v/>
      </c>
      <c r="W21" s="266" t="str">
        <f t="shared" ca="1" si="2"/>
        <v/>
      </c>
      <c r="Z21" s="266" t="str">
        <f t="shared" ca="1" si="3"/>
        <v/>
      </c>
    </row>
    <row r="22" spans="1:26" x14ac:dyDescent="0.35">
      <c r="B22" s="66">
        <f ca="1">IFERROR(INDIRECT(CONCATENATE("Track1!D",A14+9)),"")</f>
        <v>8</v>
      </c>
      <c r="C22" s="66">
        <f ca="1">IFERROR(INDIRECT(CONCATENATE("Track1!e",A14+9)),"")</f>
        <v>0</v>
      </c>
      <c r="D22" s="85" t="str">
        <f ca="1">IFERROR(INDIRECT(CONCATENATE("Track1!f",A14+9)),"")</f>
        <v/>
      </c>
      <c r="E22" s="85" t="str">
        <f ca="1">IFERROR(INDIRECT(CONCATENATE("Track1!g",A14+9)),"")</f>
        <v/>
      </c>
      <c r="F22" s="395">
        <f ca="1">IFERROR(INDIRECT(CONCATENATE("Track1!h",A14+9)),"")</f>
        <v>0</v>
      </c>
      <c r="G22" s="108" t="str">
        <f ca="1">IFERROR(INDIRECT(CONCATENATE("Track1!i",A14+9)),"")</f>
        <v/>
      </c>
      <c r="H22" s="66"/>
      <c r="I22" s="66">
        <f ca="1">IFERROR(INDIRECT(CONCATENATE("Track1!k",A14+9)),"")</f>
        <v>8</v>
      </c>
      <c r="J22" s="66">
        <f ca="1">IFERROR(INDIRECT(CONCATENATE("Track1!l",A14+9)),"")</f>
        <v>0</v>
      </c>
      <c r="K22" s="85" t="str">
        <f ca="1">IFERROR(INDIRECT(CONCATENATE("Track1!m",A14+9)),"")</f>
        <v/>
      </c>
      <c r="L22" s="85" t="str">
        <f ca="1">IFERROR(INDIRECT(CONCATENATE("Track1!n",A14+9)),"")</f>
        <v/>
      </c>
      <c r="M22" s="395">
        <f ca="1">IFERROR(INDIRECT(CONCATENATE("Track1!o",A14+9)),"")</f>
        <v>0</v>
      </c>
      <c r="N22" s="108" t="str">
        <f ca="1">IFERROR(INDIRECT(CONCATENATE("Track1!p",A14+9)),"")</f>
        <v/>
      </c>
      <c r="T22" s="64" t="str">
        <f t="shared" ca="1" si="0"/>
        <v/>
      </c>
      <c r="U22" s="64" t="str">
        <f t="shared" ca="1" si="1"/>
        <v/>
      </c>
      <c r="V22" s="266" t="str">
        <f ca="1">IF(OR(D22=0,D22="",D22="Athlete"),"",COUNTIF($D$4:$D22,D22))</f>
        <v/>
      </c>
      <c r="W22" s="266" t="str">
        <f t="shared" ca="1" si="2"/>
        <v/>
      </c>
      <c r="Z22" s="266" t="str">
        <f t="shared" ca="1" si="3"/>
        <v/>
      </c>
    </row>
    <row r="23" spans="1:26" x14ac:dyDescent="0.35">
      <c r="F23" s="407"/>
      <c r="M23" s="407"/>
      <c r="T23" s="64" t="str">
        <f t="shared" si="0"/>
        <v/>
      </c>
      <c r="U23" s="64" t="str">
        <f t="shared" si="1"/>
        <v/>
      </c>
      <c r="V23" s="266" t="str">
        <f>IF(OR(D23=0,D23="",D23="Athlete"),"",COUNTIF($D$4:$D23,D23))</f>
        <v/>
      </c>
      <c r="W23" s="266" t="str">
        <f t="shared" si="2"/>
        <v/>
      </c>
      <c r="Z23" s="266" t="str">
        <f t="shared" si="3"/>
        <v/>
      </c>
    </row>
    <row r="24" spans="1:26" x14ac:dyDescent="0.35">
      <c r="A24" s="66" t="s">
        <v>38</v>
      </c>
      <c r="B24" s="102" t="str">
        <f ca="1">IFERROR(INDIRECT(CONCATENATE("Track1!D",A25)),"")</f>
        <v>200m U15 Girls A</v>
      </c>
      <c r="E24" s="85" t="s">
        <v>206</v>
      </c>
      <c r="F24" s="395">
        <f ca="1">IFERROR(INDIRECT(CONCATENATE("Track1!h",A25)),"")</f>
        <v>0</v>
      </c>
      <c r="G24" s="108" t="str">
        <f ca="1">IFERROR(INDIRECT(CONCATENATE("Track1!i",A25)),"")</f>
        <v/>
      </c>
      <c r="I24" s="102" t="str">
        <f ca="1">IFERROR(INDIRECT(CONCATENATE("Track1!k",A25)),"")</f>
        <v>200m U15 Girls B</v>
      </c>
      <c r="L24" s="85" t="s">
        <v>206</v>
      </c>
      <c r="M24" s="395">
        <f ca="1">IFERROR(INDIRECT(CONCATENATE("Track1!o",A25)),"")</f>
        <v>0</v>
      </c>
      <c r="T24" s="64" t="str">
        <f t="shared" si="0"/>
        <v/>
      </c>
      <c r="U24" s="64" t="str">
        <f t="shared" si="1"/>
        <v/>
      </c>
      <c r="V24" s="266" t="str">
        <f>IF(OR(D24=0,D24="",D24="Athlete"),"",COUNTIF($D$4:$D24,D24))</f>
        <v/>
      </c>
      <c r="W24" s="266" t="str">
        <f t="shared" si="2"/>
        <v/>
      </c>
      <c r="Z24" s="266" t="str">
        <f t="shared" ca="1" si="3"/>
        <v/>
      </c>
    </row>
    <row r="25" spans="1:26" x14ac:dyDescent="0.35">
      <c r="A25" s="66">
        <f>IFERROR(MATCH(A24,Track1!C:C,0),"")</f>
        <v>68</v>
      </c>
      <c r="B25" s="45" t="str">
        <f ca="1">IFERROR(INDIRECT(CONCATENATE("Track1!D",A25+1)),"")</f>
        <v>Posn</v>
      </c>
      <c r="C25" s="45" t="str">
        <f ca="1">IFERROR(INDIRECT(CONCATENATE("Track1!e",A25+1)),"")</f>
        <v>No.</v>
      </c>
      <c r="D25" s="139" t="str">
        <f ca="1">IFERROR(INDIRECT(CONCATENATE("Track1!f",A25+1)),"")</f>
        <v>Athlete</v>
      </c>
      <c r="E25" s="139" t="str">
        <f ca="1">IFERROR(INDIRECT(CONCATENATE("Track1!g",A25+1)),"")</f>
        <v>Club</v>
      </c>
      <c r="F25" s="392" t="str">
        <f ca="1">IFERROR(INDIRECT(CONCATENATE("Track1!h",A25+1)),"")</f>
        <v>Perf</v>
      </c>
      <c r="G25" s="167" t="str">
        <f ca="1">IFERROR(INDIRECT(CONCATENATE("Track1!i",A25+1)),"")</f>
        <v>EA</v>
      </c>
      <c r="H25" s="45"/>
      <c r="I25" s="45" t="str">
        <f ca="1">IFERROR(INDIRECT(CONCATENATE("Track1!k",A25+1)),"")</f>
        <v>Posn</v>
      </c>
      <c r="J25" s="45" t="str">
        <f ca="1">IFERROR(INDIRECT(CONCATENATE("Track1!l",A25+1)),"")</f>
        <v>No.</v>
      </c>
      <c r="K25" s="139" t="str">
        <f ca="1">IFERROR(INDIRECT(CONCATENATE("Track1!m",A25+1)),"")</f>
        <v>Athlete</v>
      </c>
      <c r="L25" s="139" t="str">
        <f ca="1">IFERROR(INDIRECT(CONCATENATE("Track1!n",A25+1)),"")</f>
        <v>Club</v>
      </c>
      <c r="M25" s="392" t="str">
        <f ca="1">IFERROR(INDIRECT(CONCATENATE("Track1!o",A25+1)),"")</f>
        <v>Perf</v>
      </c>
      <c r="N25" s="167" t="str">
        <f ca="1">IFERROR(INDIRECT(CONCATENATE("Track1!p",A25+1)),"")</f>
        <v>EA</v>
      </c>
      <c r="T25" s="64" t="str">
        <f t="shared" ca="1" si="0"/>
        <v/>
      </c>
      <c r="U25" s="64" t="str">
        <f t="shared" ca="1" si="1"/>
        <v/>
      </c>
      <c r="V25" s="266" t="str">
        <f ca="1">IF(OR(D25=0,D25="",D25="Athlete"),"",COUNTIF($D$4:$D25,D25))</f>
        <v/>
      </c>
      <c r="W25" s="266" t="str">
        <f t="shared" ca="1" si="2"/>
        <v/>
      </c>
      <c r="Z25" s="266">
        <f t="shared" ca="1" si="3"/>
        <v>0</v>
      </c>
    </row>
    <row r="26" spans="1:26" x14ac:dyDescent="0.35">
      <c r="B26" s="66">
        <f ca="1">IFERROR(INDIRECT(CONCATENATE("Track1!D",A25+2)),"")</f>
        <v>1</v>
      </c>
      <c r="C26" s="66">
        <f ca="1">IFERROR(INDIRECT(CONCATENATE("Track1!e",A25+2)),"")</f>
        <v>2</v>
      </c>
      <c r="D26" s="85" t="str">
        <f ca="1">IFERROR(INDIRECT(CONCATENATE("Track1!f",A25+2)),"")</f>
        <v>Amelia JONES</v>
      </c>
      <c r="E26" s="85" t="str">
        <f ca="1">IFERROR(INDIRECT(CONCATENATE("Track1!g",A25+2)),"")</f>
        <v>ECHT</v>
      </c>
      <c r="F26" s="395">
        <f ca="1">IFERROR(INDIRECT(CONCATENATE("Track1!h",A25+2)),"")</f>
        <v>26.8</v>
      </c>
      <c r="G26" s="108">
        <f ca="1">IFERROR(INDIRECT(CONCATENATE("Track1!i",A25+2)),"")</f>
        <v>9</v>
      </c>
      <c r="H26" s="66"/>
      <c r="I26" s="66">
        <f ca="1">IFERROR(INDIRECT(CONCATENATE("Track1!k",A25+2)),"")</f>
        <v>1</v>
      </c>
      <c r="J26" s="66">
        <f ca="1">IFERROR(INDIRECT(CONCATENATE("Track1!l",A25+2)),"")</f>
        <v>77</v>
      </c>
      <c r="K26" s="85" t="str">
        <f ca="1">IFERROR(INDIRECT(CONCATENATE("Track1!m",A25+2)),"")</f>
        <v>Emma PIMBLETT</v>
      </c>
      <c r="L26" s="85" t="str">
        <f ca="1">IFERROR(INDIRECT(CONCATENATE("Track1!n",A25+2)),"")</f>
        <v>Wigan</v>
      </c>
      <c r="M26" s="395">
        <f ca="1">IFERROR(INDIRECT(CONCATENATE("Track1!o",A25+2)),"")</f>
        <v>27.4</v>
      </c>
      <c r="N26" s="108">
        <f ca="1">IFERROR(INDIRECT(CONCATENATE("Track1!p",A25+2)),"")</f>
        <v>9</v>
      </c>
      <c r="R26" s="168">
        <f ca="1">IFERROR(INDIRECT(CONCATENATE("Track1!r",A25+2)),"")</f>
        <v>10</v>
      </c>
      <c r="T26" s="64">
        <f t="shared" ca="1" si="0"/>
        <v>3</v>
      </c>
      <c r="U26" s="64">
        <f t="shared" ca="1" si="1"/>
        <v>3</v>
      </c>
      <c r="V26" s="266">
        <f ca="1">IF(OR(D26=0,D26="",D26="Athlete"),"",COUNTIF($D$4:$D26,D26))</f>
        <v>2</v>
      </c>
      <c r="W26" s="266" t="str">
        <f t="shared" ca="1" si="2"/>
        <v>ECHT</v>
      </c>
      <c r="Z26" s="266">
        <f t="shared" ca="1" si="3"/>
        <v>0</v>
      </c>
    </row>
    <row r="27" spans="1:26" x14ac:dyDescent="0.35">
      <c r="B27" s="66">
        <f ca="1">IFERROR(INDIRECT(CONCATENATE("Track1!D",A25+3)),"")</f>
        <v>2</v>
      </c>
      <c r="C27" s="66">
        <f ca="1">IFERROR(INDIRECT(CONCATENATE("Track1!e",A25+3)),"")</f>
        <v>7</v>
      </c>
      <c r="D27" s="85" t="str">
        <f ca="1">IFERROR(INDIRECT(CONCATENATE("Track1!f",A25+3)),"")</f>
        <v>Kady HALL</v>
      </c>
      <c r="E27" s="85" t="str">
        <f ca="1">IFERROR(INDIRECT(CONCATENATE("Track1!g",A25+3)),"")</f>
        <v>Wigan</v>
      </c>
      <c r="F27" s="395">
        <f ca="1">IFERROR(INDIRECT(CONCATENATE("Track1!h",A25+3)),"")</f>
        <v>26.9</v>
      </c>
      <c r="G27" s="108">
        <f ca="1">IFERROR(INDIRECT(CONCATENATE("Track1!i",A25+3)),"")</f>
        <v>9</v>
      </c>
      <c r="H27" s="66"/>
      <c r="I27" s="66">
        <f ca="1">IFERROR(INDIRECT(CONCATENATE("Track1!k",A25+3)),"")</f>
        <v>2</v>
      </c>
      <c r="J27" s="66">
        <f ca="1">IFERROR(INDIRECT(CONCATENATE("Track1!l",A25+3)),"")</f>
        <v>22</v>
      </c>
      <c r="K27" s="85" t="str">
        <f ca="1">IFERROR(INDIRECT(CONCATENATE("Track1!m",A25+3)),"")</f>
        <v>Ava ROYLE</v>
      </c>
      <c r="L27" s="85" t="str">
        <f ca="1">IFERROR(INDIRECT(CONCATENATE("Track1!n",A25+3)),"")</f>
        <v>ECHT</v>
      </c>
      <c r="M27" s="395">
        <f ca="1">IFERROR(INDIRECT(CONCATENATE("Track1!o",A25+3)),"")</f>
        <v>30.2</v>
      </c>
      <c r="N27" s="108">
        <f ca="1">IFERROR(INDIRECT(CONCATENATE("Track1!p",A25+3)),"")</f>
        <v>5</v>
      </c>
      <c r="T27" s="64">
        <f t="shared" ca="1" si="0"/>
        <v>3</v>
      </c>
      <c r="U27" s="64">
        <f t="shared" ca="1" si="1"/>
        <v>3</v>
      </c>
      <c r="V27" s="266">
        <f ca="1">IF(OR(D27=0,D27="",D27="Athlete"),"",COUNTIF($D$4:$D27,D27))</f>
        <v>1</v>
      </c>
      <c r="W27" s="266" t="str">
        <f t="shared" ca="1" si="2"/>
        <v>Wigan</v>
      </c>
      <c r="Z27" s="266">
        <f t="shared" ca="1" si="3"/>
        <v>0</v>
      </c>
    </row>
    <row r="28" spans="1:26" x14ac:dyDescent="0.35">
      <c r="B28" s="66">
        <f ca="1">IFERROR(INDIRECT(CONCATENATE("Track1!D",A25+4)),"")</f>
        <v>3</v>
      </c>
      <c r="C28" s="66">
        <f ca="1">IFERROR(INDIRECT(CONCATENATE("Track1!e",A25+4)),"")</f>
        <v>3</v>
      </c>
      <c r="D28" s="85" t="str">
        <f ca="1">IFERROR(INDIRECT(CONCATENATE("Track1!f",A25+4)),"")</f>
        <v>Freya CASH</v>
      </c>
      <c r="E28" s="85" t="str">
        <f ca="1">IFERROR(INDIRECT(CONCATENATE("Track1!g",A25+4)),"")</f>
        <v>Leigh</v>
      </c>
      <c r="F28" s="395">
        <f ca="1">IFERROR(INDIRECT(CONCATENATE("Track1!h",A25+4)),"")</f>
        <v>27.5</v>
      </c>
      <c r="G28" s="108">
        <f ca="1">IFERROR(INDIRECT(CONCATENATE("Track1!i",A25+4)),"")</f>
        <v>9</v>
      </c>
      <c r="H28" s="66"/>
      <c r="I28" s="66">
        <f ca="1">IFERROR(INDIRECT(CONCATENATE("Track1!k",A25+4)),"")</f>
        <v>3</v>
      </c>
      <c r="J28" s="66">
        <f ca="1">IFERROR(INDIRECT(CONCATENATE("Track1!l",A25+4)),"")</f>
        <v>33</v>
      </c>
      <c r="K28" s="85" t="str">
        <f ca="1">IFERROR(INDIRECT(CONCATENATE("Track1!m",A25+4)),"")</f>
        <v>Lexie SHANNON</v>
      </c>
      <c r="L28" s="85" t="str">
        <f ca="1">IFERROR(INDIRECT(CONCATENATE("Track1!n",A25+4)),"")</f>
        <v>Leigh</v>
      </c>
      <c r="M28" s="395">
        <f ca="1">IFERROR(INDIRECT(CONCATENATE("Track1!o",A25+4)),"")</f>
        <v>30.4</v>
      </c>
      <c r="N28" s="108">
        <f ca="1">IFERROR(INDIRECT(CONCATENATE("Track1!p",A25+4)),"")</f>
        <v>5</v>
      </c>
      <c r="T28" s="64">
        <f t="shared" ca="1" si="0"/>
        <v>3</v>
      </c>
      <c r="U28" s="64">
        <f t="shared" ca="1" si="1"/>
        <v>1</v>
      </c>
      <c r="V28" s="266">
        <f ca="1">IF(OR(D28=0,D28="",D28="Athlete"),"",COUNTIF($D$4:$D28,D28))</f>
        <v>1</v>
      </c>
      <c r="W28" s="266" t="str">
        <f t="shared" ca="1" si="2"/>
        <v>Leigh</v>
      </c>
      <c r="Z28" s="266">
        <f t="shared" ca="1" si="3"/>
        <v>0</v>
      </c>
    </row>
    <row r="29" spans="1:26" x14ac:dyDescent="0.35">
      <c r="B29" s="66">
        <f ca="1">IFERROR(INDIRECT(CONCATENATE("Track1!D",A25+5)),"")</f>
        <v>4</v>
      </c>
      <c r="C29" s="66">
        <f ca="1">IFERROR(INDIRECT(CONCATENATE("Track1!e",A25+5)),"")</f>
        <v>4</v>
      </c>
      <c r="D29" s="85" t="str">
        <f ca="1">IFERROR(INDIRECT(CONCATENATE("Track1!f",A25+5)),"")</f>
        <v>Elizabeth PENDRILL</v>
      </c>
      <c r="E29" s="85" t="str">
        <f ca="1">IFERROR(INDIRECT(CONCATENATE("Track1!g",A25+5)),"")</f>
        <v>Macc</v>
      </c>
      <c r="F29" s="395">
        <f ca="1">IFERROR(INDIRECT(CONCATENATE("Track1!h",A25+5)),"")</f>
        <v>28.5</v>
      </c>
      <c r="G29" s="108">
        <f ca="1">IFERROR(INDIRECT(CONCATENATE("Track1!i",A25+5)),"")</f>
        <v>7</v>
      </c>
      <c r="H29" s="66"/>
      <c r="I29" s="66">
        <f ca="1">IFERROR(INDIRECT(CONCATENATE("Track1!k",A25+5)),"")</f>
        <v>4</v>
      </c>
      <c r="J29" s="66">
        <f ca="1">IFERROR(INDIRECT(CONCATENATE("Track1!l",A25+5)),"")</f>
        <v>44</v>
      </c>
      <c r="K29" s="85" t="str">
        <f ca="1">IFERROR(INDIRECT(CONCATENATE("Track1!m",A25+5)),"")</f>
        <v>Annabel BROWN</v>
      </c>
      <c r="L29" s="85" t="str">
        <f ca="1">IFERROR(INDIRECT(CONCATENATE("Track1!n",A25+5)),"")</f>
        <v>Macc</v>
      </c>
      <c r="M29" s="395">
        <f ca="1">IFERROR(INDIRECT(CONCATENATE("Track1!o",A25+5)),"")</f>
        <v>31.6</v>
      </c>
      <c r="N29" s="108">
        <f ca="1">IFERROR(INDIRECT(CONCATENATE("Track1!p",A25+5)),"")</f>
        <v>3</v>
      </c>
      <c r="T29" s="64">
        <f t="shared" ca="1" si="0"/>
        <v>3</v>
      </c>
      <c r="U29" s="64">
        <f t="shared" ca="1" si="1"/>
        <v>1</v>
      </c>
      <c r="V29" s="266">
        <f ca="1">IF(OR(D29=0,D29="",D29="Athlete"),"",COUNTIF($D$4:$D29,D29))</f>
        <v>1</v>
      </c>
      <c r="W29" s="266" t="str">
        <f t="shared" ca="1" si="2"/>
        <v>Macc</v>
      </c>
      <c r="Z29" s="266">
        <f t="shared" ca="1" si="3"/>
        <v>0</v>
      </c>
    </row>
    <row r="30" spans="1:26" x14ac:dyDescent="0.35">
      <c r="B30" s="66">
        <f ca="1">IFERROR(INDIRECT(CONCATENATE("Track1!D",A25+6)),"")</f>
        <v>5</v>
      </c>
      <c r="C30" s="66">
        <f ca="1">IFERROR(INDIRECT(CONCATENATE("Track1!e",A25+6)),"")</f>
        <v>6</v>
      </c>
      <c r="D30" s="85" t="str">
        <f ca="1">IFERROR(INDIRECT(CONCATENATE("Track1!f",A25+6)),"")</f>
        <v/>
      </c>
      <c r="E30" s="85" t="str">
        <f ca="1">IFERROR(INDIRECT(CONCATENATE("Track1!g",A25+6)),"")</f>
        <v>Stock</v>
      </c>
      <c r="F30" s="395">
        <f ca="1">IFERROR(INDIRECT(CONCATENATE("Track1!h",A25+6)),"")</f>
        <v>29.6</v>
      </c>
      <c r="G30" s="108">
        <f ca="1">IFERROR(INDIRECT(CONCATENATE("Track1!i",A25+6)),"")</f>
        <v>6</v>
      </c>
      <c r="H30" s="66"/>
      <c r="I30" s="66">
        <f ca="1">IFERROR(INDIRECT(CONCATENATE("Track1!k",A25+6)),"")</f>
        <v>5</v>
      </c>
      <c r="J30" s="66">
        <f ca="1">IFERROR(INDIRECT(CONCATENATE("Track1!l",A25+6)),"")</f>
        <v>11</v>
      </c>
      <c r="K30" s="85" t="str">
        <f ca="1">IFERROR(INDIRECT(CONCATENATE("Track1!m",A25+6)),"")</f>
        <v>Lola-mae WILKINS</v>
      </c>
      <c r="L30" s="85" t="str">
        <f ca="1">IFERROR(INDIRECT(CONCATENATE("Track1!n",A25+6)),"")</f>
        <v>C&amp;N</v>
      </c>
      <c r="M30" s="395">
        <f ca="1">IFERROR(INDIRECT(CONCATENATE("Track1!o",A25+6)),"")</f>
        <v>31.9</v>
      </c>
      <c r="N30" s="108">
        <f ca="1">IFERROR(INDIRECT(CONCATENATE("Track1!p",A25+6)),"")</f>
        <v>2</v>
      </c>
      <c r="T30" s="64" t="str">
        <f t="shared" ca="1" si="0"/>
        <v/>
      </c>
      <c r="U30" s="64">
        <f t="shared" ca="1" si="1"/>
        <v>1</v>
      </c>
      <c r="V30" s="266" t="str">
        <f ca="1">IF(OR(D30=0,D30="",D30="Athlete"),"",COUNTIF($D$4:$D30,D30))</f>
        <v/>
      </c>
      <c r="W30" s="266" t="str">
        <f t="shared" ca="1" si="2"/>
        <v/>
      </c>
      <c r="Z30" s="266">
        <f t="shared" ca="1" si="3"/>
        <v>0</v>
      </c>
    </row>
    <row r="31" spans="1:26" x14ac:dyDescent="0.35">
      <c r="B31" s="66">
        <f ca="1">IFERROR(INDIRECT(CONCATENATE("Track1!D",A25+7)),"")</f>
        <v>6</v>
      </c>
      <c r="C31" s="66">
        <f ca="1">IFERROR(INDIRECT(CONCATENATE("Track1!e",A25+7)),"")</f>
        <v>1</v>
      </c>
      <c r="D31" s="85" t="str">
        <f ca="1">IFERROR(INDIRECT(CONCATENATE("Track1!f",A25+7)),"")</f>
        <v>Sophie STAINSBY</v>
      </c>
      <c r="E31" s="85" t="str">
        <f ca="1">IFERROR(INDIRECT(CONCATENATE("Track1!g",A25+7)),"")</f>
        <v>C&amp;N</v>
      </c>
      <c r="F31" s="395">
        <f ca="1">IFERROR(INDIRECT(CONCATENATE("Track1!h",A25+7)),"")</f>
        <v>30.1</v>
      </c>
      <c r="G31" s="108">
        <f ca="1">IFERROR(INDIRECT(CONCATENATE("Track1!i",A25+7)),"")</f>
        <v>5</v>
      </c>
      <c r="H31" s="66"/>
      <c r="I31" s="66">
        <f ca="1">IFERROR(INDIRECT(CONCATENATE("Track1!k",A25+7)),"")</f>
        <v>6</v>
      </c>
      <c r="J31" s="66">
        <f ca="1">IFERROR(INDIRECT(CONCATENATE("Track1!l",A25+7)),"")</f>
        <v>55</v>
      </c>
      <c r="K31" s="85" t="str">
        <f ca="1">IFERROR(INDIRECT(CONCATENATE("Track1!m",A25+7)),"")</f>
        <v>Krista JONES</v>
      </c>
      <c r="L31" s="85" t="str">
        <f ca="1">IFERROR(INDIRECT(CONCATENATE("Track1!n",A25+7)),"")</f>
        <v>Menai</v>
      </c>
      <c r="M31" s="395">
        <f ca="1">IFERROR(INDIRECT(CONCATENATE("Track1!o",A25+7)),"")</f>
        <v>32.700000000000003</v>
      </c>
      <c r="N31" s="108">
        <f ca="1">IFERROR(INDIRECT(CONCATENATE("Track1!p",A25+7)),"")</f>
        <v>1</v>
      </c>
      <c r="T31" s="64">
        <f t="shared" ca="1" si="0"/>
        <v>2</v>
      </c>
      <c r="U31" s="64">
        <f t="shared" ca="1" si="1"/>
        <v>3</v>
      </c>
      <c r="V31" s="266">
        <f ca="1">IF(OR(D31=0,D31="",D31="Athlete"),"",COUNTIF($D$4:$D31,D31))</f>
        <v>2</v>
      </c>
      <c r="W31" s="266" t="str">
        <f t="shared" ca="1" si="2"/>
        <v>C&amp;N</v>
      </c>
      <c r="Z31" s="266">
        <f t="shared" ca="1" si="3"/>
        <v>0</v>
      </c>
    </row>
    <row r="32" spans="1:26" x14ac:dyDescent="0.35">
      <c r="B32" s="66">
        <f ca="1">IFERROR(INDIRECT(CONCATENATE("Track1!D",A25+8)),"")</f>
        <v>7</v>
      </c>
      <c r="C32" s="66">
        <f ca="1">IFERROR(INDIRECT(CONCATENATE("Track1!e",A25+8)),"")</f>
        <v>5</v>
      </c>
      <c r="D32" s="85" t="str">
        <f ca="1">IFERROR(INDIRECT(CONCATENATE("Track1!f",A25+8)),"")</f>
        <v>Mabli WILLIAMS</v>
      </c>
      <c r="E32" s="85" t="str">
        <f ca="1">IFERROR(INDIRECT(CONCATENATE("Track1!g",A25+8)),"")</f>
        <v>Menai</v>
      </c>
      <c r="F32" s="395">
        <f ca="1">IFERROR(INDIRECT(CONCATENATE("Track1!h",A25+8)),"")</f>
        <v>30.6</v>
      </c>
      <c r="G32" s="108">
        <f ca="1">IFERROR(INDIRECT(CONCATENATE("Track1!i",A25+8)),"")</f>
        <v>4</v>
      </c>
      <c r="H32" s="66"/>
      <c r="I32" s="66">
        <f ca="1">IFERROR(INDIRECT(CONCATENATE("Track1!k",A25+8)),"")</f>
        <v>7</v>
      </c>
      <c r="J32" s="66">
        <f ca="1">IFERROR(INDIRECT(CONCATENATE("Track1!l",A25+8)),"")</f>
        <v>0</v>
      </c>
      <c r="K32" s="85" t="str">
        <f ca="1">IFERROR(INDIRECT(CONCATENATE("Track1!m",A25+8)),"")</f>
        <v/>
      </c>
      <c r="L32" s="85" t="str">
        <f ca="1">IFERROR(INDIRECT(CONCATENATE("Track1!n",A25+8)),"")</f>
        <v/>
      </c>
      <c r="M32" s="395">
        <f ca="1">IFERROR(INDIRECT(CONCATENATE("Track1!o",A25+8)),"")</f>
        <v>0</v>
      </c>
      <c r="N32" s="108" t="str">
        <f ca="1">IFERROR(INDIRECT(CONCATENATE("Track1!p",A25+8)),"")</f>
        <v/>
      </c>
      <c r="T32" s="64">
        <f t="shared" ca="1" si="0"/>
        <v>3</v>
      </c>
      <c r="U32" s="64" t="str">
        <f t="shared" ca="1" si="1"/>
        <v/>
      </c>
      <c r="V32" s="266">
        <f ca="1">IF(OR(D32=0,D32="",D32="Athlete"),"",COUNTIF($D$4:$D32,D32))</f>
        <v>2</v>
      </c>
      <c r="W32" s="266" t="str">
        <f t="shared" ca="1" si="2"/>
        <v>Menai</v>
      </c>
      <c r="Z32" s="266">
        <f t="shared" ca="1" si="3"/>
        <v>0</v>
      </c>
    </row>
    <row r="33" spans="1:26" x14ac:dyDescent="0.35">
      <c r="B33" s="66">
        <f ca="1">IFERROR(INDIRECT(CONCATENATE("Track1!D",A25+9)),"")</f>
        <v>8</v>
      </c>
      <c r="C33" s="66">
        <f ca="1">IFERROR(INDIRECT(CONCATENATE("Track1!e",A25+9)),"")</f>
        <v>0</v>
      </c>
      <c r="D33" s="85" t="str">
        <f ca="1">IFERROR(INDIRECT(CONCATENATE("Track1!f",A25+9)),"")</f>
        <v/>
      </c>
      <c r="E33" s="85" t="str">
        <f ca="1">IFERROR(INDIRECT(CONCATENATE("Track1!g",A25+9)),"")</f>
        <v/>
      </c>
      <c r="F33" s="395">
        <f ca="1">IFERROR(INDIRECT(CONCATENATE("Track1!h",A25+9)),"")</f>
        <v>0</v>
      </c>
      <c r="G33" s="108" t="str">
        <f ca="1">IFERROR(INDIRECT(CONCATENATE("Track1!i",A25+9)),"")</f>
        <v/>
      </c>
      <c r="H33" s="66"/>
      <c r="I33" s="66">
        <f ca="1">IFERROR(INDIRECT(CONCATENATE("Track1!k",A25+9)),"")</f>
        <v>8</v>
      </c>
      <c r="J33" s="66">
        <f ca="1">IFERROR(INDIRECT(CONCATENATE("Track1!l",A25+9)),"")</f>
        <v>0</v>
      </c>
      <c r="K33" s="85" t="str">
        <f ca="1">IFERROR(INDIRECT(CONCATENATE("Track1!m",A25+9)),"")</f>
        <v/>
      </c>
      <c r="L33" s="85" t="str">
        <f ca="1">IFERROR(INDIRECT(CONCATENATE("Track1!n",A25+9)),"")</f>
        <v/>
      </c>
      <c r="M33" s="395">
        <f ca="1">IFERROR(INDIRECT(CONCATENATE("Track1!o",A25+9)),"")</f>
        <v>0</v>
      </c>
      <c r="N33" s="108" t="str">
        <f ca="1">IFERROR(INDIRECT(CONCATENATE("Track1!p",A25+9)),"")</f>
        <v/>
      </c>
      <c r="T33" s="64" t="str">
        <f t="shared" ca="1" si="0"/>
        <v/>
      </c>
      <c r="U33" s="64" t="str">
        <f t="shared" ca="1" si="1"/>
        <v/>
      </c>
      <c r="V33" s="266" t="str">
        <f ca="1">IF(OR(D33=0,D33="",D33="Athlete"),"",COUNTIF($D$4:$D33,D33))</f>
        <v/>
      </c>
      <c r="W33" s="266" t="str">
        <f t="shared" ca="1" si="2"/>
        <v/>
      </c>
      <c r="Z33" s="266" t="str">
        <f t="shared" ca="1" si="3"/>
        <v/>
      </c>
    </row>
    <row r="34" spans="1:26" x14ac:dyDescent="0.35">
      <c r="F34" s="407"/>
      <c r="M34" s="407"/>
      <c r="T34" s="64" t="str">
        <f t="shared" si="0"/>
        <v/>
      </c>
      <c r="U34" s="64" t="str">
        <f t="shared" si="1"/>
        <v/>
      </c>
      <c r="V34" s="266" t="str">
        <f>IF(OR(D34=0,D34="",D34="Athlete"),"",COUNTIF($D$4:$D34,D34))</f>
        <v/>
      </c>
      <c r="W34" s="266" t="str">
        <f t="shared" si="2"/>
        <v/>
      </c>
      <c r="Z34" s="266" t="str">
        <f t="shared" si="3"/>
        <v/>
      </c>
    </row>
    <row r="35" spans="1:26" x14ac:dyDescent="0.35">
      <c r="A35" s="66" t="s">
        <v>48</v>
      </c>
      <c r="B35" s="102" t="str">
        <f ca="1">IFERROR(INDIRECT(CONCATENATE("Track1!D",A36)),"")</f>
        <v>300m U15 Girls A</v>
      </c>
      <c r="F35" s="395">
        <f ca="1">IFERROR(INDIRECT(CONCATENATE("Track1!h",A36)),"")</f>
        <v>0</v>
      </c>
      <c r="G35" s="108" t="str">
        <f ca="1">IFERROR(INDIRECT(CONCATENATE("Track1!i",A36)),"")</f>
        <v/>
      </c>
      <c r="I35" s="102" t="str">
        <f ca="1">IFERROR(INDIRECT(CONCATENATE("Track1!k",A36)),"")</f>
        <v>300m U15 Girls B</v>
      </c>
      <c r="M35" s="407"/>
      <c r="T35" s="64" t="str">
        <f t="shared" si="0"/>
        <v/>
      </c>
      <c r="U35" s="64" t="str">
        <f t="shared" si="1"/>
        <v/>
      </c>
      <c r="V35" s="266" t="str">
        <f>IF(OR(D35=0,D35="",D35="Athlete"),"",COUNTIF($D$4:$D35,D35))</f>
        <v/>
      </c>
      <c r="W35" s="266" t="str">
        <f t="shared" si="2"/>
        <v/>
      </c>
      <c r="Z35" s="266" t="str">
        <f t="shared" ca="1" si="3"/>
        <v/>
      </c>
    </row>
    <row r="36" spans="1:26" x14ac:dyDescent="0.35">
      <c r="A36" s="66">
        <f>IFERROR(MATCH(A35,Track1!C:C,0),"")</f>
        <v>178</v>
      </c>
      <c r="B36" s="45" t="str">
        <f ca="1">IFERROR(INDIRECT(CONCATENATE("Track1!D",A36+1)),"")</f>
        <v>Posn</v>
      </c>
      <c r="C36" s="45" t="str">
        <f ca="1">IFERROR(INDIRECT(CONCATENATE("Track1!e",A36+1)),"")</f>
        <v>No.</v>
      </c>
      <c r="D36" s="139" t="str">
        <f ca="1">IFERROR(INDIRECT(CONCATENATE("Track1!f",A36+1)),"")</f>
        <v>Athlete</v>
      </c>
      <c r="E36" s="139" t="str">
        <f ca="1">IFERROR(INDIRECT(CONCATENATE("Track1!g",A36+1)),"")</f>
        <v>Club</v>
      </c>
      <c r="F36" s="392" t="str">
        <f ca="1">IFERROR(INDIRECT(CONCATENATE("Track1!h",A36+1)),"")</f>
        <v>Perf</v>
      </c>
      <c r="G36" s="167" t="str">
        <f ca="1">IFERROR(INDIRECT(CONCATENATE("Track1!i",A36+1)),"")</f>
        <v>EA</v>
      </c>
      <c r="H36" s="45"/>
      <c r="I36" s="45" t="str">
        <f ca="1">IFERROR(INDIRECT(CONCATENATE("Track1!k",A36+1)),"")</f>
        <v>Posn</v>
      </c>
      <c r="J36" s="45" t="str">
        <f ca="1">IFERROR(INDIRECT(CONCATENATE("Track1!l",A36+1)),"")</f>
        <v>No.</v>
      </c>
      <c r="K36" s="139" t="str">
        <f ca="1">IFERROR(INDIRECT(CONCATENATE("Track1!m",A36+1)),"")</f>
        <v>Athlete</v>
      </c>
      <c r="L36" s="139" t="str">
        <f ca="1">IFERROR(INDIRECT(CONCATENATE("Track1!n",A36+1)),"")</f>
        <v>Club</v>
      </c>
      <c r="M36" s="392" t="str">
        <f ca="1">IFERROR(INDIRECT(CONCATENATE("Track1!o",A36+1)),"")</f>
        <v>Perf</v>
      </c>
      <c r="N36" s="167" t="str">
        <f ca="1">IFERROR(INDIRECT(CONCATENATE("Track1!p",A36+1)),"")</f>
        <v>EA</v>
      </c>
      <c r="T36" s="64" t="str">
        <f t="shared" ca="1" si="0"/>
        <v/>
      </c>
      <c r="U36" s="64" t="str">
        <f t="shared" ca="1" si="1"/>
        <v/>
      </c>
      <c r="V36" s="266" t="str">
        <f ca="1">IF(OR(D36=0,D36="",D36="Athlete"),"",COUNTIF($D$4:$D36,D36))</f>
        <v/>
      </c>
      <c r="W36" s="266" t="str">
        <f t="shared" ca="1" si="2"/>
        <v/>
      </c>
      <c r="Z36" s="266">
        <f t="shared" ca="1" si="3"/>
        <v>0</v>
      </c>
    </row>
    <row r="37" spans="1:26" x14ac:dyDescent="0.35">
      <c r="B37" s="66">
        <f ca="1">IFERROR(INDIRECT(CONCATENATE("Track1!D",A36+2)),"")</f>
        <v>1</v>
      </c>
      <c r="C37" s="66">
        <f ca="1">IFERROR(INDIRECT(CONCATENATE("Track1!e",A36+2)),"")</f>
        <v>3</v>
      </c>
      <c r="D37" s="85" t="str">
        <f ca="1">IFERROR(INDIRECT(CONCATENATE("Track1!f",A36+2)),"")</f>
        <v>Freya CASH</v>
      </c>
      <c r="E37" s="85" t="str">
        <f ca="1">IFERROR(INDIRECT(CONCATENATE("Track1!g",A36+2)),"")</f>
        <v>Leigh</v>
      </c>
      <c r="F37" s="395">
        <f ca="1">IFERROR(INDIRECT(CONCATENATE("Track1!h",A36+2)),"")</f>
        <v>43.9</v>
      </c>
      <c r="G37" s="108">
        <f ca="1">IFERROR(INDIRECT(CONCATENATE("Track1!i",A36+2)),"")</f>
        <v>8</v>
      </c>
      <c r="H37" s="66"/>
      <c r="I37" s="66">
        <f ca="1">IFERROR(INDIRECT(CONCATENATE("Track1!k",A36+2)),"")</f>
        <v>1</v>
      </c>
      <c r="J37" s="66">
        <f ca="1">IFERROR(INDIRECT(CONCATENATE("Track1!l",A36+2)),"")</f>
        <v>33</v>
      </c>
      <c r="K37" s="85" t="str">
        <f ca="1">IFERROR(INDIRECT(CONCATENATE("Track1!m",A36+2)),"")</f>
        <v>Gabriella TAYLOR</v>
      </c>
      <c r="L37" s="85" t="str">
        <f ca="1">IFERROR(INDIRECT(CONCATENATE("Track1!n",A36+2)),"")</f>
        <v>Leigh</v>
      </c>
      <c r="M37" s="395">
        <f ca="1">IFERROR(INDIRECT(CONCATENATE("Track1!o",A36+2)),"")</f>
        <v>46</v>
      </c>
      <c r="N37" s="108">
        <f ca="1">IFERROR(INDIRECT(CONCATENATE("Track1!p",A36+2)),"")</f>
        <v>6</v>
      </c>
      <c r="R37" s="168">
        <f ca="1">IFERROR(INDIRECT(CONCATENATE("Track1!r",A36+2)),"")</f>
        <v>10</v>
      </c>
      <c r="T37" s="64">
        <f t="shared" ca="1" si="0"/>
        <v>3</v>
      </c>
      <c r="U37" s="64">
        <f t="shared" ca="1" si="1"/>
        <v>3</v>
      </c>
      <c r="V37" s="266">
        <f ca="1">IF(OR(D37=0,D37="",D37="Athlete"),"",COUNTIF($D$4:$D37,D37))</f>
        <v>2</v>
      </c>
      <c r="W37" s="266" t="str">
        <f t="shared" ca="1" si="2"/>
        <v>Leigh</v>
      </c>
      <c r="Z37" s="266">
        <f t="shared" ca="1" si="3"/>
        <v>0</v>
      </c>
    </row>
    <row r="38" spans="1:26" x14ac:dyDescent="0.35">
      <c r="B38" s="66">
        <f ca="1">IFERROR(INDIRECT(CONCATENATE("Track1!D",A36+3)),"")</f>
        <v>2</v>
      </c>
      <c r="C38" s="66">
        <f ca="1">IFERROR(INDIRECT(CONCATENATE("Track1!e",A36+3)),"")</f>
        <v>5</v>
      </c>
      <c r="D38" s="85" t="str">
        <f ca="1">IFERROR(INDIRECT(CONCATENATE("Track1!f",A36+3)),"")</f>
        <v>Lily HARDY</v>
      </c>
      <c r="E38" s="85" t="str">
        <f ca="1">IFERROR(INDIRECT(CONCATENATE("Track1!g",A36+3)),"")</f>
        <v>Menai</v>
      </c>
      <c r="F38" s="395">
        <f ca="1">IFERROR(INDIRECT(CONCATENATE("Track1!h",A36+3)),"")</f>
        <v>46.2</v>
      </c>
      <c r="G38" s="108">
        <f ca="1">IFERROR(INDIRECT(CONCATENATE("Track1!i",A36+3)),"")</f>
        <v>6</v>
      </c>
      <c r="H38" s="66"/>
      <c r="I38" s="66">
        <f ca="1">IFERROR(INDIRECT(CONCATENATE("Track1!k",A36+3)),"")</f>
        <v>2</v>
      </c>
      <c r="J38" s="66">
        <f ca="1">IFERROR(INDIRECT(CONCATENATE("Track1!l",A36+3)),"")</f>
        <v>77</v>
      </c>
      <c r="K38" s="85" t="str">
        <f ca="1">IFERROR(INDIRECT(CONCATENATE("Track1!m",A36+3)),"")</f>
        <v>Nour KHOLEIF</v>
      </c>
      <c r="L38" s="85" t="str">
        <f ca="1">IFERROR(INDIRECT(CONCATENATE("Track1!n",A36+3)),"")</f>
        <v>Wigan</v>
      </c>
      <c r="M38" s="395">
        <f ca="1">IFERROR(INDIRECT(CONCATENATE("Track1!o",A36+3)),"")</f>
        <v>47.9</v>
      </c>
      <c r="N38" s="108">
        <f ca="1">IFERROR(INDIRECT(CONCATENATE("Track1!p",A36+3)),"")</f>
        <v>5</v>
      </c>
      <c r="T38" s="64">
        <f t="shared" ca="1" si="0"/>
        <v>3</v>
      </c>
      <c r="U38" s="64">
        <f t="shared" ca="1" si="1"/>
        <v>2</v>
      </c>
      <c r="V38" s="266">
        <f ca="1">IF(OR(D38=0,D38="",D38="Athlete"),"",COUNTIF($D$4:$D38,D38))</f>
        <v>2</v>
      </c>
      <c r="W38" s="266" t="str">
        <f t="shared" ca="1" si="2"/>
        <v>Menai</v>
      </c>
      <c r="Z38" s="266">
        <f t="shared" ca="1" si="3"/>
        <v>0</v>
      </c>
    </row>
    <row r="39" spans="1:26" x14ac:dyDescent="0.35">
      <c r="B39" s="66">
        <f ca="1">IFERROR(INDIRECT(CONCATENATE("Track1!D",A36+4)),"")</f>
        <v>3</v>
      </c>
      <c r="C39" s="66">
        <f ca="1">IFERROR(INDIRECT(CONCATENATE("Track1!e",A36+4)),"")</f>
        <v>1</v>
      </c>
      <c r="D39" s="85" t="str">
        <f ca="1">IFERROR(INDIRECT(CONCATENATE("Track1!f",A36+4)),"")</f>
        <v>Olivia WELCH</v>
      </c>
      <c r="E39" s="85" t="str">
        <f ca="1">IFERROR(INDIRECT(CONCATENATE("Track1!g",A36+4)),"")</f>
        <v>C&amp;N</v>
      </c>
      <c r="F39" s="395">
        <f ca="1">IFERROR(INDIRECT(CONCATENATE("Track1!h",A36+4)),"")</f>
        <v>47</v>
      </c>
      <c r="G39" s="108">
        <f ca="1">IFERROR(INDIRECT(CONCATENATE("Track1!i",A36+4)),"")</f>
        <v>5</v>
      </c>
      <c r="H39" s="66"/>
      <c r="I39" s="66">
        <f ca="1">IFERROR(INDIRECT(CONCATENATE("Track1!k",A36+4)),"")</f>
        <v>3</v>
      </c>
      <c r="J39" s="66">
        <f ca="1">IFERROR(INDIRECT(CONCATENATE("Track1!l",A36+4)),"")</f>
        <v>55</v>
      </c>
      <c r="K39" s="85" t="str">
        <f ca="1">IFERROR(INDIRECT(CONCATENATE("Track1!m",A36+4)),"")</f>
        <v>Hawys OWEN</v>
      </c>
      <c r="L39" s="85" t="str">
        <f ca="1">IFERROR(INDIRECT(CONCATENATE("Track1!n",A36+4)),"")</f>
        <v>Menai</v>
      </c>
      <c r="M39" s="395">
        <f ca="1">IFERROR(INDIRECT(CONCATENATE("Track1!o",A36+4)),"")</f>
        <v>48.4</v>
      </c>
      <c r="N39" s="108">
        <f ca="1">IFERROR(INDIRECT(CONCATENATE("Track1!p",A36+4)),"")</f>
        <v>5</v>
      </c>
      <c r="T39" s="64">
        <f t="shared" ca="1" si="0"/>
        <v>3</v>
      </c>
      <c r="U39" s="64">
        <f t="shared" ca="1" si="1"/>
        <v>2</v>
      </c>
      <c r="V39" s="266">
        <f ca="1">IF(OR(D39=0,D39="",D39="Athlete"),"",COUNTIF($D$4:$D39,D39))</f>
        <v>1</v>
      </c>
      <c r="W39" s="266" t="str">
        <f t="shared" ca="1" si="2"/>
        <v>C&amp;N</v>
      </c>
      <c r="Z39" s="266">
        <f t="shared" ca="1" si="3"/>
        <v>0</v>
      </c>
    </row>
    <row r="40" spans="1:26" x14ac:dyDescent="0.35">
      <c r="B40" s="66">
        <f ca="1">IFERROR(INDIRECT(CONCATENATE("Track1!D",A36+5)),"")</f>
        <v>4</v>
      </c>
      <c r="C40" s="66">
        <f ca="1">IFERROR(INDIRECT(CONCATENATE("Track1!e",A36+5)),"")</f>
        <v>6</v>
      </c>
      <c r="D40" s="85" t="str">
        <f ca="1">IFERROR(INDIRECT(CONCATENATE("Track1!f",A36+5)),"")</f>
        <v>Lily TYLER</v>
      </c>
      <c r="E40" s="85" t="str">
        <f ca="1">IFERROR(INDIRECT(CONCATENATE("Track1!g",A36+5)),"")</f>
        <v>Stock</v>
      </c>
      <c r="F40" s="395">
        <f ca="1">IFERROR(INDIRECT(CONCATENATE("Track1!h",A36+5)),"")</f>
        <v>48.4</v>
      </c>
      <c r="G40" s="108">
        <f ca="1">IFERROR(INDIRECT(CONCATENATE("Track1!i",A36+5)),"")</f>
        <v>5</v>
      </c>
      <c r="H40" s="66"/>
      <c r="I40" s="66">
        <f ca="1">IFERROR(INDIRECT(CONCATENATE("Track1!k",A36+5)),"")</f>
        <v>4</v>
      </c>
      <c r="J40" s="66">
        <f ca="1">IFERROR(INDIRECT(CONCATENATE("Track1!l",A36+5)),"")</f>
        <v>22</v>
      </c>
      <c r="K40" s="85" t="str">
        <f ca="1">IFERROR(INDIRECT(CONCATENATE("Track1!m",A36+5)),"")</f>
        <v>Anna ROOKE</v>
      </c>
      <c r="L40" s="85" t="str">
        <f ca="1">IFERROR(INDIRECT(CONCATENATE("Track1!n",A36+5)),"")</f>
        <v>ECHT</v>
      </c>
      <c r="M40" s="395">
        <f ca="1">IFERROR(INDIRECT(CONCATENATE("Track1!o",A36+5)),"")</f>
        <v>50.7</v>
      </c>
      <c r="N40" s="108">
        <f ca="1">IFERROR(INDIRECT(CONCATENATE("Track1!p",A36+5)),"")</f>
        <v>4</v>
      </c>
      <c r="T40" s="64">
        <f t="shared" ca="1" si="0"/>
        <v>1</v>
      </c>
      <c r="U40" s="64">
        <f t="shared" ca="1" si="1"/>
        <v>3</v>
      </c>
      <c r="V40" s="266">
        <f ca="1">IF(OR(D40=0,D40="",D40="Athlete"),"",COUNTIF($D$4:$D40,D40))</f>
        <v>1</v>
      </c>
      <c r="W40" s="266" t="str">
        <f t="shared" ca="1" si="2"/>
        <v>Stock</v>
      </c>
      <c r="Z40" s="266">
        <f t="shared" ca="1" si="3"/>
        <v>0</v>
      </c>
    </row>
    <row r="41" spans="1:26" x14ac:dyDescent="0.35">
      <c r="B41" s="66">
        <f ca="1">IFERROR(INDIRECT(CONCATENATE("Track1!D",A36+6)),"")</f>
        <v>5</v>
      </c>
      <c r="C41" s="66">
        <f ca="1">IFERROR(INDIRECT(CONCATENATE("Track1!e",A36+6)),"")</f>
        <v>2</v>
      </c>
      <c r="D41" s="85" t="str">
        <f ca="1">IFERROR(INDIRECT(CONCATENATE("Track1!f",A36+6)),"")</f>
        <v>Isla HERRING</v>
      </c>
      <c r="E41" s="85" t="str">
        <f ca="1">IFERROR(INDIRECT(CONCATENATE("Track1!g",A36+6)),"")</f>
        <v>ECHT</v>
      </c>
      <c r="F41" s="395">
        <f ca="1">IFERROR(INDIRECT(CONCATENATE("Track1!h",A36+6)),"")</f>
        <v>49.1</v>
      </c>
      <c r="G41" s="108">
        <f ca="1">IFERROR(INDIRECT(CONCATENATE("Track1!i",A36+6)),"")</f>
        <v>4</v>
      </c>
      <c r="H41" s="66"/>
      <c r="I41" s="66">
        <f ca="1">IFERROR(INDIRECT(CONCATENATE("Track1!k",A36+6)),"")</f>
        <v>5</v>
      </c>
      <c r="J41" s="66">
        <f ca="1">IFERROR(INDIRECT(CONCATENATE("Track1!l",A36+6)),"")</f>
        <v>0</v>
      </c>
      <c r="K41" s="85" t="str">
        <f ca="1">IFERROR(INDIRECT(CONCATENATE("Track1!m",A36+6)),"")</f>
        <v/>
      </c>
      <c r="L41" s="85" t="str">
        <f ca="1">IFERROR(INDIRECT(CONCATENATE("Track1!n",A36+6)),"")</f>
        <v/>
      </c>
      <c r="M41" s="395">
        <f ca="1">IFERROR(INDIRECT(CONCATENATE("Track1!o",A36+6)),"")</f>
        <v>0</v>
      </c>
      <c r="N41" s="108" t="str">
        <f ca="1">IFERROR(INDIRECT(CONCATENATE("Track1!p",A36+6)),"")</f>
        <v/>
      </c>
      <c r="T41" s="64">
        <f t="shared" ca="1" si="0"/>
        <v>3</v>
      </c>
      <c r="U41" s="64" t="str">
        <f t="shared" ca="1" si="1"/>
        <v/>
      </c>
      <c r="V41" s="266">
        <f ca="1">IF(OR(D41=0,D41="",D41="Athlete"),"",COUNTIF($D$4:$D41,D41))</f>
        <v>1</v>
      </c>
      <c r="W41" s="266" t="str">
        <f t="shared" ca="1" si="2"/>
        <v>ECHT</v>
      </c>
      <c r="Z41" s="266">
        <f t="shared" ca="1" si="3"/>
        <v>0</v>
      </c>
    </row>
    <row r="42" spans="1:26" x14ac:dyDescent="0.35">
      <c r="B42" s="66">
        <f ca="1">IFERROR(INDIRECT(CONCATENATE("Track1!D",A36+7)),"")</f>
        <v>6</v>
      </c>
      <c r="C42" s="66">
        <f ca="1">IFERROR(INDIRECT(CONCATENATE("Track1!e",A36+7)),"")</f>
        <v>7</v>
      </c>
      <c r="D42" s="85" t="str">
        <f ca="1">IFERROR(INDIRECT(CONCATENATE("Track1!f",A36+7)),"")</f>
        <v>Katie BONNER</v>
      </c>
      <c r="E42" s="85" t="str">
        <f ca="1">IFERROR(INDIRECT(CONCATENATE("Track1!g",A36+7)),"")</f>
        <v>Wigan</v>
      </c>
      <c r="F42" s="395">
        <f ca="1">IFERROR(INDIRECT(CONCATENATE("Track1!h",A36+7)),"")</f>
        <v>50.4</v>
      </c>
      <c r="G42" s="108">
        <f ca="1">IFERROR(INDIRECT(CONCATENATE("Track1!i",A36+7)),"")</f>
        <v>4</v>
      </c>
      <c r="H42" s="66"/>
      <c r="I42" s="66">
        <f ca="1">IFERROR(INDIRECT(CONCATENATE("Track1!k",A36+7)),"")</f>
        <v>6</v>
      </c>
      <c r="J42" s="66">
        <f ca="1">IFERROR(INDIRECT(CONCATENATE("Track1!l",A36+7)),"")</f>
        <v>0</v>
      </c>
      <c r="K42" s="85" t="str">
        <f ca="1">IFERROR(INDIRECT(CONCATENATE("Track1!m",A36+7)),"")</f>
        <v/>
      </c>
      <c r="L42" s="85" t="str">
        <f ca="1">IFERROR(INDIRECT(CONCATENATE("Track1!n",A36+7)),"")</f>
        <v/>
      </c>
      <c r="M42" s="395">
        <f ca="1">IFERROR(INDIRECT(CONCATENATE("Track1!o",A36+7)),"")</f>
        <v>0</v>
      </c>
      <c r="N42" s="108" t="str">
        <f ca="1">IFERROR(INDIRECT(CONCATENATE("Track1!p",A36+7)),"")</f>
        <v/>
      </c>
      <c r="T42" s="64">
        <f t="shared" ca="1" si="0"/>
        <v>1</v>
      </c>
      <c r="U42" s="64" t="str">
        <f t="shared" ca="1" si="1"/>
        <v/>
      </c>
      <c r="V42" s="266">
        <f ca="1">IF(OR(D42=0,D42="",D42="Athlete"),"",COUNTIF($D$4:$D42,D42))</f>
        <v>1</v>
      </c>
      <c r="W42" s="266" t="str">
        <f t="shared" ca="1" si="2"/>
        <v>Wigan</v>
      </c>
      <c r="Z42" s="266">
        <f t="shared" ca="1" si="3"/>
        <v>0</v>
      </c>
    </row>
    <row r="43" spans="1:26" x14ac:dyDescent="0.35">
      <c r="B43" s="66">
        <f ca="1">IFERROR(INDIRECT(CONCATENATE("Track1!D",A36+8)),"")</f>
        <v>7</v>
      </c>
      <c r="C43" s="66">
        <f ca="1">IFERROR(INDIRECT(CONCATENATE("Track1!e",A36+8)),"")</f>
        <v>0</v>
      </c>
      <c r="D43" s="85" t="str">
        <f ca="1">IFERROR(INDIRECT(CONCATENATE("Track1!f",A36+8)),"")</f>
        <v/>
      </c>
      <c r="E43" s="85" t="str">
        <f ca="1">IFERROR(INDIRECT(CONCATENATE("Track1!g",A36+8)),"")</f>
        <v/>
      </c>
      <c r="F43" s="395">
        <f ca="1">IFERROR(INDIRECT(CONCATENATE("Track1!h",A36+8)),"")</f>
        <v>0</v>
      </c>
      <c r="G43" s="108" t="str">
        <f ca="1">IFERROR(INDIRECT(CONCATENATE("Track1!i",A36+8)),"")</f>
        <v/>
      </c>
      <c r="H43" s="66"/>
      <c r="I43" s="66">
        <f ca="1">IFERROR(INDIRECT(CONCATENATE("Track1!k",A36+8)),"")</f>
        <v>7</v>
      </c>
      <c r="J43" s="66">
        <f ca="1">IFERROR(INDIRECT(CONCATENATE("Track1!l",A36+8)),"")</f>
        <v>0</v>
      </c>
      <c r="K43" s="85" t="str">
        <f ca="1">IFERROR(INDIRECT(CONCATENATE("Track1!m",A36+8)),"")</f>
        <v/>
      </c>
      <c r="L43" s="85" t="str">
        <f ca="1">IFERROR(INDIRECT(CONCATENATE("Track1!n",A36+8)),"")</f>
        <v/>
      </c>
      <c r="M43" s="395">
        <f ca="1">IFERROR(INDIRECT(CONCATENATE("Track1!o",A36+8)),"")</f>
        <v>0</v>
      </c>
      <c r="N43" s="108" t="str">
        <f ca="1">IFERROR(INDIRECT(CONCATENATE("Track1!p",A36+8)),"")</f>
        <v/>
      </c>
      <c r="T43" s="64" t="str">
        <f t="shared" ca="1" si="0"/>
        <v/>
      </c>
      <c r="U43" s="64" t="str">
        <f t="shared" ca="1" si="1"/>
        <v/>
      </c>
      <c r="V43" s="266" t="str">
        <f ca="1">IF(OR(D43=0,D43="",D43="Athlete"),"",COUNTIF($D$4:$D43,D43))</f>
        <v/>
      </c>
      <c r="W43" s="266" t="str">
        <f t="shared" ca="1" si="2"/>
        <v/>
      </c>
      <c r="Z43" s="266" t="str">
        <f t="shared" ca="1" si="3"/>
        <v/>
      </c>
    </row>
    <row r="44" spans="1:26" x14ac:dyDescent="0.35">
      <c r="B44" s="66">
        <f ca="1">IFERROR(INDIRECT(CONCATENATE("Track1!D",A36+9)),"")</f>
        <v>8</v>
      </c>
      <c r="C44" s="66">
        <f ca="1">IFERROR(INDIRECT(CONCATENATE("Track1!e",A36+9)),"")</f>
        <v>0</v>
      </c>
      <c r="D44" s="85" t="str">
        <f ca="1">IFERROR(INDIRECT(CONCATENATE("Track1!f",A36+9)),"")</f>
        <v/>
      </c>
      <c r="E44" s="85" t="str">
        <f ca="1">IFERROR(INDIRECT(CONCATENATE("Track1!g",A36+9)),"")</f>
        <v/>
      </c>
      <c r="F44" s="395">
        <f ca="1">IFERROR(INDIRECT(CONCATENATE("Track1!h",A36+9)),"")</f>
        <v>0</v>
      </c>
      <c r="G44" s="108" t="str">
        <f ca="1">IFERROR(INDIRECT(CONCATENATE("Track1!i",A36+9)),"")</f>
        <v/>
      </c>
      <c r="H44" s="66"/>
      <c r="I44" s="66">
        <f ca="1">IFERROR(INDIRECT(CONCATENATE("Track1!k",A36+9)),"")</f>
        <v>8</v>
      </c>
      <c r="J44" s="66">
        <f ca="1">IFERROR(INDIRECT(CONCATENATE("Track1!l",A36+9)),"")</f>
        <v>0</v>
      </c>
      <c r="K44" s="85" t="str">
        <f ca="1">IFERROR(INDIRECT(CONCATENATE("Track1!m",A36+9)),"")</f>
        <v/>
      </c>
      <c r="L44" s="85" t="str">
        <f ca="1">IFERROR(INDIRECT(CONCATENATE("Track1!n",A36+9)),"")</f>
        <v/>
      </c>
      <c r="M44" s="395">
        <f ca="1">IFERROR(INDIRECT(CONCATENATE("Track1!o",A36+9)),"")</f>
        <v>0</v>
      </c>
      <c r="N44" s="108" t="str">
        <f ca="1">IFERROR(INDIRECT(CONCATENATE("Track1!p",A36+9)),"")</f>
        <v/>
      </c>
      <c r="T44" s="64" t="str">
        <f t="shared" ca="1" si="0"/>
        <v/>
      </c>
      <c r="U44" s="64" t="str">
        <f t="shared" ca="1" si="1"/>
        <v/>
      </c>
      <c r="V44" s="266" t="str">
        <f ca="1">IF(OR(D44=0,D44="",D44="Athlete"),"",COUNTIF($D$4:$D44,D44))</f>
        <v/>
      </c>
      <c r="W44" s="266" t="str">
        <f t="shared" ca="1" si="2"/>
        <v/>
      </c>
      <c r="Z44" s="266" t="str">
        <f t="shared" ca="1" si="3"/>
        <v/>
      </c>
    </row>
    <row r="45" spans="1:26" x14ac:dyDescent="0.35">
      <c r="T45" s="64" t="str">
        <f t="shared" si="0"/>
        <v/>
      </c>
      <c r="U45" s="64" t="str">
        <f t="shared" si="1"/>
        <v/>
      </c>
      <c r="V45" s="266" t="str">
        <f>IF(OR(D45=0,D45="",D45="Athlete"),"",COUNTIF($D$4:$D45,D45))</f>
        <v/>
      </c>
      <c r="W45" s="266" t="str">
        <f t="shared" si="2"/>
        <v/>
      </c>
      <c r="Z45" s="266" t="str">
        <f t="shared" si="3"/>
        <v/>
      </c>
    </row>
    <row r="46" spans="1:26" x14ac:dyDescent="0.35">
      <c r="A46" s="66" t="s">
        <v>350</v>
      </c>
      <c r="B46" s="102" t="str">
        <f ca="1">IFERROR(INDIRECT(CONCATENATE("Track1!D",A47)),"")</f>
        <v>800m U15 Girls A</v>
      </c>
      <c r="F46" s="65">
        <f ca="1">IFERROR(INDIRECT(CONCATENATE("Track1!h",A47)),"")</f>
        <v>0</v>
      </c>
      <c r="G46" s="108" t="str">
        <f ca="1">IFERROR(INDIRECT(CONCATENATE("Track1!i",A47)),"")</f>
        <v/>
      </c>
      <c r="I46" s="102" t="str">
        <f ca="1">IFERROR(INDIRECT(CONCATENATE("Track1!k",A47)),"")</f>
        <v>800m U15 Girls B</v>
      </c>
      <c r="T46" s="64" t="str">
        <f t="shared" si="0"/>
        <v/>
      </c>
      <c r="U46" s="64" t="str">
        <f t="shared" si="1"/>
        <v/>
      </c>
      <c r="V46" s="266" t="str">
        <f>IF(OR(D46=0,D46="",D46="Athlete"),"",COUNTIF($D$4:$D46,D46))</f>
        <v/>
      </c>
      <c r="W46" s="266" t="str">
        <f t="shared" si="2"/>
        <v/>
      </c>
      <c r="Z46" s="266" t="str">
        <f t="shared" ca="1" si="3"/>
        <v/>
      </c>
    </row>
    <row r="47" spans="1:26" x14ac:dyDescent="0.35">
      <c r="A47" s="66">
        <f>IFERROR(MATCH(A46,Track1!C:C,0),"")</f>
        <v>222</v>
      </c>
      <c r="B47" s="45" t="str">
        <f ca="1">IFERROR(INDIRECT(CONCATENATE("Track1!D",A47+1)),"")</f>
        <v>Posn</v>
      </c>
      <c r="C47" s="45" t="str">
        <f ca="1">IFERROR(INDIRECT(CONCATENATE("Track1!e",A47+1)),"")</f>
        <v>No.</v>
      </c>
      <c r="D47" s="139" t="str">
        <f ca="1">IFERROR(INDIRECT(CONCATENATE("Track1!f",A47+1)),"")</f>
        <v>Athlete</v>
      </c>
      <c r="E47" s="139" t="str">
        <f ca="1">IFERROR(INDIRECT(CONCATENATE("Track1!g",A47+1)),"")</f>
        <v>Club</v>
      </c>
      <c r="F47" s="133" t="str">
        <f ca="1">IFERROR(INDIRECT(CONCATENATE("Track1!h",A47+1)),"")</f>
        <v>Perf</v>
      </c>
      <c r="G47" s="167" t="str">
        <f ca="1">IFERROR(INDIRECT(CONCATENATE("Track1!i",A47+1)),"")</f>
        <v>EA</v>
      </c>
      <c r="H47" s="45"/>
      <c r="I47" s="45" t="str">
        <f ca="1">IFERROR(INDIRECT(CONCATENATE("Track1!k",A47+1)),"")</f>
        <v>Posn</v>
      </c>
      <c r="J47" s="45" t="str">
        <f ca="1">IFERROR(INDIRECT(CONCATENATE("Track1!l",A47+1)),"")</f>
        <v>No.</v>
      </c>
      <c r="K47" s="139" t="str">
        <f ca="1">IFERROR(INDIRECT(CONCATENATE("Track1!m",A47+1)),"")</f>
        <v>Athlete</v>
      </c>
      <c r="L47" s="139" t="str">
        <f ca="1">IFERROR(INDIRECT(CONCATENATE("Track1!n",A47+1)),"")</f>
        <v>Club</v>
      </c>
      <c r="M47" s="133" t="str">
        <f ca="1">IFERROR(INDIRECT(CONCATENATE("Track1!o",A47+1)),"")</f>
        <v>Perf</v>
      </c>
      <c r="N47" s="167" t="str">
        <f ca="1">IFERROR(INDIRECT(CONCATENATE("Track1!p",A47+1)),"")</f>
        <v>EA</v>
      </c>
      <c r="T47" s="64" t="str">
        <f t="shared" ca="1" si="0"/>
        <v/>
      </c>
      <c r="U47" s="64" t="str">
        <f t="shared" ca="1" si="1"/>
        <v/>
      </c>
      <c r="V47" s="266" t="str">
        <f ca="1">IF(OR(D47=0,D47="",D47="Athlete"),"",COUNTIF($D$4:$D47,D47))</f>
        <v/>
      </c>
      <c r="W47" s="266" t="str">
        <f t="shared" ca="1" si="2"/>
        <v/>
      </c>
      <c r="Z47" s="266">
        <f t="shared" ca="1" si="3"/>
        <v>0</v>
      </c>
    </row>
    <row r="48" spans="1:26" x14ac:dyDescent="0.35">
      <c r="B48" s="66">
        <f ca="1">IFERROR(INDIRECT(CONCATENATE("Track1!D",A47+2)),"")</f>
        <v>1</v>
      </c>
      <c r="C48" s="66">
        <f ca="1">IFERROR(INDIRECT(CONCATENATE("Track1!e",A47+2)),"")</f>
        <v>3</v>
      </c>
      <c r="D48" s="85" t="str">
        <f ca="1">IFERROR(INDIRECT(CONCATENATE("Track1!f",A47+2)),"")</f>
        <v>Gabriella TAYLOR</v>
      </c>
      <c r="E48" s="85" t="str">
        <f ca="1">IFERROR(INDIRECT(CONCATENATE("Track1!g",A47+2)),"")</f>
        <v>Leigh</v>
      </c>
      <c r="F48" s="96">
        <f ca="1">IFERROR(INDIRECT(CONCATENATE("Track1!v",A47+2)),"")</f>
        <v>1.730324074074074E-3</v>
      </c>
      <c r="G48" s="108">
        <f ca="1">IFERROR(INDIRECT(CONCATENATE("Track1!i",A47+2)),"")</f>
        <v>5</v>
      </c>
      <c r="H48" s="66"/>
      <c r="I48" s="66">
        <f ca="1">IFERROR(INDIRECT(CONCATENATE("Track1!k",A47+2)),"")</f>
        <v>1</v>
      </c>
      <c r="J48" s="66">
        <f ca="1">IFERROR(INDIRECT(CONCATENATE("Track1!l",A47+2)),"")</f>
        <v>77</v>
      </c>
      <c r="K48" s="85" t="str">
        <f ca="1">IFERROR(INDIRECT(CONCATENATE("Track1!m",A47+2)),"")</f>
        <v>Esme CLARK</v>
      </c>
      <c r="L48" s="85" t="str">
        <f ca="1">IFERROR(INDIRECT(CONCATENATE("Track1!n",A47+2)),"")</f>
        <v>Wigan</v>
      </c>
      <c r="M48" s="96">
        <f ca="1">IFERROR(INDIRECT(CONCATENATE("Track1!w",A47+2)),"")</f>
        <v>1.8969907407407408E-3</v>
      </c>
      <c r="N48" s="108">
        <f ca="1">IFERROR(INDIRECT(CONCATENATE("Track1!p",A47+2)),"")</f>
        <v>2</v>
      </c>
      <c r="R48" s="168">
        <f ca="1">IFERROR(INDIRECT(CONCATENATE("Track1!r",A47+2)),"")</f>
        <v>10</v>
      </c>
      <c r="T48" s="64">
        <f t="shared" ca="1" si="0"/>
        <v>3</v>
      </c>
      <c r="U48" s="64">
        <f t="shared" ca="1" si="1"/>
        <v>1</v>
      </c>
      <c r="V48" s="266">
        <f ca="1">IF(OR(D48=0,D48="",D48="Athlete"),"",COUNTIF($D$4:$D48,D48))</f>
        <v>1</v>
      </c>
      <c r="W48" s="266" t="str">
        <f t="shared" ca="1" si="2"/>
        <v>Leigh</v>
      </c>
      <c r="Z48" s="266">
        <f t="shared" ca="1" si="3"/>
        <v>0</v>
      </c>
    </row>
    <row r="49" spans="1:26" x14ac:dyDescent="0.35">
      <c r="B49" s="66">
        <f ca="1">IFERROR(INDIRECT(CONCATENATE("Track1!D",A47+3)),"")</f>
        <v>2</v>
      </c>
      <c r="C49" s="66">
        <f ca="1">IFERROR(INDIRECT(CONCATENATE("Track1!e",A47+3)),"")</f>
        <v>2</v>
      </c>
      <c r="D49" s="85" t="str">
        <f ca="1">IFERROR(INDIRECT(CONCATENATE("Track1!f",A47+3)),"")</f>
        <v>Isla HERRING</v>
      </c>
      <c r="E49" s="85" t="str">
        <f ca="1">IFERROR(INDIRECT(CONCATENATE("Track1!g",A47+3)),"")</f>
        <v>ECHT</v>
      </c>
      <c r="F49" s="96">
        <f ca="1">IFERROR(INDIRECT(CONCATENATE("Track1!v",A47+3)),"")</f>
        <v>1.7685185185185182E-3</v>
      </c>
      <c r="G49" s="108">
        <f ca="1">IFERROR(INDIRECT(CONCATENATE("Track1!i",A47+3)),"")</f>
        <v>4</v>
      </c>
      <c r="H49" s="66"/>
      <c r="I49" s="66">
        <f ca="1">IFERROR(INDIRECT(CONCATENATE("Track1!k",A47+3)),"")</f>
        <v>2</v>
      </c>
      <c r="J49" s="66">
        <f ca="1">IFERROR(INDIRECT(CONCATENATE("Track1!l",A47+3)),"")</f>
        <v>22</v>
      </c>
      <c r="K49" s="85" t="str">
        <f ca="1">IFERROR(INDIRECT(CONCATENATE("Track1!m",A47+3)),"")</f>
        <v>Anna ROOKE</v>
      </c>
      <c r="L49" s="85" t="str">
        <f ca="1">IFERROR(INDIRECT(CONCATENATE("Track1!n",A47+3)),"")</f>
        <v>ECHT</v>
      </c>
      <c r="M49" s="96">
        <f ca="1">IFERROR(INDIRECT(CONCATENATE("Track1!w",A47+3)),"")</f>
        <v>1.9432870370370372E-3</v>
      </c>
      <c r="N49" s="108" t="str">
        <f ca="1">IFERROR(INDIRECT(CONCATENATE("Track1!p",A47+3)),"")</f>
        <v/>
      </c>
      <c r="T49" s="64">
        <f t="shared" ca="1" si="0"/>
        <v>3</v>
      </c>
      <c r="U49" s="64">
        <f t="shared" ca="1" si="1"/>
        <v>3</v>
      </c>
      <c r="V49" s="266">
        <f ca="1">IF(OR(D49=0,D49="",D49="Athlete"),"",COUNTIF($D$4:$D49,D49))</f>
        <v>2</v>
      </c>
      <c r="W49" s="266" t="str">
        <f t="shared" ca="1" si="2"/>
        <v>ECHT</v>
      </c>
      <c r="Z49" s="266">
        <f t="shared" ca="1" si="3"/>
        <v>0</v>
      </c>
    </row>
    <row r="50" spans="1:26" x14ac:dyDescent="0.35">
      <c r="B50" s="66">
        <f ca="1">IFERROR(INDIRECT(CONCATENATE("Track1!D",A47+4)),"")</f>
        <v>3</v>
      </c>
      <c r="C50" s="66">
        <f ca="1">IFERROR(INDIRECT(CONCATENATE("Track1!e",A47+4)),"")</f>
        <v>7</v>
      </c>
      <c r="D50" s="85" t="str">
        <f ca="1">IFERROR(INDIRECT(CONCATENATE("Track1!f",A47+4)),"")</f>
        <v>Esme HARRIS</v>
      </c>
      <c r="E50" s="85" t="str">
        <f ca="1">IFERROR(INDIRECT(CONCATENATE("Track1!g",A47+4)),"")</f>
        <v>Wigan</v>
      </c>
      <c r="F50" s="96">
        <f ca="1">IFERROR(INDIRECT(CONCATENATE("Track1!v",A47+4)),"")</f>
        <v>1.8958333333333336E-3</v>
      </c>
      <c r="G50" s="108">
        <f ca="1">IFERROR(INDIRECT(CONCATENATE("Track1!i",A47+4)),"")</f>
        <v>2</v>
      </c>
      <c r="H50" s="66"/>
      <c r="I50" s="66">
        <f ca="1">IFERROR(INDIRECT(CONCATENATE("Track1!k",A47+4)),"")</f>
        <v>3</v>
      </c>
      <c r="J50" s="66">
        <f ca="1">IFERROR(INDIRECT(CONCATENATE("Track1!l",A47+4)),"")</f>
        <v>11</v>
      </c>
      <c r="K50" s="85" t="str">
        <f ca="1">IFERROR(INDIRECT(CONCATENATE("Track1!m",A47+4)),"")</f>
        <v>Heidi WOODS</v>
      </c>
      <c r="L50" s="85" t="str">
        <f ca="1">IFERROR(INDIRECT(CONCATENATE("Track1!n",A47+4)),"")</f>
        <v>C&amp;N</v>
      </c>
      <c r="M50" s="96">
        <f ca="1">IFERROR(INDIRECT(CONCATENATE("Track1!w",A47+4)),"")</f>
        <v>2.1932870370370374E-3</v>
      </c>
      <c r="N50" s="108" t="str">
        <f ca="1">IFERROR(INDIRECT(CONCATENATE("Track1!p",A47+4)),"")</f>
        <v/>
      </c>
      <c r="T50" s="64">
        <f t="shared" ca="1" si="0"/>
        <v>2</v>
      </c>
      <c r="U50" s="64">
        <f t="shared" ca="1" si="1"/>
        <v>2</v>
      </c>
      <c r="V50" s="266">
        <f ca="1">IF(OR(D50=0,D50="",D50="Athlete"),"",COUNTIF($D$4:$D50,D50))</f>
        <v>1</v>
      </c>
      <c r="W50" s="266" t="str">
        <f t="shared" ca="1" si="2"/>
        <v>Wigan</v>
      </c>
      <c r="Z50" s="266">
        <f t="shared" ca="1" si="3"/>
        <v>0</v>
      </c>
    </row>
    <row r="51" spans="1:26" x14ac:dyDescent="0.35">
      <c r="B51" s="66">
        <f ca="1">IFERROR(INDIRECT(CONCATENATE("Track1!D",A47+5)),"")</f>
        <v>4</v>
      </c>
      <c r="C51" s="66">
        <f ca="1">IFERROR(INDIRECT(CONCATENATE("Track1!e",A47+5)),"")</f>
        <v>4</v>
      </c>
      <c r="D51" s="85" t="str">
        <f ca="1">IFERROR(INDIRECT(CONCATENATE("Track1!f",A47+5)),"")</f>
        <v>Brooke SAYCE</v>
      </c>
      <c r="E51" s="85" t="str">
        <f ca="1">IFERROR(INDIRECT(CONCATENATE("Track1!g",A47+5)),"")</f>
        <v>Macc</v>
      </c>
      <c r="F51" s="96">
        <f ca="1">IFERROR(INDIRECT(CONCATENATE("Track1!v",A47+5)),"")</f>
        <v>1.9710648148148148E-3</v>
      </c>
      <c r="G51" s="108" t="str">
        <f ca="1">IFERROR(INDIRECT(CONCATENATE("Track1!i",A47+5)),"")</f>
        <v/>
      </c>
      <c r="H51" s="66"/>
      <c r="I51" s="66">
        <f ca="1">IFERROR(INDIRECT(CONCATENATE("Track1!k",A47+5)),"")</f>
        <v>4</v>
      </c>
      <c r="J51" s="66">
        <f ca="1">IFERROR(INDIRECT(CONCATENATE("Track1!l",A47+5)),"")</f>
        <v>0</v>
      </c>
      <c r="K51" s="85" t="str">
        <f ca="1">IFERROR(INDIRECT(CONCATENATE("Track1!m",A47+5)),"")</f>
        <v/>
      </c>
      <c r="L51" s="85" t="str">
        <f ca="1">IFERROR(INDIRECT(CONCATENATE("Track1!n",A47+5)),"")</f>
        <v/>
      </c>
      <c r="M51" s="96">
        <f ca="1">IFERROR(INDIRECT(CONCATENATE("Track1!w",A47+5)),"")</f>
        <v>0</v>
      </c>
      <c r="N51" s="108" t="str">
        <f ca="1">IFERROR(INDIRECT(CONCATENATE("Track1!p",A47+5)),"")</f>
        <v/>
      </c>
      <c r="T51" s="64">
        <f t="shared" ca="1" si="0"/>
        <v>2</v>
      </c>
      <c r="U51" s="64" t="str">
        <f t="shared" ca="1" si="1"/>
        <v/>
      </c>
      <c r="V51" s="266">
        <f ca="1">IF(OR(D51=0,D51="",D51="Athlete"),"",COUNTIF($D$4:$D51,D51))</f>
        <v>1</v>
      </c>
      <c r="W51" s="266" t="str">
        <f t="shared" ca="1" si="2"/>
        <v>Macc</v>
      </c>
      <c r="Z51" s="266" t="str">
        <f t="shared" ca="1" si="3"/>
        <v/>
      </c>
    </row>
    <row r="52" spans="1:26" x14ac:dyDescent="0.35">
      <c r="B52" s="66">
        <f ca="1">IFERROR(INDIRECT(CONCATENATE("Track1!D",A47+6)),"")</f>
        <v>5</v>
      </c>
      <c r="C52" s="66">
        <f ca="1">IFERROR(INDIRECT(CONCATENATE("Track1!e",A47+6)),"")</f>
        <v>1</v>
      </c>
      <c r="D52" s="85" t="str">
        <f ca="1">IFERROR(INDIRECT(CONCATENATE("Track1!f",A47+6)),"")</f>
        <v>Lucy HARDING</v>
      </c>
      <c r="E52" s="85" t="str">
        <f ca="1">IFERROR(INDIRECT(CONCATENATE("Track1!g",A47+6)),"")</f>
        <v>C&amp;N</v>
      </c>
      <c r="F52" s="96">
        <f ca="1">IFERROR(INDIRECT(CONCATENATE("Track1!v",A47+6)),"")</f>
        <v>1.9780092592592588E-3</v>
      </c>
      <c r="G52" s="108" t="str">
        <f ca="1">IFERROR(INDIRECT(CONCATENATE("Track1!i",A47+6)),"")</f>
        <v/>
      </c>
      <c r="H52" s="66"/>
      <c r="I52" s="66">
        <f ca="1">IFERROR(INDIRECT(CONCATENATE("Track1!k",A47+6)),"")</f>
        <v>5</v>
      </c>
      <c r="J52" s="66">
        <f ca="1">IFERROR(INDIRECT(CONCATENATE("Track1!l",A47+6)),"")</f>
        <v>0</v>
      </c>
      <c r="K52" s="85" t="str">
        <f ca="1">IFERROR(INDIRECT(CONCATENATE("Track1!m",A47+6)),"")</f>
        <v/>
      </c>
      <c r="L52" s="85" t="str">
        <f ca="1">IFERROR(INDIRECT(CONCATENATE("Track1!n",A47+6)),"")</f>
        <v/>
      </c>
      <c r="M52" s="96">
        <f ca="1">IFERROR(INDIRECT(CONCATENATE("Track1!w",A47+6)),"")</f>
        <v>0</v>
      </c>
      <c r="N52" s="108" t="str">
        <f ca="1">IFERROR(INDIRECT(CONCATENATE("Track1!p",A47+6)),"")</f>
        <v/>
      </c>
      <c r="T52" s="64">
        <f t="shared" ca="1" si="0"/>
        <v>3</v>
      </c>
      <c r="U52" s="64" t="str">
        <f t="shared" ca="1" si="1"/>
        <v/>
      </c>
      <c r="V52" s="266">
        <f ca="1">IF(OR(D52=0,D52="",D52="Athlete"),"",COUNTIF($D$4:$D52,D52))</f>
        <v>1</v>
      </c>
      <c r="W52" s="266" t="str">
        <f t="shared" ca="1" si="2"/>
        <v>C&amp;N</v>
      </c>
      <c r="Z52" s="266" t="str">
        <f t="shared" ca="1" si="3"/>
        <v/>
      </c>
    </row>
    <row r="53" spans="1:26" x14ac:dyDescent="0.35">
      <c r="B53" s="66">
        <f ca="1">IFERROR(INDIRECT(CONCATENATE("Track1!D",A47+7)),"")</f>
        <v>6</v>
      </c>
      <c r="C53" s="66">
        <f ca="1">IFERROR(INDIRECT(CONCATENATE("Track1!e",A47+7)),"")</f>
        <v>0</v>
      </c>
      <c r="D53" s="85" t="str">
        <f ca="1">IFERROR(INDIRECT(CONCATENATE("Track1!f",A47+7)),"")</f>
        <v/>
      </c>
      <c r="E53" s="85" t="str">
        <f ca="1">IFERROR(INDIRECT(CONCATENATE("Track1!g",A47+7)),"")</f>
        <v/>
      </c>
      <c r="F53" s="96">
        <f ca="1">IFERROR(INDIRECT(CONCATENATE("Track1!v",A47+7)),"")</f>
        <v>0</v>
      </c>
      <c r="G53" s="108" t="str">
        <f ca="1">IFERROR(INDIRECT(CONCATENATE("Track1!i",A47+7)),"")</f>
        <v/>
      </c>
      <c r="H53" s="66"/>
      <c r="I53" s="66">
        <f ca="1">IFERROR(INDIRECT(CONCATENATE("Track1!k",A47+7)),"")</f>
        <v>6</v>
      </c>
      <c r="J53" s="66">
        <f ca="1">IFERROR(INDIRECT(CONCATENATE("Track1!l",A47+7)),"")</f>
        <v>0</v>
      </c>
      <c r="K53" s="85" t="str">
        <f ca="1">IFERROR(INDIRECT(CONCATENATE("Track1!m",A47+7)),"")</f>
        <v/>
      </c>
      <c r="L53" s="85" t="str">
        <f ca="1">IFERROR(INDIRECT(CONCATENATE("Track1!n",A47+7)),"")</f>
        <v/>
      </c>
      <c r="M53" s="96">
        <f ca="1">IFERROR(INDIRECT(CONCATENATE("Track1!w",A47+7)),"")</f>
        <v>0</v>
      </c>
      <c r="N53" s="108" t="str">
        <f ca="1">IFERROR(INDIRECT(CONCATENATE("Track1!p",A47+7)),"")</f>
        <v/>
      </c>
      <c r="T53" s="64" t="str">
        <f t="shared" ca="1" si="0"/>
        <v/>
      </c>
      <c r="U53" s="64" t="str">
        <f t="shared" ca="1" si="1"/>
        <v/>
      </c>
      <c r="V53" s="266" t="str">
        <f ca="1">IF(OR(D53=0,D53="",D53="Athlete"),"",COUNTIF($D$4:$D53,D53))</f>
        <v/>
      </c>
      <c r="W53" s="266" t="str">
        <f t="shared" ca="1" si="2"/>
        <v/>
      </c>
      <c r="Z53" s="266" t="str">
        <f t="shared" ca="1" si="3"/>
        <v/>
      </c>
    </row>
    <row r="54" spans="1:26" x14ac:dyDescent="0.35">
      <c r="B54" s="66">
        <f ca="1">IFERROR(INDIRECT(CONCATENATE("Track1!D",A47+8)),"")</f>
        <v>7</v>
      </c>
      <c r="C54" s="66">
        <f ca="1">IFERROR(INDIRECT(CONCATENATE("Track1!e",A47+8)),"")</f>
        <v>0</v>
      </c>
      <c r="D54" s="85" t="str">
        <f ca="1">IFERROR(INDIRECT(CONCATENATE("Track1!f",A47+8)),"")</f>
        <v/>
      </c>
      <c r="E54" s="85" t="str">
        <f ca="1">IFERROR(INDIRECT(CONCATENATE("Track1!g",A47+8)),"")</f>
        <v/>
      </c>
      <c r="F54" s="96">
        <f ca="1">IFERROR(INDIRECT(CONCATENATE("Track1!v",A47+8)),"")</f>
        <v>0</v>
      </c>
      <c r="G54" s="108" t="str">
        <f ca="1">IFERROR(INDIRECT(CONCATENATE("Track1!i",A47+8)),"")</f>
        <v/>
      </c>
      <c r="H54" s="66"/>
      <c r="I54" s="66">
        <f ca="1">IFERROR(INDIRECT(CONCATENATE("Track1!k",A47+8)),"")</f>
        <v>7</v>
      </c>
      <c r="J54" s="66">
        <f ca="1">IFERROR(INDIRECT(CONCATENATE("Track1!l",A47+8)),"")</f>
        <v>0</v>
      </c>
      <c r="K54" s="85" t="str">
        <f ca="1">IFERROR(INDIRECT(CONCATENATE("Track1!m",A47+8)),"")</f>
        <v/>
      </c>
      <c r="L54" s="85" t="str">
        <f ca="1">IFERROR(INDIRECT(CONCATENATE("Track1!n",A47+8)),"")</f>
        <v/>
      </c>
      <c r="M54" s="96">
        <f ca="1">IFERROR(INDIRECT(CONCATENATE("Track1!w",A47+8)),"")</f>
        <v>0</v>
      </c>
      <c r="N54" s="108" t="str">
        <f ca="1">IFERROR(INDIRECT(CONCATENATE("Track1!p",A47+8)),"")</f>
        <v/>
      </c>
      <c r="T54" s="64" t="str">
        <f t="shared" ca="1" si="0"/>
        <v/>
      </c>
      <c r="U54" s="64" t="str">
        <f t="shared" ca="1" si="1"/>
        <v/>
      </c>
      <c r="V54" s="266" t="str">
        <f ca="1">IF(OR(D54=0,D54="",D54="Athlete"),"",COUNTIF($D$4:$D54,D54))</f>
        <v/>
      </c>
      <c r="W54" s="266" t="str">
        <f t="shared" ca="1" si="2"/>
        <v/>
      </c>
      <c r="Z54" s="266" t="str">
        <f t="shared" ca="1" si="3"/>
        <v/>
      </c>
    </row>
    <row r="55" spans="1:26" x14ac:dyDescent="0.35">
      <c r="B55" s="66">
        <f ca="1">IFERROR(INDIRECT(CONCATENATE("Track1!D",A47+9)),"")</f>
        <v>8</v>
      </c>
      <c r="C55" s="66">
        <f ca="1">IFERROR(INDIRECT(CONCATENATE("Track1!e",A47+9)),"")</f>
        <v>0</v>
      </c>
      <c r="D55" s="85" t="str">
        <f ca="1">IFERROR(INDIRECT(CONCATENATE("Track1!f",A47+9)),"")</f>
        <v/>
      </c>
      <c r="E55" s="85" t="str">
        <f ca="1">IFERROR(INDIRECT(CONCATENATE("Track1!g",A47+9)),"")</f>
        <v/>
      </c>
      <c r="F55" s="96">
        <f ca="1">IFERROR(INDIRECT(CONCATENATE("Track1!v",A47+9)),"")</f>
        <v>0</v>
      </c>
      <c r="G55" s="108" t="str">
        <f ca="1">IFERROR(INDIRECT(CONCATENATE("Track1!i",A47+9)),"")</f>
        <v/>
      </c>
      <c r="H55" s="66"/>
      <c r="I55" s="66">
        <f ca="1">IFERROR(INDIRECT(CONCATENATE("Track1!k",A47+9)),"")</f>
        <v>8</v>
      </c>
      <c r="J55" s="66">
        <f ca="1">IFERROR(INDIRECT(CONCATENATE("Track1!l",A47+9)),"")</f>
        <v>0</v>
      </c>
      <c r="K55" s="85" t="str">
        <f ca="1">IFERROR(INDIRECT(CONCATENATE("Track1!m",A47+9)),"")</f>
        <v/>
      </c>
      <c r="L55" s="85" t="str">
        <f ca="1">IFERROR(INDIRECT(CONCATENATE("Track1!n",A47+9)),"")</f>
        <v/>
      </c>
      <c r="M55" s="96">
        <f ca="1">IFERROR(INDIRECT(CONCATENATE("Track1!w",A47+9)),"")</f>
        <v>0</v>
      </c>
      <c r="N55" s="108" t="str">
        <f ca="1">IFERROR(INDIRECT(CONCATENATE("Track1!p",A47+9)),"")</f>
        <v/>
      </c>
      <c r="T55" s="64" t="str">
        <f t="shared" ca="1" si="0"/>
        <v/>
      </c>
      <c r="U55" s="64" t="str">
        <f t="shared" ca="1" si="1"/>
        <v/>
      </c>
      <c r="V55" s="266" t="str">
        <f ca="1">IF(OR(D55=0,D55="",D55="Athlete"),"",COUNTIF($D$4:$D55,D55))</f>
        <v/>
      </c>
      <c r="W55" s="266" t="str">
        <f t="shared" ca="1" si="2"/>
        <v/>
      </c>
      <c r="Z55" s="266" t="str">
        <f t="shared" ca="1" si="3"/>
        <v/>
      </c>
    </row>
    <row r="56" spans="1:26" x14ac:dyDescent="0.35">
      <c r="F56" s="97"/>
      <c r="M56" s="97"/>
      <c r="T56" s="64" t="str">
        <f t="shared" si="0"/>
        <v/>
      </c>
      <c r="U56" s="64" t="str">
        <f t="shared" si="1"/>
        <v/>
      </c>
      <c r="V56" s="266" t="str">
        <f>IF(OR(D56=0,D56="",D56="Athlete"),"",COUNTIF($D$4:$D56,D56))</f>
        <v/>
      </c>
      <c r="W56" s="266" t="str">
        <f t="shared" si="2"/>
        <v/>
      </c>
      <c r="Z56" s="266" t="str">
        <f t="shared" si="3"/>
        <v/>
      </c>
    </row>
    <row r="57" spans="1:26" x14ac:dyDescent="0.35">
      <c r="A57" s="66" t="s">
        <v>354</v>
      </c>
      <c r="B57" s="102" t="str">
        <f ca="1">IFERROR(INDIRECT(CONCATENATE("Track1!D",A58)),"")</f>
        <v>800m NS U15 Girls A</v>
      </c>
      <c r="F57" s="96">
        <f ca="1">IFERROR(INDIRECT(CONCATENATE("Track1!h",A58)),"")</f>
        <v>0</v>
      </c>
      <c r="G57" s="108" t="str">
        <f ca="1">IFERROR(INDIRECT(CONCATENATE("Track1!i",A58)),"")</f>
        <v/>
      </c>
      <c r="I57" s="102" t="str">
        <f ca="1">IFERROR(INDIRECT(CONCATENATE("Track1!k",A58)),"")</f>
        <v>800m NS U15 Girls B</v>
      </c>
      <c r="M57" s="97"/>
      <c r="T57" s="64" t="str">
        <f t="shared" si="0"/>
        <v/>
      </c>
      <c r="U57" s="64" t="str">
        <f t="shared" si="1"/>
        <v/>
      </c>
      <c r="V57" s="266" t="str">
        <f>IF(OR(D57=0,D57="",D57="Athlete"),"",COUNTIF($D$4:$D57,D57))</f>
        <v/>
      </c>
      <c r="W57" s="266" t="str">
        <f t="shared" si="2"/>
        <v/>
      </c>
      <c r="Z57" s="266" t="str">
        <f t="shared" ca="1" si="3"/>
        <v/>
      </c>
    </row>
    <row r="58" spans="1:26" x14ac:dyDescent="0.35">
      <c r="A58" s="66">
        <f>IFERROR(MATCH(A57,Track1!C:C,0),"")</f>
        <v>266</v>
      </c>
      <c r="B58" s="45" t="str">
        <f ca="1">IFERROR(INDIRECT(CONCATENATE("Track1!D",A58+1)),"")</f>
        <v>Posn</v>
      </c>
      <c r="C58" s="45" t="str">
        <f ca="1">IFERROR(INDIRECT(CONCATENATE("Track1!e",A58+1)),"")</f>
        <v>No.</v>
      </c>
      <c r="D58" s="139" t="str">
        <f ca="1">IFERROR(INDIRECT(CONCATENATE("Track1!f",A58+1)),"")</f>
        <v>Athlete</v>
      </c>
      <c r="E58" s="139" t="str">
        <f ca="1">IFERROR(INDIRECT(CONCATENATE("Track1!g",A58+1)),"")</f>
        <v>Club</v>
      </c>
      <c r="F58" s="134" t="str">
        <f ca="1">IFERROR(INDIRECT(CONCATENATE("Track1!h",A58+1)),"")</f>
        <v>Perf</v>
      </c>
      <c r="G58" s="167" t="str">
        <f ca="1">IFERROR(INDIRECT(CONCATENATE("Track1!i",A58+1)),"")</f>
        <v>EA</v>
      </c>
      <c r="H58" s="45"/>
      <c r="I58" s="45" t="str">
        <f ca="1">IFERROR(INDIRECT(CONCATENATE("Track1!k",A58+1)),"")</f>
        <v>Posn</v>
      </c>
      <c r="J58" s="45" t="str">
        <f ca="1">IFERROR(INDIRECT(CONCATENATE("Track1!l",A58+1)),"")</f>
        <v>No.</v>
      </c>
      <c r="K58" s="139" t="str">
        <f ca="1">IFERROR(INDIRECT(CONCATENATE("Track1!m",A58+1)),"")</f>
        <v>Athlete</v>
      </c>
      <c r="L58" s="139" t="str">
        <f ca="1">IFERROR(INDIRECT(CONCATENATE("Track1!n",A58+1)),"")</f>
        <v>Club</v>
      </c>
      <c r="M58" s="134" t="str">
        <f ca="1">IFERROR(INDIRECT(CONCATENATE("Track1!o",A58+1)),"")</f>
        <v>Perf</v>
      </c>
      <c r="N58" s="167" t="str">
        <f ca="1">IFERROR(INDIRECT(CONCATENATE("Track1!p",A58+1)),"")</f>
        <v>EA</v>
      </c>
      <c r="T58" s="64" t="str">
        <f t="shared" ca="1" si="0"/>
        <v/>
      </c>
      <c r="U58" s="64" t="str">
        <f t="shared" ca="1" si="1"/>
        <v/>
      </c>
      <c r="V58" s="266" t="str">
        <f ca="1">IF(OR(D58=0,D58="",D58="Athlete"),"",COUNTIF($D$4:$D58,D58))</f>
        <v/>
      </c>
      <c r="W58" s="266" t="str">
        <f t="shared" ca="1" si="2"/>
        <v/>
      </c>
      <c r="Z58" s="266">
        <f t="shared" ca="1" si="3"/>
        <v>0</v>
      </c>
    </row>
    <row r="59" spans="1:26" x14ac:dyDescent="0.35">
      <c r="B59" s="66">
        <f ca="1">IFERROR(INDIRECT(CONCATENATE("Track1!D",A58+2)),"")</f>
        <v>1</v>
      </c>
      <c r="C59" s="66">
        <f ca="1">IFERROR(INDIRECT(CONCATENATE("Track1!e",A58+2)),"")</f>
        <v>7</v>
      </c>
      <c r="D59" s="85" t="str">
        <f ca="1">IFERROR(INDIRECT(CONCATENATE("Track1!f",A58+2)),"")</f>
        <v>Nour KHOLEIF</v>
      </c>
      <c r="E59" s="85" t="str">
        <f ca="1">IFERROR(INDIRECT(CONCATENATE("Track1!g",A58+2)),"")</f>
        <v>Wigan</v>
      </c>
      <c r="F59" s="96">
        <f ca="1">IFERROR(INDIRECT(CONCATENATE("Track1!v",A58+2)),"")</f>
        <v>1.8252314814814813E-3</v>
      </c>
      <c r="G59" s="108">
        <f ca="1">IFERROR(INDIRECT(CONCATENATE("Track1!i",A58+2)),"")</f>
        <v>3</v>
      </c>
      <c r="H59" s="66"/>
      <c r="I59" s="66">
        <f ca="1">IFERROR(INDIRECT(CONCATENATE("Track1!k",A58+2)),"")</f>
        <v>1</v>
      </c>
      <c r="J59" s="66">
        <f ca="1">IFERROR(INDIRECT(CONCATENATE("Track1!l",A58+2)),"")</f>
        <v>0</v>
      </c>
      <c r="K59" s="85" t="str">
        <f ca="1">IFERROR(INDIRECT(CONCATENATE("Track1!m",A58+2)),"")</f>
        <v/>
      </c>
      <c r="L59" s="85" t="str">
        <f ca="1">IFERROR(INDIRECT(CONCATENATE("Track1!n",A58+2)),"")</f>
        <v/>
      </c>
      <c r="M59" s="96">
        <f ca="1">IFERROR(INDIRECT(CONCATENATE("Track1!w",A58+2)),"")</f>
        <v>0</v>
      </c>
      <c r="N59" s="108" t="str">
        <f ca="1">IFERROR(INDIRECT(CONCATENATE("Track1!p",A58+2)),"")</f>
        <v/>
      </c>
      <c r="R59" s="168">
        <f ca="1">IFERROR(INDIRECT(CONCATENATE("Track1!r",A58+2)),"")</f>
        <v>0</v>
      </c>
      <c r="T59" s="64">
        <f t="shared" ca="1" si="0"/>
        <v>2</v>
      </c>
      <c r="U59" s="64" t="str">
        <f t="shared" ca="1" si="1"/>
        <v/>
      </c>
      <c r="V59" s="266">
        <f ca="1">IF(OR(D59=0,D59="",D59="Athlete"),"",COUNTIF($D$4:$D59,D59))</f>
        <v>1</v>
      </c>
      <c r="W59" s="266" t="str">
        <f t="shared" ca="1" si="2"/>
        <v>Wigan</v>
      </c>
      <c r="Z59" s="266">
        <f t="shared" ca="1" si="3"/>
        <v>0</v>
      </c>
    </row>
    <row r="60" spans="1:26" x14ac:dyDescent="0.35">
      <c r="B60" s="66">
        <f ca="1">IFERROR(INDIRECT(CONCATENATE("Track1!D",A58+3)),"")</f>
        <v>2</v>
      </c>
      <c r="C60" s="66">
        <f ca="1">IFERROR(INDIRECT(CONCATENATE("Track1!e",A58+3)),"")</f>
        <v>0</v>
      </c>
      <c r="D60" s="85" t="str">
        <f ca="1">IFERROR(INDIRECT(CONCATENATE("Track1!f",A58+3)),"")</f>
        <v/>
      </c>
      <c r="E60" s="85" t="str">
        <f ca="1">IFERROR(INDIRECT(CONCATENATE("Track1!g",A58+3)),"")</f>
        <v/>
      </c>
      <c r="F60" s="96">
        <f ca="1">IFERROR(INDIRECT(CONCATENATE("Track1!v",A58+3)),"")</f>
        <v>0</v>
      </c>
      <c r="G60" s="108" t="str">
        <f ca="1">IFERROR(INDIRECT(CONCATENATE("Track1!i",A58+3)),"")</f>
        <v/>
      </c>
      <c r="H60" s="66"/>
      <c r="I60" s="66">
        <f ca="1">IFERROR(INDIRECT(CONCATENATE("Track1!k",A58+3)),"")</f>
        <v>2</v>
      </c>
      <c r="J60" s="66">
        <f ca="1">IFERROR(INDIRECT(CONCATENATE("Track1!l",A58+3)),"")</f>
        <v>0</v>
      </c>
      <c r="K60" s="85" t="str">
        <f ca="1">IFERROR(INDIRECT(CONCATENATE("Track1!m",A58+3)),"")</f>
        <v/>
      </c>
      <c r="L60" s="85" t="str">
        <f ca="1">IFERROR(INDIRECT(CONCATENATE("Track1!n",A58+3)),"")</f>
        <v/>
      </c>
      <c r="M60" s="96">
        <f ca="1">IFERROR(INDIRECT(CONCATENATE("Track1!w",A58+3)),"")</f>
        <v>0</v>
      </c>
      <c r="N60" s="108" t="str">
        <f ca="1">IFERROR(INDIRECT(CONCATENATE("Track1!p",A58+3)),"")</f>
        <v/>
      </c>
      <c r="T60" s="64" t="str">
        <f t="shared" ca="1" si="0"/>
        <v/>
      </c>
      <c r="U60" s="64" t="str">
        <f t="shared" ca="1" si="1"/>
        <v/>
      </c>
      <c r="V60" s="266" t="str">
        <f ca="1">IF(OR(D60=0,D60="",D60="Athlete"),"",COUNTIF($D$4:$D60,D60))</f>
        <v/>
      </c>
      <c r="W60" s="266" t="str">
        <f t="shared" ca="1" si="2"/>
        <v/>
      </c>
      <c r="Z60" s="266" t="str">
        <f t="shared" ca="1" si="3"/>
        <v/>
      </c>
    </row>
    <row r="61" spans="1:26" x14ac:dyDescent="0.35">
      <c r="B61" s="66">
        <f ca="1">IFERROR(INDIRECT(CONCATENATE("Track1!D",A58+4)),"")</f>
        <v>3</v>
      </c>
      <c r="C61" s="66">
        <f ca="1">IFERROR(INDIRECT(CONCATENATE("Track1!e",A58+4)),"")</f>
        <v>0</v>
      </c>
      <c r="D61" s="85" t="str">
        <f ca="1">IFERROR(INDIRECT(CONCATENATE("Track1!f",A58+4)),"")</f>
        <v/>
      </c>
      <c r="E61" s="85" t="str">
        <f ca="1">IFERROR(INDIRECT(CONCATENATE("Track1!g",A58+4)),"")</f>
        <v/>
      </c>
      <c r="F61" s="96">
        <f ca="1">IFERROR(INDIRECT(CONCATENATE("Track1!v",A58+4)),"")</f>
        <v>0</v>
      </c>
      <c r="G61" s="108" t="str">
        <f ca="1">IFERROR(INDIRECT(CONCATENATE("Track1!i",A58+4)),"")</f>
        <v/>
      </c>
      <c r="H61" s="66"/>
      <c r="I61" s="66">
        <f ca="1">IFERROR(INDIRECT(CONCATENATE("Track1!k",A58+4)),"")</f>
        <v>3</v>
      </c>
      <c r="J61" s="66">
        <f ca="1">IFERROR(INDIRECT(CONCATENATE("Track1!l",A58+4)),"")</f>
        <v>0</v>
      </c>
      <c r="K61" s="85" t="str">
        <f ca="1">IFERROR(INDIRECT(CONCATENATE("Track1!m",A58+4)),"")</f>
        <v/>
      </c>
      <c r="L61" s="85" t="str">
        <f ca="1">IFERROR(INDIRECT(CONCATENATE("Track1!n",A58+4)),"")</f>
        <v/>
      </c>
      <c r="M61" s="96">
        <f ca="1">IFERROR(INDIRECT(CONCATENATE("Track1!w",A58+4)),"")</f>
        <v>0</v>
      </c>
      <c r="N61" s="108" t="str">
        <f ca="1">IFERROR(INDIRECT(CONCATENATE("Track1!p",A58+4)),"")</f>
        <v/>
      </c>
      <c r="T61" s="64" t="str">
        <f t="shared" ca="1" si="0"/>
        <v/>
      </c>
      <c r="U61" s="64" t="str">
        <f t="shared" ca="1" si="1"/>
        <v/>
      </c>
      <c r="V61" s="266" t="str">
        <f ca="1">IF(OR(D61=0,D61="",D61="Athlete"),"",COUNTIF($D$4:$D61,D61))</f>
        <v/>
      </c>
      <c r="W61" s="266" t="str">
        <f t="shared" ca="1" si="2"/>
        <v/>
      </c>
      <c r="Z61" s="266" t="str">
        <f t="shared" ca="1" si="3"/>
        <v/>
      </c>
    </row>
    <row r="62" spans="1:26" x14ac:dyDescent="0.35">
      <c r="B62" s="66">
        <f ca="1">IFERROR(INDIRECT(CONCATENATE("Track1!D",A58+5)),"")</f>
        <v>4</v>
      </c>
      <c r="C62" s="66">
        <f ca="1">IFERROR(INDIRECT(CONCATENATE("Track1!e",A58+5)),"")</f>
        <v>0</v>
      </c>
      <c r="D62" s="85" t="str">
        <f ca="1">IFERROR(INDIRECT(CONCATENATE("Track1!f",A58+5)),"")</f>
        <v/>
      </c>
      <c r="E62" s="85" t="str">
        <f ca="1">IFERROR(INDIRECT(CONCATENATE("Track1!g",A58+5)),"")</f>
        <v/>
      </c>
      <c r="F62" s="96">
        <f ca="1">IFERROR(INDIRECT(CONCATENATE("Track1!v",A58+5)),"")</f>
        <v>0</v>
      </c>
      <c r="G62" s="108" t="str">
        <f ca="1">IFERROR(INDIRECT(CONCATENATE("Track1!i",A58+5)),"")</f>
        <v/>
      </c>
      <c r="H62" s="66"/>
      <c r="I62" s="66">
        <f ca="1">IFERROR(INDIRECT(CONCATENATE("Track1!k",A58+5)),"")</f>
        <v>4</v>
      </c>
      <c r="J62" s="66">
        <f ca="1">IFERROR(INDIRECT(CONCATENATE("Track1!l",A58+5)),"")</f>
        <v>0</v>
      </c>
      <c r="K62" s="85" t="str">
        <f ca="1">IFERROR(INDIRECT(CONCATENATE("Track1!m",A58+5)),"")</f>
        <v/>
      </c>
      <c r="L62" s="85" t="str">
        <f ca="1">IFERROR(INDIRECT(CONCATENATE("Track1!n",A58+5)),"")</f>
        <v/>
      </c>
      <c r="M62" s="96">
        <f ca="1">IFERROR(INDIRECT(CONCATENATE("Track1!w",A58+5)),"")</f>
        <v>0</v>
      </c>
      <c r="N62" s="108" t="str">
        <f ca="1">IFERROR(INDIRECT(CONCATENATE("Track1!p",A58+5)),"")</f>
        <v/>
      </c>
      <c r="T62" s="64" t="str">
        <f t="shared" ca="1" si="0"/>
        <v/>
      </c>
      <c r="U62" s="64" t="str">
        <f t="shared" ca="1" si="1"/>
        <v/>
      </c>
      <c r="V62" s="266" t="str">
        <f ca="1">IF(OR(D62=0,D62="",D62="Athlete"),"",COUNTIF($D$4:$D62,D62))</f>
        <v/>
      </c>
      <c r="W62" s="266" t="str">
        <f t="shared" ca="1" si="2"/>
        <v/>
      </c>
      <c r="Z62" s="266" t="str">
        <f t="shared" ca="1" si="3"/>
        <v/>
      </c>
    </row>
    <row r="63" spans="1:26" x14ac:dyDescent="0.35">
      <c r="B63" s="66">
        <f ca="1">IFERROR(INDIRECT(CONCATENATE("Track1!D",A58+6)),"")</f>
        <v>5</v>
      </c>
      <c r="C63" s="66">
        <f ca="1">IFERROR(INDIRECT(CONCATENATE("Track1!e",A58+6)),"")</f>
        <v>0</v>
      </c>
      <c r="D63" s="85" t="str">
        <f ca="1">IFERROR(INDIRECT(CONCATENATE("Track1!f",A58+6)),"")</f>
        <v/>
      </c>
      <c r="E63" s="85" t="str">
        <f ca="1">IFERROR(INDIRECT(CONCATENATE("Track1!g",A58+6)),"")</f>
        <v/>
      </c>
      <c r="F63" s="96">
        <f ca="1">IFERROR(INDIRECT(CONCATENATE("Track1!v",A58+6)),"")</f>
        <v>0</v>
      </c>
      <c r="G63" s="108" t="str">
        <f ca="1">IFERROR(INDIRECT(CONCATENATE("Track1!i",A58+6)),"")</f>
        <v/>
      </c>
      <c r="H63" s="66"/>
      <c r="I63" s="66">
        <f ca="1">IFERROR(INDIRECT(CONCATENATE("Track1!k",A58+6)),"")</f>
        <v>5</v>
      </c>
      <c r="J63" s="66">
        <f ca="1">IFERROR(INDIRECT(CONCATENATE("Track1!l",A58+6)),"")</f>
        <v>0</v>
      </c>
      <c r="K63" s="85" t="str">
        <f ca="1">IFERROR(INDIRECT(CONCATENATE("Track1!m",A58+6)),"")</f>
        <v/>
      </c>
      <c r="L63" s="85" t="str">
        <f ca="1">IFERROR(INDIRECT(CONCATENATE("Track1!n",A58+6)),"")</f>
        <v/>
      </c>
      <c r="M63" s="96">
        <f ca="1">IFERROR(INDIRECT(CONCATENATE("Track1!w",A58+6)),"")</f>
        <v>0</v>
      </c>
      <c r="N63" s="108" t="str">
        <f ca="1">IFERROR(INDIRECT(CONCATENATE("Track1!p",A58+6)),"")</f>
        <v/>
      </c>
      <c r="T63" s="64" t="str">
        <f t="shared" ca="1" si="0"/>
        <v/>
      </c>
      <c r="U63" s="64" t="str">
        <f t="shared" ca="1" si="1"/>
        <v/>
      </c>
      <c r="V63" s="266" t="str">
        <f ca="1">IF(OR(D63=0,D63="",D63="Athlete"),"",COUNTIF($D$4:$D63,D63))</f>
        <v/>
      </c>
      <c r="W63" s="266" t="str">
        <f t="shared" ca="1" si="2"/>
        <v/>
      </c>
      <c r="Z63" s="266" t="str">
        <f t="shared" ca="1" si="3"/>
        <v/>
      </c>
    </row>
    <row r="64" spans="1:26" x14ac:dyDescent="0.35">
      <c r="B64" s="66">
        <f ca="1">IFERROR(INDIRECT(CONCATENATE("Track1!D",A58+7)),"")</f>
        <v>6</v>
      </c>
      <c r="C64" s="66">
        <f ca="1">IFERROR(INDIRECT(CONCATENATE("Track1!e",A58+7)),"")</f>
        <v>0</v>
      </c>
      <c r="D64" s="85" t="str">
        <f ca="1">IFERROR(INDIRECT(CONCATENATE("Track1!f",A58+7)),"")</f>
        <v/>
      </c>
      <c r="E64" s="85" t="str">
        <f ca="1">IFERROR(INDIRECT(CONCATENATE("Track1!g",A58+7)),"")</f>
        <v/>
      </c>
      <c r="F64" s="96">
        <f ca="1">IFERROR(INDIRECT(CONCATENATE("Track1!v",A58+7)),"")</f>
        <v>0</v>
      </c>
      <c r="G64" s="108" t="str">
        <f ca="1">IFERROR(INDIRECT(CONCATENATE("Track1!i",A58+7)),"")</f>
        <v/>
      </c>
      <c r="H64" s="66"/>
      <c r="I64" s="66">
        <f ca="1">IFERROR(INDIRECT(CONCATENATE("Track1!k",A58+7)),"")</f>
        <v>6</v>
      </c>
      <c r="J64" s="66">
        <f ca="1">IFERROR(INDIRECT(CONCATENATE("Track1!l",A58+7)),"")</f>
        <v>0</v>
      </c>
      <c r="K64" s="85" t="str">
        <f ca="1">IFERROR(INDIRECT(CONCATENATE("Track1!m",A58+7)),"")</f>
        <v/>
      </c>
      <c r="L64" s="85" t="str">
        <f ca="1">IFERROR(INDIRECT(CONCATENATE("Track1!n",A58+7)),"")</f>
        <v/>
      </c>
      <c r="M64" s="96">
        <f ca="1">IFERROR(INDIRECT(CONCATENATE("Track1!w",A58+7)),"")</f>
        <v>0</v>
      </c>
      <c r="N64" s="108" t="str">
        <f ca="1">IFERROR(INDIRECT(CONCATENATE("Track1!p",A58+7)),"")</f>
        <v/>
      </c>
      <c r="T64" s="64" t="str">
        <f t="shared" ca="1" si="0"/>
        <v/>
      </c>
      <c r="U64" s="64" t="str">
        <f t="shared" ca="1" si="1"/>
        <v/>
      </c>
      <c r="V64" s="266" t="str">
        <f ca="1">IF(OR(D64=0,D64="",D64="Athlete"),"",COUNTIF($D$4:$D64,D64))</f>
        <v/>
      </c>
      <c r="W64" s="266" t="str">
        <f t="shared" ca="1" si="2"/>
        <v/>
      </c>
      <c r="Z64" s="266" t="str">
        <f t="shared" ca="1" si="3"/>
        <v/>
      </c>
    </row>
    <row r="65" spans="1:26" x14ac:dyDescent="0.35">
      <c r="B65" s="66">
        <f ca="1">IFERROR(INDIRECT(CONCATENATE("Track1!D",A58+8)),"")</f>
        <v>7</v>
      </c>
      <c r="C65" s="66">
        <f ca="1">IFERROR(INDIRECT(CONCATENATE("Track1!e",A58+8)),"")</f>
        <v>0</v>
      </c>
      <c r="D65" s="85" t="str">
        <f ca="1">IFERROR(INDIRECT(CONCATENATE("Track1!f",A58+8)),"")</f>
        <v/>
      </c>
      <c r="E65" s="85" t="str">
        <f ca="1">IFERROR(INDIRECT(CONCATENATE("Track1!g",A58+8)),"")</f>
        <v/>
      </c>
      <c r="F65" s="96">
        <f ca="1">IFERROR(INDIRECT(CONCATENATE("Track1!v",A58+8)),"")</f>
        <v>0</v>
      </c>
      <c r="G65" s="108" t="str">
        <f ca="1">IFERROR(INDIRECT(CONCATENATE("Track1!i",A58+8)),"")</f>
        <v/>
      </c>
      <c r="H65" s="66"/>
      <c r="I65" s="66">
        <f ca="1">IFERROR(INDIRECT(CONCATENATE("Track1!k",A58+8)),"")</f>
        <v>7</v>
      </c>
      <c r="J65" s="66">
        <f ca="1">IFERROR(INDIRECT(CONCATENATE("Track1!l",A58+8)),"")</f>
        <v>0</v>
      </c>
      <c r="K65" s="85" t="str">
        <f ca="1">IFERROR(INDIRECT(CONCATENATE("Track1!m",A58+8)),"")</f>
        <v/>
      </c>
      <c r="L65" s="85" t="str">
        <f ca="1">IFERROR(INDIRECT(CONCATENATE("Track1!n",A58+8)),"")</f>
        <v/>
      </c>
      <c r="M65" s="96">
        <f ca="1">IFERROR(INDIRECT(CONCATENATE("Track1!w",A58+8)),"")</f>
        <v>0</v>
      </c>
      <c r="N65" s="108" t="str">
        <f ca="1">IFERROR(INDIRECT(CONCATENATE("Track1!p",A58+8)),"")</f>
        <v/>
      </c>
      <c r="T65" s="64" t="str">
        <f t="shared" ca="1" si="0"/>
        <v/>
      </c>
      <c r="U65" s="64" t="str">
        <f t="shared" ca="1" si="1"/>
        <v/>
      </c>
      <c r="V65" s="266" t="str">
        <f ca="1">IF(OR(D65=0,D65="",D65="Athlete"),"",COUNTIF($D$4:$D65,D65))</f>
        <v/>
      </c>
      <c r="W65" s="266" t="str">
        <f t="shared" ca="1" si="2"/>
        <v/>
      </c>
      <c r="Z65" s="266" t="str">
        <f t="shared" ca="1" si="3"/>
        <v/>
      </c>
    </row>
    <row r="66" spans="1:26" x14ac:dyDescent="0.35">
      <c r="B66" s="66">
        <f ca="1">IFERROR(INDIRECT(CONCATENATE("Track1!D",A58+9)),"")</f>
        <v>8</v>
      </c>
      <c r="C66" s="66">
        <f ca="1">IFERROR(INDIRECT(CONCATENATE("Track1!e",A58+9)),"")</f>
        <v>0</v>
      </c>
      <c r="D66" s="85" t="str">
        <f ca="1">IFERROR(INDIRECT(CONCATENATE("Track1!f",A58+9)),"")</f>
        <v/>
      </c>
      <c r="E66" s="85" t="str">
        <f ca="1">IFERROR(INDIRECT(CONCATENATE("Track1!g",A58+9)),"")</f>
        <v/>
      </c>
      <c r="F66" s="96">
        <f ca="1">IFERROR(INDIRECT(CONCATENATE("Track1!v",A58+9)),"")</f>
        <v>0</v>
      </c>
      <c r="G66" s="108" t="str">
        <f ca="1">IFERROR(INDIRECT(CONCATENATE("Track1!i",A58+9)),"")</f>
        <v/>
      </c>
      <c r="H66" s="66"/>
      <c r="I66" s="66">
        <f ca="1">IFERROR(INDIRECT(CONCATENATE("Track1!k",A58+9)),"")</f>
        <v>8</v>
      </c>
      <c r="J66" s="66">
        <f ca="1">IFERROR(INDIRECT(CONCATENATE("Track1!l",A58+9)),"")</f>
        <v>0</v>
      </c>
      <c r="K66" s="85" t="str">
        <f ca="1">IFERROR(INDIRECT(CONCATENATE("Track1!m",A58+9)),"")</f>
        <v/>
      </c>
      <c r="L66" s="85" t="str">
        <f ca="1">IFERROR(INDIRECT(CONCATENATE("Track1!n",A58+9)),"")</f>
        <v/>
      </c>
      <c r="M66" s="96">
        <f ca="1">IFERROR(INDIRECT(CONCATENATE("Track1!w",A58+9)),"")</f>
        <v>0</v>
      </c>
      <c r="N66" s="108" t="str">
        <f ca="1">IFERROR(INDIRECT(CONCATENATE("Track1!p",A58+9)),"")</f>
        <v/>
      </c>
      <c r="T66" s="64" t="str">
        <f t="shared" ca="1" si="0"/>
        <v/>
      </c>
      <c r="U66" s="64" t="str">
        <f t="shared" ca="1" si="1"/>
        <v/>
      </c>
      <c r="V66" s="266" t="str">
        <f ca="1">IF(OR(D66=0,D66="",D66="Athlete"),"",COUNTIF($D$4:$D66,D66))</f>
        <v/>
      </c>
      <c r="W66" s="266" t="str">
        <f t="shared" ca="1" si="2"/>
        <v/>
      </c>
      <c r="Z66" s="266" t="str">
        <f t="shared" ca="1" si="3"/>
        <v/>
      </c>
    </row>
    <row r="67" spans="1:26" x14ac:dyDescent="0.35">
      <c r="F67" s="97"/>
      <c r="M67" s="97"/>
      <c r="T67" s="64" t="str">
        <f t="shared" si="0"/>
        <v/>
      </c>
      <c r="U67" s="64" t="str">
        <f t="shared" si="1"/>
        <v/>
      </c>
      <c r="V67" s="266" t="str">
        <f>IF(OR(D67=0,D67="",D67="Athlete"),"",COUNTIF($D$4:$D67,D67))</f>
        <v/>
      </c>
      <c r="W67" s="266" t="str">
        <f t="shared" si="2"/>
        <v/>
      </c>
      <c r="Z67" s="266" t="str">
        <f t="shared" si="3"/>
        <v/>
      </c>
    </row>
    <row r="68" spans="1:26" x14ac:dyDescent="0.35">
      <c r="A68" s="66" t="s">
        <v>258</v>
      </c>
      <c r="B68" s="102" t="str">
        <f ca="1">IFERROR(INDIRECT(CONCATENATE("Track2!D",A69)),"")</f>
        <v>1500m U15 Girls A</v>
      </c>
      <c r="F68" s="97"/>
      <c r="G68" s="108">
        <f ca="1">IFERROR(INDIRECT(CONCATENATE("Track2!i",A69)),"")</f>
        <v>0</v>
      </c>
      <c r="I68" s="102" t="str">
        <f ca="1">IFERROR(INDIRECT(CONCATENATE("Track2!k",A69)),"")</f>
        <v>1500m U15 Girls B</v>
      </c>
      <c r="M68" s="97"/>
      <c r="T68" s="64" t="str">
        <f t="shared" si="0"/>
        <v/>
      </c>
      <c r="U68" s="64" t="str">
        <f t="shared" si="1"/>
        <v/>
      </c>
      <c r="V68" s="266" t="str">
        <f>IF(OR(D68=0,D68="",D68="Athlete"),"",COUNTIF($D$4:$D68,D68))</f>
        <v/>
      </c>
      <c r="W68" s="266" t="str">
        <f t="shared" si="2"/>
        <v/>
      </c>
      <c r="Z68" s="266" t="str">
        <f t="shared" ca="1" si="3"/>
        <v/>
      </c>
    </row>
    <row r="69" spans="1:26" x14ac:dyDescent="0.35">
      <c r="A69" s="66">
        <f>IFERROR(MATCH(A68,Track2!C:C,0),"")</f>
        <v>24</v>
      </c>
      <c r="B69" s="45" t="str">
        <f ca="1">IFERROR(INDIRECT(CONCATENATE("Track2!D",A69+1)),"")</f>
        <v>Posn</v>
      </c>
      <c r="C69" s="45" t="str">
        <f ca="1">IFERROR(INDIRECT(CONCATENATE("Track2!e",A69+1)),"")</f>
        <v>No.</v>
      </c>
      <c r="D69" s="139" t="str">
        <f ca="1">IFERROR(INDIRECT(CONCATENATE("Track2!f",A69+1)),"")</f>
        <v>Athlete</v>
      </c>
      <c r="E69" s="139" t="str">
        <f ca="1">IFERROR(INDIRECT(CONCATENATE("Track2!g",A69+1)),"")</f>
        <v>Club</v>
      </c>
      <c r="F69" s="134" t="str">
        <f ca="1">IFERROR(INDIRECT(CONCATENATE("Track2!h",A69+1)),"")</f>
        <v>Perf</v>
      </c>
      <c r="G69" s="167" t="str">
        <f ca="1">IFERROR(INDIRECT(CONCATENATE("Track2!i",A69+1)),"")</f>
        <v>EA</v>
      </c>
      <c r="H69" s="45"/>
      <c r="I69" s="45" t="str">
        <f ca="1">IFERROR(INDIRECT(CONCATENATE("Track2!k",A69+1)),"")</f>
        <v>Posn</v>
      </c>
      <c r="J69" s="45" t="str">
        <f ca="1">IFERROR(INDIRECT(CONCATENATE("Track2!l",A69+1)),"")</f>
        <v>No.</v>
      </c>
      <c r="K69" s="139" t="str">
        <f ca="1">IFERROR(INDIRECT(CONCATENATE("Track2!m",A69+1)),"")</f>
        <v>Athlete</v>
      </c>
      <c r="L69" s="139" t="str">
        <f ca="1">IFERROR(INDIRECT(CONCATENATE("Track2!n",A69+1)),"")</f>
        <v>Club</v>
      </c>
      <c r="M69" s="134" t="str">
        <f ca="1">IFERROR(INDIRECT(CONCATENATE("Track2!o",A69+1)),"")</f>
        <v>Perf</v>
      </c>
      <c r="N69" s="167" t="str">
        <f ca="1">IFERROR(INDIRECT(CONCATENATE("Track2!p",A69+1)),"")</f>
        <v>EA</v>
      </c>
      <c r="T69" s="64" t="str">
        <f t="shared" ref="T69:T132" ca="1" si="4">IF(OR(D69=0,D69="",D69="Athlete"),"",COUNTIF($D$4:$D$352,D69))</f>
        <v/>
      </c>
      <c r="U69" s="64" t="str">
        <f t="shared" ref="U69:U132" ca="1" si="5">IF(OR(K69=0,K69="",K69="Athlete"),"",COUNTIF($D$4:$D$352,K69))</f>
        <v/>
      </c>
      <c r="V69" s="266" t="str">
        <f ca="1">IF(OR(D69=0,D69="",D69="Athlete"),"",COUNTIF($D$4:$D69,D69))</f>
        <v/>
      </c>
      <c r="W69" s="266" t="str">
        <f t="shared" ref="W69:W132" ca="1" si="6">IF(OR(D69=0,D69="",D69="Athlete"),"",E69)</f>
        <v/>
      </c>
      <c r="Z69" s="266">
        <f t="shared" ref="Z69:Z132" ca="1" si="7">IF(OR(G69=0,G69="",G69="Athlete"),"",H69)</f>
        <v>0</v>
      </c>
    </row>
    <row r="70" spans="1:26" x14ac:dyDescent="0.35">
      <c r="B70" s="66">
        <f ca="1">IFERROR(INDIRECT(CONCATENATE("Track2!D",A69+2)),"")</f>
        <v>1</v>
      </c>
      <c r="C70" s="66">
        <f ca="1">IFERROR(INDIRECT(CONCATENATE("Track2!e",A69+2)),"")</f>
        <v>3</v>
      </c>
      <c r="D70" s="85" t="str">
        <f ca="1">IFERROR(INDIRECT(CONCATENATE("Track2!f",A69+2)),"")</f>
        <v>Jessica HODGKINSON</v>
      </c>
      <c r="E70" s="85" t="str">
        <f ca="1">IFERROR(INDIRECT(CONCATENATE("Track2!g",A69+2)),"")</f>
        <v>Leigh</v>
      </c>
      <c r="F70" s="96">
        <f ca="1">IFERROR(INDIRECT(CONCATENATE("Track2!h",A69+2)),"")</f>
        <v>3.4664351851851852E-3</v>
      </c>
      <c r="G70" s="108">
        <f ca="1">IFERROR(INDIRECT(CONCATENATE("Track2!i",A69+2)),"")</f>
        <v>8</v>
      </c>
      <c r="H70" s="66"/>
      <c r="I70" s="66">
        <f ca="1">IFERROR(INDIRECT(CONCATENATE("Track2!k",A69+2)),"")</f>
        <v>1</v>
      </c>
      <c r="J70" s="66">
        <f ca="1">IFERROR(INDIRECT(CONCATENATE("Track2!l",A69+2)),"")</f>
        <v>7</v>
      </c>
      <c r="K70" s="85" t="str">
        <f ca="1">IFERROR(INDIRECT(CONCATENATE("Track2!m",A69+2)),"")</f>
        <v>Lucy ORRELL</v>
      </c>
      <c r="L70" s="85" t="str">
        <f ca="1">IFERROR(INDIRECT(CONCATENATE("Track2!n",A69+2)),"")</f>
        <v>Wigan</v>
      </c>
      <c r="M70" s="96">
        <f ca="1">IFERROR(INDIRECT(CONCATENATE("Track2!o",A69+2)),"")</f>
        <v>3.9699074074074072E-3</v>
      </c>
      <c r="N70" s="108">
        <f ca="1">IFERROR(INDIRECT(CONCATENATE("Track2!p",A69+2)),"")</f>
        <v>2</v>
      </c>
      <c r="R70" s="168">
        <f ca="1">IFERROR(INDIRECT(CONCATENATE("Track2!r",A69+2)),"")</f>
        <v>10</v>
      </c>
      <c r="T70" s="64">
        <f t="shared" ca="1" si="4"/>
        <v>2</v>
      </c>
      <c r="U70" s="64">
        <f t="shared" ca="1" si="5"/>
        <v>1</v>
      </c>
      <c r="V70" s="266">
        <f ca="1">IF(OR(D70=0,D70="",D70="Athlete"),"",COUNTIF($D$4:$D70,D70))</f>
        <v>1</v>
      </c>
      <c r="W70" s="266" t="str">
        <f t="shared" ca="1" si="6"/>
        <v>Leigh</v>
      </c>
      <c r="Z70" s="266">
        <f t="shared" ca="1" si="7"/>
        <v>0</v>
      </c>
    </row>
    <row r="71" spans="1:26" x14ac:dyDescent="0.35">
      <c r="B71" s="66">
        <f ca="1">IFERROR(INDIRECT(CONCATENATE("Track2!D",A69+3)),"")</f>
        <v>2</v>
      </c>
      <c r="C71" s="66">
        <f ca="1">IFERROR(INDIRECT(CONCATENATE("Track2!e",A69+3)),"")</f>
        <v>6</v>
      </c>
      <c r="D71" s="85" t="str">
        <f ca="1">IFERROR(INDIRECT(CONCATENATE("Track2!f",A69+3)),"")</f>
        <v>Charlotte UNDERWOOD</v>
      </c>
      <c r="E71" s="85" t="str">
        <f ca="1">IFERROR(INDIRECT(CONCATENATE("Track2!g",A69+3)),"")</f>
        <v>Stock</v>
      </c>
      <c r="F71" s="96">
        <f ca="1">IFERROR(INDIRECT(CONCATENATE("Track2!h",A69+3)),"")</f>
        <v>3.7604166666666662E-3</v>
      </c>
      <c r="G71" s="108">
        <f ca="1">IFERROR(INDIRECT(CONCATENATE("Track2!i",A69+3)),"")</f>
        <v>4</v>
      </c>
      <c r="H71" s="66"/>
      <c r="I71" s="66">
        <f ca="1">IFERROR(INDIRECT(CONCATENATE("Track2!k",A69+3)),"")</f>
        <v>2</v>
      </c>
      <c r="J71" s="66">
        <f ca="1">IFERROR(INDIRECT(CONCATENATE("Track2!l",A69+3)),"")</f>
        <v>66</v>
      </c>
      <c r="K71" s="85" t="str">
        <f ca="1">IFERROR(INDIRECT(CONCATENATE("Track2!m",A69+3)),"")</f>
        <v>Poppy BRANCH</v>
      </c>
      <c r="L71" s="85" t="str">
        <f ca="1">IFERROR(INDIRECT(CONCATENATE("Track2!n",A69+3)),"")</f>
        <v>Stock</v>
      </c>
      <c r="M71" s="96">
        <f ca="1">IFERROR(INDIRECT(CONCATENATE("Track2!o",A69+3)),"")</f>
        <v>3.9837962962962969E-3</v>
      </c>
      <c r="N71" s="108">
        <f ca="1">IFERROR(INDIRECT(CONCATENATE("Track2!p",A69+3)),"")</f>
        <v>2</v>
      </c>
      <c r="T71" s="64">
        <f t="shared" ca="1" si="4"/>
        <v>2</v>
      </c>
      <c r="U71" s="64">
        <f t="shared" ca="1" si="5"/>
        <v>1</v>
      </c>
      <c r="V71" s="266">
        <f ca="1">IF(OR(D71=0,D71="",D71="Athlete"),"",COUNTIF($D$4:$D71,D71))</f>
        <v>1</v>
      </c>
      <c r="W71" s="266" t="str">
        <f t="shared" ca="1" si="6"/>
        <v>Stock</v>
      </c>
      <c r="Z71" s="266">
        <f t="shared" ca="1" si="7"/>
        <v>0</v>
      </c>
    </row>
    <row r="72" spans="1:26" x14ac:dyDescent="0.35">
      <c r="B72" s="66">
        <f ca="1">IFERROR(INDIRECT(CONCATENATE("Track2!D",A69+4)),"")</f>
        <v>3</v>
      </c>
      <c r="C72" s="66">
        <f ca="1">IFERROR(INDIRECT(CONCATENATE("Track2!e",A69+4)),"")</f>
        <v>77</v>
      </c>
      <c r="D72" s="85" t="str">
        <f ca="1">IFERROR(INDIRECT(CONCATENATE("Track2!f",A69+4)),"")</f>
        <v>Holly NICHOLLS</v>
      </c>
      <c r="E72" s="85" t="str">
        <f ca="1">IFERROR(INDIRECT(CONCATENATE("Track2!g",A69+4)),"")</f>
        <v>Wigan</v>
      </c>
      <c r="F72" s="96">
        <f ca="1">IFERROR(INDIRECT(CONCATENATE("Track2!h",A69+4)),"")</f>
        <v>3.9004629629629628E-3</v>
      </c>
      <c r="G72" s="108">
        <f ca="1">IFERROR(INDIRECT(CONCATENATE("Track2!i",A69+4)),"")</f>
        <v>3</v>
      </c>
      <c r="H72" s="66"/>
      <c r="I72" s="66">
        <f ca="1">IFERROR(INDIRECT(CONCATENATE("Track2!k",A69+4)),"")</f>
        <v>3</v>
      </c>
      <c r="J72" s="66">
        <f ca="1">IFERROR(INDIRECT(CONCATENATE("Track2!l",A69+4)),"")</f>
        <v>22</v>
      </c>
      <c r="K72" s="85" t="str">
        <f ca="1">IFERROR(INDIRECT(CONCATENATE("Track2!m",A69+4)),"")</f>
        <v>Sophia GUSH</v>
      </c>
      <c r="L72" s="85" t="str">
        <f ca="1">IFERROR(INDIRECT(CONCATENATE("Track2!n",A69+4)),"")</f>
        <v>ECHT</v>
      </c>
      <c r="M72" s="96">
        <f ca="1">IFERROR(INDIRECT(CONCATENATE("Track2!o",A69+4)),"")</f>
        <v>4.2835648148148147E-3</v>
      </c>
      <c r="N72" s="108" t="str">
        <f ca="1">IFERROR(INDIRECT(CONCATENATE("Track2!p",A69+4)),"")</f>
        <v/>
      </c>
      <c r="T72" s="64">
        <f t="shared" ca="1" si="4"/>
        <v>1</v>
      </c>
      <c r="U72" s="64">
        <f t="shared" ca="1" si="5"/>
        <v>2</v>
      </c>
      <c r="V72" s="266">
        <f ca="1">IF(OR(D72=0,D72="",D72="Athlete"),"",COUNTIF($D$4:$D72,D72))</f>
        <v>1</v>
      </c>
      <c r="W72" s="266" t="str">
        <f t="shared" ca="1" si="6"/>
        <v>Wigan</v>
      </c>
      <c r="Z72" s="266">
        <f t="shared" ca="1" si="7"/>
        <v>0</v>
      </c>
    </row>
    <row r="73" spans="1:26" x14ac:dyDescent="0.35">
      <c r="B73" s="66">
        <f ca="1">IFERROR(INDIRECT(CONCATENATE("Track2!D",A69+5)),"")</f>
        <v>4</v>
      </c>
      <c r="C73" s="66">
        <f ca="1">IFERROR(INDIRECT(CONCATENATE("Track2!e",A69+5)),"")</f>
        <v>2</v>
      </c>
      <c r="D73" s="85" t="str">
        <f ca="1">IFERROR(INDIRECT(CONCATENATE("Track2!f",A69+5)),"")</f>
        <v>Ava ROYLE</v>
      </c>
      <c r="E73" s="85" t="str">
        <f ca="1">IFERROR(INDIRECT(CONCATENATE("Track2!g",A69+5)),"")</f>
        <v>ECHT</v>
      </c>
      <c r="F73" s="96">
        <f ca="1">IFERROR(INDIRECT(CONCATENATE("Track2!h",A69+5)),"")</f>
        <v>4.0879629629629625E-3</v>
      </c>
      <c r="G73" s="108" t="str">
        <f ca="1">IFERROR(INDIRECT(CONCATENATE("Track2!i",A69+5)),"")</f>
        <v/>
      </c>
      <c r="H73" s="66"/>
      <c r="I73" s="66">
        <f ca="1">IFERROR(INDIRECT(CONCATENATE("Track2!k",A69+5)),"")</f>
        <v>4</v>
      </c>
      <c r="J73" s="66" t="str">
        <f ca="1">IFERROR(INDIRECT(CONCATENATE("Track2!l",A69+5)),"")</f>
        <v/>
      </c>
      <c r="K73" s="85" t="str">
        <f ca="1">IFERROR(INDIRECT(CONCATENATE("Track2!m",A69+5)),"")</f>
        <v/>
      </c>
      <c r="L73" s="85" t="str">
        <f ca="1">IFERROR(INDIRECT(CONCATENATE("Track2!n",A69+5)),"")</f>
        <v/>
      </c>
      <c r="M73" s="96" t="str">
        <f ca="1">IFERROR(INDIRECT(CONCATENATE("Track2!o",A69+5)),"")</f>
        <v/>
      </c>
      <c r="N73" s="108" t="str">
        <f ca="1">IFERROR(INDIRECT(CONCATENATE("Track2!p",A69+5)),"")</f>
        <v/>
      </c>
      <c r="T73" s="64">
        <f t="shared" ca="1" si="4"/>
        <v>3</v>
      </c>
      <c r="U73" s="64" t="str">
        <f t="shared" ca="1" si="5"/>
        <v/>
      </c>
      <c r="V73" s="266">
        <f ca="1">IF(OR(D73=0,D73="",D73="Athlete"),"",COUNTIF($D$4:$D73,D73))</f>
        <v>1</v>
      </c>
      <c r="W73" s="266" t="str">
        <f t="shared" ca="1" si="6"/>
        <v>ECHT</v>
      </c>
      <c r="Z73" s="266" t="str">
        <f t="shared" ca="1" si="7"/>
        <v/>
      </c>
    </row>
    <row r="74" spans="1:26" x14ac:dyDescent="0.35">
      <c r="B74" s="66">
        <f ca="1">IFERROR(INDIRECT(CONCATENATE("Track2!D",A69+6)),"")</f>
        <v>5</v>
      </c>
      <c r="C74" s="66" t="str">
        <f ca="1">IFERROR(INDIRECT(CONCATENATE("Track2!e",A69+6)),"")</f>
        <v/>
      </c>
      <c r="D74" s="85" t="str">
        <f ca="1">IFERROR(INDIRECT(CONCATENATE("Track2!f",A69+6)),"")</f>
        <v/>
      </c>
      <c r="E74" s="85" t="str">
        <f ca="1">IFERROR(INDIRECT(CONCATENATE("Track2!g",A69+6)),"")</f>
        <v/>
      </c>
      <c r="F74" s="96" t="str">
        <f ca="1">IFERROR(INDIRECT(CONCATENATE("Track2!h",A69+6)),"")</f>
        <v/>
      </c>
      <c r="G74" s="108" t="str">
        <f ca="1">IFERROR(INDIRECT(CONCATENATE("Track2!i",A69+6)),"")</f>
        <v/>
      </c>
      <c r="H74" s="66"/>
      <c r="I74" s="66">
        <f ca="1">IFERROR(INDIRECT(CONCATENATE("Track2!k",A69+6)),"")</f>
        <v>5</v>
      </c>
      <c r="J74" s="66" t="str">
        <f ca="1">IFERROR(INDIRECT(CONCATENATE("Track2!l",A69+6)),"")</f>
        <v/>
      </c>
      <c r="K74" s="85" t="str">
        <f ca="1">IFERROR(INDIRECT(CONCATENATE("Track2!m",A69+6)),"")</f>
        <v/>
      </c>
      <c r="L74" s="85" t="str">
        <f ca="1">IFERROR(INDIRECT(CONCATENATE("Track2!n",A69+6)),"")</f>
        <v/>
      </c>
      <c r="M74" s="96" t="str">
        <f ca="1">IFERROR(INDIRECT(CONCATENATE("Track2!o",A69+6)),"")</f>
        <v/>
      </c>
      <c r="N74" s="108" t="str">
        <f ca="1">IFERROR(INDIRECT(CONCATENATE("Track2!p",A69+6)),"")</f>
        <v/>
      </c>
      <c r="T74" s="64" t="str">
        <f t="shared" ca="1" si="4"/>
        <v/>
      </c>
      <c r="U74" s="64" t="str">
        <f t="shared" ca="1" si="5"/>
        <v/>
      </c>
      <c r="V74" s="266" t="str">
        <f ca="1">IF(OR(D74=0,D74="",D74="Athlete"),"",COUNTIF($D$4:$D74,D74))</f>
        <v/>
      </c>
      <c r="W74" s="266" t="str">
        <f t="shared" ca="1" si="6"/>
        <v/>
      </c>
      <c r="Z74" s="266" t="str">
        <f t="shared" ca="1" si="7"/>
        <v/>
      </c>
    </row>
    <row r="75" spans="1:26" x14ac:dyDescent="0.35">
      <c r="B75" s="66">
        <f ca="1">IFERROR(INDIRECT(CONCATENATE("Track2!D",A69+7)),"")</f>
        <v>6</v>
      </c>
      <c r="C75" s="66" t="str">
        <f ca="1">IFERROR(INDIRECT(CONCATENATE("Track2!e",A69+7)),"")</f>
        <v/>
      </c>
      <c r="D75" s="85" t="str">
        <f ca="1">IFERROR(INDIRECT(CONCATENATE("Track2!f",A69+7)),"")</f>
        <v/>
      </c>
      <c r="E75" s="85" t="str">
        <f ca="1">IFERROR(INDIRECT(CONCATENATE("Track2!g",A69+7)),"")</f>
        <v/>
      </c>
      <c r="F75" s="96" t="str">
        <f ca="1">IFERROR(INDIRECT(CONCATENATE("Track2!h",A69+7)),"")</f>
        <v/>
      </c>
      <c r="G75" s="108" t="str">
        <f ca="1">IFERROR(INDIRECT(CONCATENATE("Track2!i",A69+7)),"")</f>
        <v/>
      </c>
      <c r="H75" s="66"/>
      <c r="I75" s="66">
        <f ca="1">IFERROR(INDIRECT(CONCATENATE("Track2!k",A69+7)),"")</f>
        <v>6</v>
      </c>
      <c r="J75" s="66" t="str">
        <f ca="1">IFERROR(INDIRECT(CONCATENATE("Track2!l",A69+7)),"")</f>
        <v/>
      </c>
      <c r="K75" s="85" t="str">
        <f ca="1">IFERROR(INDIRECT(CONCATENATE("Track2!m",A69+7)),"")</f>
        <v/>
      </c>
      <c r="L75" s="85" t="str">
        <f ca="1">IFERROR(INDIRECT(CONCATENATE("Track2!n",A69+7)),"")</f>
        <v/>
      </c>
      <c r="M75" s="96" t="str">
        <f ca="1">IFERROR(INDIRECT(CONCATENATE("Track2!o",A69+7)),"")</f>
        <v/>
      </c>
      <c r="N75" s="108" t="str">
        <f ca="1">IFERROR(INDIRECT(CONCATENATE("Track2!p",A69+7)),"")</f>
        <v/>
      </c>
      <c r="T75" s="64" t="str">
        <f t="shared" ca="1" si="4"/>
        <v/>
      </c>
      <c r="U75" s="64" t="str">
        <f t="shared" ca="1" si="5"/>
        <v/>
      </c>
      <c r="V75" s="266" t="str">
        <f ca="1">IF(OR(D75=0,D75="",D75="Athlete"),"",COUNTIF($D$4:$D75,D75))</f>
        <v/>
      </c>
      <c r="W75" s="266" t="str">
        <f t="shared" ca="1" si="6"/>
        <v/>
      </c>
      <c r="Z75" s="266" t="str">
        <f t="shared" ca="1" si="7"/>
        <v/>
      </c>
    </row>
    <row r="76" spans="1:26" x14ac:dyDescent="0.35">
      <c r="B76" s="66">
        <f ca="1">IFERROR(INDIRECT(CONCATENATE("Track2!D",A69+8)),"")</f>
        <v>7</v>
      </c>
      <c r="C76" s="66" t="str">
        <f ca="1">IFERROR(INDIRECT(CONCATENATE("Track2!e",A69+8)),"")</f>
        <v/>
      </c>
      <c r="D76" s="85" t="str">
        <f ca="1">IFERROR(INDIRECT(CONCATENATE("Track2!f",A69+8)),"")</f>
        <v/>
      </c>
      <c r="E76" s="85" t="str">
        <f ca="1">IFERROR(INDIRECT(CONCATENATE("Track2!g",A69+8)),"")</f>
        <v/>
      </c>
      <c r="F76" s="96" t="str">
        <f ca="1">IFERROR(INDIRECT(CONCATENATE("Track2!h",A69+8)),"")</f>
        <v/>
      </c>
      <c r="G76" s="108" t="str">
        <f ca="1">IFERROR(INDIRECT(CONCATENATE("Track2!i",A69+8)),"")</f>
        <v/>
      </c>
      <c r="H76" s="66"/>
      <c r="I76" s="66">
        <f ca="1">IFERROR(INDIRECT(CONCATENATE("Track2!k",A69+8)),"")</f>
        <v>7</v>
      </c>
      <c r="J76" s="66" t="str">
        <f ca="1">IFERROR(INDIRECT(CONCATENATE("Track2!l",A69+8)),"")</f>
        <v/>
      </c>
      <c r="K76" s="85" t="str">
        <f ca="1">IFERROR(INDIRECT(CONCATENATE("Track2!m",A69+8)),"")</f>
        <v/>
      </c>
      <c r="L76" s="85" t="str">
        <f ca="1">IFERROR(INDIRECT(CONCATENATE("Track2!n",A69+8)),"")</f>
        <v/>
      </c>
      <c r="M76" s="96" t="str">
        <f ca="1">IFERROR(INDIRECT(CONCATENATE("Track2!o",A69+8)),"")</f>
        <v/>
      </c>
      <c r="N76" s="108" t="str">
        <f ca="1">IFERROR(INDIRECT(CONCATENATE("Track2!p",A69+8)),"")</f>
        <v/>
      </c>
      <c r="T76" s="64" t="str">
        <f t="shared" ca="1" si="4"/>
        <v/>
      </c>
      <c r="U76" s="64" t="str">
        <f t="shared" ca="1" si="5"/>
        <v/>
      </c>
      <c r="V76" s="266" t="str">
        <f ca="1">IF(OR(D76=0,D76="",D76="Athlete"),"",COUNTIF($D$4:$D76,D76))</f>
        <v/>
      </c>
      <c r="W76" s="266" t="str">
        <f t="shared" ca="1" si="6"/>
        <v/>
      </c>
      <c r="Z76" s="266" t="str">
        <f t="shared" ca="1" si="7"/>
        <v/>
      </c>
    </row>
    <row r="77" spans="1:26" x14ac:dyDescent="0.35">
      <c r="B77" s="66">
        <f ca="1">IFERROR(INDIRECT(CONCATENATE("Track2!D",A69+9)),"")</f>
        <v>8</v>
      </c>
      <c r="C77" s="66" t="str">
        <f ca="1">IFERROR(INDIRECT(CONCATENATE("Track2!e",A69+9)),"")</f>
        <v/>
      </c>
      <c r="D77" s="85" t="str">
        <f ca="1">IFERROR(INDIRECT(CONCATENATE("Track2!f",A69+9)),"")</f>
        <v/>
      </c>
      <c r="E77" s="85" t="str">
        <f ca="1">IFERROR(INDIRECT(CONCATENATE("Track2!g",A69+9)),"")</f>
        <v/>
      </c>
      <c r="F77" s="96" t="str">
        <f ca="1">IFERROR(INDIRECT(CONCATENATE("Track2!h",A69+9)),"")</f>
        <v/>
      </c>
      <c r="G77" s="108" t="str">
        <f ca="1">IFERROR(INDIRECT(CONCATENATE("Track2!i",A69+9)),"")</f>
        <v/>
      </c>
      <c r="H77" s="66"/>
      <c r="I77" s="66">
        <f ca="1">IFERROR(INDIRECT(CONCATENATE("Track2!k",A69+9)),"")</f>
        <v>8</v>
      </c>
      <c r="J77" s="66" t="str">
        <f ca="1">IFERROR(INDIRECT(CONCATENATE("Track2!l",A69+9)),"")</f>
        <v/>
      </c>
      <c r="K77" s="85" t="str">
        <f ca="1">IFERROR(INDIRECT(CONCATENATE("Track2!m",A69+9)),"")</f>
        <v/>
      </c>
      <c r="L77" s="85" t="str">
        <f ca="1">IFERROR(INDIRECT(CONCATENATE("Track2!n",A69+9)),"")</f>
        <v/>
      </c>
      <c r="M77" s="96" t="str">
        <f ca="1">IFERROR(INDIRECT(CONCATENATE("Track2!o",A69+9)),"")</f>
        <v/>
      </c>
      <c r="N77" s="108" t="str">
        <f ca="1">IFERROR(INDIRECT(CONCATENATE("Track2!p",A69+9)),"")</f>
        <v/>
      </c>
      <c r="T77" s="64" t="str">
        <f t="shared" ca="1" si="4"/>
        <v/>
      </c>
      <c r="U77" s="64" t="str">
        <f t="shared" ca="1" si="5"/>
        <v/>
      </c>
      <c r="V77" s="266" t="str">
        <f ca="1">IF(OR(D77=0,D77="",D77="Athlete"),"",COUNTIF($D$4:$D77,D77))</f>
        <v/>
      </c>
      <c r="W77" s="266" t="str">
        <f t="shared" ca="1" si="6"/>
        <v/>
      </c>
      <c r="Z77" s="266" t="str">
        <f t="shared" ca="1" si="7"/>
        <v/>
      </c>
    </row>
    <row r="78" spans="1:26" x14ac:dyDescent="0.35">
      <c r="T78" s="64" t="str">
        <f t="shared" si="4"/>
        <v/>
      </c>
      <c r="U78" s="64" t="str">
        <f t="shared" si="5"/>
        <v/>
      </c>
      <c r="V78" s="266" t="str">
        <f>IF(OR(D78=0,D78="",D78="Athlete"),"",COUNTIF($D$4:$D78,D78))</f>
        <v/>
      </c>
      <c r="W78" s="266" t="str">
        <f t="shared" si="6"/>
        <v/>
      </c>
      <c r="Z78" s="266" t="str">
        <f t="shared" si="7"/>
        <v/>
      </c>
    </row>
    <row r="79" spans="1:26" x14ac:dyDescent="0.35">
      <c r="A79" s="66" t="s">
        <v>34</v>
      </c>
      <c r="B79" s="102" t="str">
        <f ca="1">IFERROR(INDIRECT(CONCATENATE("Track1!D",A80)),"")</f>
        <v>75m Hurdles U15 Girls A</v>
      </c>
      <c r="E79" s="85" t="s">
        <v>206</v>
      </c>
      <c r="F79" s="195">
        <f ca="1">IFERROR(INDIRECT(CONCATENATE("Track1!h",A80)),"")</f>
        <v>0</v>
      </c>
      <c r="G79" s="108" t="str">
        <f ca="1">IFERROR(INDIRECT(CONCATENATE("Track1!i",A80)),"")</f>
        <v/>
      </c>
      <c r="I79" s="102" t="str">
        <f ca="1">IFERROR(INDIRECT(CONCATENATE("Track1!k",A80)),"")</f>
        <v>75m Hurdles U15 Girls B</v>
      </c>
      <c r="L79" s="85" t="s">
        <v>206</v>
      </c>
      <c r="M79" s="195">
        <f ca="1">IFERROR(INDIRECT(CONCATENATE("Track1!o",A80)),"")</f>
        <v>0</v>
      </c>
      <c r="T79" s="64" t="str">
        <f t="shared" si="4"/>
        <v/>
      </c>
      <c r="U79" s="64" t="str">
        <f t="shared" si="5"/>
        <v/>
      </c>
      <c r="V79" s="266" t="str">
        <f>IF(OR(D79=0,D79="",D79="Athlete"),"",COUNTIF($D$4:$D79,D79))</f>
        <v/>
      </c>
      <c r="W79" s="266" t="str">
        <f t="shared" si="6"/>
        <v/>
      </c>
      <c r="Z79" s="266" t="str">
        <f t="shared" ca="1" si="7"/>
        <v/>
      </c>
    </row>
    <row r="80" spans="1:26" x14ac:dyDescent="0.35">
      <c r="A80" s="66">
        <f>IFERROR(MATCH(A79,Track1!C:C,0),"")</f>
        <v>24</v>
      </c>
      <c r="B80" s="45" t="str">
        <f ca="1">IFERROR(INDIRECT(CONCATENATE("Track1!D",A80+1)),"")</f>
        <v>Posn</v>
      </c>
      <c r="C80" s="45" t="str">
        <f ca="1">IFERROR(INDIRECT(CONCATENATE("Track1!e",A80+1)),"")</f>
        <v>No.</v>
      </c>
      <c r="D80" s="139" t="str">
        <f ca="1">IFERROR(INDIRECT(CONCATENATE("Track1!f",A80+1)),"")</f>
        <v>Athlete</v>
      </c>
      <c r="E80" s="139" t="str">
        <f ca="1">IFERROR(INDIRECT(CONCATENATE("Track1!g",A80+1)),"")</f>
        <v>Club</v>
      </c>
      <c r="F80" s="133" t="str">
        <f ca="1">IFERROR(INDIRECT(CONCATENATE("Track1!h",A80+1)),"")</f>
        <v>Perf</v>
      </c>
      <c r="G80" s="167" t="str">
        <f ca="1">IFERROR(INDIRECT(CONCATENATE("Track1!i",A80+1)),"")</f>
        <v>EA</v>
      </c>
      <c r="H80" s="45"/>
      <c r="I80" s="45" t="str">
        <f ca="1">IFERROR(INDIRECT(CONCATENATE("Track1!k",A80+1)),"")</f>
        <v>Posn</v>
      </c>
      <c r="J80" s="45" t="str">
        <f ca="1">IFERROR(INDIRECT(CONCATENATE("Track1!l",A80+1)),"")</f>
        <v>No.</v>
      </c>
      <c r="K80" s="139" t="str">
        <f ca="1">IFERROR(INDIRECT(CONCATENATE("Track1!m",A80+1)),"")</f>
        <v>Athlete</v>
      </c>
      <c r="L80" s="139" t="str">
        <f ca="1">IFERROR(INDIRECT(CONCATENATE("Track1!n",A80+1)),"")</f>
        <v>Club</v>
      </c>
      <c r="M80" s="133" t="str">
        <f ca="1">IFERROR(INDIRECT(CONCATENATE("Track1!o",A80+1)),"")</f>
        <v>Perf</v>
      </c>
      <c r="N80" s="167" t="str">
        <f ca="1">IFERROR(INDIRECT(CONCATENATE("Track1!p",A80+1)),"")</f>
        <v>EA</v>
      </c>
      <c r="T80" s="64" t="str">
        <f t="shared" ca="1" si="4"/>
        <v/>
      </c>
      <c r="U80" s="64" t="str">
        <f t="shared" ca="1" si="5"/>
        <v/>
      </c>
      <c r="V80" s="266" t="str">
        <f ca="1">IF(OR(D80=0,D80="",D80="Athlete"),"",COUNTIF($D$4:$D80,D80))</f>
        <v/>
      </c>
      <c r="W80" s="266" t="str">
        <f t="shared" ca="1" si="6"/>
        <v/>
      </c>
      <c r="Z80" s="266">
        <f t="shared" ca="1" si="7"/>
        <v>0</v>
      </c>
    </row>
    <row r="81" spans="1:26" x14ac:dyDescent="0.35">
      <c r="B81" s="66">
        <f ca="1">IFERROR(INDIRECT(CONCATENATE("Track1!D",A80+2)),"")</f>
        <v>1</v>
      </c>
      <c r="C81" s="66">
        <f ca="1">IFERROR(INDIRECT(CONCATENATE("Track1!e",A80+2)),"")</f>
        <v>6</v>
      </c>
      <c r="D81" s="85" t="str">
        <f ca="1">IFERROR(INDIRECT(CONCATENATE("Track1!f",A80+2)),"")</f>
        <v>Molly MILLS</v>
      </c>
      <c r="E81" s="85" t="str">
        <f ca="1">IFERROR(INDIRECT(CONCATENATE("Track1!g",A80+2)),"")</f>
        <v>Stock</v>
      </c>
      <c r="F81" s="395">
        <f ca="1">IFERROR(INDIRECT(CONCATENATE("Track1!h",A80+2)),"")</f>
        <v>11.6</v>
      </c>
      <c r="G81" s="108">
        <f ca="1">IFERROR(INDIRECT(CONCATENATE("Track1!i",A80+2)),"")</f>
        <v>9</v>
      </c>
      <c r="H81" s="66"/>
      <c r="I81" s="66">
        <f ca="1">IFERROR(INDIRECT(CONCATENATE("Track1!k",A80+2)),"")</f>
        <v>1</v>
      </c>
      <c r="J81" s="66">
        <f ca="1">IFERROR(INDIRECT(CONCATENATE("Track1!l",A80+2)),"")</f>
        <v>11</v>
      </c>
      <c r="K81" s="85" t="str">
        <f ca="1">IFERROR(INDIRECT(CONCATENATE("Track1!m",A80+2)),"")</f>
        <v>Mia O'DONNELL</v>
      </c>
      <c r="L81" s="85" t="str">
        <f ca="1">IFERROR(INDIRECT(CONCATENATE("Track1!n",A80+2)),"")</f>
        <v>C&amp;N</v>
      </c>
      <c r="M81" s="395">
        <f ca="1">IFERROR(INDIRECT(CONCATENATE("Track1!o",A80+2)),"")</f>
        <v>13.7</v>
      </c>
      <c r="N81" s="108">
        <f ca="1">IFERROR(INDIRECT(CONCATENATE("Track1!p",A80+2)),"")</f>
        <v>2</v>
      </c>
      <c r="R81" s="168">
        <f ca="1">IFERROR(INDIRECT(CONCATENATE("Track1!r",A80+2)),"")</f>
        <v>10</v>
      </c>
      <c r="T81" s="64">
        <f t="shared" ca="1" si="4"/>
        <v>3</v>
      </c>
      <c r="U81" s="64">
        <f t="shared" ca="1" si="5"/>
        <v>2</v>
      </c>
      <c r="V81" s="266">
        <f ca="1">IF(OR(D81=0,D81="",D81="Athlete"),"",COUNTIF($D$4:$D81,D81))</f>
        <v>1</v>
      </c>
      <c r="W81" s="266" t="str">
        <f t="shared" ca="1" si="6"/>
        <v>Stock</v>
      </c>
      <c r="Z81" s="266">
        <f t="shared" ca="1" si="7"/>
        <v>0</v>
      </c>
    </row>
    <row r="82" spans="1:26" x14ac:dyDescent="0.35">
      <c r="B82" s="66">
        <f ca="1">IFERROR(INDIRECT(CONCATENATE("Track1!D",A80+3)),"")</f>
        <v>2</v>
      </c>
      <c r="C82" s="66">
        <f ca="1">IFERROR(INDIRECT(CONCATENATE("Track1!e",A80+3)),"")</f>
        <v>4</v>
      </c>
      <c r="D82" s="85" t="str">
        <f ca="1">IFERROR(INDIRECT(CONCATENATE("Track1!f",A80+3)),"")</f>
        <v>Elizabeth PENDRILL</v>
      </c>
      <c r="E82" s="85" t="str">
        <f ca="1">IFERROR(INDIRECT(CONCATENATE("Track1!g",A80+3)),"")</f>
        <v>Macc</v>
      </c>
      <c r="F82" s="395">
        <f ca="1">IFERROR(INDIRECT(CONCATENATE("Track1!h",A80+3)),"")</f>
        <v>12.5</v>
      </c>
      <c r="G82" s="108">
        <f ca="1">IFERROR(INDIRECT(CONCATENATE("Track1!i",A80+3)),"")</f>
        <v>6</v>
      </c>
      <c r="H82" s="66"/>
      <c r="I82" s="66">
        <f ca="1">IFERROR(INDIRECT(CONCATENATE("Track1!k",A80+3)),"")</f>
        <v>2</v>
      </c>
      <c r="J82" s="66">
        <f ca="1">IFERROR(INDIRECT(CONCATENATE("Track1!l",A80+3)),"")</f>
        <v>33</v>
      </c>
      <c r="K82" s="85" t="str">
        <f ca="1">IFERROR(INDIRECT(CONCATENATE("Track1!m",A80+3)),"")</f>
        <v>Olivia COPPER</v>
      </c>
      <c r="L82" s="85" t="str">
        <f ca="1">IFERROR(INDIRECT(CONCATENATE("Track1!n",A80+3)),"")</f>
        <v>Leigh</v>
      </c>
      <c r="M82" s="395">
        <f ca="1">IFERROR(INDIRECT(CONCATENATE("Track1!o",A80+3)),"")</f>
        <v>16.3</v>
      </c>
      <c r="N82" s="108" t="str">
        <f ca="1">IFERROR(INDIRECT(CONCATENATE("Track1!p",A80+3)),"")</f>
        <v/>
      </c>
      <c r="T82" s="64">
        <f t="shared" ca="1" si="4"/>
        <v>3</v>
      </c>
      <c r="U82" s="64">
        <f t="shared" ca="1" si="5"/>
        <v>3</v>
      </c>
      <c r="V82" s="266">
        <f ca="1">IF(OR(D82=0,D82="",D82="Athlete"),"",COUNTIF($D$4:$D82,D82))</f>
        <v>2</v>
      </c>
      <c r="W82" s="266" t="str">
        <f t="shared" ca="1" si="6"/>
        <v>Macc</v>
      </c>
      <c r="Z82" s="266">
        <f t="shared" ca="1" si="7"/>
        <v>0</v>
      </c>
    </row>
    <row r="83" spans="1:26" x14ac:dyDescent="0.35">
      <c r="B83" s="66">
        <f ca="1">IFERROR(INDIRECT(CONCATENATE("Track1!D",A80+4)),"")</f>
        <v>3</v>
      </c>
      <c r="C83" s="66">
        <f ca="1">IFERROR(INDIRECT(CONCATENATE("Track1!e",A80+4)),"")</f>
        <v>2</v>
      </c>
      <c r="D83" s="85" t="str">
        <f ca="1">IFERROR(INDIRECT(CONCATENATE("Track1!f",A80+4)),"")</f>
        <v>Amelia JONES</v>
      </c>
      <c r="E83" s="85" t="str">
        <f ca="1">IFERROR(INDIRECT(CONCATENATE("Track1!g",A80+4)),"")</f>
        <v>ECHT</v>
      </c>
      <c r="F83" s="395">
        <f ca="1">IFERROR(INDIRECT(CONCATENATE("Track1!h",A80+4)),"")</f>
        <v>12.6</v>
      </c>
      <c r="G83" s="108">
        <f ca="1">IFERROR(INDIRECT(CONCATENATE("Track1!i",A80+4)),"")</f>
        <v>6</v>
      </c>
      <c r="H83" s="66"/>
      <c r="I83" s="66">
        <f ca="1">IFERROR(INDIRECT(CONCATENATE("Track1!k",A80+4)),"")</f>
        <v>3</v>
      </c>
      <c r="J83" s="66">
        <f ca="1">IFERROR(INDIRECT(CONCATENATE("Track1!l",A80+4)),"")</f>
        <v>44</v>
      </c>
      <c r="K83" s="85" t="str">
        <f ca="1">IFERROR(INDIRECT(CONCATENATE("Track1!m",A80+4)),"")</f>
        <v>Tanvi KUTTY</v>
      </c>
      <c r="L83" s="85" t="str">
        <f ca="1">IFERROR(INDIRECT(CONCATENATE("Track1!n",A80+4)),"")</f>
        <v>Macc</v>
      </c>
      <c r="M83" s="395">
        <f ca="1">IFERROR(INDIRECT(CONCATENATE("Track1!o",A80+4)),"")</f>
        <v>16.899999999999999</v>
      </c>
      <c r="N83" s="108" t="str">
        <f ca="1">IFERROR(INDIRECT(CONCATENATE("Track1!p",A80+4)),"")</f>
        <v/>
      </c>
      <c r="T83" s="64">
        <f t="shared" ca="1" si="4"/>
        <v>3</v>
      </c>
      <c r="U83" s="64">
        <f t="shared" ca="1" si="5"/>
        <v>2</v>
      </c>
      <c r="V83" s="266">
        <f ca="1">IF(OR(D83=0,D83="",D83="Athlete"),"",COUNTIF($D$4:$D83,D83))</f>
        <v>3</v>
      </c>
      <c r="W83" s="266" t="str">
        <f t="shared" ca="1" si="6"/>
        <v>ECHT</v>
      </c>
      <c r="Z83" s="266">
        <f t="shared" ca="1" si="7"/>
        <v>0</v>
      </c>
    </row>
    <row r="84" spans="1:26" x14ac:dyDescent="0.35">
      <c r="B84" s="66">
        <f ca="1">IFERROR(INDIRECT(CONCATENATE("Track1!D",A80+5)),"")</f>
        <v>4</v>
      </c>
      <c r="C84" s="66">
        <f ca="1">IFERROR(INDIRECT(CONCATENATE("Track1!e",A80+5)),"")</f>
        <v>7</v>
      </c>
      <c r="D84" s="85" t="str">
        <f ca="1">IFERROR(INDIRECT(CONCATENATE("Track1!f",A80+5)),"")</f>
        <v>Lauren HEWITT</v>
      </c>
      <c r="E84" s="85" t="str">
        <f ca="1">IFERROR(INDIRECT(CONCATENATE("Track1!g",A80+5)),"")</f>
        <v>Wigan</v>
      </c>
      <c r="F84" s="395">
        <f ca="1">IFERROR(INDIRECT(CONCATENATE("Track1!h",A80+5)),"")</f>
        <v>13.1</v>
      </c>
      <c r="G84" s="108">
        <f ca="1">IFERROR(INDIRECT(CONCATENATE("Track1!i",A80+5)),"")</f>
        <v>4</v>
      </c>
      <c r="H84" s="66"/>
      <c r="I84" s="66">
        <f ca="1">IFERROR(INDIRECT(CONCATENATE("Track1!k",A80+5)),"")</f>
        <v>4</v>
      </c>
      <c r="J84" s="66">
        <f ca="1">IFERROR(INDIRECT(CONCATENATE("Track1!l",A80+5)),"")</f>
        <v>0</v>
      </c>
      <c r="K84" s="85" t="str">
        <f ca="1">IFERROR(INDIRECT(CONCATENATE("Track1!m",A80+5)),"")</f>
        <v/>
      </c>
      <c r="L84" s="85" t="str">
        <f ca="1">IFERROR(INDIRECT(CONCATENATE("Track1!n",A80+5)),"")</f>
        <v/>
      </c>
      <c r="M84" s="395">
        <f ca="1">IFERROR(INDIRECT(CONCATENATE("Track1!o",A80+5)),"")</f>
        <v>0</v>
      </c>
      <c r="N84" s="108" t="str">
        <f ca="1">IFERROR(INDIRECT(CONCATENATE("Track1!p",A80+5)),"")</f>
        <v/>
      </c>
      <c r="T84" s="64">
        <f t="shared" ca="1" si="4"/>
        <v>3</v>
      </c>
      <c r="U84" s="64" t="str">
        <f t="shared" ca="1" si="5"/>
        <v/>
      </c>
      <c r="V84" s="266">
        <f ca="1">IF(OR(D84=0,D84="",D84="Athlete"),"",COUNTIF($D$4:$D84,D84))</f>
        <v>1</v>
      </c>
      <c r="W84" s="266" t="str">
        <f t="shared" ca="1" si="6"/>
        <v>Wigan</v>
      </c>
      <c r="Z84" s="266">
        <f t="shared" ca="1" si="7"/>
        <v>0</v>
      </c>
    </row>
    <row r="85" spans="1:26" x14ac:dyDescent="0.35">
      <c r="B85" s="66">
        <f ca="1">IFERROR(INDIRECT(CONCATENATE("Track1!D",A80+6)),"")</f>
        <v>5</v>
      </c>
      <c r="C85" s="66">
        <f ca="1">IFERROR(INDIRECT(CONCATENATE("Track1!e",A80+6)),"")</f>
        <v>1</v>
      </c>
      <c r="D85" s="85" t="str">
        <f ca="1">IFERROR(INDIRECT(CONCATENATE("Track1!f",A80+6)),"")</f>
        <v>Bella VARLEY</v>
      </c>
      <c r="E85" s="85" t="str">
        <f ca="1">IFERROR(INDIRECT(CONCATENATE("Track1!g",A80+6)),"")</f>
        <v>C&amp;N</v>
      </c>
      <c r="F85" s="395">
        <f ca="1">IFERROR(INDIRECT(CONCATENATE("Track1!h",A80+6)),"")</f>
        <v>13.3</v>
      </c>
      <c r="G85" s="108">
        <f ca="1">IFERROR(INDIRECT(CONCATENATE("Track1!i",A80+6)),"")</f>
        <v>3</v>
      </c>
      <c r="H85" s="66"/>
      <c r="I85" s="66">
        <f ca="1">IFERROR(INDIRECT(CONCATENATE("Track1!k",A80+6)),"")</f>
        <v>5</v>
      </c>
      <c r="J85" s="66">
        <f ca="1">IFERROR(INDIRECT(CONCATENATE("Track1!l",A80+6)),"")</f>
        <v>0</v>
      </c>
      <c r="K85" s="85" t="str">
        <f ca="1">IFERROR(INDIRECT(CONCATENATE("Track1!m",A80+6)),"")</f>
        <v/>
      </c>
      <c r="L85" s="85" t="str">
        <f ca="1">IFERROR(INDIRECT(CONCATENATE("Track1!n",A80+6)),"")</f>
        <v/>
      </c>
      <c r="M85" s="395">
        <f ca="1">IFERROR(INDIRECT(CONCATENATE("Track1!o",A80+6)),"")</f>
        <v>0</v>
      </c>
      <c r="N85" s="108" t="str">
        <f ca="1">IFERROR(INDIRECT(CONCATENATE("Track1!p",A80+6)),"")</f>
        <v/>
      </c>
      <c r="T85" s="64">
        <f t="shared" ca="1" si="4"/>
        <v>3</v>
      </c>
      <c r="U85" s="64" t="str">
        <f t="shared" ca="1" si="5"/>
        <v/>
      </c>
      <c r="V85" s="266">
        <f ca="1">IF(OR(D85=0,D85="",D85="Athlete"),"",COUNTIF($D$4:$D85,D85))</f>
        <v>1</v>
      </c>
      <c r="W85" s="266" t="str">
        <f t="shared" ca="1" si="6"/>
        <v>C&amp;N</v>
      </c>
      <c r="Z85" s="266">
        <f t="shared" ca="1" si="7"/>
        <v>0</v>
      </c>
    </row>
    <row r="86" spans="1:26" x14ac:dyDescent="0.35">
      <c r="B86" s="66">
        <f ca="1">IFERROR(INDIRECT(CONCATENATE("Track1!D",A80+7)),"")</f>
        <v>6</v>
      </c>
      <c r="C86" s="66">
        <f ca="1">IFERROR(INDIRECT(CONCATENATE("Track1!e",A80+7)),"")</f>
        <v>3</v>
      </c>
      <c r="D86" s="85" t="str">
        <f ca="1">IFERROR(INDIRECT(CONCATENATE("Track1!f",A80+7)),"")</f>
        <v>Jessica HODGKINSON</v>
      </c>
      <c r="E86" s="85" t="str">
        <f ca="1">IFERROR(INDIRECT(CONCATENATE("Track1!g",A80+7)),"")</f>
        <v>Leigh</v>
      </c>
      <c r="F86" s="395">
        <f ca="1">IFERROR(INDIRECT(CONCATENATE("Track1!h",A80+7)),"")</f>
        <v>13.9</v>
      </c>
      <c r="G86" s="108">
        <f ca="1">IFERROR(INDIRECT(CONCATENATE("Track1!i",A80+7)),"")</f>
        <v>2</v>
      </c>
      <c r="H86" s="66"/>
      <c r="I86" s="66">
        <f ca="1">IFERROR(INDIRECT(CONCATENATE("Track1!k",A80+7)),"")</f>
        <v>6</v>
      </c>
      <c r="J86" s="66">
        <f ca="1">IFERROR(INDIRECT(CONCATENATE("Track1!l",A80+7)),"")</f>
        <v>0</v>
      </c>
      <c r="K86" s="85" t="str">
        <f ca="1">IFERROR(INDIRECT(CONCATENATE("Track1!m",A80+7)),"")</f>
        <v/>
      </c>
      <c r="L86" s="85" t="str">
        <f ca="1">IFERROR(INDIRECT(CONCATENATE("Track1!n",A80+7)),"")</f>
        <v/>
      </c>
      <c r="M86" s="395">
        <f ca="1">IFERROR(INDIRECT(CONCATENATE("Track1!o",A80+7)),"")</f>
        <v>0</v>
      </c>
      <c r="N86" s="108" t="str">
        <f ca="1">IFERROR(INDIRECT(CONCATENATE("Track1!p",A80+7)),"")</f>
        <v/>
      </c>
      <c r="T86" s="64">
        <f t="shared" ca="1" si="4"/>
        <v>2</v>
      </c>
      <c r="U86" s="64" t="str">
        <f t="shared" ca="1" si="5"/>
        <v/>
      </c>
      <c r="V86" s="266">
        <f ca="1">IF(OR(D86=0,D86="",D86="Athlete"),"",COUNTIF($D$4:$D86,D86))</f>
        <v>2</v>
      </c>
      <c r="W86" s="266" t="str">
        <f t="shared" ca="1" si="6"/>
        <v>Leigh</v>
      </c>
      <c r="Z86" s="266">
        <f t="shared" ca="1" si="7"/>
        <v>0</v>
      </c>
    </row>
    <row r="87" spans="1:26" x14ac:dyDescent="0.35">
      <c r="B87" s="66">
        <f ca="1">IFERROR(INDIRECT(CONCATENATE("Track1!D",A80+8)),"")</f>
        <v>7</v>
      </c>
      <c r="C87" s="66">
        <f ca="1">IFERROR(INDIRECT(CONCATENATE("Track1!e",A80+8)),"")</f>
        <v>5</v>
      </c>
      <c r="D87" s="85" t="str">
        <f ca="1">IFERROR(INDIRECT(CONCATENATE("Track1!f",A80+8)),"")</f>
        <v>Nest OWEN</v>
      </c>
      <c r="E87" s="85" t="str">
        <f ca="1">IFERROR(INDIRECT(CONCATENATE("Track1!g",A80+8)),"")</f>
        <v>Menai</v>
      </c>
      <c r="F87" s="395">
        <f ca="1">IFERROR(INDIRECT(CONCATENATE("Track1!h",A80+8)),"")</f>
        <v>17.100000000000001</v>
      </c>
      <c r="G87" s="108" t="str">
        <f ca="1">IFERROR(INDIRECT(CONCATENATE("Track1!i",A80+8)),"")</f>
        <v/>
      </c>
      <c r="H87" s="66"/>
      <c r="I87" s="66">
        <f ca="1">IFERROR(INDIRECT(CONCATENATE("Track1!k",A80+8)),"")</f>
        <v>7</v>
      </c>
      <c r="J87" s="66">
        <f ca="1">IFERROR(INDIRECT(CONCATENATE("Track1!l",A80+8)),"")</f>
        <v>0</v>
      </c>
      <c r="K87" s="85" t="str">
        <f ca="1">IFERROR(INDIRECT(CONCATENATE("Track1!m",A80+8)),"")</f>
        <v/>
      </c>
      <c r="L87" s="85" t="str">
        <f ca="1">IFERROR(INDIRECT(CONCATENATE("Track1!n",A80+8)),"")</f>
        <v/>
      </c>
      <c r="M87" s="395">
        <f ca="1">IFERROR(INDIRECT(CONCATENATE("Track1!o",A80+8)),"")</f>
        <v>0</v>
      </c>
      <c r="N87" s="108" t="str">
        <f ca="1">IFERROR(INDIRECT(CONCATENATE("Track1!p",A80+8)),"")</f>
        <v/>
      </c>
      <c r="T87" s="64">
        <f t="shared" ca="1" si="4"/>
        <v>2</v>
      </c>
      <c r="U87" s="64" t="str">
        <f t="shared" ca="1" si="5"/>
        <v/>
      </c>
      <c r="V87" s="266">
        <f ca="1">IF(OR(D87=0,D87="",D87="Athlete"),"",COUNTIF($D$4:$D87,D87))</f>
        <v>1</v>
      </c>
      <c r="W87" s="266" t="str">
        <f t="shared" ca="1" si="6"/>
        <v>Menai</v>
      </c>
      <c r="Z87" s="266" t="str">
        <f t="shared" ca="1" si="7"/>
        <v/>
      </c>
    </row>
    <row r="88" spans="1:26" x14ac:dyDescent="0.35">
      <c r="B88" s="66">
        <f ca="1">IFERROR(INDIRECT(CONCATENATE("Track1!D",A80+9)),"")</f>
        <v>8</v>
      </c>
      <c r="C88" s="66">
        <f ca="1">IFERROR(INDIRECT(CONCATENATE("Track1!e",A80+9)),"")</f>
        <v>0</v>
      </c>
      <c r="D88" s="85" t="str">
        <f ca="1">IFERROR(INDIRECT(CONCATENATE("Track1!f",A80+9)),"")</f>
        <v/>
      </c>
      <c r="E88" s="85" t="str">
        <f ca="1">IFERROR(INDIRECT(CONCATENATE("Track1!g",A80+9)),"")</f>
        <v/>
      </c>
      <c r="F88" s="395">
        <f ca="1">IFERROR(INDIRECT(CONCATENATE("Track1!h",A80+9)),"")</f>
        <v>0</v>
      </c>
      <c r="G88" s="108" t="str">
        <f ca="1">IFERROR(INDIRECT(CONCATENATE("Track1!i",A80+9)),"")</f>
        <v/>
      </c>
      <c r="H88" s="66"/>
      <c r="I88" s="66">
        <f ca="1">IFERROR(INDIRECT(CONCATENATE("Track1!k",A80+9)),"")</f>
        <v>8</v>
      </c>
      <c r="J88" s="66">
        <f ca="1">IFERROR(INDIRECT(CONCATENATE("Track1!l",A80+9)),"")</f>
        <v>0</v>
      </c>
      <c r="K88" s="85" t="str">
        <f ca="1">IFERROR(INDIRECT(CONCATENATE("Track1!m",A80+9)),"")</f>
        <v/>
      </c>
      <c r="L88" s="85" t="str">
        <f ca="1">IFERROR(INDIRECT(CONCATENATE("Track1!n",A80+9)),"")</f>
        <v/>
      </c>
      <c r="M88" s="395">
        <f ca="1">IFERROR(INDIRECT(CONCATENATE("Track1!o",A80+9)),"")</f>
        <v>0</v>
      </c>
      <c r="N88" s="108" t="str">
        <f ca="1">IFERROR(INDIRECT(CONCATENATE("Track1!p",A80+9)),"")</f>
        <v/>
      </c>
      <c r="T88" s="64" t="str">
        <f t="shared" ca="1" si="4"/>
        <v/>
      </c>
      <c r="U88" s="64" t="str">
        <f t="shared" ca="1" si="5"/>
        <v/>
      </c>
      <c r="V88" s="266" t="str">
        <f ca="1">IF(OR(D88=0,D88="",D88="Athlete"),"",COUNTIF($D$4:$D88,D88))</f>
        <v/>
      </c>
      <c r="W88" s="266" t="str">
        <f t="shared" ca="1" si="6"/>
        <v/>
      </c>
      <c r="Z88" s="266" t="str">
        <f t="shared" ca="1" si="7"/>
        <v/>
      </c>
    </row>
    <row r="89" spans="1:26" x14ac:dyDescent="0.35">
      <c r="T89" s="64" t="str">
        <f t="shared" si="4"/>
        <v/>
      </c>
      <c r="U89" s="64" t="str">
        <f t="shared" si="5"/>
        <v/>
      </c>
      <c r="V89" s="266" t="str">
        <f>IF(OR(D89=0,D89="",D89="Athlete"),"",COUNTIF($D$4:$D89,D89))</f>
        <v/>
      </c>
      <c r="W89" s="266" t="str">
        <f t="shared" si="6"/>
        <v/>
      </c>
      <c r="Z89" s="266" t="str">
        <f t="shared" si="7"/>
        <v/>
      </c>
    </row>
    <row r="90" spans="1:26" x14ac:dyDescent="0.35">
      <c r="A90" s="255" t="s">
        <v>245</v>
      </c>
      <c r="B90" s="102" t="str">
        <f ca="1">IFERROR(INDIRECT(CONCATENATE("Field!D",A91)),"")</f>
        <v>Long Jump U15 Girls A</v>
      </c>
      <c r="F90" s="65"/>
      <c r="G90" s="256" t="str">
        <f ca="1">IFERROR(INDIRECT(CONCATENATE("Field!i",A91)),"")</f>
        <v/>
      </c>
      <c r="I90" s="102" t="str">
        <f ca="1">IFERROR(INDIRECT(CONCATENATE("Field!k",A91)),"")</f>
        <v>Long Jump U15 Girls B</v>
      </c>
      <c r="T90" s="64" t="str">
        <f t="shared" si="4"/>
        <v/>
      </c>
      <c r="U90" s="64" t="str">
        <f t="shared" si="5"/>
        <v/>
      </c>
      <c r="V90" s="266" t="str">
        <f>IF(OR(D90=0,D90="",D90="Athlete"),"",COUNTIF($D$4:$D90,D90))</f>
        <v/>
      </c>
      <c r="W90" s="266" t="str">
        <f t="shared" si="6"/>
        <v/>
      </c>
      <c r="Z90" s="266" t="str">
        <f t="shared" ca="1" si="7"/>
        <v/>
      </c>
    </row>
    <row r="91" spans="1:26" x14ac:dyDescent="0.35">
      <c r="A91" s="66">
        <f>IFERROR(MATCH(A90,Field!C:C,0),"")</f>
        <v>145</v>
      </c>
      <c r="B91" s="45" t="str">
        <f ca="1">IFERROR(INDIRECT(CONCATENATE("Field!D",A91+1)),"")</f>
        <v>Posn</v>
      </c>
      <c r="C91" s="45" t="str">
        <f ca="1">IFERROR(INDIRECT(CONCATENATE("Field!e",A91+1)),"")</f>
        <v>Bib</v>
      </c>
      <c r="D91" s="139" t="str">
        <f ca="1">IFERROR(INDIRECT(CONCATENATE("Field!f",A91+1)),"")</f>
        <v>Athlete</v>
      </c>
      <c r="E91" s="139" t="str">
        <f ca="1">IFERROR(INDIRECT(CONCATENATE("Field!g",A91+1)),"")</f>
        <v>Club</v>
      </c>
      <c r="F91" s="133" t="str">
        <f ca="1">IFERROR(INDIRECT(CONCATENATE("Field!h",A91+1)),"")</f>
        <v>Perf</v>
      </c>
      <c r="G91" s="167" t="str">
        <f ca="1">IFERROR(INDIRECT(CONCATENATE("Field!i",A91+1)),"")</f>
        <v>EA</v>
      </c>
      <c r="H91" s="45"/>
      <c r="I91" s="45" t="str">
        <f ca="1">IFERROR(INDIRECT(CONCATENATE("Field!k",A91+1)),"")</f>
        <v>Posn</v>
      </c>
      <c r="J91" s="45" t="str">
        <f ca="1">IFERROR(INDIRECT(CONCATENATE("Field!l",A91+1)),"")</f>
        <v>Bib</v>
      </c>
      <c r="K91" s="139" t="str">
        <f ca="1">IFERROR(INDIRECT(CONCATENATE("Field!m",A91+1)),"")</f>
        <v>Athlete</v>
      </c>
      <c r="L91" s="139" t="str">
        <f ca="1">IFERROR(INDIRECT(CONCATENATE("Field!n",A91+1)),"")</f>
        <v>Club</v>
      </c>
      <c r="M91" s="133" t="str">
        <f ca="1">IFERROR(INDIRECT(CONCATENATE("Field!o",A91+1)),"")</f>
        <v>Perf</v>
      </c>
      <c r="N91" s="167" t="str">
        <f ca="1">IFERROR(INDIRECT(CONCATENATE("Field!p",A91+1)),"")</f>
        <v>EA</v>
      </c>
      <c r="T91" s="64" t="str">
        <f t="shared" ca="1" si="4"/>
        <v/>
      </c>
      <c r="U91" s="64" t="str">
        <f t="shared" ca="1" si="5"/>
        <v/>
      </c>
      <c r="V91" s="266" t="str">
        <f ca="1">IF(OR(D91=0,D91="",D91="Athlete"),"",COUNTIF($D$4:$D91,D91))</f>
        <v/>
      </c>
      <c r="W91" s="266" t="str">
        <f t="shared" ca="1" si="6"/>
        <v/>
      </c>
      <c r="Z91" s="266">
        <f t="shared" ca="1" si="7"/>
        <v>0</v>
      </c>
    </row>
    <row r="92" spans="1:26" x14ac:dyDescent="0.35">
      <c r="A92" s="66" t="str">
        <f>"_"&amp;A90</f>
        <v>_LFW02</v>
      </c>
      <c r="B92" s="66">
        <f ca="1">IFERROR(INDIRECT(CONCATENATE("Field!D",A91+2)),"")</f>
        <v>1</v>
      </c>
      <c r="C92" s="66">
        <f ca="1">IFERROR(INDIRECT(CONCATENATE("Field!e",A91+2)),"")</f>
        <v>6</v>
      </c>
      <c r="D92" s="85" t="str">
        <f ca="1">IFERROR(INDIRECT(CONCATENATE("Field!f",A91+2)),"")</f>
        <v>Molly MILLS</v>
      </c>
      <c r="E92" s="85" t="str">
        <f ca="1">IFERROR(INDIRECT(CONCATENATE("Field!g",A91+2)),"")</f>
        <v>Stock</v>
      </c>
      <c r="F92" s="356" t="str">
        <f ca="1">IFERROR(TEXT(INDIRECT(CONCATENATE("Field!h",A91+2)),"#.#0")&amp;" "&amp;VLOOKUP(C92,INDIRECT($A92),5,FALSE),"")</f>
        <v xml:space="preserve">4.73 </v>
      </c>
      <c r="G92" s="108">
        <f ca="1">IFERROR(INDIRECT(CONCATENATE("Field!i",A91+2)),"")</f>
        <v>6</v>
      </c>
      <c r="H92" s="66"/>
      <c r="I92" s="66">
        <f ca="1">IFERROR(INDIRECT(CONCATENATE("Field!k",A91+2)),"")</f>
        <v>1</v>
      </c>
      <c r="J92" s="66">
        <f ca="1">IFERROR(INDIRECT(CONCATENATE("Field!l",A91+2)),"")</f>
        <v>66</v>
      </c>
      <c r="K92" s="85" t="str">
        <f ca="1">IFERROR(INDIRECT(CONCATENATE("Field!m",A91+2)),"")</f>
        <v/>
      </c>
      <c r="L92" s="85" t="str">
        <f ca="1">IFERROR(INDIRECT(CONCATENATE("Field!n",A91+2)),"")</f>
        <v>Stock</v>
      </c>
      <c r="M92" s="356" t="str">
        <f ca="1">IFERROR(TEXT(INDIRECT(CONCATENATE("Field!o",A91+2)),"#.#0")&amp;" "&amp;VLOOKUP(J92,INDIRECT($A92),5,FALSE),"")</f>
        <v xml:space="preserve">4.21 </v>
      </c>
      <c r="N92" s="108">
        <f ca="1">IFERROR(INDIRECT(CONCATENATE("Field!p",A91+2)),"")</f>
        <v>4</v>
      </c>
      <c r="R92" s="168">
        <f ca="1">IFERROR(INDIRECT(CONCATENATE("Field!r",A91+2)),"")</f>
        <v>10</v>
      </c>
      <c r="T92" s="64">
        <f t="shared" ca="1" si="4"/>
        <v>3</v>
      </c>
      <c r="U92" s="64" t="str">
        <f t="shared" ca="1" si="5"/>
        <v/>
      </c>
      <c r="V92" s="266">
        <f ca="1">IF(OR(D92=0,D92="",D92="Athlete"),"",COUNTIF($D$4:$D92,D92))</f>
        <v>2</v>
      </c>
      <c r="W92" s="266" t="str">
        <f t="shared" ca="1" si="6"/>
        <v>Stock</v>
      </c>
      <c r="Z92" s="266">
        <f t="shared" ca="1" si="7"/>
        <v>0</v>
      </c>
    </row>
    <row r="93" spans="1:26" x14ac:dyDescent="0.35">
      <c r="B93" s="66">
        <f ca="1">IFERROR(INDIRECT(CONCATENATE("Field!D",A91+3)),"")</f>
        <v>2</v>
      </c>
      <c r="C93" s="66">
        <f ca="1">IFERROR(INDIRECT(CONCATENATE("Field!e",A91+3)),"")</f>
        <v>77</v>
      </c>
      <c r="D93" s="85" t="str">
        <f ca="1">IFERROR(INDIRECT(CONCATENATE("Field!f",A91+3)),"")</f>
        <v>Emma PIMBLETT</v>
      </c>
      <c r="E93" s="85" t="str">
        <f ca="1">IFERROR(INDIRECT(CONCATENATE("Field!g",A91+3)),"")</f>
        <v>Wigan</v>
      </c>
      <c r="F93" s="356" t="str">
        <f ca="1">IFERROR(TEXT(INDIRECT(CONCATENATE("Field!h",A91+3)),"#.#0")&amp;" "&amp;VLOOKUP(C93,INDIRECT($A92),5,FALSE),"")</f>
        <v xml:space="preserve">4.53 </v>
      </c>
      <c r="G93" s="108">
        <f ca="1">IFERROR(INDIRECT(CONCATENATE("Field!i",A91+3)),"")</f>
        <v>6</v>
      </c>
      <c r="H93" s="66"/>
      <c r="I93" s="66">
        <f ca="1">IFERROR(INDIRECT(CONCATENATE("Field!k",A91+3)),"")</f>
        <v>2</v>
      </c>
      <c r="J93" s="66">
        <f ca="1">IFERROR(INDIRECT(CONCATENATE("Field!l",A91+3)),"")</f>
        <v>11</v>
      </c>
      <c r="K93" s="85" t="str">
        <f ca="1">IFERROR(INDIRECT(CONCATENATE("Field!m",A91+3)),"")</f>
        <v>Mia O'DONNELL</v>
      </c>
      <c r="L93" s="85" t="str">
        <f ca="1">IFERROR(INDIRECT(CONCATENATE("Field!n",A91+3)),"")</f>
        <v>C&amp;N</v>
      </c>
      <c r="M93" s="356" t="str">
        <f ca="1">IFERROR(TEXT(INDIRECT(CONCATENATE("Field!o",A91+3)),"#.#0")&amp;" "&amp;VLOOKUP(J93,INDIRECT($A92),5,FALSE),"")</f>
        <v xml:space="preserve">4.19 </v>
      </c>
      <c r="N93" s="108">
        <f ca="1">IFERROR(INDIRECT(CONCATENATE("Field!p",A91+3)),"")</f>
        <v>4</v>
      </c>
      <c r="T93" s="64">
        <f t="shared" ca="1" si="4"/>
        <v>3</v>
      </c>
      <c r="U93" s="64">
        <f t="shared" ca="1" si="5"/>
        <v>2</v>
      </c>
      <c r="V93" s="266">
        <f ca="1">IF(OR(D93=0,D93="",D93="Athlete"),"",COUNTIF($D$4:$D93,D93))</f>
        <v>2</v>
      </c>
      <c r="W93" s="266" t="str">
        <f t="shared" ca="1" si="6"/>
        <v>Wigan</v>
      </c>
      <c r="Z93" s="266">
        <f t="shared" ca="1" si="7"/>
        <v>0</v>
      </c>
    </row>
    <row r="94" spans="1:26" x14ac:dyDescent="0.35">
      <c r="B94" s="66">
        <f ca="1">IFERROR(INDIRECT(CONCATENATE("Field!D",A91+4)),"")</f>
        <v>3</v>
      </c>
      <c r="C94" s="66">
        <f ca="1">IFERROR(INDIRECT(CONCATENATE("Field!e",A91+4)),"")</f>
        <v>1</v>
      </c>
      <c r="D94" s="85" t="str">
        <f ca="1">IFERROR(INDIRECT(CONCATENATE("Field!f",A91+4)),"")</f>
        <v>Olivia WELCH</v>
      </c>
      <c r="E94" s="85" t="str">
        <f ca="1">IFERROR(INDIRECT(CONCATENATE("Field!g",A91+4)),"")</f>
        <v>C&amp;N</v>
      </c>
      <c r="F94" s="356" t="str">
        <f ca="1">IFERROR(TEXT(INDIRECT(CONCATENATE("Field!h",A91+4)),"#.#0")&amp;" "&amp;VLOOKUP(C94,INDIRECT($A92),5,FALSE),"")</f>
        <v xml:space="preserve">4.34 </v>
      </c>
      <c r="G94" s="108">
        <f ca="1">IFERROR(INDIRECT(CONCATENATE("Field!i",A91+4)),"")</f>
        <v>5</v>
      </c>
      <c r="H94" s="66"/>
      <c r="I94" s="66">
        <f ca="1">IFERROR(INDIRECT(CONCATENATE("Field!k",A91+4)),"")</f>
        <v>3</v>
      </c>
      <c r="J94" s="66">
        <f ca="1">IFERROR(INDIRECT(CONCATENATE("Field!l",A91+4)),"")</f>
        <v>33</v>
      </c>
      <c r="K94" s="85" t="str">
        <f ca="1">IFERROR(INDIRECT(CONCATENATE("Field!m",A91+4)),"")</f>
        <v>Isobel EVANS</v>
      </c>
      <c r="L94" s="85" t="str">
        <f ca="1">IFERROR(INDIRECT(CONCATENATE("Field!n",A91+4)),"")</f>
        <v>Leigh</v>
      </c>
      <c r="M94" s="356" t="str">
        <f ca="1">IFERROR(TEXT(INDIRECT(CONCATENATE("Field!o",A91+4)),"#.#0")&amp;" "&amp;VLOOKUP(J94,INDIRECT($A92),5,FALSE),"")</f>
        <v xml:space="preserve">3.93 </v>
      </c>
      <c r="N94" s="108">
        <f ca="1">IFERROR(INDIRECT(CONCATENATE("Field!p",A91+4)),"")</f>
        <v>3</v>
      </c>
      <c r="T94" s="64">
        <f t="shared" ca="1" si="4"/>
        <v>3</v>
      </c>
      <c r="U94" s="64">
        <f t="shared" ca="1" si="5"/>
        <v>2</v>
      </c>
      <c r="V94" s="266">
        <f ca="1">IF(OR(D94=0,D94="",D94="Athlete"),"",COUNTIF($D$4:$D94,D94))</f>
        <v>2</v>
      </c>
      <c r="W94" s="266" t="str">
        <f t="shared" ca="1" si="6"/>
        <v>C&amp;N</v>
      </c>
      <c r="Z94" s="266">
        <f t="shared" ca="1" si="7"/>
        <v>0</v>
      </c>
    </row>
    <row r="95" spans="1:26" x14ac:dyDescent="0.35">
      <c r="B95" s="66">
        <f ca="1">IFERROR(INDIRECT(CONCATENATE("Field!D",A91+5)),"")</f>
        <v>4</v>
      </c>
      <c r="C95" s="66">
        <f ca="1">IFERROR(INDIRECT(CONCATENATE("Field!e",A91+5)),"")</f>
        <v>5</v>
      </c>
      <c r="D95" s="85" t="str">
        <f ca="1">IFERROR(INDIRECT(CONCATENATE("Field!f",A91+5)),"")</f>
        <v>Lily HARDY</v>
      </c>
      <c r="E95" s="85" t="str">
        <f ca="1">IFERROR(INDIRECT(CONCATENATE("Field!g",A91+5)),"")</f>
        <v>Menai</v>
      </c>
      <c r="F95" s="356" t="str">
        <f ca="1">IFERROR(TEXT(INDIRECT(CONCATENATE("Field!h",A91+5)),"#.#0")&amp;" "&amp;VLOOKUP(C95,INDIRECT($A92),5,FALSE),"")</f>
        <v xml:space="preserve">4.24 </v>
      </c>
      <c r="G95" s="108">
        <f ca="1">IFERROR(INDIRECT(CONCATENATE("Field!i",A91+5)),"")</f>
        <v>4</v>
      </c>
      <c r="H95" s="66"/>
      <c r="I95" s="66">
        <f ca="1">IFERROR(INDIRECT(CONCATENATE("Field!k",A91+5)),"")</f>
        <v>4</v>
      </c>
      <c r="J95" s="66">
        <f ca="1">IFERROR(INDIRECT(CONCATENATE("Field!l",A91+5)),"")</f>
        <v>7</v>
      </c>
      <c r="K95" s="85" t="str">
        <f ca="1">IFERROR(INDIRECT(CONCATENATE("Field!m",A91+5)),"")</f>
        <v>Emily WILSON</v>
      </c>
      <c r="L95" s="85" t="str">
        <f ca="1">IFERROR(INDIRECT(CONCATENATE("Field!n",A91+5)),"")</f>
        <v>Wigan</v>
      </c>
      <c r="M95" s="356" t="str">
        <f ca="1">IFERROR(TEXT(INDIRECT(CONCATENATE("Field!o",A91+5)),"#.#0")&amp;" "&amp;VLOOKUP(J95,INDIRECT($A92),5,FALSE),"")</f>
        <v xml:space="preserve">3.85 </v>
      </c>
      <c r="N95" s="108">
        <f ca="1">IFERROR(INDIRECT(CONCATENATE("Field!p",A91+5)),"")</f>
        <v>3</v>
      </c>
      <c r="T95" s="64">
        <f t="shared" ca="1" si="4"/>
        <v>3</v>
      </c>
      <c r="U95" s="64">
        <f t="shared" ca="1" si="5"/>
        <v>2</v>
      </c>
      <c r="V95" s="266">
        <f ca="1">IF(OR(D95=0,D95="",D95="Athlete"),"",COUNTIF($D$4:$D95,D95))</f>
        <v>3</v>
      </c>
      <c r="W95" s="266" t="str">
        <f t="shared" ca="1" si="6"/>
        <v>Menai</v>
      </c>
      <c r="Z95" s="266">
        <f t="shared" ca="1" si="7"/>
        <v>0</v>
      </c>
    </row>
    <row r="96" spans="1:26" x14ac:dyDescent="0.35">
      <c r="B96" s="66">
        <f ca="1">IFERROR(INDIRECT(CONCATENATE("Field!D",A91+6)),"")</f>
        <v>5</v>
      </c>
      <c r="C96" s="66">
        <f ca="1">IFERROR(INDIRECT(CONCATENATE("Field!e",A91+6)),"")</f>
        <v>3</v>
      </c>
      <c r="D96" s="85" t="str">
        <f ca="1">IFERROR(INDIRECT(CONCATENATE("Field!f",A91+6)),"")</f>
        <v>Olivia COPPER</v>
      </c>
      <c r="E96" s="85" t="str">
        <f ca="1">IFERROR(INDIRECT(CONCATENATE("Field!g",A91+6)),"")</f>
        <v>Leigh</v>
      </c>
      <c r="F96" s="356" t="str">
        <f ca="1">IFERROR(TEXT(INDIRECT(CONCATENATE("Field!h",A91+6)),"#.#0")&amp;" "&amp;VLOOKUP(C96,INDIRECT($A92),5,FALSE),"")</f>
        <v xml:space="preserve">4.11 </v>
      </c>
      <c r="G96" s="108">
        <f ca="1">IFERROR(INDIRECT(CONCATENATE("Field!i",A91+6)),"")</f>
        <v>4</v>
      </c>
      <c r="H96" s="66"/>
      <c r="I96" s="66">
        <f ca="1">IFERROR(INDIRECT(CONCATENATE("Field!k",A91+6)),"")</f>
        <v>5</v>
      </c>
      <c r="J96" s="66">
        <f ca="1">IFERROR(INDIRECT(CONCATENATE("Field!l",A91+6)),"")</f>
        <v>55</v>
      </c>
      <c r="K96" s="85" t="str">
        <f ca="1">IFERROR(INDIRECT(CONCATENATE("Field!m",A91+6)),"")</f>
        <v>Mabli WILLIAMS</v>
      </c>
      <c r="L96" s="85" t="str">
        <f ca="1">IFERROR(INDIRECT(CONCATENATE("Field!n",A91+6)),"")</f>
        <v>Menai</v>
      </c>
      <c r="M96" s="356" t="str">
        <f ca="1">IFERROR(TEXT(INDIRECT(CONCATENATE("Field!o",A91+6)),"#.#0")&amp;" "&amp;VLOOKUP(J96,INDIRECT($A92),5,FALSE),"")</f>
        <v xml:space="preserve">3.35 </v>
      </c>
      <c r="N96" s="108">
        <f ca="1">IFERROR(INDIRECT(CONCATENATE("Field!p",A91+6)),"")</f>
        <v>1</v>
      </c>
      <c r="T96" s="64">
        <f t="shared" ca="1" si="4"/>
        <v>3</v>
      </c>
      <c r="U96" s="64">
        <f t="shared" ca="1" si="5"/>
        <v>3</v>
      </c>
      <c r="V96" s="266">
        <f ca="1">IF(OR(D96=0,D96="",D96="Athlete"),"",COUNTIF($D$4:$D96,D96))</f>
        <v>1</v>
      </c>
      <c r="W96" s="266" t="str">
        <f t="shared" ca="1" si="6"/>
        <v>Leigh</v>
      </c>
      <c r="Z96" s="266">
        <f t="shared" ca="1" si="7"/>
        <v>0</v>
      </c>
    </row>
    <row r="97" spans="1:26" x14ac:dyDescent="0.35">
      <c r="B97" s="66">
        <f ca="1">IFERROR(INDIRECT(CONCATENATE("Field!D",A91+7)),"")</f>
        <v>6</v>
      </c>
      <c r="C97" s="66">
        <f ca="1">IFERROR(INDIRECT(CONCATENATE("Field!e",A91+7)),"")</f>
        <v>4</v>
      </c>
      <c r="D97" s="85" t="str">
        <f ca="1">IFERROR(INDIRECT(CONCATENATE("Field!f",A91+7)),"")</f>
        <v>Elizabeth PENDRILL</v>
      </c>
      <c r="E97" s="85" t="str">
        <f ca="1">IFERROR(INDIRECT(CONCATENATE("Field!g",A91+7)),"")</f>
        <v>Macc</v>
      </c>
      <c r="F97" s="356" t="str">
        <f ca="1">IFERROR(TEXT(INDIRECT(CONCATENATE("Field!h",A91+7)),"#.#0")&amp;" "&amp;VLOOKUP(C97,INDIRECT($A92),5,FALSE),"")</f>
        <v xml:space="preserve">4.04 </v>
      </c>
      <c r="G97" s="108">
        <f ca="1">IFERROR(INDIRECT(CONCATENATE("Field!i",A91+7)),"")</f>
        <v>4</v>
      </c>
      <c r="H97" s="66"/>
      <c r="I97" s="66">
        <f ca="1">IFERROR(INDIRECT(CONCATENATE("Field!k",A91+7)),"")</f>
        <v>6</v>
      </c>
      <c r="J97" s="66">
        <f ca="1">IFERROR(INDIRECT(CONCATENATE("Field!l",A91+7)),"")</f>
        <v>44</v>
      </c>
      <c r="K97" s="85" t="str">
        <f ca="1">IFERROR(INDIRECT(CONCATENATE("Field!m",A91+7)),"")</f>
        <v>Brooke SAYCE</v>
      </c>
      <c r="L97" s="85" t="str">
        <f ca="1">IFERROR(INDIRECT(CONCATENATE("Field!n",A91+7)),"")</f>
        <v>Macc</v>
      </c>
      <c r="M97" s="356" t="str">
        <f ca="1">IFERROR(TEXT(INDIRECT(CONCATENATE("Field!o",A91+7)),"#.#0")&amp;" "&amp;VLOOKUP(J97,INDIRECT($A92),5,FALSE),"")</f>
        <v xml:space="preserve">2.84 </v>
      </c>
      <c r="N97" s="108" t="str">
        <f ca="1">IFERROR(INDIRECT(CONCATENATE("Field!p",A91+7)),"")</f>
        <v/>
      </c>
      <c r="T97" s="64">
        <f t="shared" ca="1" si="4"/>
        <v>3</v>
      </c>
      <c r="U97" s="64">
        <f t="shared" ca="1" si="5"/>
        <v>2</v>
      </c>
      <c r="V97" s="266">
        <f ca="1">IF(OR(D97=0,D97="",D97="Athlete"),"",COUNTIF($D$4:$D97,D97))</f>
        <v>3</v>
      </c>
      <c r="W97" s="266" t="str">
        <f t="shared" ca="1" si="6"/>
        <v>Macc</v>
      </c>
      <c r="Z97" s="266">
        <f t="shared" ca="1" si="7"/>
        <v>0</v>
      </c>
    </row>
    <row r="98" spans="1:26" x14ac:dyDescent="0.35">
      <c r="B98" s="66">
        <f ca="1">IFERROR(INDIRECT(CONCATENATE("Field!D",A91+8)),"")</f>
        <v>7</v>
      </c>
      <c r="C98" s="66">
        <f ca="1">IFERROR(INDIRECT(CONCATENATE("Field!e",A91+8)),"")</f>
        <v>2</v>
      </c>
      <c r="D98" s="85" t="str">
        <f ca="1">IFERROR(INDIRECT(CONCATENATE("Field!f",A91+8)),"")</f>
        <v>Ava ROYLE</v>
      </c>
      <c r="E98" s="85" t="str">
        <f ca="1">IFERROR(INDIRECT(CONCATENATE("Field!g",A91+8)),"")</f>
        <v>ECHT</v>
      </c>
      <c r="F98" s="133" t="str">
        <f ca="1">IFERROR(TEXT(INDIRECT(CONCATENATE("Field!h",A91+8)),"#.#0")&amp;" "&amp;VLOOKUP(C98,INDIRECT($A92),5,FALSE),"")</f>
        <v xml:space="preserve">4.0 </v>
      </c>
      <c r="G98" s="108">
        <f ca="1">IFERROR(INDIRECT(CONCATENATE("Field!i",A91+8)),"")</f>
        <v>4</v>
      </c>
      <c r="H98" s="66"/>
      <c r="I98" s="66">
        <f ca="1">IFERROR(INDIRECT(CONCATENATE("Field!k",A91+8)),"")</f>
        <v>7</v>
      </c>
      <c r="J98" s="66" t="str">
        <f ca="1">IFERROR(INDIRECT(CONCATENATE("Field!l",A91+8)),"")</f>
        <v/>
      </c>
      <c r="K98" s="85" t="str">
        <f ca="1">IFERROR(INDIRECT(CONCATENATE("Field!m",A91+8)),"")</f>
        <v/>
      </c>
      <c r="L98" s="85" t="str">
        <f ca="1">IFERROR(INDIRECT(CONCATENATE("Field!n",A91+8)),"")</f>
        <v/>
      </c>
      <c r="M98" s="133" t="str">
        <f ca="1">IFERROR(TEXT(INDIRECT(CONCATENATE("Field!o",A91+8)),"#.00")&amp;" "&amp;VLOOKUP(J98,INDIRECT($A92),5,FALSE),"")</f>
        <v/>
      </c>
      <c r="N98" s="108" t="str">
        <f ca="1">IFERROR(INDIRECT(CONCATENATE("Field!p",A91+8)),"")</f>
        <v/>
      </c>
      <c r="T98" s="64">
        <f t="shared" ca="1" si="4"/>
        <v>3</v>
      </c>
      <c r="U98" s="64" t="str">
        <f t="shared" ca="1" si="5"/>
        <v/>
      </c>
      <c r="V98" s="266">
        <f ca="1">IF(OR(D98=0,D98="",D98="Athlete"),"",COUNTIF($D$4:$D98,D98))</f>
        <v>2</v>
      </c>
      <c r="W98" s="266" t="str">
        <f t="shared" ca="1" si="6"/>
        <v>ECHT</v>
      </c>
      <c r="Z98" s="266">
        <f t="shared" ca="1" si="7"/>
        <v>0</v>
      </c>
    </row>
    <row r="99" spans="1:26" x14ac:dyDescent="0.35">
      <c r="B99" s="66">
        <f ca="1">IFERROR(INDIRECT(CONCATENATE("Field!D",A91+9)),"")</f>
        <v>8</v>
      </c>
      <c r="C99" s="66" t="str">
        <f ca="1">IFERROR(INDIRECT(CONCATENATE("Field!e",A91+9)),"")</f>
        <v/>
      </c>
      <c r="D99" s="85" t="str">
        <f ca="1">IFERROR(INDIRECT(CONCATENATE("Field!f",A91+9)),"")</f>
        <v/>
      </c>
      <c r="E99" s="85" t="str">
        <f ca="1">IFERROR(INDIRECT(CONCATENATE("Field!g",A91+9)),"")</f>
        <v/>
      </c>
      <c r="F99" s="133" t="str">
        <f ca="1">IFERROR(TEXT(INDIRECT(CONCATENATE("Field!h",A91+9)),"#.#0")&amp;" "&amp;VLOOKUP(C99,INDIRECT($A92),5,FALSE),"")</f>
        <v/>
      </c>
      <c r="G99" s="108" t="str">
        <f ca="1">IFERROR(INDIRECT(CONCATENATE("Field!i",A91+9)),"")</f>
        <v/>
      </c>
      <c r="H99" s="66"/>
      <c r="I99" s="66">
        <f ca="1">IFERROR(INDIRECT(CONCATENATE("Field!k",A91+9)),"")</f>
        <v>8</v>
      </c>
      <c r="J99" s="66" t="str">
        <f ca="1">IFERROR(INDIRECT(CONCATENATE("Field!l",A91+9)),"")</f>
        <v/>
      </c>
      <c r="K99" s="85" t="str">
        <f ca="1">IFERROR(INDIRECT(CONCATENATE("Field!m",A91+9)),"")</f>
        <v/>
      </c>
      <c r="L99" s="85" t="str">
        <f ca="1">IFERROR(INDIRECT(CONCATENATE("Field!n",A91+9)),"")</f>
        <v/>
      </c>
      <c r="M99" s="133" t="str">
        <f ca="1">IFERROR(TEXT(INDIRECT(CONCATENATE("Field!o",A91+9)),"#.#0")&amp;" "&amp;VLOOKUP(J99,INDIRECT($A92),5,FALSE),"")</f>
        <v/>
      </c>
      <c r="N99" s="108" t="str">
        <f ca="1">IFERROR(INDIRECT(CONCATENATE("Field!p",A91+9)),"")</f>
        <v/>
      </c>
      <c r="T99" s="64" t="str">
        <f t="shared" ca="1" si="4"/>
        <v/>
      </c>
      <c r="U99" s="64" t="str">
        <f t="shared" ca="1" si="5"/>
        <v/>
      </c>
      <c r="V99" s="266" t="str">
        <f ca="1">IF(OR(D99=0,D99="",D99="Athlete"),"",COUNTIF($D$4:$D99,D99))</f>
        <v/>
      </c>
      <c r="W99" s="266" t="str">
        <f t="shared" ca="1" si="6"/>
        <v/>
      </c>
      <c r="Z99" s="266" t="str">
        <f t="shared" ca="1" si="7"/>
        <v/>
      </c>
    </row>
    <row r="100" spans="1:26" x14ac:dyDescent="0.35">
      <c r="T100" s="64" t="str">
        <f t="shared" si="4"/>
        <v/>
      </c>
      <c r="U100" s="64" t="str">
        <f t="shared" si="5"/>
        <v/>
      </c>
      <c r="V100" s="266" t="str">
        <f>IF(OR(D100=0,D100="",D100="Athlete"),"",COUNTIF($D$4:$D100,D100))</f>
        <v/>
      </c>
      <c r="W100" s="266" t="str">
        <f t="shared" si="6"/>
        <v/>
      </c>
      <c r="Z100" s="266" t="str">
        <f t="shared" si="7"/>
        <v/>
      </c>
    </row>
    <row r="101" spans="1:26" x14ac:dyDescent="0.35">
      <c r="A101" s="66" t="s">
        <v>180</v>
      </c>
      <c r="B101" s="102" t="str">
        <f ca="1">IFERROR(INDIRECT(CONCATENATE("Field!D",A102)),"")</f>
        <v>High Jump U15 Girls A</v>
      </c>
      <c r="G101" s="108" t="str">
        <f ca="1">IFERROR(INDIRECT(CONCATENATE("Field!i",A102)),"")</f>
        <v/>
      </c>
      <c r="I101" s="102" t="str">
        <f ca="1">IFERROR(INDIRECT(CONCATENATE("Field!k",A102)),"")</f>
        <v>High Jump U15 Girls B</v>
      </c>
      <c r="T101" s="64" t="str">
        <f t="shared" si="4"/>
        <v/>
      </c>
      <c r="U101" s="64" t="str">
        <f t="shared" si="5"/>
        <v/>
      </c>
      <c r="V101" s="266" t="str">
        <f>IF(OR(D101=0,D101="",D101="Athlete"),"",COUNTIF($D$4:$D101,D101))</f>
        <v/>
      </c>
      <c r="W101" s="266" t="str">
        <f t="shared" si="6"/>
        <v/>
      </c>
      <c r="Z101" s="266" t="str">
        <f t="shared" ca="1" si="7"/>
        <v/>
      </c>
    </row>
    <row r="102" spans="1:26" x14ac:dyDescent="0.35">
      <c r="A102" s="66">
        <f>IFERROR(MATCH(A101,Field!C:C,0),"")</f>
        <v>178</v>
      </c>
      <c r="B102" s="45" t="str">
        <f ca="1">IFERROR(INDIRECT(CONCATENATE("Field!D",A102+1)),"")</f>
        <v>Posn</v>
      </c>
      <c r="C102" s="45" t="str">
        <f ca="1">IFERROR(INDIRECT(CONCATENATE("Field!e",A102+1)),"")</f>
        <v>Bib</v>
      </c>
      <c r="D102" s="139" t="str">
        <f ca="1">IFERROR(INDIRECT(CONCATENATE("Field!f",A102+1)),"")</f>
        <v>Athlete</v>
      </c>
      <c r="E102" s="139" t="str">
        <f ca="1">IFERROR(INDIRECT(CONCATENATE("Field!g",A102+1)),"")</f>
        <v>Club</v>
      </c>
      <c r="F102" s="133" t="str">
        <f ca="1">IFERROR(INDIRECT(CONCATENATE("Field!h",A102+1)),"")</f>
        <v>Perf</v>
      </c>
      <c r="G102" s="167" t="str">
        <f ca="1">IFERROR(INDIRECT(CONCATENATE("Field!i",A102+1)),"")</f>
        <v>EA</v>
      </c>
      <c r="H102" s="45"/>
      <c r="I102" s="45" t="str">
        <f ca="1">IFERROR(INDIRECT(CONCATENATE("Field!k",A102+1)),"")</f>
        <v>Posn</v>
      </c>
      <c r="J102" s="45" t="str">
        <f ca="1">IFERROR(INDIRECT(CONCATENATE("Field!l",A102+1)),"")</f>
        <v>Bib</v>
      </c>
      <c r="K102" s="139" t="str">
        <f ca="1">IFERROR(INDIRECT(CONCATENATE("Field!m",A102+1)),"")</f>
        <v>Athlete</v>
      </c>
      <c r="L102" s="139" t="str">
        <f ca="1">IFERROR(INDIRECT(CONCATENATE("Field!n",A102+1)),"")</f>
        <v>Club</v>
      </c>
      <c r="M102" s="133" t="str">
        <f ca="1">IFERROR(INDIRECT(CONCATENATE("Field!o",A102+1)),"")</f>
        <v>Perf</v>
      </c>
      <c r="N102" s="167" t="str">
        <f ca="1">IFERROR(INDIRECT(CONCATENATE("Field!p",A102+1)),"")</f>
        <v>EA</v>
      </c>
      <c r="T102" s="64" t="str">
        <f t="shared" ca="1" si="4"/>
        <v/>
      </c>
      <c r="U102" s="64" t="str">
        <f t="shared" ca="1" si="5"/>
        <v/>
      </c>
      <c r="V102" s="266" t="str">
        <f ca="1">IF(OR(D102=0,D102="",D102="Athlete"),"",COUNTIF($D$4:$D102,D102))</f>
        <v/>
      </c>
      <c r="W102" s="266" t="str">
        <f t="shared" ca="1" si="6"/>
        <v/>
      </c>
      <c r="Z102" s="266">
        <f t="shared" ca="1" si="7"/>
        <v>0</v>
      </c>
    </row>
    <row r="103" spans="1:26" x14ac:dyDescent="0.35">
      <c r="B103" s="66">
        <f ca="1">IFERROR(INDIRECT(CONCATENATE("Field!D",A102+2)),"")</f>
        <v>1</v>
      </c>
      <c r="C103" s="66">
        <f ca="1">IFERROR(INDIRECT(CONCATENATE("Field!e",A102+2)),"")</f>
        <v>77</v>
      </c>
      <c r="D103" s="85" t="str">
        <f ca="1">IFERROR(INDIRECT(CONCATENATE("Field!f",A102+2)),"")</f>
        <v>Kady HALL</v>
      </c>
      <c r="E103" s="85" t="str">
        <f ca="1">IFERROR(INDIRECT(CONCATENATE("Field!g",A102+2)),"")</f>
        <v>Wigan</v>
      </c>
      <c r="F103" s="65">
        <f ca="1">IFERROR(INDIRECT(CONCATENATE("Field!h",A102+2)),"")</f>
        <v>1.5</v>
      </c>
      <c r="G103" s="108">
        <f ca="1">IFERROR(INDIRECT(CONCATENATE("Field!i",A102+2)),"")</f>
        <v>8</v>
      </c>
      <c r="H103" s="66"/>
      <c r="I103" s="66">
        <f ca="1">IFERROR(INDIRECT(CONCATENATE("Field!k",A102+2)),"")</f>
        <v>1</v>
      </c>
      <c r="J103" s="66">
        <f ca="1">IFERROR(INDIRECT(CONCATENATE("Field!l",A102+2)),"")</f>
        <v>7</v>
      </c>
      <c r="K103" s="85" t="str">
        <f ca="1">IFERROR(INDIRECT(CONCATENATE("Field!m",A102+2)),"")</f>
        <v>Lauren HEWITT</v>
      </c>
      <c r="L103" s="85" t="str">
        <f ca="1">IFERROR(INDIRECT(CONCATENATE("Field!n",A102+2)),"")</f>
        <v>Wigan</v>
      </c>
      <c r="M103" s="65">
        <f ca="1">IFERROR(INDIRECT(CONCATENATE("Field!o",A102+2)),"")</f>
        <v>1.45</v>
      </c>
      <c r="N103" s="108">
        <f ca="1">IFERROR(INDIRECT(CONCATENATE("Field!p",A102+2)),"")</f>
        <v>7</v>
      </c>
      <c r="R103" s="168">
        <f ca="1">IFERROR(INDIRECT(CONCATENATE("Field!r",A102+2)),"")</f>
        <v>10</v>
      </c>
      <c r="T103" s="64">
        <f t="shared" ca="1" si="4"/>
        <v>3</v>
      </c>
      <c r="U103" s="64">
        <f t="shared" ca="1" si="5"/>
        <v>3</v>
      </c>
      <c r="V103" s="266">
        <f ca="1">IF(OR(D103=0,D103="",D103="Athlete"),"",COUNTIF($D$4:$D103,D103))</f>
        <v>2</v>
      </c>
      <c r="W103" s="266" t="str">
        <f t="shared" ca="1" si="6"/>
        <v>Wigan</v>
      </c>
      <c r="Z103" s="266">
        <f t="shared" ca="1" si="7"/>
        <v>0</v>
      </c>
    </row>
    <row r="104" spans="1:26" x14ac:dyDescent="0.35">
      <c r="B104" s="66">
        <f ca="1">IFERROR(INDIRECT(CONCATENATE("Field!D",A102+3)),"")</f>
        <v>2</v>
      </c>
      <c r="C104" s="66">
        <f ca="1">IFERROR(INDIRECT(CONCATENATE("Field!e",A102+3)),"")</f>
        <v>1</v>
      </c>
      <c r="D104" s="85" t="str">
        <f ca="1">IFERROR(INDIRECT(CONCATENATE("Field!f",A102+3)),"")</f>
        <v>Olivia WELCH</v>
      </c>
      <c r="E104" s="85" t="str">
        <f ca="1">IFERROR(INDIRECT(CONCATENATE("Field!g",A102+3)),"")</f>
        <v>C&amp;N</v>
      </c>
      <c r="F104" s="65">
        <f ca="1">IFERROR(INDIRECT(CONCATENATE("Field!h",A102+3)),"")</f>
        <v>1.35</v>
      </c>
      <c r="G104" s="108">
        <f ca="1">IFERROR(INDIRECT(CONCATENATE("Field!i",A102+3)),"")</f>
        <v>5</v>
      </c>
      <c r="H104" s="66"/>
      <c r="I104" s="66">
        <f ca="1">IFERROR(INDIRECT(CONCATENATE("Field!k",A102+3)),"")</f>
        <v>2</v>
      </c>
      <c r="J104" s="66">
        <f ca="1">IFERROR(INDIRECT(CONCATENATE("Field!l",A102+3)),"")</f>
        <v>33</v>
      </c>
      <c r="K104" s="85" t="str">
        <f ca="1">IFERROR(INDIRECT(CONCATENATE("Field!m",A102+3)),"")</f>
        <v>Gabriella TAYLOR</v>
      </c>
      <c r="L104" s="85" t="str">
        <f ca="1">IFERROR(INDIRECT(CONCATENATE("Field!n",A102+3)),"")</f>
        <v>Leigh</v>
      </c>
      <c r="M104" s="65">
        <f ca="1">IFERROR(INDIRECT(CONCATENATE("Field!o",A102+3)),"")</f>
        <v>1.25</v>
      </c>
      <c r="N104" s="108">
        <f ca="1">IFERROR(INDIRECT(CONCATENATE("Field!p",A102+3)),"")</f>
        <v>3</v>
      </c>
      <c r="T104" s="64">
        <f t="shared" ca="1" si="4"/>
        <v>3</v>
      </c>
      <c r="U104" s="64">
        <f t="shared" ca="1" si="5"/>
        <v>3</v>
      </c>
      <c r="V104" s="266">
        <f ca="1">IF(OR(D104=0,D104="",D104="Athlete"),"",COUNTIF($D$4:$D104,D104))</f>
        <v>3</v>
      </c>
      <c r="W104" s="266" t="str">
        <f t="shared" ca="1" si="6"/>
        <v>C&amp;N</v>
      </c>
      <c r="Z104" s="266">
        <f t="shared" ca="1" si="7"/>
        <v>0</v>
      </c>
    </row>
    <row r="105" spans="1:26" x14ac:dyDescent="0.35">
      <c r="B105" s="66">
        <f ca="1">IFERROR(INDIRECT(CONCATENATE("Field!D",A102+4)),"")</f>
        <v>3</v>
      </c>
      <c r="C105" s="66">
        <f ca="1">IFERROR(INDIRECT(CONCATENATE("Field!e",A102+4)),"")</f>
        <v>3</v>
      </c>
      <c r="D105" s="85" t="str">
        <f ca="1">IFERROR(INDIRECT(CONCATENATE("Field!f",A102+4)),"")</f>
        <v>Freya CASH</v>
      </c>
      <c r="E105" s="85" t="str">
        <f ca="1">IFERROR(INDIRECT(CONCATENATE("Field!g",A102+4)),"")</f>
        <v>Leigh</v>
      </c>
      <c r="F105" s="65">
        <f ca="1">IFERROR(INDIRECT(CONCATENATE("Field!h",A102+4)),"")</f>
        <v>1.3</v>
      </c>
      <c r="G105" s="108">
        <f ca="1">IFERROR(INDIRECT(CONCATENATE("Field!i",A102+4)),"")</f>
        <v>4</v>
      </c>
      <c r="H105" s="66"/>
      <c r="I105" s="66">
        <f ca="1">IFERROR(INDIRECT(CONCATENATE("Field!k",A102+4)),"")</f>
        <v>3</v>
      </c>
      <c r="J105" s="66">
        <f ca="1">IFERROR(INDIRECT(CONCATENATE("Field!l",A102+4)),"")</f>
        <v>11</v>
      </c>
      <c r="K105" s="85" t="str">
        <f ca="1">IFERROR(INDIRECT(CONCATENATE("Field!m",A102+4)),"")</f>
        <v>Elisha CARTER</v>
      </c>
      <c r="L105" s="85" t="str">
        <f ca="1">IFERROR(INDIRECT(CONCATENATE("Field!n",A102+4)),"")</f>
        <v>C&amp;N</v>
      </c>
      <c r="M105" s="65">
        <f ca="1">IFERROR(INDIRECT(CONCATENATE("Field!o",A102+4)),"")</f>
        <v>1.2</v>
      </c>
      <c r="N105" s="108">
        <f ca="1">IFERROR(INDIRECT(CONCATENATE("Field!p",A102+4)),"")</f>
        <v>2</v>
      </c>
      <c r="T105" s="64">
        <f t="shared" ca="1" si="4"/>
        <v>3</v>
      </c>
      <c r="U105" s="64">
        <f t="shared" ca="1" si="5"/>
        <v>3</v>
      </c>
      <c r="V105" s="266">
        <f ca="1">IF(OR(D105=0,D105="",D105="Athlete"),"",COUNTIF($D$4:$D105,D105))</f>
        <v>3</v>
      </c>
      <c r="W105" s="266" t="str">
        <f t="shared" ca="1" si="6"/>
        <v>Leigh</v>
      </c>
      <c r="Z105" s="266">
        <f t="shared" ca="1" si="7"/>
        <v>0</v>
      </c>
    </row>
    <row r="106" spans="1:26" x14ac:dyDescent="0.35">
      <c r="B106" s="66">
        <f ca="1">IFERROR(INDIRECT(CONCATENATE("Field!D",A102+5)),"")</f>
        <v>4</v>
      </c>
      <c r="C106" s="66">
        <f ca="1">IFERROR(INDIRECT(CONCATENATE("Field!e",A102+5)),"")</f>
        <v>5</v>
      </c>
      <c r="D106" s="85" t="str">
        <f ca="1">IFERROR(INDIRECT(CONCATENATE("Field!f",A102+5)),"")</f>
        <v>Krista JONES</v>
      </c>
      <c r="E106" s="85" t="str">
        <f ca="1">IFERROR(INDIRECT(CONCATENATE("Field!g",A102+5)),"")</f>
        <v>Menai</v>
      </c>
      <c r="F106" s="65">
        <f ca="1">IFERROR(INDIRECT(CONCATENATE("Field!h",A102+5)),"")</f>
        <v>1.1499999999999999</v>
      </c>
      <c r="G106" s="108">
        <f ca="1">IFERROR(INDIRECT(CONCATENATE("Field!i",A102+5)),"")</f>
        <v>1</v>
      </c>
      <c r="H106" s="66"/>
      <c r="I106" s="66" t="str">
        <f ca="1">IFERROR(INDIRECT(CONCATENATE("Field!k",A102+5)),"")</f>
        <v/>
      </c>
      <c r="J106" s="66" t="str">
        <f ca="1">IFERROR(INDIRECT(CONCATENATE("Field!l",A102+5)),"")</f>
        <v/>
      </c>
      <c r="K106" s="85" t="str">
        <f ca="1">IFERROR(INDIRECT(CONCATENATE("Field!m",A102+5)),"")</f>
        <v/>
      </c>
      <c r="L106" s="85" t="str">
        <f ca="1">IFERROR(INDIRECT(CONCATENATE("Field!n",A102+5)),"")</f>
        <v/>
      </c>
      <c r="M106" s="65">
        <f ca="1">IFERROR(INDIRECT(CONCATENATE("Field!o",A102+5)),"")</f>
        <v>0</v>
      </c>
      <c r="N106" s="108" t="str">
        <f ca="1">IFERROR(INDIRECT(CONCATENATE("Field!p",A102+5)),"")</f>
        <v/>
      </c>
      <c r="T106" s="64">
        <f t="shared" ca="1" si="4"/>
        <v>3</v>
      </c>
      <c r="U106" s="64" t="str">
        <f t="shared" ca="1" si="5"/>
        <v/>
      </c>
      <c r="V106" s="266">
        <f ca="1">IF(OR(D106=0,D106="",D106="Athlete"),"",COUNTIF($D$4:$D106,D106))</f>
        <v>1</v>
      </c>
      <c r="W106" s="266" t="str">
        <f t="shared" ca="1" si="6"/>
        <v>Menai</v>
      </c>
      <c r="Z106" s="266">
        <f t="shared" ca="1" si="7"/>
        <v>0</v>
      </c>
    </row>
    <row r="107" spans="1:26" x14ac:dyDescent="0.35">
      <c r="B107" s="66" t="str">
        <f ca="1">IFERROR(INDIRECT(CONCATENATE("Field!D",A102+6)),"")</f>
        <v/>
      </c>
      <c r="C107" s="66" t="str">
        <f ca="1">IFERROR(INDIRECT(CONCATENATE("Field!e",A102+6)),"")</f>
        <v/>
      </c>
      <c r="D107" s="85" t="str">
        <f ca="1">IFERROR(INDIRECT(CONCATENATE("Field!f",A102+6)),"")</f>
        <v/>
      </c>
      <c r="E107" s="85" t="str">
        <f ca="1">IFERROR(INDIRECT(CONCATENATE("Field!g",A102+6)),"")</f>
        <v/>
      </c>
      <c r="F107" s="65">
        <f ca="1">IFERROR(INDIRECT(CONCATENATE("Field!h",A102+6)),"")</f>
        <v>0</v>
      </c>
      <c r="G107" s="108" t="str">
        <f ca="1">IFERROR(INDIRECT(CONCATENATE("Field!i",A102+6)),"")</f>
        <v/>
      </c>
      <c r="H107" s="66"/>
      <c r="I107" s="66" t="str">
        <f ca="1">IFERROR(INDIRECT(CONCATENATE("Field!k",A102+6)),"")</f>
        <v/>
      </c>
      <c r="J107" s="66" t="str">
        <f ca="1">IFERROR(INDIRECT(CONCATENATE("Field!l",A102+6)),"")</f>
        <v/>
      </c>
      <c r="K107" s="85" t="str">
        <f ca="1">IFERROR(INDIRECT(CONCATENATE("Field!m",A102+6)),"")</f>
        <v/>
      </c>
      <c r="L107" s="85" t="str">
        <f ca="1">IFERROR(INDIRECT(CONCATENATE("Field!n",A102+6)),"")</f>
        <v/>
      </c>
      <c r="M107" s="65">
        <f ca="1">IFERROR(INDIRECT(CONCATENATE("Field!o",A102+6)),"")</f>
        <v>0</v>
      </c>
      <c r="N107" s="108" t="str">
        <f ca="1">IFERROR(INDIRECT(CONCATENATE("Field!p",A102+6)),"")</f>
        <v/>
      </c>
      <c r="T107" s="64" t="str">
        <f t="shared" ca="1" si="4"/>
        <v/>
      </c>
      <c r="U107" s="64" t="str">
        <f t="shared" ca="1" si="5"/>
        <v/>
      </c>
      <c r="V107" s="266" t="str">
        <f ca="1">IF(OR(D107=0,D107="",D107="Athlete"),"",COUNTIF($D$4:$D107,D107))</f>
        <v/>
      </c>
      <c r="W107" s="266" t="str">
        <f t="shared" ca="1" si="6"/>
        <v/>
      </c>
      <c r="Z107" s="266" t="str">
        <f t="shared" ca="1" si="7"/>
        <v/>
      </c>
    </row>
    <row r="108" spans="1:26" x14ac:dyDescent="0.35">
      <c r="B108" s="66" t="str">
        <f ca="1">IFERROR(INDIRECT(CONCATENATE("Field!D",A102+7)),"")</f>
        <v/>
      </c>
      <c r="C108" s="66" t="str">
        <f ca="1">IFERROR(INDIRECT(CONCATENATE("Field!e",A102+7)),"")</f>
        <v/>
      </c>
      <c r="D108" s="85" t="str">
        <f ca="1">IFERROR(INDIRECT(CONCATENATE("Field!f",A102+7)),"")</f>
        <v/>
      </c>
      <c r="E108" s="85" t="str">
        <f ca="1">IFERROR(INDIRECT(CONCATENATE("Field!g",A102+7)),"")</f>
        <v/>
      </c>
      <c r="F108" s="65">
        <f ca="1">IFERROR(INDIRECT(CONCATENATE("Field!h",A102+7)),"")</f>
        <v>0</v>
      </c>
      <c r="G108" s="108" t="str">
        <f ca="1">IFERROR(INDIRECT(CONCATENATE("Field!i",A102+7)),"")</f>
        <v/>
      </c>
      <c r="H108" s="66"/>
      <c r="I108" s="66" t="str">
        <f ca="1">IFERROR(INDIRECT(CONCATENATE("Field!k",A102+7)),"")</f>
        <v/>
      </c>
      <c r="J108" s="66" t="str">
        <f ca="1">IFERROR(INDIRECT(CONCATENATE("Field!l",A102+7)),"")</f>
        <v/>
      </c>
      <c r="K108" s="85" t="str">
        <f ca="1">IFERROR(INDIRECT(CONCATENATE("Field!m",A102+7)),"")</f>
        <v/>
      </c>
      <c r="L108" s="85" t="str">
        <f ca="1">IFERROR(INDIRECT(CONCATENATE("Field!n",A102+7)),"")</f>
        <v/>
      </c>
      <c r="M108" s="65">
        <f ca="1">IFERROR(INDIRECT(CONCATENATE("Field!o",A102+7)),"")</f>
        <v>0</v>
      </c>
      <c r="N108" s="108" t="str">
        <f ca="1">IFERROR(INDIRECT(CONCATENATE("Field!p",A102+7)),"")</f>
        <v/>
      </c>
      <c r="T108" s="64" t="str">
        <f t="shared" ca="1" si="4"/>
        <v/>
      </c>
      <c r="U108" s="64" t="str">
        <f t="shared" ca="1" si="5"/>
        <v/>
      </c>
      <c r="V108" s="266" t="str">
        <f ca="1">IF(OR(D108=0,D108="",D108="Athlete"),"",COUNTIF($D$4:$D108,D108))</f>
        <v/>
      </c>
      <c r="W108" s="266" t="str">
        <f t="shared" ca="1" si="6"/>
        <v/>
      </c>
      <c r="Z108" s="266" t="str">
        <f t="shared" ca="1" si="7"/>
        <v/>
      </c>
    </row>
    <row r="109" spans="1:26" x14ac:dyDescent="0.35">
      <c r="B109" s="66" t="str">
        <f ca="1">IFERROR(INDIRECT(CONCATENATE("Field!D",A102+8)),"")</f>
        <v/>
      </c>
      <c r="C109" s="66" t="str">
        <f ca="1">IFERROR(INDIRECT(CONCATENATE("Field!e",A102+8)),"")</f>
        <v/>
      </c>
      <c r="D109" s="85" t="str">
        <f ca="1">IFERROR(INDIRECT(CONCATENATE("Field!f",A102+8)),"")</f>
        <v/>
      </c>
      <c r="E109" s="85" t="str">
        <f ca="1">IFERROR(INDIRECT(CONCATENATE("Field!g",A102+8)),"")</f>
        <v/>
      </c>
      <c r="F109" s="65">
        <f ca="1">IFERROR(INDIRECT(CONCATENATE("Field!h",A102+8)),"")</f>
        <v>0</v>
      </c>
      <c r="G109" s="108" t="str">
        <f ca="1">IFERROR(INDIRECT(CONCATENATE("Field!i",A102+8)),"")</f>
        <v/>
      </c>
      <c r="H109" s="66"/>
      <c r="I109" s="66" t="str">
        <f ca="1">IFERROR(INDIRECT(CONCATENATE("Field!k",A102+8)),"")</f>
        <v/>
      </c>
      <c r="J109" s="66" t="str">
        <f ca="1">IFERROR(INDIRECT(CONCATENATE("Field!l",A102+8)),"")</f>
        <v/>
      </c>
      <c r="K109" s="85" t="str">
        <f ca="1">IFERROR(INDIRECT(CONCATENATE("Field!m",A102+8)),"")</f>
        <v/>
      </c>
      <c r="L109" s="85" t="str">
        <f ca="1">IFERROR(INDIRECT(CONCATENATE("Field!n",A102+8)),"")</f>
        <v/>
      </c>
      <c r="M109" s="65">
        <f ca="1">IFERROR(INDIRECT(CONCATENATE("Field!o",A102+8)),"")</f>
        <v>0</v>
      </c>
      <c r="N109" s="108" t="str">
        <f ca="1">IFERROR(INDIRECT(CONCATENATE("Field!p",A102+8)),"")</f>
        <v/>
      </c>
      <c r="T109" s="64" t="str">
        <f t="shared" ca="1" si="4"/>
        <v/>
      </c>
      <c r="U109" s="64" t="str">
        <f t="shared" ca="1" si="5"/>
        <v/>
      </c>
      <c r="V109" s="266" t="str">
        <f ca="1">IF(OR(D109=0,D109="",D109="Athlete"),"",COUNTIF($D$4:$D109,D109))</f>
        <v/>
      </c>
      <c r="W109" s="266" t="str">
        <f t="shared" ca="1" si="6"/>
        <v/>
      </c>
      <c r="Z109" s="266" t="str">
        <f t="shared" ca="1" si="7"/>
        <v/>
      </c>
    </row>
    <row r="110" spans="1:26" x14ac:dyDescent="0.35">
      <c r="B110" s="66" t="str">
        <f ca="1">IFERROR(INDIRECT(CONCATENATE("Field!D",A102+9)),"")</f>
        <v/>
      </c>
      <c r="C110" s="66" t="str">
        <f ca="1">IFERROR(INDIRECT(CONCATENATE("Field!e",A102+9)),"")</f>
        <v/>
      </c>
      <c r="D110" s="85" t="str">
        <f ca="1">IFERROR(INDIRECT(CONCATENATE("Field!f",A102+9)),"")</f>
        <v/>
      </c>
      <c r="E110" s="85" t="str">
        <f ca="1">IFERROR(INDIRECT(CONCATENATE("Field!g",A102+9)),"")</f>
        <v/>
      </c>
      <c r="F110" s="65">
        <f ca="1">IFERROR(INDIRECT(CONCATENATE("Field!h",A102+9)),"")</f>
        <v>0</v>
      </c>
      <c r="G110" s="108" t="str">
        <f ca="1">IFERROR(INDIRECT(CONCATENATE("Field!i",A102+9)),"")</f>
        <v/>
      </c>
      <c r="H110" s="66"/>
      <c r="I110" s="66" t="str">
        <f ca="1">IFERROR(INDIRECT(CONCATENATE("Field!k",A102+9)),"")</f>
        <v/>
      </c>
      <c r="J110" s="66" t="str">
        <f ca="1">IFERROR(INDIRECT(CONCATENATE("Field!l",A102+9)),"")</f>
        <v/>
      </c>
      <c r="K110" s="85" t="str">
        <f ca="1">IFERROR(INDIRECT(CONCATENATE("Field!m",A102+9)),"")</f>
        <v/>
      </c>
      <c r="L110" s="85" t="str">
        <f ca="1">IFERROR(INDIRECT(CONCATENATE("Field!n",A102+9)),"")</f>
        <v/>
      </c>
      <c r="M110" s="65">
        <f ca="1">IFERROR(INDIRECT(CONCATENATE("Field!o",A102+9)),"")</f>
        <v>0</v>
      </c>
      <c r="N110" s="108" t="str">
        <f ca="1">IFERROR(INDIRECT(CONCATENATE("Field!p",A102+9)),"")</f>
        <v/>
      </c>
      <c r="T110" s="64" t="str">
        <f t="shared" ca="1" si="4"/>
        <v/>
      </c>
      <c r="U110" s="64" t="str">
        <f t="shared" ca="1" si="5"/>
        <v/>
      </c>
      <c r="V110" s="266" t="str">
        <f ca="1">IF(OR(D110=0,D110="",D110="Athlete"),"",COUNTIF($D$4:$D110,D110))</f>
        <v/>
      </c>
      <c r="W110" s="266" t="str">
        <f t="shared" ca="1" si="6"/>
        <v/>
      </c>
      <c r="Z110" s="266" t="str">
        <f t="shared" ca="1" si="7"/>
        <v/>
      </c>
    </row>
    <row r="111" spans="1:26" x14ac:dyDescent="0.35">
      <c r="T111" s="64" t="str">
        <f t="shared" si="4"/>
        <v/>
      </c>
      <c r="U111" s="64" t="str">
        <f t="shared" si="5"/>
        <v/>
      </c>
      <c r="V111" s="266" t="str">
        <f>IF(OR(D111=0,D111="",D111="Athlete"),"",COUNTIF($D$4:$D111,D111))</f>
        <v/>
      </c>
      <c r="W111" s="266" t="str">
        <f t="shared" si="6"/>
        <v/>
      </c>
      <c r="Z111" s="266" t="str">
        <f t="shared" si="7"/>
        <v/>
      </c>
    </row>
    <row r="112" spans="1:26" x14ac:dyDescent="0.35">
      <c r="A112" s="66" t="s">
        <v>187</v>
      </c>
      <c r="B112" s="102" t="str">
        <f ca="1">IFERROR(INDIRECT(CONCATENATE("Field!D",A113)),"")</f>
        <v>Pole Vault U15 Girls A</v>
      </c>
      <c r="G112" s="108" t="str">
        <f ca="1">IFERROR(INDIRECT(CONCATENATE("Field!i",A113)),"")</f>
        <v/>
      </c>
      <c r="I112" s="102" t="str">
        <f ca="1">IFERROR(INDIRECT(CONCATENATE("Field!k",A113)),"")</f>
        <v>Pole Vault U15 Girls B</v>
      </c>
      <c r="T112" s="64" t="str">
        <f t="shared" si="4"/>
        <v/>
      </c>
      <c r="U112" s="64" t="str">
        <f t="shared" si="5"/>
        <v/>
      </c>
      <c r="V112" s="266" t="str">
        <f>IF(OR(D112=0,D112="",D112="Athlete"),"",COUNTIF($D$4:$D112,D112))</f>
        <v/>
      </c>
      <c r="W112" s="266" t="str">
        <f t="shared" si="6"/>
        <v/>
      </c>
      <c r="Z112" s="266" t="str">
        <f t="shared" ca="1" si="7"/>
        <v/>
      </c>
    </row>
    <row r="113" spans="1:26" x14ac:dyDescent="0.35">
      <c r="A113" s="66">
        <f>IFERROR(MATCH(A112,Field!C:C,0),"")</f>
        <v>222</v>
      </c>
      <c r="B113" s="45" t="str">
        <f ca="1">IFERROR(INDIRECT(CONCATENATE("Field!D",A113+1)),"")</f>
        <v>Posn</v>
      </c>
      <c r="C113" s="45" t="str">
        <f ca="1">IFERROR(INDIRECT(CONCATENATE("Field!e",A113+1)),"")</f>
        <v>Bib</v>
      </c>
      <c r="D113" s="139" t="str">
        <f ca="1">IFERROR(INDIRECT(CONCATENATE("Field!f",A113+1)),"")</f>
        <v>Athlete</v>
      </c>
      <c r="E113" s="139" t="str">
        <f ca="1">IFERROR(INDIRECT(CONCATENATE("Field!g",A113+1)),"")</f>
        <v>Club</v>
      </c>
      <c r="F113" s="133" t="str">
        <f ca="1">IFERROR(INDIRECT(CONCATENATE("Field!h",A113+1)),"")</f>
        <v>Perf</v>
      </c>
      <c r="G113" s="167" t="str">
        <f ca="1">IFERROR(INDIRECT(CONCATENATE("Field!i",A113+1)),"")</f>
        <v>EA</v>
      </c>
      <c r="H113" s="45"/>
      <c r="I113" s="45" t="str">
        <f ca="1">IFERROR(INDIRECT(CONCATENATE("Field!k",A113+1)),"")</f>
        <v>Posn</v>
      </c>
      <c r="J113" s="45" t="str">
        <f ca="1">IFERROR(INDIRECT(CONCATENATE("Field!l",A113+1)),"")</f>
        <v>Bib</v>
      </c>
      <c r="K113" s="139" t="str">
        <f ca="1">IFERROR(INDIRECT(CONCATENATE("Field!m",A113+1)),"")</f>
        <v>Athlete</v>
      </c>
      <c r="L113" s="139" t="str">
        <f ca="1">IFERROR(INDIRECT(CONCATENATE("Field!n",A113+1)),"")</f>
        <v>Club</v>
      </c>
      <c r="M113" s="133" t="str">
        <f ca="1">IFERROR(INDIRECT(CONCATENATE("Field!o",A113+1)),"")</f>
        <v>Perf</v>
      </c>
      <c r="N113" s="167" t="str">
        <f ca="1">IFERROR(INDIRECT(CONCATENATE("Field!p",A113+1)),"")</f>
        <v>EA</v>
      </c>
      <c r="T113" s="64" t="str">
        <f t="shared" ca="1" si="4"/>
        <v/>
      </c>
      <c r="U113" s="64" t="str">
        <f t="shared" ca="1" si="5"/>
        <v/>
      </c>
      <c r="V113" s="266" t="str">
        <f ca="1">IF(OR(D113=0,D113="",D113="Athlete"),"",COUNTIF($D$4:$D113,D113))</f>
        <v/>
      </c>
      <c r="W113" s="266" t="str">
        <f t="shared" ca="1" si="6"/>
        <v/>
      </c>
      <c r="Z113" s="266">
        <f t="shared" ca="1" si="7"/>
        <v>0</v>
      </c>
    </row>
    <row r="114" spans="1:26" x14ac:dyDescent="0.35">
      <c r="B114" s="66">
        <f ca="1">IFERROR(INDIRECT(CONCATENATE("Field!D",A113+2)),"")</f>
        <v>1</v>
      </c>
      <c r="C114" s="66">
        <f ca="1">IFERROR(INDIRECT(CONCATENATE("Field!e",A113+2)),"")</f>
        <v>7</v>
      </c>
      <c r="D114" s="85" t="str">
        <f ca="1">IFERROR(INDIRECT(CONCATENATE("Field!f",A113+2)),"")</f>
        <v>Claudia BERRY</v>
      </c>
      <c r="E114" s="85" t="str">
        <f ca="1">IFERROR(INDIRECT(CONCATENATE("Field!g",A113+2)),"")</f>
        <v>Wigan</v>
      </c>
      <c r="F114" s="65">
        <f ca="1">IFERROR(INDIRECT(CONCATENATE("Field!h",A113+2)),"")</f>
        <v>2.6</v>
      </c>
      <c r="G114" s="108">
        <f ca="1">IFERROR(INDIRECT(CONCATENATE("Field!i",A113+2)),"")</f>
        <v>8</v>
      </c>
      <c r="H114" s="66"/>
      <c r="I114" s="66">
        <f ca="1">IFERROR(INDIRECT(CONCATENATE("Field!k",A113+2)),"")</f>
        <v>1</v>
      </c>
      <c r="J114" s="66">
        <f ca="1">IFERROR(INDIRECT(CONCATENATE("Field!l",A113+2)),"")</f>
        <v>77</v>
      </c>
      <c r="K114" s="85" t="str">
        <f ca="1">IFERROR(INDIRECT(CONCATENATE("Field!m",A113+2)),"")</f>
        <v>Lucy STRETTON</v>
      </c>
      <c r="L114" s="85" t="str">
        <f ca="1">IFERROR(INDIRECT(CONCATENATE("Field!n",A113+2)),"")</f>
        <v>Wigan</v>
      </c>
      <c r="M114" s="65">
        <f ca="1">IFERROR(INDIRECT(CONCATENATE("Field!o",A113+2)),"")</f>
        <v>2</v>
      </c>
      <c r="N114" s="108">
        <f ca="1">IFERROR(INDIRECT(CONCATENATE("Field!p",A113+2)),"")</f>
        <v>6</v>
      </c>
      <c r="R114" s="168">
        <f ca="1">IFERROR(INDIRECT(CONCATENATE("Field!r",A113+2)),"")</f>
        <v>10</v>
      </c>
      <c r="T114" s="64">
        <f t="shared" ca="1" si="4"/>
        <v>1</v>
      </c>
      <c r="U114" s="64">
        <f t="shared" ca="1" si="5"/>
        <v>3</v>
      </c>
      <c r="V114" s="266">
        <f ca="1">IF(OR(D114=0,D114="",D114="Athlete"),"",COUNTIF($D$4:$D114,D114))</f>
        <v>1</v>
      </c>
      <c r="W114" s="266" t="str">
        <f t="shared" ca="1" si="6"/>
        <v>Wigan</v>
      </c>
      <c r="Z114" s="266">
        <f t="shared" ca="1" si="7"/>
        <v>0</v>
      </c>
    </row>
    <row r="115" spans="1:26" x14ac:dyDescent="0.35">
      <c r="B115" s="66" t="str">
        <f ca="1">IFERROR(INDIRECT(CONCATENATE("Field!D",A113+3)),"")</f>
        <v/>
      </c>
      <c r="C115" s="66" t="str">
        <f ca="1">IFERROR(INDIRECT(CONCATENATE("Field!e",A113+3)),"")</f>
        <v/>
      </c>
      <c r="D115" s="85" t="str">
        <f ca="1">IFERROR(INDIRECT(CONCATENATE("Field!f",A113+3)),"")</f>
        <v/>
      </c>
      <c r="E115" s="85" t="str">
        <f ca="1">IFERROR(INDIRECT(CONCATENATE("Field!g",A113+3)),"")</f>
        <v/>
      </c>
      <c r="F115" s="65">
        <f ca="1">IFERROR(INDIRECT(CONCATENATE("Field!h",A113+3)),"")</f>
        <v>0</v>
      </c>
      <c r="G115" s="108" t="str">
        <f ca="1">IFERROR(INDIRECT(CONCATENATE("Field!i",A113+3)),"")</f>
        <v/>
      </c>
      <c r="H115" s="66"/>
      <c r="I115" s="66" t="str">
        <f ca="1">IFERROR(INDIRECT(CONCATENATE("Field!k",A113+3)),"")</f>
        <v/>
      </c>
      <c r="J115" s="66" t="str">
        <f ca="1">IFERROR(INDIRECT(CONCATENATE("Field!l",A113+3)),"")</f>
        <v/>
      </c>
      <c r="K115" s="85" t="str">
        <f ca="1">IFERROR(INDIRECT(CONCATENATE("Field!m",A113+3)),"")</f>
        <v/>
      </c>
      <c r="L115" s="85" t="str">
        <f ca="1">IFERROR(INDIRECT(CONCATENATE("Field!n",A113+3)),"")</f>
        <v/>
      </c>
      <c r="M115" s="65">
        <f ca="1">IFERROR(INDIRECT(CONCATENATE("Field!o",A113+3)),"")</f>
        <v>0</v>
      </c>
      <c r="N115" s="108" t="str">
        <f ca="1">IFERROR(INDIRECT(CONCATENATE("Field!p",A113+3)),"")</f>
        <v/>
      </c>
      <c r="T115" s="64" t="str">
        <f t="shared" ca="1" si="4"/>
        <v/>
      </c>
      <c r="U115" s="64" t="str">
        <f t="shared" ca="1" si="5"/>
        <v/>
      </c>
      <c r="V115" s="266" t="str">
        <f ca="1">IF(OR(D115=0,D115="",D115="Athlete"),"",COUNTIF($D$4:$D115,D115))</f>
        <v/>
      </c>
      <c r="W115" s="266" t="str">
        <f t="shared" ca="1" si="6"/>
        <v/>
      </c>
      <c r="Z115" s="266" t="str">
        <f t="shared" ca="1" si="7"/>
        <v/>
      </c>
    </row>
    <row r="116" spans="1:26" x14ac:dyDescent="0.35">
      <c r="B116" s="66" t="str">
        <f ca="1">IFERROR(INDIRECT(CONCATENATE("Field!D",A113+4)),"")</f>
        <v/>
      </c>
      <c r="C116" s="66" t="str">
        <f ca="1">IFERROR(INDIRECT(CONCATENATE("Field!e",A113+4)),"")</f>
        <v/>
      </c>
      <c r="D116" s="85" t="str">
        <f ca="1">IFERROR(INDIRECT(CONCATENATE("Field!f",A113+4)),"")</f>
        <v/>
      </c>
      <c r="E116" s="85" t="str">
        <f ca="1">IFERROR(INDIRECT(CONCATENATE("Field!g",A113+4)),"")</f>
        <v/>
      </c>
      <c r="F116" s="65">
        <f ca="1">IFERROR(INDIRECT(CONCATENATE("Field!h",A113+4)),"")</f>
        <v>0</v>
      </c>
      <c r="G116" s="108" t="str">
        <f ca="1">IFERROR(INDIRECT(CONCATENATE("Field!i",A113+4)),"")</f>
        <v/>
      </c>
      <c r="H116" s="66"/>
      <c r="I116" s="66" t="str">
        <f ca="1">IFERROR(INDIRECT(CONCATENATE("Field!k",A113+4)),"")</f>
        <v/>
      </c>
      <c r="J116" s="66" t="str">
        <f ca="1">IFERROR(INDIRECT(CONCATENATE("Field!l",A113+4)),"")</f>
        <v/>
      </c>
      <c r="K116" s="85" t="str">
        <f ca="1">IFERROR(INDIRECT(CONCATENATE("Field!m",A113+4)),"")</f>
        <v/>
      </c>
      <c r="L116" s="85" t="str">
        <f ca="1">IFERROR(INDIRECT(CONCATENATE("Field!n",A113+4)),"")</f>
        <v/>
      </c>
      <c r="M116" s="65">
        <f ca="1">IFERROR(INDIRECT(CONCATENATE("Field!o",A113+4)),"")</f>
        <v>0</v>
      </c>
      <c r="N116" s="108" t="str">
        <f ca="1">IFERROR(INDIRECT(CONCATENATE("Field!p",A113+4)),"")</f>
        <v/>
      </c>
      <c r="T116" s="64" t="str">
        <f t="shared" ca="1" si="4"/>
        <v/>
      </c>
      <c r="U116" s="64" t="str">
        <f t="shared" ca="1" si="5"/>
        <v/>
      </c>
      <c r="V116" s="266" t="str">
        <f ca="1">IF(OR(D116=0,D116="",D116="Athlete"),"",COUNTIF($D$4:$D116,D116))</f>
        <v/>
      </c>
      <c r="W116" s="266" t="str">
        <f t="shared" ca="1" si="6"/>
        <v/>
      </c>
      <c r="Z116" s="266" t="str">
        <f t="shared" ca="1" si="7"/>
        <v/>
      </c>
    </row>
    <row r="117" spans="1:26" x14ac:dyDescent="0.35">
      <c r="B117" s="66" t="str">
        <f ca="1">IFERROR(INDIRECT(CONCATENATE("Field!D",A113+5)),"")</f>
        <v/>
      </c>
      <c r="C117" s="66" t="str">
        <f ca="1">IFERROR(INDIRECT(CONCATENATE("Field!e",A113+5)),"")</f>
        <v/>
      </c>
      <c r="D117" s="85" t="str">
        <f ca="1">IFERROR(INDIRECT(CONCATENATE("Field!f",A113+5)),"")</f>
        <v/>
      </c>
      <c r="E117" s="85" t="str">
        <f ca="1">IFERROR(INDIRECT(CONCATENATE("Field!g",A113+5)),"")</f>
        <v/>
      </c>
      <c r="F117" s="65">
        <f ca="1">IFERROR(INDIRECT(CONCATENATE("Field!h",A113+5)),"")</f>
        <v>0</v>
      </c>
      <c r="G117" s="108" t="str">
        <f ca="1">IFERROR(INDIRECT(CONCATENATE("Field!i",A113+5)),"")</f>
        <v/>
      </c>
      <c r="H117" s="66"/>
      <c r="I117" s="66" t="str">
        <f ca="1">IFERROR(INDIRECT(CONCATENATE("Field!k",A113+5)),"")</f>
        <v/>
      </c>
      <c r="J117" s="66" t="str">
        <f ca="1">IFERROR(INDIRECT(CONCATENATE("Field!l",A113+5)),"")</f>
        <v/>
      </c>
      <c r="K117" s="85" t="str">
        <f ca="1">IFERROR(INDIRECT(CONCATENATE("Field!m",A113+5)),"")</f>
        <v/>
      </c>
      <c r="L117" s="85" t="str">
        <f ca="1">IFERROR(INDIRECT(CONCATENATE("Field!n",A113+5)),"")</f>
        <v/>
      </c>
      <c r="M117" s="65">
        <f ca="1">IFERROR(INDIRECT(CONCATENATE("Field!o",A113+5)),"")</f>
        <v>0</v>
      </c>
      <c r="N117" s="108" t="str">
        <f ca="1">IFERROR(INDIRECT(CONCATENATE("Field!p",A113+5)),"")</f>
        <v/>
      </c>
      <c r="T117" s="64" t="str">
        <f t="shared" ca="1" si="4"/>
        <v/>
      </c>
      <c r="U117" s="64" t="str">
        <f t="shared" ca="1" si="5"/>
        <v/>
      </c>
      <c r="V117" s="266" t="str">
        <f ca="1">IF(OR(D117=0,D117="",D117="Athlete"),"",COUNTIF($D$4:$D117,D117))</f>
        <v/>
      </c>
      <c r="W117" s="266" t="str">
        <f t="shared" ca="1" si="6"/>
        <v/>
      </c>
      <c r="Z117" s="266" t="str">
        <f t="shared" ca="1" si="7"/>
        <v/>
      </c>
    </row>
    <row r="118" spans="1:26" x14ac:dyDescent="0.35">
      <c r="B118" s="66" t="str">
        <f ca="1">IFERROR(INDIRECT(CONCATENATE("Field!D",A113+6)),"")</f>
        <v/>
      </c>
      <c r="C118" s="66" t="str">
        <f ca="1">IFERROR(INDIRECT(CONCATENATE("Field!e",A113+6)),"")</f>
        <v/>
      </c>
      <c r="D118" s="85" t="str">
        <f ca="1">IFERROR(INDIRECT(CONCATENATE("Field!f",A113+6)),"")</f>
        <v/>
      </c>
      <c r="E118" s="85" t="str">
        <f ca="1">IFERROR(INDIRECT(CONCATENATE("Field!g",A113+6)),"")</f>
        <v/>
      </c>
      <c r="F118" s="65">
        <f ca="1">IFERROR(INDIRECT(CONCATENATE("Field!h",A113+6)),"")</f>
        <v>0</v>
      </c>
      <c r="G118" s="108" t="str">
        <f ca="1">IFERROR(INDIRECT(CONCATENATE("Field!i",A113+6)),"")</f>
        <v/>
      </c>
      <c r="H118" s="66"/>
      <c r="I118" s="66" t="str">
        <f ca="1">IFERROR(INDIRECT(CONCATENATE("Field!k",A113+6)),"")</f>
        <v/>
      </c>
      <c r="J118" s="66" t="str">
        <f ca="1">IFERROR(INDIRECT(CONCATENATE("Field!l",A113+6)),"")</f>
        <v/>
      </c>
      <c r="K118" s="85" t="str">
        <f ca="1">IFERROR(INDIRECT(CONCATENATE("Field!m",A113+6)),"")</f>
        <v/>
      </c>
      <c r="L118" s="85" t="str">
        <f ca="1">IFERROR(INDIRECT(CONCATENATE("Field!n",A113+6)),"")</f>
        <v/>
      </c>
      <c r="M118" s="65">
        <f ca="1">IFERROR(INDIRECT(CONCATENATE("Field!o",A113+6)),"")</f>
        <v>0</v>
      </c>
      <c r="N118" s="108" t="str">
        <f ca="1">IFERROR(INDIRECT(CONCATENATE("Field!p",A113+6)),"")</f>
        <v/>
      </c>
      <c r="T118" s="64" t="str">
        <f t="shared" ca="1" si="4"/>
        <v/>
      </c>
      <c r="U118" s="64" t="str">
        <f t="shared" ca="1" si="5"/>
        <v/>
      </c>
      <c r="V118" s="266" t="str">
        <f ca="1">IF(OR(D118=0,D118="",D118="Athlete"),"",COUNTIF($D$4:$D118,D118))</f>
        <v/>
      </c>
      <c r="W118" s="266" t="str">
        <f t="shared" ca="1" si="6"/>
        <v/>
      </c>
      <c r="Z118" s="266" t="str">
        <f t="shared" ca="1" si="7"/>
        <v/>
      </c>
    </row>
    <row r="119" spans="1:26" x14ac:dyDescent="0.35">
      <c r="B119" s="66" t="str">
        <f ca="1">IFERROR(INDIRECT(CONCATENATE("Field!D",A113+7)),"")</f>
        <v/>
      </c>
      <c r="C119" s="66" t="str">
        <f ca="1">IFERROR(INDIRECT(CONCATENATE("Field!e",A113+7)),"")</f>
        <v/>
      </c>
      <c r="D119" s="85" t="str">
        <f ca="1">IFERROR(INDIRECT(CONCATENATE("Field!f",A113+7)),"")</f>
        <v/>
      </c>
      <c r="E119" s="85" t="str">
        <f ca="1">IFERROR(INDIRECT(CONCATENATE("Field!g",A113+7)),"")</f>
        <v/>
      </c>
      <c r="F119" s="65">
        <f ca="1">IFERROR(INDIRECT(CONCATENATE("Field!h",A113+7)),"")</f>
        <v>0</v>
      </c>
      <c r="G119" s="108" t="str">
        <f ca="1">IFERROR(INDIRECT(CONCATENATE("Field!i",A113+7)),"")</f>
        <v/>
      </c>
      <c r="H119" s="66"/>
      <c r="I119" s="66" t="str">
        <f ca="1">IFERROR(INDIRECT(CONCATENATE("Field!k",A113+7)),"")</f>
        <v/>
      </c>
      <c r="J119" s="66" t="str">
        <f ca="1">IFERROR(INDIRECT(CONCATENATE("Field!l",A113+7)),"")</f>
        <v/>
      </c>
      <c r="K119" s="85" t="str">
        <f ca="1">IFERROR(INDIRECT(CONCATENATE("Field!m",A113+7)),"")</f>
        <v/>
      </c>
      <c r="L119" s="85" t="str">
        <f ca="1">IFERROR(INDIRECT(CONCATENATE("Field!n",A113+7)),"")</f>
        <v/>
      </c>
      <c r="M119" s="65">
        <f ca="1">IFERROR(INDIRECT(CONCATENATE("Field!o",A113+7)),"")</f>
        <v>0</v>
      </c>
      <c r="N119" s="108" t="str">
        <f ca="1">IFERROR(INDIRECT(CONCATENATE("Field!p",A113+7)),"")</f>
        <v/>
      </c>
      <c r="T119" s="64" t="str">
        <f t="shared" ca="1" si="4"/>
        <v/>
      </c>
      <c r="U119" s="64" t="str">
        <f t="shared" ca="1" si="5"/>
        <v/>
      </c>
      <c r="V119" s="266" t="str">
        <f ca="1">IF(OR(D119=0,D119="",D119="Athlete"),"",COUNTIF($D$4:$D119,D119))</f>
        <v/>
      </c>
      <c r="W119" s="266" t="str">
        <f t="shared" ca="1" si="6"/>
        <v/>
      </c>
      <c r="Z119" s="266" t="str">
        <f t="shared" ca="1" si="7"/>
        <v/>
      </c>
    </row>
    <row r="120" spans="1:26" x14ac:dyDescent="0.35">
      <c r="B120" s="66" t="str">
        <f ca="1">IFERROR(INDIRECT(CONCATENATE("Field!D",A113+8)),"")</f>
        <v/>
      </c>
      <c r="C120" s="66" t="str">
        <f ca="1">IFERROR(INDIRECT(CONCATENATE("Field!e",A113+8)),"")</f>
        <v/>
      </c>
      <c r="D120" s="85" t="str">
        <f ca="1">IFERROR(INDIRECT(CONCATENATE("Field!f",A113+8)),"")</f>
        <v/>
      </c>
      <c r="E120" s="85" t="str">
        <f ca="1">IFERROR(INDIRECT(CONCATENATE("Field!g",A113+8)),"")</f>
        <v/>
      </c>
      <c r="F120" s="65">
        <f ca="1">IFERROR(INDIRECT(CONCATENATE("Field!h",A113+8)),"")</f>
        <v>0</v>
      </c>
      <c r="G120" s="108" t="str">
        <f ca="1">IFERROR(INDIRECT(CONCATENATE("Field!i",A113+8)),"")</f>
        <v/>
      </c>
      <c r="H120" s="66"/>
      <c r="I120" s="66" t="str">
        <f ca="1">IFERROR(INDIRECT(CONCATENATE("Field!k",A113+8)),"")</f>
        <v/>
      </c>
      <c r="J120" s="66" t="str">
        <f ca="1">IFERROR(INDIRECT(CONCATENATE("Field!l",A113+8)),"")</f>
        <v/>
      </c>
      <c r="K120" s="85" t="str">
        <f ca="1">IFERROR(INDIRECT(CONCATENATE("Field!m",A113+8)),"")</f>
        <v/>
      </c>
      <c r="L120" s="85" t="str">
        <f ca="1">IFERROR(INDIRECT(CONCATENATE("Field!n",A113+8)),"")</f>
        <v/>
      </c>
      <c r="M120" s="65">
        <f ca="1">IFERROR(INDIRECT(CONCATENATE("Field!o",A113+8)),"")</f>
        <v>0</v>
      </c>
      <c r="N120" s="108" t="str">
        <f ca="1">IFERROR(INDIRECT(CONCATENATE("Field!p",A113+8)),"")</f>
        <v/>
      </c>
      <c r="T120" s="64" t="str">
        <f t="shared" ca="1" si="4"/>
        <v/>
      </c>
      <c r="U120" s="64" t="str">
        <f t="shared" ca="1" si="5"/>
        <v/>
      </c>
      <c r="V120" s="266" t="str">
        <f ca="1">IF(OR(D120=0,D120="",D120="Athlete"),"",COUNTIF($D$4:$D120,D120))</f>
        <v/>
      </c>
      <c r="W120" s="266" t="str">
        <f t="shared" ca="1" si="6"/>
        <v/>
      </c>
      <c r="Z120" s="266" t="str">
        <f t="shared" ca="1" si="7"/>
        <v/>
      </c>
    </row>
    <row r="121" spans="1:26" x14ac:dyDescent="0.35">
      <c r="B121" s="66" t="str">
        <f ca="1">IFERROR(INDIRECT(CONCATENATE("Field!D",A113+9)),"")</f>
        <v/>
      </c>
      <c r="C121" s="66" t="str">
        <f ca="1">IFERROR(INDIRECT(CONCATENATE("Field!e",A113+9)),"")</f>
        <v/>
      </c>
      <c r="D121" s="85" t="str">
        <f ca="1">IFERROR(INDIRECT(CONCATENATE("Field!f",A113+9)),"")</f>
        <v/>
      </c>
      <c r="E121" s="85" t="str">
        <f ca="1">IFERROR(INDIRECT(CONCATENATE("Field!g",A113+9)),"")</f>
        <v/>
      </c>
      <c r="F121" s="65">
        <f ca="1">IFERROR(INDIRECT(CONCATENATE("Field!h",A113+9)),"")</f>
        <v>0</v>
      </c>
      <c r="G121" s="108" t="str">
        <f ca="1">IFERROR(INDIRECT(CONCATENATE("Field!i",A113+9)),"")</f>
        <v/>
      </c>
      <c r="H121" s="66"/>
      <c r="I121" s="66" t="str">
        <f ca="1">IFERROR(INDIRECT(CONCATENATE("Field!k",A113+9)),"")</f>
        <v/>
      </c>
      <c r="J121" s="66" t="str">
        <f ca="1">IFERROR(INDIRECT(CONCATENATE("Field!l",A113+9)),"")</f>
        <v/>
      </c>
      <c r="K121" s="85" t="str">
        <f ca="1">IFERROR(INDIRECT(CONCATENATE("Field!m",A113+9)),"")</f>
        <v/>
      </c>
      <c r="L121" s="85" t="str">
        <f ca="1">IFERROR(INDIRECT(CONCATENATE("Field!n",A113+9)),"")</f>
        <v/>
      </c>
      <c r="M121" s="65">
        <f ca="1">IFERROR(INDIRECT(CONCATENATE("Field!o",A113+9)),"")</f>
        <v>0</v>
      </c>
      <c r="N121" s="108" t="str">
        <f ca="1">IFERROR(INDIRECT(CONCATENATE("Field!p",A113+9)),"")</f>
        <v/>
      </c>
      <c r="T121" s="64" t="str">
        <f t="shared" ca="1" si="4"/>
        <v/>
      </c>
      <c r="U121" s="64" t="str">
        <f t="shared" ca="1" si="5"/>
        <v/>
      </c>
      <c r="V121" s="266" t="str">
        <f ca="1">IF(OR(D121=0,D121="",D121="Athlete"),"",COUNTIF($D$4:$D121,D121))</f>
        <v/>
      </c>
      <c r="W121" s="266" t="str">
        <f t="shared" ca="1" si="6"/>
        <v/>
      </c>
      <c r="Z121" s="266" t="str">
        <f t="shared" ca="1" si="7"/>
        <v/>
      </c>
    </row>
    <row r="122" spans="1:26" x14ac:dyDescent="0.35">
      <c r="T122" s="64" t="str">
        <f t="shared" si="4"/>
        <v/>
      </c>
      <c r="U122" s="64" t="str">
        <f t="shared" si="5"/>
        <v/>
      </c>
      <c r="V122" s="266" t="str">
        <f>IF(OR(D122=0,D122="",D122="Athlete"),"",COUNTIF($D$4:$D122,D122))</f>
        <v/>
      </c>
      <c r="W122" s="266" t="str">
        <f t="shared" si="6"/>
        <v/>
      </c>
      <c r="Z122" s="266" t="str">
        <f t="shared" si="7"/>
        <v/>
      </c>
    </row>
    <row r="123" spans="1:26" x14ac:dyDescent="0.35">
      <c r="A123" s="66" t="s">
        <v>194</v>
      </c>
      <c r="B123" s="102" t="str">
        <f ca="1">IFERROR(INDIRECT(CONCATENATE("Field!D",A124)),"")</f>
        <v>Shot U15 Girls A</v>
      </c>
      <c r="G123" s="108" t="str">
        <f ca="1">IFERROR(INDIRECT(CONCATENATE("Field!i",A124)),"")</f>
        <v/>
      </c>
      <c r="I123" s="102" t="str">
        <f ca="1">IFERROR(INDIRECT(CONCATENATE("Field!k",A124)),"")</f>
        <v>Shot U15 Girls B</v>
      </c>
      <c r="T123" s="64" t="str">
        <f t="shared" si="4"/>
        <v/>
      </c>
      <c r="U123" s="64" t="str">
        <f t="shared" si="5"/>
        <v/>
      </c>
      <c r="V123" s="266" t="str">
        <f>IF(OR(D123=0,D123="",D123="Athlete"),"",COUNTIF($D$4:$D123,D123))</f>
        <v/>
      </c>
      <c r="W123" s="266" t="str">
        <f t="shared" si="6"/>
        <v/>
      </c>
      <c r="Z123" s="266" t="str">
        <f t="shared" ca="1" si="7"/>
        <v/>
      </c>
    </row>
    <row r="124" spans="1:26" x14ac:dyDescent="0.35">
      <c r="A124" s="66">
        <f>IFERROR(MATCH(A123,Field!C:C,0),"")</f>
        <v>112</v>
      </c>
      <c r="B124" s="45" t="str">
        <f ca="1">IFERROR(INDIRECT(CONCATENATE("Field!D",A124+1)),"")</f>
        <v>Posn</v>
      </c>
      <c r="C124" s="45" t="str">
        <f ca="1">IFERROR(INDIRECT(CONCATENATE("Field!e",A124+1)),"")</f>
        <v>Bib</v>
      </c>
      <c r="D124" s="139" t="str">
        <f ca="1">IFERROR(INDIRECT(CONCATENATE("Field!f",A124+1)),"")</f>
        <v>Athlete</v>
      </c>
      <c r="E124" s="139" t="str">
        <f ca="1">IFERROR(INDIRECT(CONCATENATE("Field!g",A124+1)),"")</f>
        <v>Club</v>
      </c>
      <c r="F124" s="133" t="str">
        <f ca="1">IFERROR(INDIRECT(CONCATENATE("Field!h",A124+1)),"")</f>
        <v>Perf</v>
      </c>
      <c r="G124" s="167" t="str">
        <f ca="1">IFERROR(INDIRECT(CONCATENATE("Field!i",A124+1)),"")</f>
        <v>EA</v>
      </c>
      <c r="H124" s="45"/>
      <c r="I124" s="45" t="str">
        <f ca="1">IFERROR(INDIRECT(CONCATENATE("Field!k",A124+1)),"")</f>
        <v>Posn</v>
      </c>
      <c r="J124" s="45" t="str">
        <f ca="1">IFERROR(INDIRECT(CONCATENATE("Field!l",A124+1)),"")</f>
        <v>Bib</v>
      </c>
      <c r="K124" s="139" t="str">
        <f ca="1">IFERROR(INDIRECT(CONCATENATE("Field!m",A124+1)),"")</f>
        <v>Athlete</v>
      </c>
      <c r="L124" s="139" t="str">
        <f ca="1">IFERROR(INDIRECT(CONCATENATE("Field!n",A124+1)),"")</f>
        <v>Club</v>
      </c>
      <c r="M124" s="133" t="str">
        <f ca="1">IFERROR(INDIRECT(CONCATENATE("Field!o",A124+1)),"")</f>
        <v>Perf</v>
      </c>
      <c r="N124" s="167" t="str">
        <f ca="1">IFERROR(INDIRECT(CONCATENATE("Field!p",A124+1)),"")</f>
        <v>EA</v>
      </c>
      <c r="T124" s="64" t="str">
        <f t="shared" ca="1" si="4"/>
        <v/>
      </c>
      <c r="U124" s="64" t="str">
        <f t="shared" ca="1" si="5"/>
        <v/>
      </c>
      <c r="V124" s="266" t="str">
        <f ca="1">IF(OR(D124=0,D124="",D124="Athlete"),"",COUNTIF($D$4:$D124,D124))</f>
        <v/>
      </c>
      <c r="W124" s="266" t="str">
        <f t="shared" ca="1" si="6"/>
        <v/>
      </c>
      <c r="Z124" s="266">
        <f t="shared" ca="1" si="7"/>
        <v>0</v>
      </c>
    </row>
    <row r="125" spans="1:26" x14ac:dyDescent="0.35">
      <c r="B125" s="66">
        <f ca="1">IFERROR(INDIRECT(CONCATENATE("Field!D",A124+2)),"")</f>
        <v>1</v>
      </c>
      <c r="C125" s="66">
        <f ca="1">IFERROR(INDIRECT(CONCATENATE("Field!e",A124+2)),"")</f>
        <v>7</v>
      </c>
      <c r="D125" s="85" t="str">
        <f ca="1">IFERROR(INDIRECT(CONCATENATE("Field!f",A124+2)),"")</f>
        <v>Lauren HEWITT</v>
      </c>
      <c r="E125" s="85" t="str">
        <f ca="1">IFERROR(INDIRECT(CONCATENATE("Field!g",A124+2)),"")</f>
        <v>Wigan</v>
      </c>
      <c r="F125" s="65">
        <f ca="1">IFERROR(INDIRECT(CONCATENATE("Field!h",A124+2)),"")</f>
        <v>8.32</v>
      </c>
      <c r="G125" s="108">
        <f ca="1">IFERROR(INDIRECT(CONCATENATE("Field!i",A124+2)),"")</f>
        <v>5</v>
      </c>
      <c r="H125" s="66"/>
      <c r="I125" s="66">
        <f ca="1">IFERROR(INDIRECT(CONCATENATE("Field!k",A124+2)),"")</f>
        <v>1</v>
      </c>
      <c r="J125" s="66">
        <f ca="1">IFERROR(INDIRECT(CONCATENATE("Field!l",A124+2)),"")</f>
        <v>11</v>
      </c>
      <c r="K125" s="85" t="str">
        <f ca="1">IFERROR(INDIRECT(CONCATENATE("Field!m",A124+2)),"")</f>
        <v>Bella VARLEY</v>
      </c>
      <c r="L125" s="85" t="str">
        <f ca="1">IFERROR(INDIRECT(CONCATENATE("Field!n",A124+2)),"")</f>
        <v>C&amp;N</v>
      </c>
      <c r="M125" s="65">
        <f ca="1">IFERROR(INDIRECT(CONCATENATE("Field!o",A124+2)),"")</f>
        <v>6.49</v>
      </c>
      <c r="N125" s="108">
        <f ca="1">IFERROR(INDIRECT(CONCATENATE("Field!p",A124+2)),"")</f>
        <v>1</v>
      </c>
      <c r="R125" s="168">
        <f ca="1">IFERROR(INDIRECT(CONCATENATE("Field!r",A124+2)),"")</f>
        <v>10</v>
      </c>
      <c r="T125" s="64">
        <f t="shared" ca="1" si="4"/>
        <v>3</v>
      </c>
      <c r="U125" s="64">
        <f t="shared" ca="1" si="5"/>
        <v>3</v>
      </c>
      <c r="V125" s="266">
        <f ca="1">IF(OR(D125=0,D125="",D125="Athlete"),"",COUNTIF($D$4:$D125,D125))</f>
        <v>2</v>
      </c>
      <c r="W125" s="266" t="str">
        <f t="shared" ca="1" si="6"/>
        <v>Wigan</v>
      </c>
      <c r="Z125" s="266">
        <f t="shared" ca="1" si="7"/>
        <v>0</v>
      </c>
    </row>
    <row r="126" spans="1:26" x14ac:dyDescent="0.35">
      <c r="B126" s="66">
        <f ca="1">IFERROR(INDIRECT(CONCATENATE("Field!D",A124+3)),"")</f>
        <v>2</v>
      </c>
      <c r="C126" s="66">
        <f ca="1">IFERROR(INDIRECT(CONCATENATE("Field!e",A124+3)),"")</f>
        <v>6</v>
      </c>
      <c r="D126" s="85" t="str">
        <f ca="1">IFERROR(INDIRECT(CONCATENATE("Field!f",A124+3)),"")</f>
        <v>Lucy JONES</v>
      </c>
      <c r="E126" s="85" t="str">
        <f ca="1">IFERROR(INDIRECT(CONCATENATE("Field!g",A124+3)),"")</f>
        <v>Stock</v>
      </c>
      <c r="F126" s="65">
        <f ca="1">IFERROR(INDIRECT(CONCATENATE("Field!h",A124+3)),"")</f>
        <v>7.86</v>
      </c>
      <c r="G126" s="108">
        <f ca="1">IFERROR(INDIRECT(CONCATENATE("Field!i",A124+3)),"")</f>
        <v>4</v>
      </c>
      <c r="H126" s="66"/>
      <c r="I126" s="66">
        <f ca="1">IFERROR(INDIRECT(CONCATENATE("Field!k",A124+3)),"")</f>
        <v>2</v>
      </c>
      <c r="J126" s="66">
        <f ca="1">IFERROR(INDIRECT(CONCATENATE("Field!l",A124+3)),"")</f>
        <v>3</v>
      </c>
      <c r="K126" s="85" t="str">
        <f ca="1">IFERROR(INDIRECT(CONCATENATE("Field!m",A124+3)),"")</f>
        <v>Eva MELLING</v>
      </c>
      <c r="L126" s="85" t="str">
        <f ca="1">IFERROR(INDIRECT(CONCATENATE("Field!n",A124+3)),"")</f>
        <v>Leigh</v>
      </c>
      <c r="M126" s="65">
        <f ca="1">IFERROR(INDIRECT(CONCATENATE("Field!o",A124+3)),"")</f>
        <v>5.79</v>
      </c>
      <c r="N126" s="108" t="str">
        <f ca="1">IFERROR(INDIRECT(CONCATENATE("Field!p",A124+3)),"")</f>
        <v/>
      </c>
      <c r="T126" s="64">
        <f t="shared" ca="1" si="4"/>
        <v>3</v>
      </c>
      <c r="U126" s="64">
        <f t="shared" ca="1" si="5"/>
        <v>3</v>
      </c>
      <c r="V126" s="266">
        <f ca="1">IF(OR(D126=0,D126="",D126="Athlete"),"",COUNTIF($D$4:$D126,D126))</f>
        <v>2</v>
      </c>
      <c r="W126" s="266" t="str">
        <f t="shared" ca="1" si="6"/>
        <v>Stock</v>
      </c>
      <c r="Z126" s="266">
        <f t="shared" ca="1" si="7"/>
        <v>0</v>
      </c>
    </row>
    <row r="127" spans="1:26" x14ac:dyDescent="0.35">
      <c r="B127" s="66">
        <f ca="1">IFERROR(INDIRECT(CONCATENATE("Field!D",A124+4)),"")</f>
        <v>3</v>
      </c>
      <c r="C127" s="66">
        <f ca="1">IFERROR(INDIRECT(CONCATENATE("Field!e",A124+4)),"")</f>
        <v>1</v>
      </c>
      <c r="D127" s="85" t="str">
        <f ca="1">IFERROR(INDIRECT(CONCATENATE("Field!f",A124+4)),"")</f>
        <v>Lucy HARDING</v>
      </c>
      <c r="E127" s="85" t="str">
        <f ca="1">IFERROR(INDIRECT(CONCATENATE("Field!g",A124+4)),"")</f>
        <v>C&amp;N</v>
      </c>
      <c r="F127" s="65">
        <f ca="1">IFERROR(INDIRECT(CONCATENATE("Field!h",A124+4)),"")</f>
        <v>7.4</v>
      </c>
      <c r="G127" s="108">
        <f ca="1">IFERROR(INDIRECT(CONCATENATE("Field!i",A124+4)),"")</f>
        <v>3</v>
      </c>
      <c r="H127" s="66"/>
      <c r="I127" s="66">
        <f ca="1">IFERROR(INDIRECT(CONCATENATE("Field!k",A124+4)),"")</f>
        <v>3</v>
      </c>
      <c r="J127" s="66">
        <f ca="1">IFERROR(INDIRECT(CONCATENATE("Field!l",A124+4)),"")</f>
        <v>77</v>
      </c>
      <c r="K127" s="85" t="str">
        <f ca="1">IFERROR(INDIRECT(CONCATENATE("Field!m",A124+4)),"")</f>
        <v>Lucy STRETTON</v>
      </c>
      <c r="L127" s="85" t="str">
        <f ca="1">IFERROR(INDIRECT(CONCATENATE("Field!n",A124+4)),"")</f>
        <v>Wigan</v>
      </c>
      <c r="M127" s="65">
        <f ca="1">IFERROR(INDIRECT(CONCATENATE("Field!o",A124+4)),"")</f>
        <v>5.72</v>
      </c>
      <c r="N127" s="108" t="str">
        <f ca="1">IFERROR(INDIRECT(CONCATENATE("Field!p",A124+4)),"")</f>
        <v/>
      </c>
      <c r="T127" s="64">
        <f t="shared" ca="1" si="4"/>
        <v>3</v>
      </c>
      <c r="U127" s="64">
        <f t="shared" ca="1" si="5"/>
        <v>3</v>
      </c>
      <c r="V127" s="266">
        <f ca="1">IF(OR(D127=0,D127="",D127="Athlete"),"",COUNTIF($D$4:$D127,D127))</f>
        <v>2</v>
      </c>
      <c r="W127" s="266" t="str">
        <f t="shared" ca="1" si="6"/>
        <v>C&amp;N</v>
      </c>
      <c r="Z127" s="266">
        <f t="shared" ca="1" si="7"/>
        <v>0</v>
      </c>
    </row>
    <row r="128" spans="1:26" x14ac:dyDescent="0.35">
      <c r="B128" s="66">
        <f ca="1">IFERROR(INDIRECT(CONCATENATE("Field!D",A124+5)),"")</f>
        <v>4</v>
      </c>
      <c r="C128" s="66">
        <f ca="1">IFERROR(INDIRECT(CONCATENATE("Field!e",A124+5)),"")</f>
        <v>5</v>
      </c>
      <c r="D128" s="85" t="str">
        <f ca="1">IFERROR(INDIRECT(CONCATENATE("Field!f",A124+5)),"")</f>
        <v>Erin JACOBS</v>
      </c>
      <c r="E128" s="85" t="str">
        <f ca="1">IFERROR(INDIRECT(CONCATENATE("Field!g",A124+5)),"")</f>
        <v>Menai</v>
      </c>
      <c r="F128" s="65">
        <f ca="1">IFERROR(INDIRECT(CONCATENATE("Field!h",A124+5)),"")</f>
        <v>7.19</v>
      </c>
      <c r="G128" s="108">
        <f ca="1">IFERROR(INDIRECT(CONCATENATE("Field!i",A124+5)),"")</f>
        <v>3</v>
      </c>
      <c r="H128" s="66"/>
      <c r="I128" s="66">
        <f ca="1">IFERROR(INDIRECT(CONCATENATE("Field!k",A124+5)),"")</f>
        <v>4</v>
      </c>
      <c r="J128" s="66">
        <f ca="1">IFERROR(INDIRECT(CONCATENATE("Field!l",A124+5)),"")</f>
        <v>55</v>
      </c>
      <c r="K128" s="85" t="str">
        <f ca="1">IFERROR(INDIRECT(CONCATENATE("Field!m",A124+5)),"")</f>
        <v>Krista JONES</v>
      </c>
      <c r="L128" s="85" t="str">
        <f ca="1">IFERROR(INDIRECT(CONCATENATE("Field!n",A124+5)),"")</f>
        <v>Menai</v>
      </c>
      <c r="M128" s="65">
        <f ca="1">IFERROR(INDIRECT(CONCATENATE("Field!o",A124+5)),"")</f>
        <v>5.54</v>
      </c>
      <c r="N128" s="108" t="str">
        <f ca="1">IFERROR(INDIRECT(CONCATENATE("Field!p",A124+5)),"")</f>
        <v/>
      </c>
      <c r="T128" s="64">
        <f t="shared" ca="1" si="4"/>
        <v>3</v>
      </c>
      <c r="U128" s="64">
        <f t="shared" ca="1" si="5"/>
        <v>3</v>
      </c>
      <c r="V128" s="266">
        <f ca="1">IF(OR(D128=0,D128="",D128="Athlete"),"",COUNTIF($D$4:$D128,D128))</f>
        <v>1</v>
      </c>
      <c r="W128" s="266" t="str">
        <f t="shared" ca="1" si="6"/>
        <v>Menai</v>
      </c>
      <c r="Z128" s="266">
        <f t="shared" ca="1" si="7"/>
        <v>0</v>
      </c>
    </row>
    <row r="129" spans="1:26" x14ac:dyDescent="0.35">
      <c r="B129" s="66">
        <f ca="1">IFERROR(INDIRECT(CONCATENATE("Field!D",A124+6)),"")</f>
        <v>5</v>
      </c>
      <c r="C129" s="66">
        <f ca="1">IFERROR(INDIRECT(CONCATENATE("Field!e",A124+6)),"")</f>
        <v>33</v>
      </c>
      <c r="D129" s="85" t="str">
        <f ca="1">IFERROR(INDIRECT(CONCATENATE("Field!f",A124+6)),"")</f>
        <v>Olivia COPPER</v>
      </c>
      <c r="E129" s="85" t="str">
        <f ca="1">IFERROR(INDIRECT(CONCATENATE("Field!g",A124+6)),"")</f>
        <v>Leigh</v>
      </c>
      <c r="F129" s="65">
        <f ca="1">IFERROR(INDIRECT(CONCATENATE("Field!h",A124+6)),"")</f>
        <v>6.11</v>
      </c>
      <c r="G129" s="108">
        <f ca="1">IFERROR(INDIRECT(CONCATENATE("Field!i",A124+6)),"")</f>
        <v>1</v>
      </c>
      <c r="H129" s="66"/>
      <c r="I129" s="66">
        <f ca="1">IFERROR(INDIRECT(CONCATENATE("Field!k",A124+6)),"")</f>
        <v>5</v>
      </c>
      <c r="J129" s="66" t="str">
        <f ca="1">IFERROR(INDIRECT(CONCATENATE("Field!l",A124+6)),"")</f>
        <v/>
      </c>
      <c r="K129" s="85" t="str">
        <f ca="1">IFERROR(INDIRECT(CONCATENATE("Field!m",A124+6)),"")</f>
        <v/>
      </c>
      <c r="L129" s="85" t="str">
        <f ca="1">IFERROR(INDIRECT(CONCATENATE("Field!n",A124+6)),"")</f>
        <v/>
      </c>
      <c r="M129" s="65" t="str">
        <f ca="1">IFERROR(INDIRECT(CONCATENATE("Field!o",A124+6)),"")</f>
        <v/>
      </c>
      <c r="N129" s="108" t="str">
        <f ca="1">IFERROR(INDIRECT(CONCATENATE("Field!p",A124+6)),"")</f>
        <v/>
      </c>
      <c r="T129" s="64">
        <f t="shared" ca="1" si="4"/>
        <v>3</v>
      </c>
      <c r="U129" s="64" t="str">
        <f t="shared" ca="1" si="5"/>
        <v/>
      </c>
      <c r="V129" s="266">
        <f ca="1">IF(OR(D129=0,D129="",D129="Athlete"),"",COUNTIF($D$4:$D129,D129))</f>
        <v>2</v>
      </c>
      <c r="W129" s="266" t="str">
        <f t="shared" ca="1" si="6"/>
        <v>Leigh</v>
      </c>
      <c r="Z129" s="266">
        <f t="shared" ca="1" si="7"/>
        <v>0</v>
      </c>
    </row>
    <row r="130" spans="1:26" x14ac:dyDescent="0.35">
      <c r="B130" s="66">
        <f ca="1">IFERROR(INDIRECT(CONCATENATE("Field!D",A124+7)),"")</f>
        <v>6</v>
      </c>
      <c r="C130" s="66">
        <f ca="1">IFERROR(INDIRECT(CONCATENATE("Field!e",A124+7)),"")</f>
        <v>2</v>
      </c>
      <c r="D130" s="85" t="str">
        <f ca="1">IFERROR(INDIRECT(CONCATENATE("Field!f",A124+7)),"")</f>
        <v>Isla HERRING</v>
      </c>
      <c r="E130" s="85" t="str">
        <f ca="1">IFERROR(INDIRECT(CONCATENATE("Field!g",A124+7)),"")</f>
        <v>ECHT</v>
      </c>
      <c r="F130" s="65">
        <f ca="1">IFERROR(INDIRECT(CONCATENATE("Field!h",A124+7)),"")</f>
        <v>4.34</v>
      </c>
      <c r="G130" s="108" t="str">
        <f ca="1">IFERROR(INDIRECT(CONCATENATE("Field!i",A124+7)),"")</f>
        <v/>
      </c>
      <c r="H130" s="66"/>
      <c r="I130" s="66">
        <f ca="1">IFERROR(INDIRECT(CONCATENATE("Field!k",A124+7)),"")</f>
        <v>6</v>
      </c>
      <c r="J130" s="66" t="str">
        <f ca="1">IFERROR(INDIRECT(CONCATENATE("Field!l",A124+7)),"")</f>
        <v/>
      </c>
      <c r="K130" s="85" t="str">
        <f ca="1">IFERROR(INDIRECT(CONCATENATE("Field!m",A124+7)),"")</f>
        <v/>
      </c>
      <c r="L130" s="85" t="str">
        <f ca="1">IFERROR(INDIRECT(CONCATENATE("Field!n",A124+7)),"")</f>
        <v/>
      </c>
      <c r="M130" s="65" t="str">
        <f ca="1">IFERROR(INDIRECT(CONCATENATE("Field!o",A124+7)),"")</f>
        <v/>
      </c>
      <c r="N130" s="108" t="str">
        <f ca="1">IFERROR(INDIRECT(CONCATENATE("Field!p",A124+7)),"")</f>
        <v/>
      </c>
      <c r="T130" s="64">
        <f t="shared" ca="1" si="4"/>
        <v>3</v>
      </c>
      <c r="U130" s="64" t="str">
        <f t="shared" ca="1" si="5"/>
        <v/>
      </c>
      <c r="V130" s="266">
        <f ca="1">IF(OR(D130=0,D130="",D130="Athlete"),"",COUNTIF($D$4:$D130,D130))</f>
        <v>3</v>
      </c>
      <c r="W130" s="266" t="str">
        <f t="shared" ca="1" si="6"/>
        <v>ECHT</v>
      </c>
      <c r="Z130" s="266" t="str">
        <f t="shared" ca="1" si="7"/>
        <v/>
      </c>
    </row>
    <row r="131" spans="1:26" x14ac:dyDescent="0.35">
      <c r="B131" s="66">
        <f ca="1">IFERROR(INDIRECT(CONCATENATE("Field!D",A124+8)),"")</f>
        <v>7</v>
      </c>
      <c r="C131" s="66" t="str">
        <f ca="1">IFERROR(INDIRECT(CONCATENATE("Field!e",A124+8)),"")</f>
        <v/>
      </c>
      <c r="D131" s="85" t="str">
        <f ca="1">IFERROR(INDIRECT(CONCATENATE("Field!f",A124+8)),"")</f>
        <v/>
      </c>
      <c r="E131" s="85" t="str">
        <f ca="1">IFERROR(INDIRECT(CONCATENATE("Field!g",A124+8)),"")</f>
        <v/>
      </c>
      <c r="F131" s="65" t="str">
        <f ca="1">IFERROR(INDIRECT(CONCATENATE("Field!h",A124+8)),"")</f>
        <v/>
      </c>
      <c r="G131" s="108" t="str">
        <f ca="1">IFERROR(INDIRECT(CONCATENATE("Field!i",A124+8)),"")</f>
        <v/>
      </c>
      <c r="H131" s="66"/>
      <c r="I131" s="66">
        <f ca="1">IFERROR(INDIRECT(CONCATENATE("Field!k",A124+8)),"")</f>
        <v>7</v>
      </c>
      <c r="J131" s="66" t="str">
        <f ca="1">IFERROR(INDIRECT(CONCATENATE("Field!l",A124+8)),"")</f>
        <v/>
      </c>
      <c r="K131" s="85" t="str">
        <f ca="1">IFERROR(INDIRECT(CONCATENATE("Field!m",A124+8)),"")</f>
        <v/>
      </c>
      <c r="L131" s="85" t="str">
        <f ca="1">IFERROR(INDIRECT(CONCATENATE("Field!n",A124+8)),"")</f>
        <v/>
      </c>
      <c r="M131" s="65" t="str">
        <f ca="1">IFERROR(INDIRECT(CONCATENATE("Field!o",A124+8)),"")</f>
        <v/>
      </c>
      <c r="N131" s="108" t="str">
        <f ca="1">IFERROR(INDIRECT(CONCATENATE("Field!p",A124+8)),"")</f>
        <v/>
      </c>
      <c r="T131" s="64" t="str">
        <f t="shared" ca="1" si="4"/>
        <v/>
      </c>
      <c r="U131" s="64" t="str">
        <f t="shared" ca="1" si="5"/>
        <v/>
      </c>
      <c r="V131" s="266" t="str">
        <f ca="1">IF(OR(D131=0,D131="",D131="Athlete"),"",COUNTIF($D$4:$D131,D131))</f>
        <v/>
      </c>
      <c r="W131" s="266" t="str">
        <f t="shared" ca="1" si="6"/>
        <v/>
      </c>
      <c r="Z131" s="266" t="str">
        <f t="shared" ca="1" si="7"/>
        <v/>
      </c>
    </row>
    <row r="132" spans="1:26" x14ac:dyDescent="0.35">
      <c r="B132" s="66">
        <f ca="1">IFERROR(INDIRECT(CONCATENATE("Field!D",A124+9)),"")</f>
        <v>8</v>
      </c>
      <c r="C132" s="66" t="str">
        <f ca="1">IFERROR(INDIRECT(CONCATENATE("Field!e",A124+9)),"")</f>
        <v/>
      </c>
      <c r="D132" s="85" t="str">
        <f ca="1">IFERROR(INDIRECT(CONCATENATE("Field!f",A124+9)),"")</f>
        <v/>
      </c>
      <c r="E132" s="85" t="str">
        <f ca="1">IFERROR(INDIRECT(CONCATENATE("Field!g",A124+9)),"")</f>
        <v/>
      </c>
      <c r="F132" s="65" t="str">
        <f ca="1">IFERROR(INDIRECT(CONCATENATE("Field!h",A124+9)),"")</f>
        <v/>
      </c>
      <c r="G132" s="108" t="str">
        <f ca="1">IFERROR(INDIRECT(CONCATENATE("Field!i",A124+9)),"")</f>
        <v/>
      </c>
      <c r="H132" s="66"/>
      <c r="I132" s="66">
        <f ca="1">IFERROR(INDIRECT(CONCATENATE("Field!k",A124+9)),"")</f>
        <v>8</v>
      </c>
      <c r="J132" s="66" t="str">
        <f ca="1">IFERROR(INDIRECT(CONCATENATE("Field!l",A124+9)),"")</f>
        <v/>
      </c>
      <c r="K132" s="85" t="str">
        <f ca="1">IFERROR(INDIRECT(CONCATENATE("Field!m",A124+9)),"")</f>
        <v/>
      </c>
      <c r="L132" s="85" t="str">
        <f ca="1">IFERROR(INDIRECT(CONCATENATE("Field!n",A124+9)),"")</f>
        <v/>
      </c>
      <c r="M132" s="65" t="str">
        <f ca="1">IFERROR(INDIRECT(CONCATENATE("Field!o",A124+9)),"")</f>
        <v/>
      </c>
      <c r="N132" s="108" t="str">
        <f ca="1">IFERROR(INDIRECT(CONCATENATE("Field!p",A124+9)),"")</f>
        <v/>
      </c>
      <c r="T132" s="64" t="str">
        <f t="shared" ca="1" si="4"/>
        <v/>
      </c>
      <c r="U132" s="64" t="str">
        <f t="shared" ca="1" si="5"/>
        <v/>
      </c>
      <c r="V132" s="266" t="str">
        <f ca="1">IF(OR(D132=0,D132="",D132="Athlete"),"",COUNTIF($D$4:$D132,D132))</f>
        <v/>
      </c>
      <c r="W132" s="266" t="str">
        <f t="shared" ca="1" si="6"/>
        <v/>
      </c>
      <c r="Z132" s="266" t="str">
        <f t="shared" ca="1" si="7"/>
        <v/>
      </c>
    </row>
    <row r="133" spans="1:26" x14ac:dyDescent="0.35">
      <c r="T133" s="64" t="str">
        <f t="shared" ref="T133:T196" si="8">IF(OR(D133=0,D133="",D133="Athlete"),"",COUNTIF($D$4:$D$352,D133))</f>
        <v/>
      </c>
      <c r="U133" s="64" t="str">
        <f t="shared" ref="U133:U196" si="9">IF(OR(K133=0,K133="",K133="Athlete"),"",COUNTIF($D$4:$D$352,K133))</f>
        <v/>
      </c>
      <c r="V133" s="266" t="str">
        <f>IF(OR(D133=0,D133="",D133="Athlete"),"",COUNTIF($D$4:$D133,D133))</f>
        <v/>
      </c>
      <c r="W133" s="266" t="str">
        <f t="shared" ref="W133:W165" si="10">IF(OR(D133=0,D133="",D133="Athlete"),"",E133)</f>
        <v/>
      </c>
      <c r="Z133" s="266" t="str">
        <f t="shared" ref="Z133:Z165" si="11">IF(OR(G133=0,G133="",G133="Athlete"),"",H133)</f>
        <v/>
      </c>
    </row>
    <row r="134" spans="1:26" x14ac:dyDescent="0.35">
      <c r="A134" s="66" t="s">
        <v>182</v>
      </c>
      <c r="B134" s="102" t="str">
        <f ca="1">IFERROR(INDIRECT(CONCATENATE("Field!D",A135)),"")</f>
        <v>Discus U15 Girls A</v>
      </c>
      <c r="G134" s="108" t="str">
        <f ca="1">IFERROR(INDIRECT(CONCATENATE("Field!i",A135)),"")</f>
        <v/>
      </c>
      <c r="I134" s="102" t="str">
        <f ca="1">IFERROR(INDIRECT(CONCATENATE("Field!k",A135)),"")</f>
        <v>Discus U15 Girls B</v>
      </c>
      <c r="T134" s="64" t="str">
        <f t="shared" si="8"/>
        <v/>
      </c>
      <c r="U134" s="64" t="str">
        <f t="shared" si="9"/>
        <v/>
      </c>
      <c r="V134" s="266" t="str">
        <f>IF(OR(D134=0,D134="",D134="Athlete"),"",COUNTIF($D$4:$D134,D134))</f>
        <v/>
      </c>
      <c r="W134" s="266" t="str">
        <f t="shared" si="10"/>
        <v/>
      </c>
      <c r="Z134" s="266" t="str">
        <f t="shared" ca="1" si="11"/>
        <v/>
      </c>
    </row>
    <row r="135" spans="1:26" x14ac:dyDescent="0.35">
      <c r="A135" s="66">
        <f>IFERROR(MATCH(A134,Field!C:C,0),"")</f>
        <v>46</v>
      </c>
      <c r="B135" s="45" t="str">
        <f ca="1">IFERROR(INDIRECT(CONCATENATE("Field!D",A135+1)),"")</f>
        <v>Posn</v>
      </c>
      <c r="C135" s="45" t="str">
        <f ca="1">IFERROR(INDIRECT(CONCATENATE("Field!e",A135+1)),"")</f>
        <v>Bib</v>
      </c>
      <c r="D135" s="139" t="str">
        <f ca="1">IFERROR(INDIRECT(CONCATENATE("Field!f",A135+1)),"")</f>
        <v>Athlete</v>
      </c>
      <c r="E135" s="139" t="str">
        <f ca="1">IFERROR(INDIRECT(CONCATENATE("Field!g",A135+1)),"")</f>
        <v>Club</v>
      </c>
      <c r="F135" s="133" t="str">
        <f ca="1">IFERROR(INDIRECT(CONCATENATE("Field!h",A135+1)),"")</f>
        <v>Perf</v>
      </c>
      <c r="G135" s="167" t="str">
        <f ca="1">IFERROR(INDIRECT(CONCATENATE("Field!i",A135+1)),"")</f>
        <v>EA</v>
      </c>
      <c r="H135" s="45"/>
      <c r="I135" s="45" t="str">
        <f ca="1">IFERROR(INDIRECT(CONCATENATE("Field!k",A135+1)),"")</f>
        <v>Posn</v>
      </c>
      <c r="J135" s="45" t="str">
        <f ca="1">IFERROR(INDIRECT(CONCATENATE("Field!l",A135+1)),"")</f>
        <v>Bib</v>
      </c>
      <c r="K135" s="139" t="str">
        <f ca="1">IFERROR(INDIRECT(CONCATENATE("Field!m",A135+1)),"")</f>
        <v>Athlete</v>
      </c>
      <c r="L135" s="139" t="str">
        <f ca="1">IFERROR(INDIRECT(CONCATENATE("Field!n",A135+1)),"")</f>
        <v>Club</v>
      </c>
      <c r="M135" s="133" t="str">
        <f ca="1">IFERROR(INDIRECT(CONCATENATE("Field!o",A135+1)),"")</f>
        <v>Perf</v>
      </c>
      <c r="N135" s="167" t="str">
        <f ca="1">IFERROR(INDIRECT(CONCATENATE("Field!p",A135+1)),"")</f>
        <v>EA</v>
      </c>
      <c r="T135" s="64" t="str">
        <f t="shared" ca="1" si="8"/>
        <v/>
      </c>
      <c r="U135" s="64" t="str">
        <f t="shared" ca="1" si="9"/>
        <v/>
      </c>
      <c r="V135" s="266" t="str">
        <f ca="1">IF(OR(D135=0,D135="",D135="Athlete"),"",COUNTIF($D$4:$D135,D135))</f>
        <v/>
      </c>
      <c r="W135" s="266" t="str">
        <f t="shared" ca="1" si="10"/>
        <v/>
      </c>
      <c r="Z135" s="266">
        <f t="shared" ca="1" si="11"/>
        <v>0</v>
      </c>
    </row>
    <row r="136" spans="1:26" x14ac:dyDescent="0.35">
      <c r="B136" s="66">
        <f ca="1">IFERROR(INDIRECT(CONCATENATE("Field!D",A135+2)),"")</f>
        <v>1</v>
      </c>
      <c r="C136" s="66">
        <f ca="1">IFERROR(INDIRECT(CONCATENATE("Field!e",A135+2)),"")</f>
        <v>5</v>
      </c>
      <c r="D136" s="85" t="str">
        <f ca="1">IFERROR(INDIRECT(CONCATENATE("Field!f",A135+2)),"")</f>
        <v>Erin JACOBS</v>
      </c>
      <c r="E136" s="85" t="str">
        <f ca="1">IFERROR(INDIRECT(CONCATENATE("Field!g",A135+2)),"")</f>
        <v>Menai</v>
      </c>
      <c r="F136" s="65">
        <f ca="1">IFERROR(INDIRECT(CONCATENATE("Field!h",A135+2)),"")</f>
        <v>23.77</v>
      </c>
      <c r="G136" s="108">
        <f ca="1">IFERROR(INDIRECT(CONCATENATE("Field!i",A135+2)),"")</f>
        <v>5</v>
      </c>
      <c r="H136" s="66"/>
      <c r="I136" s="66">
        <f ca="1">IFERROR(INDIRECT(CONCATENATE("Field!k",A135+2)),"")</f>
        <v>1</v>
      </c>
      <c r="J136" s="66">
        <f ca="1">IFERROR(INDIRECT(CONCATENATE("Field!l",A135+2)),"")</f>
        <v>55</v>
      </c>
      <c r="K136" s="85" t="str">
        <f ca="1">IFERROR(INDIRECT(CONCATENATE("Field!m",A135+2)),"")</f>
        <v>Elliw MOSS</v>
      </c>
      <c r="L136" s="85" t="str">
        <f ca="1">IFERROR(INDIRECT(CONCATENATE("Field!n",A135+2)),"")</f>
        <v>Menai</v>
      </c>
      <c r="M136" s="65">
        <f ca="1">IFERROR(INDIRECT(CONCATENATE("Field!o",A135+2)),"")</f>
        <v>15.99</v>
      </c>
      <c r="N136" s="108">
        <f ca="1">IFERROR(INDIRECT(CONCATENATE("Field!p",A135+2)),"")</f>
        <v>1</v>
      </c>
      <c r="R136" s="168">
        <f ca="1">IFERROR(INDIRECT(CONCATENATE("Field!r",A135+2)),"")</f>
        <v>10</v>
      </c>
      <c r="T136" s="64">
        <f t="shared" ca="1" si="8"/>
        <v>3</v>
      </c>
      <c r="U136" s="64">
        <f t="shared" ca="1" si="9"/>
        <v>2</v>
      </c>
      <c r="V136" s="266">
        <f ca="1">IF(OR(D136=0,D136="",D136="Athlete"),"",COUNTIF($D$4:$D136,D136))</f>
        <v>2</v>
      </c>
      <c r="W136" s="266" t="str">
        <f t="shared" ca="1" si="10"/>
        <v>Menai</v>
      </c>
      <c r="Z136" s="266">
        <f t="shared" ca="1" si="11"/>
        <v>0</v>
      </c>
    </row>
    <row r="137" spans="1:26" x14ac:dyDescent="0.35">
      <c r="B137" s="66">
        <f ca="1">IFERROR(INDIRECT(CONCATENATE("Field!D",A135+3)),"")</f>
        <v>2</v>
      </c>
      <c r="C137" s="66">
        <f ca="1">IFERROR(INDIRECT(CONCATENATE("Field!e",A135+3)),"")</f>
        <v>1</v>
      </c>
      <c r="D137" s="85" t="str">
        <f ca="1">IFERROR(INDIRECT(CONCATENATE("Field!f",A135+3)),"")</f>
        <v>Elisha CARTER</v>
      </c>
      <c r="E137" s="85" t="str">
        <f ca="1">IFERROR(INDIRECT(CONCATENATE("Field!g",A135+3)),"")</f>
        <v>C&amp;N</v>
      </c>
      <c r="F137" s="65">
        <f ca="1">IFERROR(INDIRECT(CONCATENATE("Field!h",A135+3)),"")</f>
        <v>12.14</v>
      </c>
      <c r="G137" s="108" t="str">
        <f ca="1">IFERROR(INDIRECT(CONCATENATE("Field!i",A135+3)),"")</f>
        <v/>
      </c>
      <c r="H137" s="66"/>
      <c r="I137" s="66">
        <f ca="1">IFERROR(INDIRECT(CONCATENATE("Field!k",A135+3)),"")</f>
        <v>2</v>
      </c>
      <c r="J137" s="66">
        <f ca="1">IFERROR(INDIRECT(CONCATENATE("Field!l",A135+3)),"")</f>
        <v>11</v>
      </c>
      <c r="K137" s="85" t="str">
        <f ca="1">IFERROR(INDIRECT(CONCATENATE("Field!m",A135+3)),"")</f>
        <v>Freya MASON</v>
      </c>
      <c r="L137" s="85" t="str">
        <f ca="1">IFERROR(INDIRECT(CONCATENATE("Field!n",A135+3)),"")</f>
        <v>C&amp;N</v>
      </c>
      <c r="M137" s="65">
        <f ca="1">IFERROR(INDIRECT(CONCATENATE("Field!o",A135+3)),"")</f>
        <v>10.82</v>
      </c>
      <c r="N137" s="108" t="str">
        <f ca="1">IFERROR(INDIRECT(CONCATENATE("Field!p",A135+3)),"")</f>
        <v/>
      </c>
      <c r="T137" s="64">
        <f t="shared" ca="1" si="8"/>
        <v>3</v>
      </c>
      <c r="U137" s="64">
        <f t="shared" ca="1" si="9"/>
        <v>2</v>
      </c>
      <c r="V137" s="266">
        <f ca="1">IF(OR(D137=0,D137="",D137="Athlete"),"",COUNTIF($D$4:$D137,D137))</f>
        <v>1</v>
      </c>
      <c r="W137" s="266" t="str">
        <f t="shared" ca="1" si="10"/>
        <v>C&amp;N</v>
      </c>
      <c r="Z137" s="266" t="str">
        <f t="shared" ca="1" si="11"/>
        <v/>
      </c>
    </row>
    <row r="138" spans="1:26" x14ac:dyDescent="0.35">
      <c r="B138" s="66">
        <f ca="1">IFERROR(INDIRECT(CONCATENATE("Field!D",A135+4)),"")</f>
        <v>3</v>
      </c>
      <c r="C138" s="66">
        <f ca="1">IFERROR(INDIRECT(CONCATENATE("Field!e",A135+4)),"")</f>
        <v>3</v>
      </c>
      <c r="D138" s="85" t="str">
        <f ca="1">IFERROR(INDIRECT(CONCATENATE("Field!f",A135+4)),"")</f>
        <v>Eva MELLING</v>
      </c>
      <c r="E138" s="85" t="str">
        <f ca="1">IFERROR(INDIRECT(CONCATENATE("Field!g",A135+4)),"")</f>
        <v>Leigh</v>
      </c>
      <c r="F138" s="65">
        <f ca="1">IFERROR(INDIRECT(CONCATENATE("Field!h",A135+4)),"")</f>
        <v>10.74</v>
      </c>
      <c r="G138" s="108" t="str">
        <f ca="1">IFERROR(INDIRECT(CONCATENATE("Field!i",A135+4)),"")</f>
        <v/>
      </c>
      <c r="H138" s="66"/>
      <c r="I138" s="66">
        <f ca="1">IFERROR(INDIRECT(CONCATENATE("Field!k",A135+4)),"")</f>
        <v>3</v>
      </c>
      <c r="J138" s="66" t="str">
        <f ca="1">IFERROR(INDIRECT(CONCATENATE("Field!l",A135+4)),"")</f>
        <v/>
      </c>
      <c r="K138" s="85" t="str">
        <f ca="1">IFERROR(INDIRECT(CONCATENATE("Field!m",A135+4)),"")</f>
        <v/>
      </c>
      <c r="L138" s="85" t="str">
        <f ca="1">IFERROR(INDIRECT(CONCATENATE("Field!n",A135+4)),"")</f>
        <v/>
      </c>
      <c r="M138" s="65" t="str">
        <f ca="1">IFERROR(INDIRECT(CONCATENATE("Field!o",A135+4)),"")</f>
        <v/>
      </c>
      <c r="N138" s="108" t="str">
        <f ca="1">IFERROR(INDIRECT(CONCATENATE("Field!p",A135+4)),"")</f>
        <v/>
      </c>
      <c r="T138" s="64">
        <f t="shared" ca="1" si="8"/>
        <v>3</v>
      </c>
      <c r="U138" s="64" t="str">
        <f t="shared" ca="1" si="9"/>
        <v/>
      </c>
      <c r="V138" s="266">
        <f ca="1">IF(OR(D138=0,D138="",D138="Athlete"),"",COUNTIF($D$4:$D138,D138))</f>
        <v>1</v>
      </c>
      <c r="W138" s="266" t="str">
        <f t="shared" ca="1" si="10"/>
        <v>Leigh</v>
      </c>
      <c r="Z138" s="266" t="str">
        <f t="shared" ca="1" si="11"/>
        <v/>
      </c>
    </row>
    <row r="139" spans="1:26" x14ac:dyDescent="0.35">
      <c r="B139" s="66">
        <f ca="1">IFERROR(INDIRECT(CONCATENATE("Field!D",A135+5)),"")</f>
        <v>4</v>
      </c>
      <c r="C139" s="66" t="str">
        <f ca="1">IFERROR(INDIRECT(CONCATENATE("Field!e",A135+5)),"")</f>
        <v/>
      </c>
      <c r="D139" s="85" t="str">
        <f ca="1">IFERROR(INDIRECT(CONCATENATE("Field!f",A135+5)),"")</f>
        <v/>
      </c>
      <c r="E139" s="85" t="str">
        <f ca="1">IFERROR(INDIRECT(CONCATENATE("Field!g",A135+5)),"")</f>
        <v/>
      </c>
      <c r="F139" s="65" t="str">
        <f ca="1">IFERROR(INDIRECT(CONCATENATE("Field!h",A135+5)),"")</f>
        <v/>
      </c>
      <c r="G139" s="108" t="str">
        <f ca="1">IFERROR(INDIRECT(CONCATENATE("Field!i",A135+5)),"")</f>
        <v/>
      </c>
      <c r="H139" s="66"/>
      <c r="I139" s="66">
        <f ca="1">IFERROR(INDIRECT(CONCATENATE("Field!k",A135+5)),"")</f>
        <v>4</v>
      </c>
      <c r="J139" s="66" t="str">
        <f ca="1">IFERROR(INDIRECT(CONCATENATE("Field!l",A135+5)),"")</f>
        <v/>
      </c>
      <c r="K139" s="85" t="str">
        <f ca="1">IFERROR(INDIRECT(CONCATENATE("Field!m",A135+5)),"")</f>
        <v/>
      </c>
      <c r="L139" s="85" t="str">
        <f ca="1">IFERROR(INDIRECT(CONCATENATE("Field!n",A135+5)),"")</f>
        <v/>
      </c>
      <c r="M139" s="65" t="str">
        <f ca="1">IFERROR(INDIRECT(CONCATENATE("Field!o",A135+5)),"")</f>
        <v/>
      </c>
      <c r="N139" s="108" t="str">
        <f ca="1">IFERROR(INDIRECT(CONCATENATE("Field!p",A135+5)),"")</f>
        <v/>
      </c>
      <c r="T139" s="64" t="str">
        <f t="shared" ca="1" si="8"/>
        <v/>
      </c>
      <c r="U139" s="64" t="str">
        <f t="shared" ca="1" si="9"/>
        <v/>
      </c>
      <c r="V139" s="266" t="str">
        <f ca="1">IF(OR(D139=0,D139="",D139="Athlete"),"",COUNTIF($D$4:$D139,D139))</f>
        <v/>
      </c>
      <c r="W139" s="266" t="str">
        <f t="shared" ca="1" si="10"/>
        <v/>
      </c>
      <c r="Z139" s="266" t="str">
        <f t="shared" ca="1" si="11"/>
        <v/>
      </c>
    </row>
    <row r="140" spans="1:26" x14ac:dyDescent="0.35">
      <c r="B140" s="66">
        <f ca="1">IFERROR(INDIRECT(CONCATENATE("Field!D",A135+6)),"")</f>
        <v>5</v>
      </c>
      <c r="C140" s="66" t="str">
        <f ca="1">IFERROR(INDIRECT(CONCATENATE("Field!e",A135+6)),"")</f>
        <v/>
      </c>
      <c r="D140" s="85" t="str">
        <f ca="1">IFERROR(INDIRECT(CONCATENATE("Field!f",A135+6)),"")</f>
        <v/>
      </c>
      <c r="E140" s="85" t="str">
        <f ca="1">IFERROR(INDIRECT(CONCATENATE("Field!g",A135+6)),"")</f>
        <v/>
      </c>
      <c r="F140" s="65" t="str">
        <f ca="1">IFERROR(INDIRECT(CONCATENATE("Field!h",A135+6)),"")</f>
        <v/>
      </c>
      <c r="G140" s="108" t="str">
        <f ca="1">IFERROR(INDIRECT(CONCATENATE("Field!i",A135+6)),"")</f>
        <v/>
      </c>
      <c r="H140" s="66"/>
      <c r="I140" s="66">
        <f ca="1">IFERROR(INDIRECT(CONCATENATE("Field!k",A135+6)),"")</f>
        <v>5</v>
      </c>
      <c r="J140" s="66" t="str">
        <f ca="1">IFERROR(INDIRECT(CONCATENATE("Field!l",A135+6)),"")</f>
        <v/>
      </c>
      <c r="K140" s="85" t="str">
        <f ca="1">IFERROR(INDIRECT(CONCATENATE("Field!m",A135+6)),"")</f>
        <v/>
      </c>
      <c r="L140" s="85" t="str">
        <f ca="1">IFERROR(INDIRECT(CONCATENATE("Field!n",A135+6)),"")</f>
        <v/>
      </c>
      <c r="M140" s="65" t="str">
        <f ca="1">IFERROR(INDIRECT(CONCATENATE("Field!o",A135+6)),"")</f>
        <v/>
      </c>
      <c r="N140" s="108" t="str">
        <f ca="1">IFERROR(INDIRECT(CONCATENATE("Field!p",A135+6)),"")</f>
        <v/>
      </c>
      <c r="T140" s="64" t="str">
        <f t="shared" ca="1" si="8"/>
        <v/>
      </c>
      <c r="U140" s="64" t="str">
        <f t="shared" ca="1" si="9"/>
        <v/>
      </c>
      <c r="V140" s="266" t="str">
        <f ca="1">IF(OR(D140=0,D140="",D140="Athlete"),"",COUNTIF($D$4:$D140,D140))</f>
        <v/>
      </c>
      <c r="W140" s="266" t="str">
        <f t="shared" ca="1" si="10"/>
        <v/>
      </c>
      <c r="Z140" s="266" t="str">
        <f t="shared" ca="1" si="11"/>
        <v/>
      </c>
    </row>
    <row r="141" spans="1:26" x14ac:dyDescent="0.35">
      <c r="B141" s="66">
        <f ca="1">IFERROR(INDIRECT(CONCATENATE("Field!D",A135+7)),"")</f>
        <v>6</v>
      </c>
      <c r="C141" s="66" t="str">
        <f ca="1">IFERROR(INDIRECT(CONCATENATE("Field!e",A135+7)),"")</f>
        <v/>
      </c>
      <c r="D141" s="85" t="str">
        <f ca="1">IFERROR(INDIRECT(CONCATENATE("Field!f",A135+7)),"")</f>
        <v/>
      </c>
      <c r="E141" s="85" t="str">
        <f ca="1">IFERROR(INDIRECT(CONCATENATE("Field!g",A135+7)),"")</f>
        <v/>
      </c>
      <c r="F141" s="65" t="str">
        <f ca="1">IFERROR(INDIRECT(CONCATENATE("Field!h",A135+7)),"")</f>
        <v/>
      </c>
      <c r="G141" s="108" t="str">
        <f ca="1">IFERROR(INDIRECT(CONCATENATE("Field!i",A135+7)),"")</f>
        <v/>
      </c>
      <c r="H141" s="66"/>
      <c r="I141" s="66">
        <f ca="1">IFERROR(INDIRECT(CONCATENATE("Field!k",A135+7)),"")</f>
        <v>6</v>
      </c>
      <c r="J141" s="66" t="str">
        <f ca="1">IFERROR(INDIRECT(CONCATENATE("Field!l",A135+7)),"")</f>
        <v/>
      </c>
      <c r="K141" s="85" t="str">
        <f ca="1">IFERROR(INDIRECT(CONCATENATE("Field!m",A135+7)),"")</f>
        <v/>
      </c>
      <c r="L141" s="85" t="str">
        <f ca="1">IFERROR(INDIRECT(CONCATENATE("Field!n",A135+7)),"")</f>
        <v/>
      </c>
      <c r="M141" s="65" t="str">
        <f ca="1">IFERROR(INDIRECT(CONCATENATE("Field!o",A135+7)),"")</f>
        <v/>
      </c>
      <c r="N141" s="108" t="str">
        <f ca="1">IFERROR(INDIRECT(CONCATENATE("Field!p",A135+7)),"")</f>
        <v/>
      </c>
      <c r="T141" s="64" t="str">
        <f t="shared" ca="1" si="8"/>
        <v/>
      </c>
      <c r="U141" s="64" t="str">
        <f t="shared" ca="1" si="9"/>
        <v/>
      </c>
      <c r="V141" s="266" t="str">
        <f ca="1">IF(OR(D141=0,D141="",D141="Athlete"),"",COUNTIF($D$4:$D141,D141))</f>
        <v/>
      </c>
      <c r="W141" s="266" t="str">
        <f t="shared" ca="1" si="10"/>
        <v/>
      </c>
      <c r="Z141" s="266" t="str">
        <f t="shared" ca="1" si="11"/>
        <v/>
      </c>
    </row>
    <row r="142" spans="1:26" x14ac:dyDescent="0.35">
      <c r="B142" s="66">
        <f ca="1">IFERROR(INDIRECT(CONCATENATE("Field!D",A135+8)),"")</f>
        <v>7</v>
      </c>
      <c r="C142" s="66" t="str">
        <f ca="1">IFERROR(INDIRECT(CONCATENATE("Field!e",A135+8)),"")</f>
        <v/>
      </c>
      <c r="D142" s="85" t="str">
        <f ca="1">IFERROR(INDIRECT(CONCATENATE("Field!f",A135+8)),"")</f>
        <v/>
      </c>
      <c r="E142" s="85" t="str">
        <f ca="1">IFERROR(INDIRECT(CONCATENATE("Field!g",A135+8)),"")</f>
        <v/>
      </c>
      <c r="F142" s="65" t="str">
        <f ca="1">IFERROR(INDIRECT(CONCATENATE("Field!h",A135+8)),"")</f>
        <v/>
      </c>
      <c r="G142" s="108" t="str">
        <f ca="1">IFERROR(INDIRECT(CONCATENATE("Field!i",A135+8)),"")</f>
        <v/>
      </c>
      <c r="H142" s="66"/>
      <c r="I142" s="66">
        <f ca="1">IFERROR(INDIRECT(CONCATENATE("Field!k",A135+8)),"")</f>
        <v>7</v>
      </c>
      <c r="J142" s="66" t="str">
        <f ca="1">IFERROR(INDIRECT(CONCATENATE("Field!l",A135+8)),"")</f>
        <v/>
      </c>
      <c r="K142" s="85" t="str">
        <f ca="1">IFERROR(INDIRECT(CONCATENATE("Field!m",A135+8)),"")</f>
        <v/>
      </c>
      <c r="L142" s="85" t="str">
        <f ca="1">IFERROR(INDIRECT(CONCATENATE("Field!n",A135+8)),"")</f>
        <v/>
      </c>
      <c r="M142" s="65" t="str">
        <f ca="1">IFERROR(INDIRECT(CONCATENATE("Field!o",A135+8)),"")</f>
        <v/>
      </c>
      <c r="N142" s="108" t="str">
        <f ca="1">IFERROR(INDIRECT(CONCATENATE("Field!p",A135+8)),"")</f>
        <v/>
      </c>
      <c r="T142" s="64" t="str">
        <f t="shared" ca="1" si="8"/>
        <v/>
      </c>
      <c r="U142" s="64" t="str">
        <f t="shared" ca="1" si="9"/>
        <v/>
      </c>
      <c r="V142" s="266" t="str">
        <f ca="1">IF(OR(D142=0,D142="",D142="Athlete"),"",COUNTIF($D$4:$D142,D142))</f>
        <v/>
      </c>
      <c r="W142" s="266" t="str">
        <f t="shared" ca="1" si="10"/>
        <v/>
      </c>
      <c r="Z142" s="266" t="str">
        <f t="shared" ca="1" si="11"/>
        <v/>
      </c>
    </row>
    <row r="143" spans="1:26" x14ac:dyDescent="0.35">
      <c r="B143" s="66">
        <f ca="1">IFERROR(INDIRECT(CONCATENATE("Field!D",A135+9)),"")</f>
        <v>8</v>
      </c>
      <c r="C143" s="66" t="str">
        <f ca="1">IFERROR(INDIRECT(CONCATENATE("Field!e",A135+9)),"")</f>
        <v/>
      </c>
      <c r="D143" s="85" t="str">
        <f ca="1">IFERROR(INDIRECT(CONCATENATE("Field!f",A135+9)),"")</f>
        <v/>
      </c>
      <c r="E143" s="85" t="str">
        <f ca="1">IFERROR(INDIRECT(CONCATENATE("Field!g",A135+9)),"")</f>
        <v/>
      </c>
      <c r="F143" s="65" t="str">
        <f ca="1">IFERROR(INDIRECT(CONCATENATE("Field!h",A135+9)),"")</f>
        <v/>
      </c>
      <c r="G143" s="108" t="str">
        <f ca="1">IFERROR(INDIRECT(CONCATENATE("Field!i",A135+9)),"")</f>
        <v/>
      </c>
      <c r="H143" s="66"/>
      <c r="I143" s="66">
        <f ca="1">IFERROR(INDIRECT(CONCATENATE("Field!k",A135+9)),"")</f>
        <v>8</v>
      </c>
      <c r="J143" s="66" t="str">
        <f ca="1">IFERROR(INDIRECT(CONCATENATE("Field!l",A135+9)),"")</f>
        <v/>
      </c>
      <c r="K143" s="85" t="str">
        <f ca="1">IFERROR(INDIRECT(CONCATENATE("Field!m",A135+9)),"")</f>
        <v/>
      </c>
      <c r="L143" s="85" t="str">
        <f ca="1">IFERROR(INDIRECT(CONCATENATE("Field!n",A135+9)),"")</f>
        <v/>
      </c>
      <c r="M143" s="65" t="str">
        <f ca="1">IFERROR(INDIRECT(CONCATENATE("Field!o",A135+9)),"")</f>
        <v/>
      </c>
      <c r="N143" s="108" t="str">
        <f ca="1">IFERROR(INDIRECT(CONCATENATE("Field!p",A135+9)),"")</f>
        <v/>
      </c>
      <c r="T143" s="64" t="str">
        <f t="shared" ca="1" si="8"/>
        <v/>
      </c>
      <c r="U143" s="64" t="str">
        <f t="shared" ca="1" si="9"/>
        <v/>
      </c>
      <c r="V143" s="266" t="str">
        <f ca="1">IF(OR(D143=0,D143="",D143="Athlete"),"",COUNTIF($D$4:$D143,D143))</f>
        <v/>
      </c>
      <c r="W143" s="266" t="str">
        <f t="shared" ca="1" si="10"/>
        <v/>
      </c>
      <c r="Z143" s="266" t="str">
        <f t="shared" ca="1" si="11"/>
        <v/>
      </c>
    </row>
    <row r="144" spans="1:26" x14ac:dyDescent="0.35">
      <c r="T144" s="64" t="str">
        <f t="shared" si="8"/>
        <v/>
      </c>
      <c r="U144" s="64" t="str">
        <f t="shared" si="9"/>
        <v/>
      </c>
      <c r="V144" s="266" t="str">
        <f>IF(OR(D144=0,D144="",D144="Athlete"),"",COUNTIF($D$4:$D144,D144))</f>
        <v/>
      </c>
      <c r="W144" s="266" t="str">
        <f t="shared" si="10"/>
        <v/>
      </c>
      <c r="Z144" s="266" t="str">
        <f t="shared" si="11"/>
        <v/>
      </c>
    </row>
    <row r="145" spans="1:26" x14ac:dyDescent="0.35">
      <c r="A145" s="66" t="s">
        <v>179</v>
      </c>
      <c r="B145" s="102" t="str">
        <f ca="1">IFERROR(INDIRECT(CONCATENATE("Field!D",A146)),"")</f>
        <v>Hammer U15 Girls A</v>
      </c>
      <c r="G145" s="108" t="str">
        <f ca="1">IFERROR(INDIRECT(CONCATENATE("Field!i",A146)),"")</f>
        <v/>
      </c>
      <c r="I145" s="102" t="str">
        <f ca="1">IFERROR(INDIRECT(CONCATENATE("Field!k",A146)),"")</f>
        <v>Hammer U15 Girls B</v>
      </c>
      <c r="T145" s="64" t="str">
        <f t="shared" si="8"/>
        <v/>
      </c>
      <c r="U145" s="64" t="str">
        <f t="shared" si="9"/>
        <v/>
      </c>
      <c r="V145" s="266" t="str">
        <f>IF(OR(D145=0,D145="",D145="Athlete"),"",COUNTIF($D$4:$D145,D145))</f>
        <v/>
      </c>
      <c r="W145" s="266" t="str">
        <f t="shared" si="10"/>
        <v/>
      </c>
      <c r="Z145" s="266" t="str">
        <f t="shared" ca="1" si="11"/>
        <v/>
      </c>
    </row>
    <row r="146" spans="1:26" x14ac:dyDescent="0.35">
      <c r="A146" s="66">
        <f>IFERROR(MATCH(A145,Field!C:C,0),"")</f>
        <v>13</v>
      </c>
      <c r="B146" s="45" t="str">
        <f ca="1">IFERROR(INDIRECT(CONCATENATE("Field!D",A146+1)),"")</f>
        <v>Posn</v>
      </c>
      <c r="C146" s="45" t="str">
        <f ca="1">IFERROR(INDIRECT(CONCATENATE("Field!e",A146+1)),"")</f>
        <v>Bib</v>
      </c>
      <c r="D146" s="139" t="str">
        <f ca="1">IFERROR(INDIRECT(CONCATENATE("Field!f",A146+1)),"")</f>
        <v>Athlete</v>
      </c>
      <c r="E146" s="139" t="str">
        <f ca="1">IFERROR(INDIRECT(CONCATENATE("Field!g",A146+1)),"")</f>
        <v>Club</v>
      </c>
      <c r="F146" s="133" t="str">
        <f ca="1">IFERROR(INDIRECT(CONCATENATE("Field!h",A146+1)),"")</f>
        <v>Perf</v>
      </c>
      <c r="G146" s="167" t="str">
        <f ca="1">IFERROR(INDIRECT(CONCATENATE("Field!i",A146+1)),"")</f>
        <v>EA</v>
      </c>
      <c r="H146" s="45"/>
      <c r="I146" s="45" t="str">
        <f ca="1">IFERROR(INDIRECT(CONCATENATE("Field!k",A146+1)),"")</f>
        <v>Posn</v>
      </c>
      <c r="J146" s="45" t="str">
        <f ca="1">IFERROR(INDIRECT(CONCATENATE("Field!l",A146+1)),"")</f>
        <v>Bib</v>
      </c>
      <c r="K146" s="139" t="str">
        <f ca="1">IFERROR(INDIRECT(CONCATENATE("Field!m",A146+1)),"")</f>
        <v>Athlete</v>
      </c>
      <c r="L146" s="139" t="str">
        <f ca="1">IFERROR(INDIRECT(CONCATENATE("Field!n",A146+1)),"")</f>
        <v>Club</v>
      </c>
      <c r="M146" s="133" t="str">
        <f ca="1">IFERROR(INDIRECT(CONCATENATE("Field!o",A146+1)),"")</f>
        <v>Perf</v>
      </c>
      <c r="N146" s="167" t="str">
        <f ca="1">IFERROR(INDIRECT(CONCATENATE("Field!p",A146+1)),"")</f>
        <v>EA</v>
      </c>
      <c r="T146" s="64" t="str">
        <f t="shared" ca="1" si="8"/>
        <v/>
      </c>
      <c r="U146" s="64" t="str">
        <f t="shared" ca="1" si="9"/>
        <v/>
      </c>
      <c r="V146" s="266" t="str">
        <f ca="1">IF(OR(D146=0,D146="",D146="Athlete"),"",COUNTIF($D$4:$D146,D146))</f>
        <v/>
      </c>
      <c r="W146" s="266" t="str">
        <f t="shared" ca="1" si="10"/>
        <v/>
      </c>
      <c r="Z146" s="266">
        <f t="shared" ca="1" si="11"/>
        <v>0</v>
      </c>
    </row>
    <row r="147" spans="1:26" x14ac:dyDescent="0.35">
      <c r="B147" s="66">
        <f ca="1">IFERROR(INDIRECT(CONCATENATE("Field!D",A146+2)),"")</f>
        <v>1</v>
      </c>
      <c r="C147" s="66">
        <f ca="1">IFERROR(INDIRECT(CONCATENATE("Field!e",A146+2)),"")</f>
        <v>6</v>
      </c>
      <c r="D147" s="85" t="str">
        <f ca="1">IFERROR(INDIRECT(CONCATENATE("Field!f",A146+2)),"")</f>
        <v>Lucy JONES</v>
      </c>
      <c r="E147" s="85" t="str">
        <f ca="1">IFERROR(INDIRECT(CONCATENATE("Field!g",A146+2)),"")</f>
        <v>Stock</v>
      </c>
      <c r="F147" s="65">
        <f ca="1">IFERROR(INDIRECT(CONCATENATE("Field!h",A146+2)),"")</f>
        <v>15.23</v>
      </c>
      <c r="G147" s="108">
        <f ca="1">IFERROR(INDIRECT(CONCATENATE("Field!i",A146+2)),"")</f>
        <v>1</v>
      </c>
      <c r="H147" s="66"/>
      <c r="I147" s="66">
        <f ca="1">IFERROR(INDIRECT(CONCATENATE("Field!k",A146+2)),"")</f>
        <v>1</v>
      </c>
      <c r="J147" s="66" t="str">
        <f ca="1">IFERROR(INDIRECT(CONCATENATE("Field!l",A146+2)),"")</f>
        <v/>
      </c>
      <c r="K147" s="85" t="str">
        <f ca="1">IFERROR(INDIRECT(CONCATENATE("Field!m",A146+2)),"")</f>
        <v/>
      </c>
      <c r="L147" s="85" t="str">
        <f ca="1">IFERROR(INDIRECT(CONCATENATE("Field!n",A146+2)),"")</f>
        <v/>
      </c>
      <c r="M147" s="65" t="str">
        <f ca="1">IFERROR(INDIRECT(CONCATENATE("Field!o",A146+2)),"")</f>
        <v/>
      </c>
      <c r="N147" s="108" t="str">
        <f ca="1">IFERROR(INDIRECT(CONCATENATE("Field!p",A146+2)),"")</f>
        <v/>
      </c>
      <c r="R147" s="168">
        <f ca="1">IFERROR(INDIRECT(CONCATENATE("Field!r",A146+2)),"")</f>
        <v>10</v>
      </c>
      <c r="T147" s="64">
        <f t="shared" ca="1" si="8"/>
        <v>3</v>
      </c>
      <c r="U147" s="64" t="str">
        <f t="shared" ca="1" si="9"/>
        <v/>
      </c>
      <c r="V147" s="266">
        <f ca="1">IF(OR(D147=0,D147="",D147="Athlete"),"",COUNTIF($D$4:$D147,D147))</f>
        <v>3</v>
      </c>
      <c r="W147" s="266" t="str">
        <f t="shared" ca="1" si="10"/>
        <v>Stock</v>
      </c>
      <c r="Z147" s="266">
        <f t="shared" ca="1" si="11"/>
        <v>0</v>
      </c>
    </row>
    <row r="148" spans="1:26" x14ac:dyDescent="0.35">
      <c r="B148" s="66">
        <f ca="1">IFERROR(INDIRECT(CONCATENATE("Field!D",A146+3)),"")</f>
        <v>2</v>
      </c>
      <c r="C148" s="66" t="str">
        <f ca="1">IFERROR(INDIRECT(CONCATENATE("Field!e",A146+3)),"")</f>
        <v/>
      </c>
      <c r="D148" s="85" t="str">
        <f ca="1">IFERROR(INDIRECT(CONCATENATE("Field!f",A146+3)),"")</f>
        <v/>
      </c>
      <c r="E148" s="85" t="str">
        <f ca="1">IFERROR(INDIRECT(CONCATENATE("Field!g",A146+3)),"")</f>
        <v/>
      </c>
      <c r="F148" s="65" t="str">
        <f ca="1">IFERROR(INDIRECT(CONCATENATE("Field!h",A146+3)),"")</f>
        <v/>
      </c>
      <c r="G148" s="108" t="str">
        <f ca="1">IFERROR(INDIRECT(CONCATENATE("Field!i",A146+3)),"")</f>
        <v/>
      </c>
      <c r="H148" s="66"/>
      <c r="I148" s="66">
        <f ca="1">IFERROR(INDIRECT(CONCATENATE("Field!k",A146+3)),"")</f>
        <v>2</v>
      </c>
      <c r="J148" s="66" t="str">
        <f ca="1">IFERROR(INDIRECT(CONCATENATE("Field!l",A146+3)),"")</f>
        <v/>
      </c>
      <c r="K148" s="85" t="str">
        <f ca="1">IFERROR(INDIRECT(CONCATENATE("Field!m",A146+3)),"")</f>
        <v/>
      </c>
      <c r="L148" s="85" t="str">
        <f ca="1">IFERROR(INDIRECT(CONCATENATE("Field!n",A146+3)),"")</f>
        <v/>
      </c>
      <c r="M148" s="65" t="str">
        <f ca="1">IFERROR(INDIRECT(CONCATENATE("Field!o",A146+3)),"")</f>
        <v/>
      </c>
      <c r="N148" s="108" t="str">
        <f ca="1">IFERROR(INDIRECT(CONCATENATE("Field!p",A146+3)),"")</f>
        <v/>
      </c>
      <c r="T148" s="64" t="str">
        <f t="shared" ca="1" si="8"/>
        <v/>
      </c>
      <c r="U148" s="64" t="str">
        <f t="shared" ca="1" si="9"/>
        <v/>
      </c>
      <c r="V148" s="266" t="str">
        <f ca="1">IF(OR(D148=0,D148="",D148="Athlete"),"",COUNTIF($D$4:$D148,D148))</f>
        <v/>
      </c>
      <c r="W148" s="266" t="str">
        <f t="shared" ca="1" si="10"/>
        <v/>
      </c>
      <c r="Z148" s="266" t="str">
        <f t="shared" ca="1" si="11"/>
        <v/>
      </c>
    </row>
    <row r="149" spans="1:26" x14ac:dyDescent="0.35">
      <c r="B149" s="66">
        <f ca="1">IFERROR(INDIRECT(CONCATENATE("Field!D",A146+4)),"")</f>
        <v>3</v>
      </c>
      <c r="C149" s="66" t="str">
        <f ca="1">IFERROR(INDIRECT(CONCATENATE("Field!e",A146+4)),"")</f>
        <v/>
      </c>
      <c r="D149" s="85" t="str">
        <f ca="1">IFERROR(INDIRECT(CONCATENATE("Field!f",A146+4)),"")</f>
        <v/>
      </c>
      <c r="E149" s="85" t="str">
        <f ca="1">IFERROR(INDIRECT(CONCATENATE("Field!g",A146+4)),"")</f>
        <v/>
      </c>
      <c r="F149" s="65" t="str">
        <f ca="1">IFERROR(INDIRECT(CONCATENATE("Field!h",A146+4)),"")</f>
        <v/>
      </c>
      <c r="G149" s="108" t="str">
        <f ca="1">IFERROR(INDIRECT(CONCATENATE("Field!i",A146+4)),"")</f>
        <v/>
      </c>
      <c r="H149" s="66"/>
      <c r="I149" s="66">
        <f ca="1">IFERROR(INDIRECT(CONCATENATE("Field!k",A146+4)),"")</f>
        <v>3</v>
      </c>
      <c r="J149" s="66" t="str">
        <f ca="1">IFERROR(INDIRECT(CONCATENATE("Field!l",A146+4)),"")</f>
        <v/>
      </c>
      <c r="K149" s="85" t="str">
        <f ca="1">IFERROR(INDIRECT(CONCATENATE("Field!m",A146+4)),"")</f>
        <v/>
      </c>
      <c r="L149" s="85" t="str">
        <f ca="1">IFERROR(INDIRECT(CONCATENATE("Field!n",A146+4)),"")</f>
        <v/>
      </c>
      <c r="M149" s="65" t="str">
        <f ca="1">IFERROR(INDIRECT(CONCATENATE("Field!o",A146+4)),"")</f>
        <v/>
      </c>
      <c r="N149" s="108" t="str">
        <f ca="1">IFERROR(INDIRECT(CONCATENATE("Field!p",A146+4)),"")</f>
        <v/>
      </c>
      <c r="T149" s="64" t="str">
        <f t="shared" ca="1" si="8"/>
        <v/>
      </c>
      <c r="U149" s="64" t="str">
        <f t="shared" ca="1" si="9"/>
        <v/>
      </c>
      <c r="V149" s="266" t="str">
        <f ca="1">IF(OR(D149=0,D149="",D149="Athlete"),"",COUNTIF($D$4:$D149,D149))</f>
        <v/>
      </c>
      <c r="W149" s="266" t="str">
        <f t="shared" ca="1" si="10"/>
        <v/>
      </c>
      <c r="Z149" s="266" t="str">
        <f t="shared" ca="1" si="11"/>
        <v/>
      </c>
    </row>
    <row r="150" spans="1:26" x14ac:dyDescent="0.35">
      <c r="B150" s="66">
        <f ca="1">IFERROR(INDIRECT(CONCATENATE("Field!D",A146+5)),"")</f>
        <v>4</v>
      </c>
      <c r="C150" s="66" t="str">
        <f ca="1">IFERROR(INDIRECT(CONCATENATE("Field!e",A146+5)),"")</f>
        <v/>
      </c>
      <c r="D150" s="85" t="str">
        <f ca="1">IFERROR(INDIRECT(CONCATENATE("Field!f",A146+5)),"")</f>
        <v/>
      </c>
      <c r="E150" s="85" t="str">
        <f ca="1">IFERROR(INDIRECT(CONCATENATE("Field!g",A146+5)),"")</f>
        <v/>
      </c>
      <c r="F150" s="65" t="str">
        <f ca="1">IFERROR(INDIRECT(CONCATENATE("Field!h",A146+5)),"")</f>
        <v/>
      </c>
      <c r="G150" s="108" t="str">
        <f ca="1">IFERROR(INDIRECT(CONCATENATE("Field!i",A146+5)),"")</f>
        <v/>
      </c>
      <c r="H150" s="66"/>
      <c r="I150" s="66">
        <f ca="1">IFERROR(INDIRECT(CONCATENATE("Field!k",A146+5)),"")</f>
        <v>4</v>
      </c>
      <c r="J150" s="66" t="str">
        <f ca="1">IFERROR(INDIRECT(CONCATENATE("Field!l",A146+5)),"")</f>
        <v/>
      </c>
      <c r="K150" s="85" t="str">
        <f ca="1">IFERROR(INDIRECT(CONCATENATE("Field!m",A146+5)),"")</f>
        <v/>
      </c>
      <c r="L150" s="85" t="str">
        <f ca="1">IFERROR(INDIRECT(CONCATENATE("Field!n",A146+5)),"")</f>
        <v/>
      </c>
      <c r="M150" s="65" t="str">
        <f ca="1">IFERROR(INDIRECT(CONCATENATE("Field!o",A146+5)),"")</f>
        <v/>
      </c>
      <c r="N150" s="108" t="str">
        <f ca="1">IFERROR(INDIRECT(CONCATENATE("Field!p",A146+5)),"")</f>
        <v/>
      </c>
      <c r="T150" s="64" t="str">
        <f t="shared" ca="1" si="8"/>
        <v/>
      </c>
      <c r="U150" s="64" t="str">
        <f t="shared" ca="1" si="9"/>
        <v/>
      </c>
      <c r="V150" s="266" t="str">
        <f ca="1">IF(OR(D150=0,D150="",D150="Athlete"),"",COUNTIF($D$4:$D150,D150))</f>
        <v/>
      </c>
      <c r="W150" s="266" t="str">
        <f t="shared" ca="1" si="10"/>
        <v/>
      </c>
      <c r="Z150" s="266" t="str">
        <f t="shared" ca="1" si="11"/>
        <v/>
      </c>
    </row>
    <row r="151" spans="1:26" x14ac:dyDescent="0.35">
      <c r="B151" s="66">
        <f ca="1">IFERROR(INDIRECT(CONCATENATE("Field!D",A146+6)),"")</f>
        <v>5</v>
      </c>
      <c r="C151" s="66" t="str">
        <f ca="1">IFERROR(INDIRECT(CONCATENATE("Field!e",A146+6)),"")</f>
        <v/>
      </c>
      <c r="D151" s="85" t="str">
        <f ca="1">IFERROR(INDIRECT(CONCATENATE("Field!f",A146+6)),"")</f>
        <v/>
      </c>
      <c r="E151" s="85" t="str">
        <f ca="1">IFERROR(INDIRECT(CONCATENATE("Field!g",A146+6)),"")</f>
        <v/>
      </c>
      <c r="F151" s="65" t="str">
        <f ca="1">IFERROR(INDIRECT(CONCATENATE("Field!h",A146+6)),"")</f>
        <v/>
      </c>
      <c r="G151" s="108" t="str">
        <f ca="1">IFERROR(INDIRECT(CONCATENATE("Field!i",A146+6)),"")</f>
        <v/>
      </c>
      <c r="H151" s="66"/>
      <c r="I151" s="66">
        <f ca="1">IFERROR(INDIRECT(CONCATENATE("Field!k",A146+6)),"")</f>
        <v>5</v>
      </c>
      <c r="J151" s="66" t="str">
        <f ca="1">IFERROR(INDIRECT(CONCATENATE("Field!l",A146+6)),"")</f>
        <v/>
      </c>
      <c r="K151" s="85" t="str">
        <f ca="1">IFERROR(INDIRECT(CONCATENATE("Field!m",A146+6)),"")</f>
        <v/>
      </c>
      <c r="L151" s="85" t="str">
        <f ca="1">IFERROR(INDIRECT(CONCATENATE("Field!n",A146+6)),"")</f>
        <v/>
      </c>
      <c r="M151" s="65" t="str">
        <f ca="1">IFERROR(INDIRECT(CONCATENATE("Field!o",A146+6)),"")</f>
        <v/>
      </c>
      <c r="N151" s="108" t="str">
        <f ca="1">IFERROR(INDIRECT(CONCATENATE("Field!p",A146+6)),"")</f>
        <v/>
      </c>
      <c r="T151" s="64" t="str">
        <f t="shared" ca="1" si="8"/>
        <v/>
      </c>
      <c r="U151" s="64" t="str">
        <f t="shared" ca="1" si="9"/>
        <v/>
      </c>
      <c r="V151" s="266" t="str">
        <f ca="1">IF(OR(D151=0,D151="",D151="Athlete"),"",COUNTIF($D$4:$D151,D151))</f>
        <v/>
      </c>
      <c r="W151" s="266" t="str">
        <f t="shared" ca="1" si="10"/>
        <v/>
      </c>
      <c r="Z151" s="266" t="str">
        <f t="shared" ca="1" si="11"/>
        <v/>
      </c>
    </row>
    <row r="152" spans="1:26" x14ac:dyDescent="0.35">
      <c r="B152" s="66">
        <f ca="1">IFERROR(INDIRECT(CONCATENATE("Field!D",A146+7)),"")</f>
        <v>6</v>
      </c>
      <c r="C152" s="66" t="str">
        <f ca="1">IFERROR(INDIRECT(CONCATENATE("Field!e",A146+7)),"")</f>
        <v/>
      </c>
      <c r="D152" s="85" t="str">
        <f ca="1">IFERROR(INDIRECT(CONCATENATE("Field!f",A146+7)),"")</f>
        <v/>
      </c>
      <c r="E152" s="85" t="str">
        <f ca="1">IFERROR(INDIRECT(CONCATENATE("Field!g",A146+7)),"")</f>
        <v/>
      </c>
      <c r="F152" s="65" t="str">
        <f ca="1">IFERROR(INDIRECT(CONCATENATE("Field!h",A146+7)),"")</f>
        <v/>
      </c>
      <c r="G152" s="108" t="str">
        <f ca="1">IFERROR(INDIRECT(CONCATENATE("Field!i",A146+7)),"")</f>
        <v/>
      </c>
      <c r="H152" s="66"/>
      <c r="I152" s="66">
        <f ca="1">IFERROR(INDIRECT(CONCATENATE("Field!k",A146+7)),"")</f>
        <v>6</v>
      </c>
      <c r="J152" s="66" t="str">
        <f ca="1">IFERROR(INDIRECT(CONCATENATE("Field!l",A146+7)),"")</f>
        <v/>
      </c>
      <c r="K152" s="85" t="str">
        <f ca="1">IFERROR(INDIRECT(CONCATENATE("Field!m",A146+7)),"")</f>
        <v/>
      </c>
      <c r="L152" s="85" t="str">
        <f ca="1">IFERROR(INDIRECT(CONCATENATE("Field!n",A146+7)),"")</f>
        <v/>
      </c>
      <c r="M152" s="65" t="str">
        <f ca="1">IFERROR(INDIRECT(CONCATENATE("Field!o",A146+7)),"")</f>
        <v/>
      </c>
      <c r="N152" s="108" t="str">
        <f ca="1">IFERROR(INDIRECT(CONCATENATE("Field!p",A146+7)),"")</f>
        <v/>
      </c>
      <c r="T152" s="64" t="str">
        <f t="shared" ca="1" si="8"/>
        <v/>
      </c>
      <c r="U152" s="64" t="str">
        <f t="shared" ca="1" si="9"/>
        <v/>
      </c>
      <c r="V152" s="266" t="str">
        <f ca="1">IF(OR(D152=0,D152="",D152="Athlete"),"",COUNTIF($D$4:$D152,D152))</f>
        <v/>
      </c>
      <c r="W152" s="266" t="str">
        <f t="shared" ca="1" si="10"/>
        <v/>
      </c>
      <c r="Z152" s="266" t="str">
        <f t="shared" ca="1" si="11"/>
        <v/>
      </c>
    </row>
    <row r="153" spans="1:26" x14ac:dyDescent="0.35">
      <c r="B153" s="66">
        <f ca="1">IFERROR(INDIRECT(CONCATENATE("Field!D",A146+8)),"")</f>
        <v>7</v>
      </c>
      <c r="C153" s="66" t="str">
        <f ca="1">IFERROR(INDIRECT(CONCATENATE("Field!e",A146+8)),"")</f>
        <v/>
      </c>
      <c r="D153" s="85" t="str">
        <f ca="1">IFERROR(INDIRECT(CONCATENATE("Field!f",A146+8)),"")</f>
        <v/>
      </c>
      <c r="E153" s="85" t="str">
        <f ca="1">IFERROR(INDIRECT(CONCATENATE("Field!g",A146+8)),"")</f>
        <v/>
      </c>
      <c r="F153" s="65" t="str">
        <f ca="1">IFERROR(INDIRECT(CONCATENATE("Field!h",A146+8)),"")</f>
        <v/>
      </c>
      <c r="G153" s="108" t="str">
        <f ca="1">IFERROR(INDIRECT(CONCATENATE("Field!i",A146+8)),"")</f>
        <v/>
      </c>
      <c r="H153" s="66"/>
      <c r="I153" s="66">
        <f ca="1">IFERROR(INDIRECT(CONCATENATE("Field!k",A146+8)),"")</f>
        <v>7</v>
      </c>
      <c r="J153" s="66" t="str">
        <f ca="1">IFERROR(INDIRECT(CONCATENATE("Field!l",A146+8)),"")</f>
        <v/>
      </c>
      <c r="K153" s="85" t="str">
        <f ca="1">IFERROR(INDIRECT(CONCATENATE("Field!m",A146+8)),"")</f>
        <v/>
      </c>
      <c r="L153" s="85" t="str">
        <f ca="1">IFERROR(INDIRECT(CONCATENATE("Field!n",A146+8)),"")</f>
        <v/>
      </c>
      <c r="M153" s="65" t="str">
        <f ca="1">IFERROR(INDIRECT(CONCATENATE("Field!o",A146+8)),"")</f>
        <v/>
      </c>
      <c r="N153" s="108" t="str">
        <f ca="1">IFERROR(INDIRECT(CONCATENATE("Field!p",A146+8)),"")</f>
        <v/>
      </c>
      <c r="T153" s="64" t="str">
        <f t="shared" ca="1" si="8"/>
        <v/>
      </c>
      <c r="U153" s="64" t="str">
        <f t="shared" ca="1" si="9"/>
        <v/>
      </c>
      <c r="V153" s="266" t="str">
        <f ca="1">IF(OR(D153=0,D153="",D153="Athlete"),"",COUNTIF($D$4:$D153,D153))</f>
        <v/>
      </c>
      <c r="W153" s="266" t="str">
        <f t="shared" ca="1" si="10"/>
        <v/>
      </c>
      <c r="Z153" s="266" t="str">
        <f t="shared" ca="1" si="11"/>
        <v/>
      </c>
    </row>
    <row r="154" spans="1:26" x14ac:dyDescent="0.35">
      <c r="B154" s="66">
        <f ca="1">IFERROR(INDIRECT(CONCATENATE("Field!D",A146+9)),"")</f>
        <v>8</v>
      </c>
      <c r="C154" s="66" t="str">
        <f ca="1">IFERROR(INDIRECT(CONCATENATE("Field!e",A146+9)),"")</f>
        <v/>
      </c>
      <c r="D154" s="85" t="str">
        <f ca="1">IFERROR(INDIRECT(CONCATENATE("Field!f",A146+9)),"")</f>
        <v/>
      </c>
      <c r="E154" s="85" t="str">
        <f ca="1">IFERROR(INDIRECT(CONCATENATE("Field!g",A146+9)),"")</f>
        <v/>
      </c>
      <c r="F154" s="65" t="str">
        <f ca="1">IFERROR(INDIRECT(CONCATENATE("Field!h",A146+9)),"")</f>
        <v/>
      </c>
      <c r="G154" s="108" t="str">
        <f ca="1">IFERROR(INDIRECT(CONCATENATE("Field!i",A146+9)),"")</f>
        <v/>
      </c>
      <c r="H154" s="66"/>
      <c r="I154" s="66">
        <f ca="1">IFERROR(INDIRECT(CONCATENATE("Field!k",A146+9)),"")</f>
        <v>8</v>
      </c>
      <c r="J154" s="66" t="str">
        <f ca="1">IFERROR(INDIRECT(CONCATENATE("Field!l",A146+9)),"")</f>
        <v/>
      </c>
      <c r="K154" s="85" t="str">
        <f ca="1">IFERROR(INDIRECT(CONCATENATE("Field!m",A146+9)),"")</f>
        <v/>
      </c>
      <c r="L154" s="85" t="str">
        <f ca="1">IFERROR(INDIRECT(CONCATENATE("Field!n",A146+9)),"")</f>
        <v/>
      </c>
      <c r="M154" s="65" t="str">
        <f ca="1">IFERROR(INDIRECT(CONCATENATE("Field!o",A146+9)),"")</f>
        <v/>
      </c>
      <c r="N154" s="108" t="str">
        <f ca="1">IFERROR(INDIRECT(CONCATENATE("Field!p",A146+9)),"")</f>
        <v/>
      </c>
      <c r="T154" s="64" t="str">
        <f t="shared" ca="1" si="8"/>
        <v/>
      </c>
      <c r="U154" s="64" t="str">
        <f t="shared" ca="1" si="9"/>
        <v/>
      </c>
      <c r="V154" s="266" t="str">
        <f ca="1">IF(OR(D154=0,D154="",D154="Athlete"),"",COUNTIF($D$4:$D154,D154))</f>
        <v/>
      </c>
      <c r="W154" s="266" t="str">
        <f t="shared" ca="1" si="10"/>
        <v/>
      </c>
      <c r="Z154" s="266" t="str">
        <f t="shared" ca="1" si="11"/>
        <v/>
      </c>
    </row>
    <row r="155" spans="1:26" x14ac:dyDescent="0.35">
      <c r="T155" s="64" t="str">
        <f t="shared" si="8"/>
        <v/>
      </c>
      <c r="U155" s="64" t="str">
        <f t="shared" si="9"/>
        <v/>
      </c>
      <c r="V155" s="266" t="str">
        <f>IF(OR(D155=0,D155="",D155="Athlete"),"",COUNTIF($D$4:$D155,D155))</f>
        <v/>
      </c>
      <c r="W155" s="266" t="str">
        <f t="shared" si="10"/>
        <v/>
      </c>
      <c r="Z155" s="266" t="str">
        <f t="shared" si="11"/>
        <v/>
      </c>
    </row>
    <row r="156" spans="1:26" x14ac:dyDescent="0.35">
      <c r="A156" s="66" t="s">
        <v>191</v>
      </c>
      <c r="B156" s="102" t="str">
        <f ca="1">IFERROR(INDIRECT(CONCATENATE("Field!D",A157)),"")</f>
        <v>Javelin U15 Girls A</v>
      </c>
      <c r="G156" s="108" t="str">
        <f ca="1">IFERROR(INDIRECT(CONCATENATE("Field!i",A157)),"")</f>
        <v/>
      </c>
      <c r="I156" s="102" t="str">
        <f ca="1">IFERROR(INDIRECT(CONCATENATE("Field!k",A157)),"")</f>
        <v>Javelin U15 Girls B</v>
      </c>
      <c r="T156" s="64" t="str">
        <f t="shared" si="8"/>
        <v/>
      </c>
      <c r="U156" s="64" t="str">
        <f t="shared" si="9"/>
        <v/>
      </c>
      <c r="V156" s="266" t="str">
        <f>IF(OR(D156=0,D156="",D156="Athlete"),"",COUNTIF($D$4:$D156,D156))</f>
        <v/>
      </c>
      <c r="W156" s="266" t="str">
        <f t="shared" si="10"/>
        <v/>
      </c>
      <c r="Z156" s="266" t="str">
        <f t="shared" ca="1" si="11"/>
        <v/>
      </c>
    </row>
    <row r="157" spans="1:26" x14ac:dyDescent="0.35">
      <c r="A157" s="66">
        <f>IFERROR(MATCH(A156,Field!C:C,0),"")</f>
        <v>79</v>
      </c>
      <c r="B157" s="45" t="str">
        <f ca="1">IFERROR(INDIRECT(CONCATENATE("Field!D",A157+1)),"")</f>
        <v>Posn</v>
      </c>
      <c r="C157" s="45" t="str">
        <f ca="1">IFERROR(INDIRECT(CONCATENATE("Field!e",A157+1)),"")</f>
        <v>Bib</v>
      </c>
      <c r="D157" s="139" t="str">
        <f ca="1">IFERROR(INDIRECT(CONCATENATE("Field!f",A157+1)),"")</f>
        <v>Athlete</v>
      </c>
      <c r="E157" s="139" t="str">
        <f ca="1">IFERROR(INDIRECT(CONCATENATE("Field!g",A157+1)),"")</f>
        <v>Club</v>
      </c>
      <c r="F157" s="133" t="str">
        <f ca="1">IFERROR(INDIRECT(CONCATENATE("Field!h",A157+1)),"")</f>
        <v>Perf</v>
      </c>
      <c r="G157" s="167" t="str">
        <f ca="1">IFERROR(INDIRECT(CONCATENATE("Field!i",A157+1)),"")</f>
        <v>EA</v>
      </c>
      <c r="H157" s="45"/>
      <c r="I157" s="45" t="str">
        <f ca="1">IFERROR(INDIRECT(CONCATENATE("Field!k",A157+1)),"")</f>
        <v>Posn</v>
      </c>
      <c r="J157" s="45" t="str">
        <f ca="1">IFERROR(INDIRECT(CONCATENATE("Field!l",A157+1)),"")</f>
        <v>Bib</v>
      </c>
      <c r="K157" s="139" t="str">
        <f ca="1">IFERROR(INDIRECT(CONCATENATE("Field!m",A157+1)),"")</f>
        <v>Athlete</v>
      </c>
      <c r="L157" s="139" t="str">
        <f ca="1">IFERROR(INDIRECT(CONCATENATE("Field!n",A157+1)),"")</f>
        <v>Club</v>
      </c>
      <c r="M157" s="133" t="str">
        <f ca="1">IFERROR(INDIRECT(CONCATENATE("Field!o",A157+1)),"")</f>
        <v>Perf</v>
      </c>
      <c r="N157" s="167" t="str">
        <f ca="1">IFERROR(INDIRECT(CONCATENATE("Field!p",A157+1)),"")</f>
        <v>EA</v>
      </c>
      <c r="T157" s="64" t="str">
        <f t="shared" ca="1" si="8"/>
        <v/>
      </c>
      <c r="U157" s="64" t="str">
        <f t="shared" ca="1" si="9"/>
        <v/>
      </c>
      <c r="V157" s="266" t="str">
        <f ca="1">IF(OR(D157=0,D157="",D157="Athlete"),"",COUNTIF($D$4:$D157,D157))</f>
        <v/>
      </c>
      <c r="W157" s="266" t="str">
        <f t="shared" ca="1" si="10"/>
        <v/>
      </c>
      <c r="Z157" s="266">
        <f t="shared" ca="1" si="11"/>
        <v>0</v>
      </c>
    </row>
    <row r="158" spans="1:26" x14ac:dyDescent="0.35">
      <c r="B158" s="66">
        <f ca="1">IFERROR(INDIRECT(CONCATENATE("Field!D",A157+2)),"")</f>
        <v>1</v>
      </c>
      <c r="C158" s="66">
        <f ca="1">IFERROR(INDIRECT(CONCATENATE("Field!e",A157+2)),"")</f>
        <v>6</v>
      </c>
      <c r="D158" s="85" t="str">
        <f ca="1">IFERROR(INDIRECT(CONCATENATE("Field!f",A157+2)),"")</f>
        <v>Molly MILLS</v>
      </c>
      <c r="E158" s="85" t="str">
        <f ca="1">IFERROR(INDIRECT(CONCATENATE("Field!g",A157+2)),"")</f>
        <v>Stock</v>
      </c>
      <c r="F158" s="65">
        <f ca="1">IFERROR(INDIRECT(CONCATENATE("Field!h",A157+2)),"")</f>
        <v>30.06</v>
      </c>
      <c r="G158" s="108">
        <f ca="1">IFERROR(INDIRECT(CONCATENATE("Field!i",A157+2)),"")</f>
        <v>6</v>
      </c>
      <c r="H158" s="66"/>
      <c r="I158" s="66">
        <f ca="1">IFERROR(INDIRECT(CONCATENATE("Field!k",A157+2)),"")</f>
        <v>1</v>
      </c>
      <c r="J158" s="66">
        <f ca="1">IFERROR(INDIRECT(CONCATENATE("Field!l",A157+2)),"")</f>
        <v>1</v>
      </c>
      <c r="K158" s="85" t="str">
        <f ca="1">IFERROR(INDIRECT(CONCATENATE("Field!m",A157+2)),"")</f>
        <v>Elisha CARTER</v>
      </c>
      <c r="L158" s="85" t="str">
        <f ca="1">IFERROR(INDIRECT(CONCATENATE("Field!n",A157+2)),"")</f>
        <v>C&amp;N</v>
      </c>
      <c r="M158" s="65">
        <f ca="1">IFERROR(INDIRECT(CONCATENATE("Field!o",A157+2)),"")</f>
        <v>19.98</v>
      </c>
      <c r="N158" s="108">
        <f ca="1">IFERROR(INDIRECT(CONCATENATE("Field!p",A157+2)),"")</f>
        <v>2</v>
      </c>
      <c r="R158" s="168">
        <f ca="1">IFERROR(INDIRECT(CONCATENATE("Field!r",A157+2)),"")</f>
        <v>10</v>
      </c>
      <c r="T158" s="64">
        <f t="shared" ca="1" si="8"/>
        <v>3</v>
      </c>
      <c r="U158" s="64">
        <f t="shared" ca="1" si="9"/>
        <v>3</v>
      </c>
      <c r="V158" s="266">
        <f ca="1">IF(OR(D158=0,D158="",D158="Athlete"),"",COUNTIF($D$4:$D158,D158))</f>
        <v>3</v>
      </c>
      <c r="W158" s="266" t="str">
        <f t="shared" ca="1" si="10"/>
        <v>Stock</v>
      </c>
      <c r="Z158" s="266">
        <f t="shared" ca="1" si="11"/>
        <v>0</v>
      </c>
    </row>
    <row r="159" spans="1:26" x14ac:dyDescent="0.35">
      <c r="B159" s="66">
        <f ca="1">IFERROR(INDIRECT(CONCATENATE("Field!D",A157+3)),"")</f>
        <v>2</v>
      </c>
      <c r="C159" s="66">
        <f ca="1">IFERROR(INDIRECT(CONCATENATE("Field!e",A157+3)),"")</f>
        <v>11</v>
      </c>
      <c r="D159" s="85" t="str">
        <f ca="1">IFERROR(INDIRECT(CONCATENATE("Field!f",A157+3)),"")</f>
        <v>Lucy HARDING</v>
      </c>
      <c r="E159" s="85" t="str">
        <f ca="1">IFERROR(INDIRECT(CONCATENATE("Field!g",A157+3)),"")</f>
        <v>C&amp;N</v>
      </c>
      <c r="F159" s="65">
        <f ca="1">IFERROR(INDIRECT(CONCATENATE("Field!h",A157+3)),"")</f>
        <v>21.79</v>
      </c>
      <c r="G159" s="108">
        <f ca="1">IFERROR(INDIRECT(CONCATENATE("Field!i",A157+3)),"")</f>
        <v>3</v>
      </c>
      <c r="H159" s="66"/>
      <c r="I159" s="66">
        <f ca="1">IFERROR(INDIRECT(CONCATENATE("Field!k",A157+3)),"")</f>
        <v>2</v>
      </c>
      <c r="J159" s="66">
        <f ca="1">IFERROR(INDIRECT(CONCATENATE("Field!l",A157+3)),"")</f>
        <v>22</v>
      </c>
      <c r="K159" s="85" t="str">
        <f ca="1">IFERROR(INDIRECT(CONCATENATE("Field!m",A157+3)),"")</f>
        <v>Sophia GUSH</v>
      </c>
      <c r="L159" s="85" t="str">
        <f ca="1">IFERROR(INDIRECT(CONCATENATE("Field!n",A157+3)),"")</f>
        <v>ECHT</v>
      </c>
      <c r="M159" s="65">
        <f ca="1">IFERROR(INDIRECT(CONCATENATE("Field!o",A157+3)),"")</f>
        <v>13.25</v>
      </c>
      <c r="N159" s="108" t="str">
        <f ca="1">IFERROR(INDIRECT(CONCATENATE("Field!p",A157+3)),"")</f>
        <v/>
      </c>
      <c r="T159" s="64">
        <f t="shared" ca="1" si="8"/>
        <v>3</v>
      </c>
      <c r="U159" s="64">
        <f t="shared" ca="1" si="9"/>
        <v>2</v>
      </c>
      <c r="V159" s="266">
        <f ca="1">IF(OR(D159=0,D159="",D159="Athlete"),"",COUNTIF($D$4:$D159,D159))</f>
        <v>3</v>
      </c>
      <c r="W159" s="266" t="str">
        <f t="shared" ca="1" si="10"/>
        <v>C&amp;N</v>
      </c>
      <c r="Z159" s="266">
        <f t="shared" ca="1" si="11"/>
        <v>0</v>
      </c>
    </row>
    <row r="160" spans="1:26" x14ac:dyDescent="0.35">
      <c r="B160" s="66">
        <f ca="1">IFERROR(INDIRECT(CONCATENATE("Field!D",A157+4)),"")</f>
        <v>3</v>
      </c>
      <c r="C160" s="66">
        <f ca="1">IFERROR(INDIRECT(CONCATENATE("Field!e",A157+4)),"")</f>
        <v>2</v>
      </c>
      <c r="D160" s="85" t="str">
        <f ca="1">IFERROR(INDIRECT(CONCATENATE("Field!f",A157+4)),"")</f>
        <v>Anna ROOKE</v>
      </c>
      <c r="E160" s="85" t="str">
        <f ca="1">IFERROR(INDIRECT(CONCATENATE("Field!g",A157+4)),"")</f>
        <v>ECHT</v>
      </c>
      <c r="F160" s="65">
        <f ca="1">IFERROR(INDIRECT(CONCATENATE("Field!h",A157+4)),"")</f>
        <v>15.6</v>
      </c>
      <c r="G160" s="108" t="str">
        <f ca="1">IFERROR(INDIRECT(CONCATENATE("Field!i",A157+4)),"")</f>
        <v/>
      </c>
      <c r="H160" s="66"/>
      <c r="I160" s="66">
        <f ca="1">IFERROR(INDIRECT(CONCATENATE("Field!k",A157+4)),"")</f>
        <v>3</v>
      </c>
      <c r="J160" s="66">
        <f ca="1">IFERROR(INDIRECT(CONCATENATE("Field!l",A157+4)),"")</f>
        <v>55</v>
      </c>
      <c r="K160" s="85" t="str">
        <f ca="1">IFERROR(INDIRECT(CONCATENATE("Field!m",A157+4)),"")</f>
        <v>Elliw MOSS</v>
      </c>
      <c r="L160" s="85" t="str">
        <f ca="1">IFERROR(INDIRECT(CONCATENATE("Field!n",A157+4)),"")</f>
        <v>Menai</v>
      </c>
      <c r="M160" s="65">
        <f ca="1">IFERROR(INDIRECT(CONCATENATE("Field!o",A157+4)),"")</f>
        <v>9.5500000000000007</v>
      </c>
      <c r="N160" s="108" t="str">
        <f ca="1">IFERROR(INDIRECT(CONCATENATE("Field!p",A157+4)),"")</f>
        <v/>
      </c>
      <c r="T160" s="64">
        <f t="shared" ca="1" si="8"/>
        <v>3</v>
      </c>
      <c r="U160" s="64">
        <f t="shared" ca="1" si="9"/>
        <v>2</v>
      </c>
      <c r="V160" s="266">
        <f ca="1">IF(OR(D160=0,D160="",D160="Athlete"),"",COUNTIF($D$4:$D160,D160))</f>
        <v>1</v>
      </c>
      <c r="W160" s="266" t="str">
        <f t="shared" ca="1" si="10"/>
        <v>ECHT</v>
      </c>
      <c r="Z160" s="266" t="str">
        <f t="shared" ca="1" si="11"/>
        <v/>
      </c>
    </row>
    <row r="161" spans="1:26" x14ac:dyDescent="0.35">
      <c r="B161" s="66">
        <f ca="1">IFERROR(INDIRECT(CONCATENATE("Field!D",A157+5)),"")</f>
        <v>4</v>
      </c>
      <c r="C161" s="66">
        <f ca="1">IFERROR(INDIRECT(CONCATENATE("Field!e",A157+5)),"")</f>
        <v>5</v>
      </c>
      <c r="D161" s="85" t="str">
        <f ca="1">IFERROR(INDIRECT(CONCATENATE("Field!f",A157+5)),"")</f>
        <v>Erin JACOBS</v>
      </c>
      <c r="E161" s="85" t="str">
        <f ca="1">IFERROR(INDIRECT(CONCATENATE("Field!g",A157+5)),"")</f>
        <v>Menai</v>
      </c>
      <c r="F161" s="65">
        <f ca="1">IFERROR(INDIRECT(CONCATENATE("Field!h",A157+5)),"")</f>
        <v>13.77</v>
      </c>
      <c r="G161" s="108" t="str">
        <f ca="1">IFERROR(INDIRECT(CONCATENATE("Field!i",A157+5)),"")</f>
        <v/>
      </c>
      <c r="H161" s="66"/>
      <c r="I161" s="66">
        <f ca="1">IFERROR(INDIRECT(CONCATENATE("Field!k",A157+5)),"")</f>
        <v>4</v>
      </c>
      <c r="J161" s="66">
        <f ca="1">IFERROR(INDIRECT(CONCATENATE("Field!l",A157+5)),"")</f>
        <v>7</v>
      </c>
      <c r="K161" s="85" t="str">
        <f ca="1">IFERROR(INDIRECT(CONCATENATE("Field!m",A157+5)),"")</f>
        <v>Niamh JOHNSON</v>
      </c>
      <c r="L161" s="85" t="str">
        <f ca="1">IFERROR(INDIRECT(CONCATENATE("Field!n",A157+5)),"")</f>
        <v>Wigan</v>
      </c>
      <c r="M161" s="65" t="str">
        <f ca="1">IFERROR(INDIRECT(CONCATENATE("Field!o",A157+5)),"")</f>
        <v>X</v>
      </c>
      <c r="N161" s="108">
        <f ca="1">IFERROR(INDIRECT(CONCATENATE("Field!p",A157+5)),"")</f>
        <v>9</v>
      </c>
      <c r="T161" s="64">
        <f t="shared" ca="1" si="8"/>
        <v>3</v>
      </c>
      <c r="U161" s="64">
        <f t="shared" ca="1" si="9"/>
        <v>1</v>
      </c>
      <c r="V161" s="266">
        <f ca="1">IF(OR(D161=0,D161="",D161="Athlete"),"",COUNTIF($D$4:$D161,D161))</f>
        <v>3</v>
      </c>
      <c r="W161" s="266" t="str">
        <f t="shared" ca="1" si="10"/>
        <v>Menai</v>
      </c>
      <c r="Z161" s="266" t="str">
        <f t="shared" ca="1" si="11"/>
        <v/>
      </c>
    </row>
    <row r="162" spans="1:26" x14ac:dyDescent="0.35">
      <c r="B162" s="66">
        <f ca="1">IFERROR(INDIRECT(CONCATENATE("Field!D",A157+6)),"")</f>
        <v>5</v>
      </c>
      <c r="C162" s="66">
        <f ca="1">IFERROR(INDIRECT(CONCATENATE("Field!e",A157+6)),"")</f>
        <v>77</v>
      </c>
      <c r="D162" s="85" t="str">
        <f ca="1">IFERROR(INDIRECT(CONCATENATE("Field!f",A157+6)),"")</f>
        <v>Esme HARRIS</v>
      </c>
      <c r="E162" s="85" t="str">
        <f ca="1">IFERROR(INDIRECT(CONCATENATE("Field!g",A157+6)),"")</f>
        <v>Wigan</v>
      </c>
      <c r="F162" s="65">
        <f ca="1">IFERROR(INDIRECT(CONCATENATE("Field!h",A157+6)),"")</f>
        <v>11.61</v>
      </c>
      <c r="G162" s="108" t="str">
        <f ca="1">IFERROR(INDIRECT(CONCATENATE("Field!i",A157+6)),"")</f>
        <v/>
      </c>
      <c r="H162" s="66"/>
      <c r="I162" s="66">
        <f ca="1">IFERROR(INDIRECT(CONCATENATE("Field!k",A157+6)),"")</f>
        <v>5</v>
      </c>
      <c r="J162" s="66" t="str">
        <f ca="1">IFERROR(INDIRECT(CONCATENATE("Field!l",A157+6)),"")</f>
        <v/>
      </c>
      <c r="K162" s="85" t="str">
        <f ca="1">IFERROR(INDIRECT(CONCATENATE("Field!m",A157+6)),"")</f>
        <v/>
      </c>
      <c r="L162" s="85" t="str">
        <f ca="1">IFERROR(INDIRECT(CONCATENATE("Field!n",A157+6)),"")</f>
        <v/>
      </c>
      <c r="M162" s="65" t="str">
        <f ca="1">IFERROR(INDIRECT(CONCATENATE("Field!o",A157+6)),"")</f>
        <v/>
      </c>
      <c r="N162" s="108" t="str">
        <f ca="1">IFERROR(INDIRECT(CONCATENATE("Field!p",A157+6)),"")</f>
        <v/>
      </c>
      <c r="T162" s="64">
        <f t="shared" ca="1" si="8"/>
        <v>2</v>
      </c>
      <c r="U162" s="64" t="str">
        <f t="shared" ca="1" si="9"/>
        <v/>
      </c>
      <c r="V162" s="266">
        <f ca="1">IF(OR(D162=0,D162="",D162="Athlete"),"",COUNTIF($D$4:$D162,D162))</f>
        <v>2</v>
      </c>
      <c r="W162" s="266" t="str">
        <f t="shared" ca="1" si="10"/>
        <v>Wigan</v>
      </c>
      <c r="Z162" s="266" t="str">
        <f t="shared" ca="1" si="11"/>
        <v/>
      </c>
    </row>
    <row r="163" spans="1:26" x14ac:dyDescent="0.35">
      <c r="B163" s="66">
        <f ca="1">IFERROR(INDIRECT(CONCATENATE("Field!D",A157+7)),"")</f>
        <v>6</v>
      </c>
      <c r="C163" s="66" t="str">
        <f ca="1">IFERROR(INDIRECT(CONCATENATE("Field!e",A157+7)),"")</f>
        <v/>
      </c>
      <c r="D163" s="85" t="str">
        <f ca="1">IFERROR(INDIRECT(CONCATENATE("Field!f",A157+7)),"")</f>
        <v/>
      </c>
      <c r="E163" s="85" t="str">
        <f ca="1">IFERROR(INDIRECT(CONCATENATE("Field!g",A157+7)),"")</f>
        <v/>
      </c>
      <c r="F163" s="65" t="str">
        <f ca="1">IFERROR(INDIRECT(CONCATENATE("Field!h",A157+7)),"")</f>
        <v/>
      </c>
      <c r="G163" s="108" t="str">
        <f ca="1">IFERROR(INDIRECT(CONCATENATE("Field!i",A157+7)),"")</f>
        <v/>
      </c>
      <c r="H163" s="66"/>
      <c r="I163" s="66">
        <f ca="1">IFERROR(INDIRECT(CONCATENATE("Field!k",A157+7)),"")</f>
        <v>6</v>
      </c>
      <c r="J163" s="66" t="str">
        <f ca="1">IFERROR(INDIRECT(CONCATENATE("Field!l",A157+7)),"")</f>
        <v/>
      </c>
      <c r="K163" s="85" t="str">
        <f ca="1">IFERROR(INDIRECT(CONCATENATE("Field!m",A157+7)),"")</f>
        <v/>
      </c>
      <c r="L163" s="85" t="str">
        <f ca="1">IFERROR(INDIRECT(CONCATENATE("Field!n",A157+7)),"")</f>
        <v/>
      </c>
      <c r="M163" s="65" t="str">
        <f ca="1">IFERROR(INDIRECT(CONCATENATE("Field!o",A157+7)),"")</f>
        <v/>
      </c>
      <c r="N163" s="108" t="str">
        <f ca="1">IFERROR(INDIRECT(CONCATENATE("Field!p",A157+7)),"")</f>
        <v/>
      </c>
      <c r="T163" s="64" t="str">
        <f t="shared" ca="1" si="8"/>
        <v/>
      </c>
      <c r="U163" s="64" t="str">
        <f t="shared" ca="1" si="9"/>
        <v/>
      </c>
      <c r="V163" s="266" t="str">
        <f ca="1">IF(OR(D163=0,D163="",D163="Athlete"),"",COUNTIF($D$4:$D163,D163))</f>
        <v/>
      </c>
      <c r="W163" s="266" t="str">
        <f t="shared" ca="1" si="10"/>
        <v/>
      </c>
      <c r="Z163" s="266" t="str">
        <f t="shared" ca="1" si="11"/>
        <v/>
      </c>
    </row>
    <row r="164" spans="1:26" x14ac:dyDescent="0.35">
      <c r="B164" s="66">
        <f ca="1">IFERROR(INDIRECT(CONCATENATE("Field!D",A157+8)),"")</f>
        <v>7</v>
      </c>
      <c r="C164" s="66" t="str">
        <f ca="1">IFERROR(INDIRECT(CONCATENATE("Field!e",A157+8)),"")</f>
        <v/>
      </c>
      <c r="D164" s="85" t="str">
        <f ca="1">IFERROR(INDIRECT(CONCATENATE("Field!f",A157+8)),"")</f>
        <v/>
      </c>
      <c r="E164" s="85" t="str">
        <f ca="1">IFERROR(INDIRECT(CONCATENATE("Field!g",A157+8)),"")</f>
        <v/>
      </c>
      <c r="F164" s="65" t="str">
        <f ca="1">IFERROR(INDIRECT(CONCATENATE("Field!h",A157+8)),"")</f>
        <v/>
      </c>
      <c r="G164" s="108" t="str">
        <f ca="1">IFERROR(INDIRECT(CONCATENATE("Field!i",A157+8)),"")</f>
        <v/>
      </c>
      <c r="H164" s="66"/>
      <c r="I164" s="66">
        <f ca="1">IFERROR(INDIRECT(CONCATENATE("Field!k",A157+8)),"")</f>
        <v>7</v>
      </c>
      <c r="J164" s="66" t="str">
        <f ca="1">IFERROR(INDIRECT(CONCATENATE("Field!l",A157+8)),"")</f>
        <v/>
      </c>
      <c r="K164" s="85" t="str">
        <f ca="1">IFERROR(INDIRECT(CONCATENATE("Field!m",A157+8)),"")</f>
        <v/>
      </c>
      <c r="L164" s="85" t="str">
        <f ca="1">IFERROR(INDIRECT(CONCATENATE("Field!n",A157+8)),"")</f>
        <v/>
      </c>
      <c r="M164" s="65" t="str">
        <f ca="1">IFERROR(INDIRECT(CONCATENATE("Field!o",A157+8)),"")</f>
        <v/>
      </c>
      <c r="N164" s="108" t="str">
        <f ca="1">IFERROR(INDIRECT(CONCATENATE("Field!p",A157+8)),"")</f>
        <v/>
      </c>
      <c r="T164" s="64" t="str">
        <f t="shared" ca="1" si="8"/>
        <v/>
      </c>
      <c r="U164" s="64" t="str">
        <f t="shared" ca="1" si="9"/>
        <v/>
      </c>
      <c r="V164" s="266" t="str">
        <f ca="1">IF(OR(D164=0,D164="",D164="Athlete"),"",COUNTIF($D$4:$D164,D164))</f>
        <v/>
      </c>
      <c r="W164" s="266" t="str">
        <f t="shared" ca="1" si="10"/>
        <v/>
      </c>
      <c r="Z164" s="266" t="str">
        <f t="shared" ca="1" si="11"/>
        <v/>
      </c>
    </row>
    <row r="165" spans="1:26" x14ac:dyDescent="0.35">
      <c r="B165" s="66">
        <f ca="1">IFERROR(INDIRECT(CONCATENATE("Field!D",A157+9)),"")</f>
        <v>8</v>
      </c>
      <c r="C165" s="66" t="str">
        <f ca="1">IFERROR(INDIRECT(CONCATENATE("Field!e",A157+9)),"")</f>
        <v/>
      </c>
      <c r="D165" s="85" t="str">
        <f ca="1">IFERROR(INDIRECT(CONCATENATE("Field!f",A157+9)),"")</f>
        <v/>
      </c>
      <c r="E165" s="85" t="str">
        <f ca="1">IFERROR(INDIRECT(CONCATENATE("Field!g",A157+9)),"")</f>
        <v/>
      </c>
      <c r="F165" s="65" t="str">
        <f ca="1">IFERROR(INDIRECT(CONCATENATE("Field!h",A157+9)),"")</f>
        <v/>
      </c>
      <c r="G165" s="108" t="str">
        <f ca="1">IFERROR(INDIRECT(CONCATENATE("Field!i",A157+9)),"")</f>
        <v/>
      </c>
      <c r="H165" s="66"/>
      <c r="I165" s="66">
        <f ca="1">IFERROR(INDIRECT(CONCATENATE("Field!k",A157+9)),"")</f>
        <v>8</v>
      </c>
      <c r="J165" s="66" t="str">
        <f ca="1">IFERROR(INDIRECT(CONCATENATE("Field!l",A157+9)),"")</f>
        <v/>
      </c>
      <c r="K165" s="85" t="str">
        <f ca="1">IFERROR(INDIRECT(CONCATENATE("Field!m",A157+9)),"")</f>
        <v/>
      </c>
      <c r="L165" s="85" t="str">
        <f ca="1">IFERROR(INDIRECT(CONCATENATE("Field!n",A157+9)),"")</f>
        <v/>
      </c>
      <c r="M165" s="65" t="str">
        <f ca="1">IFERROR(INDIRECT(CONCATENATE("Field!o",A157+9)),"")</f>
        <v/>
      </c>
      <c r="N165" s="108" t="str">
        <f ca="1">IFERROR(INDIRECT(CONCATENATE("Field!p",A157+9)),"")</f>
        <v/>
      </c>
      <c r="T165" s="64" t="str">
        <f t="shared" ca="1" si="8"/>
        <v/>
      </c>
      <c r="U165" s="64" t="str">
        <f t="shared" ca="1" si="9"/>
        <v/>
      </c>
      <c r="V165" s="266" t="str">
        <f ca="1">IF(OR(D165=0,D165="",D165="Athlete"),"",COUNTIF($D$4:$D165,D165))</f>
        <v/>
      </c>
      <c r="W165" s="266" t="str">
        <f t="shared" ca="1" si="10"/>
        <v/>
      </c>
      <c r="Z165" s="266" t="str">
        <f t="shared" ca="1" si="11"/>
        <v/>
      </c>
    </row>
    <row r="166" spans="1:26" x14ac:dyDescent="0.35">
      <c r="T166" s="64" t="str">
        <f t="shared" si="8"/>
        <v/>
      </c>
      <c r="U166" s="64" t="str">
        <f t="shared" si="9"/>
        <v/>
      </c>
      <c r="V166" s="266" t="str">
        <f>IF(OR(D166=0,D166="",D166="Athlete"),"",COUNTIF($D$4:$D166,D166))</f>
        <v/>
      </c>
    </row>
    <row r="167" spans="1:26" x14ac:dyDescent="0.35">
      <c r="A167" s="66" t="s">
        <v>264</v>
      </c>
      <c r="B167" s="102" t="str">
        <f ca="1">IFERROR(INDIRECT(CONCATENATE("Relays!b",A168)),"")</f>
        <v xml:space="preserve"> 4 x 100m U15 Girls A</v>
      </c>
      <c r="M167" s="133" t="str">
        <f ca="1">IFERROR(INDIRECT(CONCATENATE("Relays!i",A168)),"")</f>
        <v/>
      </c>
      <c r="T167" s="64" t="str">
        <f t="shared" si="8"/>
        <v/>
      </c>
      <c r="U167" s="64" t="str">
        <f t="shared" si="9"/>
        <v/>
      </c>
      <c r="V167" s="266" t="str">
        <f>IF(OR(D167=0,D167="",D167="Athlete"),"",COUNTIF($D$4:$D167,D167))</f>
        <v/>
      </c>
    </row>
    <row r="168" spans="1:26" x14ac:dyDescent="0.35">
      <c r="A168" s="66">
        <f>IFERROR(MATCH(A167,Relays!A:A,0),"")</f>
        <v>24</v>
      </c>
      <c r="B168" s="45" t="str">
        <f ca="1">IFERROR(INDIRECT(CONCATENATE("Relays!b",A168+1)),"")</f>
        <v>Posn</v>
      </c>
      <c r="C168" s="45" t="str">
        <f ca="1">IFERROR(INDIRECT(CONCATENATE("Relays!c",A168+1)),"")</f>
        <v>No.</v>
      </c>
      <c r="D168" s="139" t="s">
        <v>539</v>
      </c>
      <c r="G168" s="45"/>
      <c r="K168" s="45"/>
      <c r="L168" s="139" t="str">
        <f ca="1">IFERROR(INDIRECT(CONCATENATE("Relays!D",A168+1)),"")</f>
        <v>Club</v>
      </c>
      <c r="M168" s="133" t="str">
        <f ca="1">IFERROR(INDIRECT(CONCATENATE("Relays!i",A168+1)),"")</f>
        <v>Perf</v>
      </c>
      <c r="T168" s="64">
        <f t="shared" ref="T168:T176" ca="1" si="12">IF(OR(L168=0,L168="",L168="Athlete"),"",COUNTIF($D$4:$D$352,L168))</f>
        <v>0</v>
      </c>
      <c r="U168" s="64" t="str">
        <f t="shared" si="9"/>
        <v/>
      </c>
    </row>
    <row r="169" spans="1:26" x14ac:dyDescent="0.35">
      <c r="B169" s="66">
        <f ca="1">IFERROR(INDIRECT(CONCATENATE("Relays!b",A168+2)),"")</f>
        <v>1</v>
      </c>
      <c r="C169" s="66">
        <f ca="1">IFERROR(INDIRECT(CONCATENATE("Relays!c",A168+2)),"")</f>
        <v>6</v>
      </c>
      <c r="D169" s="85" t="str">
        <f ca="1">IFERROR(IF(INDIRECT(CONCATENATE("Relays!e",A168+2))="","",INDIRECT(CONCATENATE("Relays!e",A168+2))),"")</f>
        <v>Lily TYLER, Charlotte UNDERWOOD, Lucy JONES, Molly MILLS</v>
      </c>
      <c r="G169" s="66"/>
      <c r="K169" s="66"/>
      <c r="L169" s="85" t="str">
        <f ca="1">IFERROR(INDIRECT(CONCATENATE("Relays!D",A168+2)),"")</f>
        <v>Stock</v>
      </c>
      <c r="M169" s="395">
        <f ca="1">IFERROR(INDIRECT(CONCATENATE("Relays!i",A168+2)),"")</f>
        <v>54.5</v>
      </c>
      <c r="R169" s="66">
        <f ca="1">IFERROR(INDIRECT(CONCATENATE("Relays!M",A168+2)),"")</f>
        <v>1</v>
      </c>
      <c r="T169" s="64">
        <f t="shared" ca="1" si="12"/>
        <v>0</v>
      </c>
      <c r="U169" s="64" t="str">
        <f t="shared" si="9"/>
        <v/>
      </c>
    </row>
    <row r="170" spans="1:26" x14ac:dyDescent="0.35">
      <c r="B170" s="66">
        <f ca="1">IFERROR(INDIRECT(CONCATENATE("Relays!b",A168+3)),"")</f>
        <v>2</v>
      </c>
      <c r="C170" s="66">
        <f ca="1">IFERROR(INDIRECT(CONCATENATE("Relays!c",A168+3)),"")</f>
        <v>7</v>
      </c>
      <c r="D170" s="85" t="str">
        <f ca="1">IFERROR(IF(INDIRECT(CONCATENATE("Relays!e",A168+3))="","",INDIRECT(CONCATENATE("Relays!e",A168+3))),"")</f>
        <v>Lucy STRETTON, Lauren HEWITT, Emily WILSON, Emma PIMBLETT</v>
      </c>
      <c r="G170" s="66"/>
      <c r="K170" s="66"/>
      <c r="L170" s="85" t="str">
        <f ca="1">IFERROR(INDIRECT(CONCATENATE("Relays!D",A168+3)),"")</f>
        <v>Wigan</v>
      </c>
      <c r="M170" s="395">
        <f ca="1">IFERROR(INDIRECT(CONCATENATE("Relays!i",A168+3)),"")</f>
        <v>54.8</v>
      </c>
      <c r="T170" s="64">
        <f t="shared" ca="1" si="12"/>
        <v>0</v>
      </c>
      <c r="U170" s="64" t="str">
        <f t="shared" si="9"/>
        <v/>
      </c>
    </row>
    <row r="171" spans="1:26" x14ac:dyDescent="0.35">
      <c r="B171" s="66">
        <f ca="1">IFERROR(INDIRECT(CONCATENATE("Relays!b",A168+4)),"")</f>
        <v>3</v>
      </c>
      <c r="C171" s="66">
        <f ca="1">IFERROR(INDIRECT(CONCATENATE("Relays!c",A168+4)),"")</f>
        <v>3</v>
      </c>
      <c r="D171" s="85" t="str">
        <f ca="1">IFERROR(IF(INDIRECT(CONCATENATE("Relays!e",A168+4))="","",INDIRECT(CONCATENATE("Relays!e",A168+4))),"")</f>
        <v>Olivia COPPER, Eden MOSS TURNER, Eva MELLING, Isobel EVANS</v>
      </c>
      <c r="G171" s="66"/>
      <c r="K171" s="66"/>
      <c r="L171" s="85" t="str">
        <f ca="1">IFERROR(INDIRECT(CONCATENATE("Relays!D",A168+4)),"")</f>
        <v>Leigh</v>
      </c>
      <c r="M171" s="395">
        <f ca="1">IFERROR(INDIRECT(CONCATENATE("Relays!i",A168+4)),"")</f>
        <v>56.4</v>
      </c>
      <c r="T171" s="64">
        <f t="shared" ca="1" si="12"/>
        <v>0</v>
      </c>
      <c r="U171" s="64" t="str">
        <f t="shared" si="9"/>
        <v/>
      </c>
    </row>
    <row r="172" spans="1:26" x14ac:dyDescent="0.35">
      <c r="B172" s="66">
        <f ca="1">IFERROR(INDIRECT(CONCATENATE("Relays!b",A168+5)),"")</f>
        <v>4</v>
      </c>
      <c r="C172" s="66">
        <f ca="1">IFERROR(INDIRECT(CONCATENATE("Relays!c",A168+5)),"")</f>
        <v>5</v>
      </c>
      <c r="D172" s="85" t="str">
        <f ca="1">IFERROR(IF(INDIRECT(CONCATENATE("Relays!e",A168+5))="","",INDIRECT(CONCATENATE("Relays!e",A168+5))),"")</f>
        <v>Hawys OWEN, Nest OWEN, Lily HARDY, Mabli WILLIAMS</v>
      </c>
      <c r="G172" s="66"/>
      <c r="K172" s="66"/>
      <c r="L172" s="85" t="str">
        <f ca="1">IFERROR(INDIRECT(CONCATENATE("Relays!D",A168+5)),"")</f>
        <v>Menai</v>
      </c>
      <c r="M172" s="395">
        <f ca="1">IFERROR(INDIRECT(CONCATENATE("Relays!i",A168+5)),"")</f>
        <v>58.4</v>
      </c>
      <c r="T172" s="64">
        <f t="shared" ca="1" si="12"/>
        <v>0</v>
      </c>
      <c r="U172" s="64" t="str">
        <f t="shared" si="9"/>
        <v/>
      </c>
    </row>
    <row r="173" spans="1:26" x14ac:dyDescent="0.35">
      <c r="B173" s="66">
        <f ca="1">IFERROR(INDIRECT(CONCATENATE("Relays!b",A168+6)),"")</f>
        <v>5</v>
      </c>
      <c r="C173" s="66">
        <f ca="1">IFERROR(INDIRECT(CONCATENATE("Relays!c",A168+6)),"")</f>
        <v>1</v>
      </c>
      <c r="D173" s="85" t="str">
        <f ca="1">IFERROR(IF(INDIRECT(CONCATENATE("Relays!e",A168+6))="","",INDIRECT(CONCATENATE("Relays!e",A168+6))),"")</f>
        <v>Sophie STAINSBY, Heidi WOODS, Freya MASON, Bella VARLEY</v>
      </c>
      <c r="G173" s="66"/>
      <c r="K173" s="66"/>
      <c r="L173" s="85" t="str">
        <f ca="1">IFERROR(INDIRECT(CONCATENATE("Relays!D",A168+6)),"")</f>
        <v>C&amp;N</v>
      </c>
      <c r="M173" s="395">
        <f ca="1">IFERROR(INDIRECT(CONCATENATE("Relays!i",A168+6)),"")</f>
        <v>60</v>
      </c>
      <c r="T173" s="64">
        <f t="shared" ca="1" si="12"/>
        <v>0</v>
      </c>
      <c r="U173" s="64" t="str">
        <f t="shared" si="9"/>
        <v/>
      </c>
    </row>
    <row r="174" spans="1:26" x14ac:dyDescent="0.35">
      <c r="B174" s="66">
        <f ca="1">IFERROR(INDIRECT(CONCATENATE("Relays!b",A168+7)),"")</f>
        <v>6</v>
      </c>
      <c r="C174" s="66">
        <f ca="1">IFERROR(INDIRECT(CONCATENATE("Relays!c",A168+7)),"")</f>
        <v>0</v>
      </c>
      <c r="D174" s="85" t="str">
        <f ca="1">IFERROR(IF(INDIRECT(CONCATENATE("Relays!e",A168+7))="","",INDIRECT(CONCATENATE("Relays!e",A168+7))&amp;", "&amp;INDIRECT(CONCATENATE("Relays!f",A168+7))&amp;", "&amp;INDIRECT(CONCATENATE("Relays!g",A168+7))&amp;", "&amp;INDIRECT(CONCATENATE("Relays!h",A168+7))),"")</f>
        <v/>
      </c>
      <c r="G174" s="66"/>
      <c r="K174" s="66"/>
      <c r="L174" s="85" t="str">
        <f ca="1">IFERROR(INDIRECT(CONCATENATE("Relays!D",A168+7)),"")</f>
        <v/>
      </c>
      <c r="M174" s="395">
        <f ca="1">IFERROR(INDIRECT(CONCATENATE("Relays!i",A168+7)),"")</f>
        <v>0</v>
      </c>
      <c r="T174" s="64" t="str">
        <f t="shared" ca="1" si="12"/>
        <v/>
      </c>
      <c r="U174" s="64" t="str">
        <f t="shared" si="9"/>
        <v/>
      </c>
    </row>
    <row r="175" spans="1:26" x14ac:dyDescent="0.35">
      <c r="B175" s="66">
        <f ca="1">IFERROR(INDIRECT(CONCATENATE("Relays!b",A168+8)),"")</f>
        <v>7</v>
      </c>
      <c r="C175" s="66">
        <f ca="1">IFERROR(INDIRECT(CONCATENATE("Relays!c",A168+8)),"")</f>
        <v>0</v>
      </c>
      <c r="D175" s="85" t="str">
        <f ca="1">IFERROR(IF(INDIRECT(CONCATENATE("Relays!e",A168+8))="","",INDIRECT(CONCATENATE("Relays!e",A168+8))&amp;", "&amp;INDIRECT(CONCATENATE("Relays!f",A168+8))&amp;", "&amp;INDIRECT(CONCATENATE("Relays!g",A168+8))&amp;", "&amp;INDIRECT(CONCATENATE("Relays!h",A168+8))),"")</f>
        <v/>
      </c>
      <c r="G175" s="66"/>
      <c r="K175" s="66"/>
      <c r="L175" s="85" t="str">
        <f ca="1">IFERROR(INDIRECT(CONCATENATE("Relays!D",A168+8)),"")</f>
        <v/>
      </c>
      <c r="M175" s="395">
        <f ca="1">IFERROR(INDIRECT(CONCATENATE("Relays!i",A168+8)),"")</f>
        <v>0</v>
      </c>
      <c r="T175" s="64" t="str">
        <f t="shared" ca="1" si="12"/>
        <v/>
      </c>
      <c r="U175" s="64" t="str">
        <f t="shared" si="9"/>
        <v/>
      </c>
    </row>
    <row r="176" spans="1:26" x14ac:dyDescent="0.35">
      <c r="B176" s="66">
        <f ca="1">IFERROR(INDIRECT(CONCATENATE("Relays!b",A168+9)),"")</f>
        <v>8</v>
      </c>
      <c r="C176" s="66">
        <f ca="1">IFERROR(INDIRECT(CONCATENATE("Relays!c",A168+9)),"")</f>
        <v>0</v>
      </c>
      <c r="D176" s="85" t="str">
        <f ca="1">IFERROR(IF(INDIRECT(CONCATENATE("Relays!e",A168+9))="","",INDIRECT(CONCATENATE("Relays!e",A168+9))&amp;", "&amp;INDIRECT(CONCATENATE("Relays!f",A168+9))&amp;", "&amp;INDIRECT(CONCATENATE("Relays!g",A168+9))&amp;", "&amp;INDIRECT(CONCATENATE("Relays!h",A168+9))),"")</f>
        <v/>
      </c>
      <c r="G176" s="66"/>
      <c r="K176" s="66"/>
      <c r="L176" s="85" t="str">
        <f ca="1">IFERROR(INDIRECT(CONCATENATE("Relays!D",A168+9)),"")</f>
        <v/>
      </c>
      <c r="M176" s="395">
        <f ca="1">IFERROR(INDIRECT(CONCATENATE("Relays!i",A168+9)),"")</f>
        <v>0</v>
      </c>
      <c r="T176" s="64" t="str">
        <f t="shared" ca="1" si="12"/>
        <v/>
      </c>
      <c r="U176" s="64" t="str">
        <f t="shared" si="9"/>
        <v/>
      </c>
    </row>
    <row r="177" spans="1:22" x14ac:dyDescent="0.35">
      <c r="T177" s="64" t="str">
        <f t="shared" si="8"/>
        <v/>
      </c>
      <c r="U177" s="64" t="str">
        <f t="shared" si="9"/>
        <v/>
      </c>
    </row>
    <row r="178" spans="1:22" x14ac:dyDescent="0.35">
      <c r="A178" s="66" t="s">
        <v>260</v>
      </c>
      <c r="B178" s="102" t="str">
        <f ca="1">IFERROR(INDIRECT(CONCATENATE("Relays!b",A179)),"")</f>
        <v xml:space="preserve"> 4 x 300m U15 Girls A</v>
      </c>
      <c r="M178" s="133" t="str">
        <f ca="1">IFERROR(INDIRECT(CONCATENATE("Relays!i",A179)),"")</f>
        <v/>
      </c>
      <c r="T178" s="64" t="str">
        <f t="shared" si="8"/>
        <v/>
      </c>
      <c r="U178" s="64" t="str">
        <f t="shared" si="9"/>
        <v/>
      </c>
    </row>
    <row r="179" spans="1:22" x14ac:dyDescent="0.35">
      <c r="A179" s="66">
        <f>IFERROR(MATCH(A178,Relays!A:A,0),"")</f>
        <v>46</v>
      </c>
      <c r="B179" s="45" t="str">
        <f ca="1">IFERROR(INDIRECT(CONCATENATE("Relays!b",A179+1)),"")</f>
        <v>Posn</v>
      </c>
      <c r="C179" s="45" t="str">
        <f ca="1">IFERROR(INDIRECT(CONCATENATE("Relays!c",A179+1)),"")</f>
        <v>No.</v>
      </c>
      <c r="D179" s="139" t="s">
        <v>539</v>
      </c>
      <c r="G179" s="45"/>
      <c r="K179" s="45"/>
      <c r="L179" s="139" t="str">
        <f ca="1">IFERROR(INDIRECT(CONCATENATE("Relays!D",A179+1)),"")</f>
        <v>Club</v>
      </c>
      <c r="M179" s="133" t="str">
        <f ca="1">IFERROR(INDIRECT(CONCATENATE("Relays!i",A179+1)),"")</f>
        <v>Perf</v>
      </c>
      <c r="T179" s="64">
        <f t="shared" ref="T179:T187" ca="1" si="13">IF(OR(L179=0,L179="",L179="Athlete"),"",COUNTIF($D$4:$D$352,L179))</f>
        <v>0</v>
      </c>
      <c r="U179" s="64" t="str">
        <f t="shared" si="9"/>
        <v/>
      </c>
    </row>
    <row r="180" spans="1:22" x14ac:dyDescent="0.35">
      <c r="B180" s="66">
        <f ca="1">IFERROR(INDIRECT(CONCATENATE("Relays!b",A179+2)),"")</f>
        <v>1</v>
      </c>
      <c r="C180" s="66">
        <f ca="1">IFERROR(INDIRECT(CONCATENATE("Relays!c",A179+2)),"")</f>
        <v>3</v>
      </c>
      <c r="D180" s="85" t="str">
        <f ca="1">IFERROR(IF(INDIRECT(CONCATENATE("Relays!e",A179+2))="","",INDIRECT(CONCATENATE("Relays!e",A179+2))),"")</f>
        <v>Freya CASH, Lexie SHANNON, Gabriella TAYLOR, Jessica HODGKINSON</v>
      </c>
      <c r="G180" s="66"/>
      <c r="K180" s="66"/>
      <c r="L180" s="85" t="str">
        <f ca="1">IFERROR(INDIRECT(CONCATENATE("Relays!D",A179+2)),"")</f>
        <v>Leigh</v>
      </c>
      <c r="M180" s="96">
        <f ca="1">IFERROR(INDIRECT(CONCATENATE("Relays!K",A179+2)),"")</f>
        <v>2.158564814814815E-3</v>
      </c>
      <c r="R180" s="66">
        <f ca="1">IFERROR(INDIRECT(CONCATENATE("Relays!M",A179+2)),"")</f>
        <v>1</v>
      </c>
      <c r="T180" s="64">
        <f t="shared" ca="1" si="13"/>
        <v>0</v>
      </c>
      <c r="U180" s="64" t="str">
        <f t="shared" si="9"/>
        <v/>
      </c>
    </row>
    <row r="181" spans="1:22" x14ac:dyDescent="0.35">
      <c r="B181" s="66">
        <f ca="1">IFERROR(INDIRECT(CONCATENATE("Relays!b",A179+3)),"")</f>
        <v>2</v>
      </c>
      <c r="C181" s="66">
        <f ca="1">IFERROR(INDIRECT(CONCATENATE("Relays!c",A179+3)),"")</f>
        <v>7</v>
      </c>
      <c r="D181" s="85" t="str">
        <f ca="1">IFERROR(IF(INDIRECT(CONCATENATE("Relays!e",A179+3))="","",INDIRECT(CONCATENATE("Relays!e",A179+3))),"")</f>
        <v>Claudia BERRY, Esme HARRIS, Nour KHOLEIF, Kady HALL</v>
      </c>
      <c r="G181" s="66"/>
      <c r="K181" s="66"/>
      <c r="L181" s="85" t="str">
        <f ca="1">IFERROR(INDIRECT(CONCATENATE("Relays!D",A179+3)),"")</f>
        <v>Wigan</v>
      </c>
      <c r="M181" s="96">
        <f ca="1">IFERROR(INDIRECT(CONCATENATE("Relays!K",A179+3)),"")</f>
        <v>2.1643518518518513E-3</v>
      </c>
      <c r="T181" s="64">
        <f t="shared" ca="1" si="13"/>
        <v>0</v>
      </c>
      <c r="U181" s="64" t="str">
        <f t="shared" si="9"/>
        <v/>
      </c>
    </row>
    <row r="182" spans="1:22" x14ac:dyDescent="0.35">
      <c r="B182" s="66">
        <f ca="1">IFERROR(INDIRECT(CONCATENATE("Relays!b",A179+4)),"")</f>
        <v>3</v>
      </c>
      <c r="C182" s="66">
        <f ca="1">IFERROR(INDIRECT(CONCATENATE("Relays!c",A179+4)),"")</f>
        <v>2</v>
      </c>
      <c r="D182" s="85" t="str">
        <f ca="1">IFERROR(IF(INDIRECT(CONCATENATE("Relays!e",A179+4))="","",INDIRECT(CONCATENATE("Relays!e",A179+4))),"")</f>
        <v>Ava ROYLE, Anna ROOKE, Isla HERRING, Amelia JONES</v>
      </c>
      <c r="G182" s="66"/>
      <c r="K182" s="66"/>
      <c r="L182" s="85" t="str">
        <f ca="1">IFERROR(INDIRECT(CONCATENATE("Relays!D",A179+4)),"")</f>
        <v>ECHT</v>
      </c>
      <c r="M182" s="96">
        <f ca="1">IFERROR(INDIRECT(CONCATENATE("Relays!K",A179+4)),"")</f>
        <v>2.2997685185185183E-3</v>
      </c>
      <c r="T182" s="64">
        <f t="shared" ca="1" si="13"/>
        <v>0</v>
      </c>
      <c r="U182" s="64" t="str">
        <f t="shared" si="9"/>
        <v/>
      </c>
    </row>
    <row r="183" spans="1:22" x14ac:dyDescent="0.35">
      <c r="B183" s="66">
        <f ca="1">IFERROR(INDIRECT(CONCATENATE("Relays!b",A179+5)),"")</f>
        <v>4</v>
      </c>
      <c r="C183" s="66">
        <f ca="1">IFERROR(INDIRECT(CONCATENATE("Relays!c",A179+5)),"")</f>
        <v>1</v>
      </c>
      <c r="D183" s="85" t="str">
        <f ca="1">IFERROR(IF(INDIRECT(CONCATENATE("Relays!e",A179+5))="","",INDIRECT(CONCATENATE("Relays!e",A179+5))),"")</f>
        <v>Lucy HARDING, Elisha CARTER, Mia O'DONNELL, Olivia WELCH</v>
      </c>
      <c r="G183" s="66"/>
      <c r="K183" s="66"/>
      <c r="L183" s="85" t="str">
        <f ca="1">IFERROR(INDIRECT(CONCATENATE("Relays!D",A179+5)),"")</f>
        <v>C&amp;N</v>
      </c>
      <c r="M183" s="96">
        <f ca="1">IFERROR(INDIRECT(CONCATENATE("Relays!K",A179+5)),"")</f>
        <v>2.3333333333333335E-3</v>
      </c>
      <c r="T183" s="64">
        <f t="shared" ca="1" si="13"/>
        <v>0</v>
      </c>
      <c r="U183" s="64" t="str">
        <f t="shared" si="9"/>
        <v/>
      </c>
    </row>
    <row r="184" spans="1:22" x14ac:dyDescent="0.35">
      <c r="B184" s="66">
        <f ca="1">IFERROR(INDIRECT(CONCATENATE("Relays!b",A179+6)),"")</f>
        <v>5</v>
      </c>
      <c r="C184" s="66">
        <f ca="1">IFERROR(INDIRECT(CONCATENATE("Relays!c",A179+6)),"")</f>
        <v>0</v>
      </c>
      <c r="D184" s="85" t="str">
        <f ca="1">IFERROR(IF(INDIRECT(CONCATENATE("Relays!e",A179+6))="","",INDIRECT(CONCATENATE("Relays!e",A179+6))),"")</f>
        <v/>
      </c>
      <c r="G184" s="66"/>
      <c r="K184" s="66"/>
      <c r="L184" s="85" t="str">
        <f ca="1">IFERROR(INDIRECT(CONCATENATE("Relays!D",A179+6)),"")</f>
        <v/>
      </c>
      <c r="M184" s="96">
        <f ca="1">IFERROR(INDIRECT(CONCATENATE("Relays!K",A179+6)),"")</f>
        <v>0</v>
      </c>
      <c r="T184" s="64" t="str">
        <f t="shared" ca="1" si="13"/>
        <v/>
      </c>
      <c r="U184" s="64" t="str">
        <f t="shared" si="9"/>
        <v/>
      </c>
    </row>
    <row r="185" spans="1:22" x14ac:dyDescent="0.35">
      <c r="B185" s="66">
        <f ca="1">IFERROR(INDIRECT(CONCATENATE("Relays!b",A179+7)),"")</f>
        <v>6</v>
      </c>
      <c r="C185" s="66">
        <f ca="1">IFERROR(INDIRECT(CONCATENATE("Relays!c",A179+7)),"")</f>
        <v>0</v>
      </c>
      <c r="D185" s="85" t="str">
        <f ca="1">IFERROR(IF(INDIRECT(CONCATENATE("Relays!e",A179+7))="","",INDIRECT(CONCATENATE("Relays!e",A179+7))&amp;", "&amp;INDIRECT(CONCATENATE("Relays!f",A179+7))&amp;", "&amp;INDIRECT(CONCATENATE("Relays!g",A179+7))&amp;", "&amp;INDIRECT(CONCATENATE("Relays!h",A179+7))),"")</f>
        <v/>
      </c>
      <c r="G185" s="66"/>
      <c r="K185" s="66"/>
      <c r="L185" s="85" t="str">
        <f ca="1">IFERROR(INDIRECT(CONCATENATE("Relays!D",A179+7)),"")</f>
        <v/>
      </c>
      <c r="M185" s="96">
        <f ca="1">IFERROR(INDIRECT(CONCATENATE("Relays!K",A179+7)),"")</f>
        <v>0</v>
      </c>
      <c r="T185" s="64" t="str">
        <f t="shared" ca="1" si="13"/>
        <v/>
      </c>
      <c r="U185" s="64" t="str">
        <f t="shared" si="9"/>
        <v/>
      </c>
    </row>
    <row r="186" spans="1:22" x14ac:dyDescent="0.35">
      <c r="B186" s="66">
        <f ca="1">IFERROR(INDIRECT(CONCATENATE("Relays!b",A179+8)),"")</f>
        <v>7</v>
      </c>
      <c r="C186" s="66">
        <f ca="1">IFERROR(INDIRECT(CONCATENATE("Relays!c",A179+8)),"")</f>
        <v>0</v>
      </c>
      <c r="D186" s="85" t="str">
        <f ca="1">IFERROR(IF(INDIRECT(CONCATENATE("Relays!e",A179+8))="","",INDIRECT(CONCATENATE("Relays!e",A179+8))&amp;", "&amp;INDIRECT(CONCATENATE("Relays!f",A179+8))&amp;", "&amp;INDIRECT(CONCATENATE("Relays!g",A179+8))&amp;", "&amp;INDIRECT(CONCATENATE("Relays!h",A179+8))),"")</f>
        <v/>
      </c>
      <c r="G186" s="66"/>
      <c r="K186" s="66"/>
      <c r="L186" s="85" t="str">
        <f ca="1">IFERROR(INDIRECT(CONCATENATE("Relays!D",A179+8)),"")</f>
        <v/>
      </c>
      <c r="M186" s="96">
        <f ca="1">IFERROR(INDIRECT(CONCATENATE("Relays!K",A179+8)),"")</f>
        <v>0</v>
      </c>
      <c r="T186" s="64" t="str">
        <f t="shared" ca="1" si="13"/>
        <v/>
      </c>
      <c r="U186" s="64" t="str">
        <f t="shared" si="9"/>
        <v/>
      </c>
    </row>
    <row r="187" spans="1:22" x14ac:dyDescent="0.35">
      <c r="B187" s="66">
        <f ca="1">IFERROR(INDIRECT(CONCATENATE("Relays!b",A179+9)),"")</f>
        <v>8</v>
      </c>
      <c r="C187" s="66">
        <f ca="1">IFERROR(INDIRECT(CONCATENATE("Relays!c",A179+9)),"")</f>
        <v>0</v>
      </c>
      <c r="D187" s="85" t="str">
        <f ca="1">IFERROR(IF(INDIRECT(CONCATENATE("Relays!e",A179+9))="","",INDIRECT(CONCATENATE("Relays!e",A179+9))&amp;", "&amp;INDIRECT(CONCATENATE("Relays!f",A179+9))&amp;", "&amp;INDIRECT(CONCATENATE("Relays!g",A179+9))&amp;", "&amp;INDIRECT(CONCATENATE("Relays!h",A179+9))),"")</f>
        <v/>
      </c>
      <c r="G187" s="66"/>
      <c r="K187" s="66"/>
      <c r="L187" s="85" t="str">
        <f ca="1">IFERROR(INDIRECT(CONCATENATE("Relays!D",A179+9)),"")</f>
        <v/>
      </c>
      <c r="M187" s="96">
        <f ca="1">IFERROR(INDIRECT(CONCATENATE("Relays!K",A179+9)),"")</f>
        <v>0</v>
      </c>
      <c r="T187" s="64" t="str">
        <f t="shared" ca="1" si="13"/>
        <v/>
      </c>
      <c r="U187" s="64" t="str">
        <f t="shared" si="9"/>
        <v/>
      </c>
    </row>
    <row r="188" spans="1:22" x14ac:dyDescent="0.35">
      <c r="T188" s="64" t="str">
        <f t="shared" si="8"/>
        <v/>
      </c>
      <c r="U188" s="64" t="str">
        <f t="shared" si="9"/>
        <v/>
      </c>
      <c r="V188" s="266" t="str">
        <f>IF(OR(D188=0,D188="",D188="Athlete"),"",COUNTIF($D$4:$D188,D188))</f>
        <v/>
      </c>
    </row>
    <row r="189" spans="1:22" x14ac:dyDescent="0.35">
      <c r="T189" s="64" t="str">
        <f t="shared" si="8"/>
        <v/>
      </c>
      <c r="U189" s="64" t="str">
        <f t="shared" si="9"/>
        <v/>
      </c>
      <c r="V189" s="266" t="str">
        <f>IF(OR(D189=0,D189="",D189="Athlete"),"",COUNTIF($D$4:$D189,D189))</f>
        <v/>
      </c>
    </row>
    <row r="190" spans="1:22" x14ac:dyDescent="0.35">
      <c r="T190" s="64" t="str">
        <f t="shared" si="8"/>
        <v/>
      </c>
      <c r="U190" s="64" t="str">
        <f t="shared" si="9"/>
        <v/>
      </c>
      <c r="V190" s="266" t="str">
        <f>IF(OR(D190=0,D190="",D190="Athlete"),"",COUNTIF($D$4:$D190,D190))</f>
        <v/>
      </c>
    </row>
    <row r="191" spans="1:22" hidden="1" x14ac:dyDescent="0.35">
      <c r="D191" s="85" t="str">
        <f ca="1">K4</f>
        <v>Kady HALL</v>
      </c>
      <c r="E191" s="85" t="str">
        <f ca="1">L4</f>
        <v>Wigan</v>
      </c>
      <c r="T191" s="64">
        <f t="shared" ca="1" si="8"/>
        <v>3</v>
      </c>
      <c r="U191" s="64" t="str">
        <f t="shared" si="9"/>
        <v/>
      </c>
      <c r="V191" s="266">
        <f ca="1">IF(OR(D191=0,D191="",D191="Athlete"),"",COUNTIF($D$4:$D191,D191))</f>
        <v>3</v>
      </c>
    </row>
    <row r="192" spans="1:22" hidden="1" x14ac:dyDescent="0.35">
      <c r="D192" s="85" t="str">
        <f t="shared" ref="D192:E192" ca="1" si="14">K5</f>
        <v>Eva MELLING</v>
      </c>
      <c r="E192" s="85" t="str">
        <f t="shared" ca="1" si="14"/>
        <v>Leigh</v>
      </c>
      <c r="T192" s="64">
        <f t="shared" ca="1" si="8"/>
        <v>3</v>
      </c>
      <c r="U192" s="64" t="str">
        <f t="shared" si="9"/>
        <v/>
      </c>
      <c r="V192" s="266">
        <f ca="1">IF(OR(D192=0,D192="",D192="Athlete"),"",COUNTIF($D$4:$D192,D192))</f>
        <v>2</v>
      </c>
    </row>
    <row r="193" spans="4:22" hidden="1" x14ac:dyDescent="0.35">
      <c r="D193" s="85" t="str">
        <f t="shared" ref="D193:E193" ca="1" si="15">K6</f>
        <v>Bella VARLEY</v>
      </c>
      <c r="E193" s="85" t="str">
        <f t="shared" ca="1" si="15"/>
        <v>C&amp;N</v>
      </c>
      <c r="T193" s="64">
        <f t="shared" ca="1" si="8"/>
        <v>3</v>
      </c>
      <c r="U193" s="64" t="str">
        <f t="shared" si="9"/>
        <v/>
      </c>
      <c r="V193" s="266">
        <f ca="1">IF(OR(D193=0,D193="",D193="Athlete"),"",COUNTIF($D$4:$D193,D193))</f>
        <v>2</v>
      </c>
    </row>
    <row r="194" spans="4:22" hidden="1" x14ac:dyDescent="0.35">
      <c r="D194" s="85" t="str">
        <f t="shared" ref="D194:E194" ca="1" si="16">K7</f>
        <v>Nest OWEN</v>
      </c>
      <c r="E194" s="85" t="str">
        <f t="shared" ca="1" si="16"/>
        <v>Menai</v>
      </c>
      <c r="T194" s="64">
        <f t="shared" ca="1" si="8"/>
        <v>2</v>
      </c>
      <c r="U194" s="64" t="str">
        <f t="shared" si="9"/>
        <v/>
      </c>
      <c r="V194" s="266">
        <f ca="1">IF(OR(D194=0,D194="",D194="Athlete"),"",COUNTIF($D$4:$D194,D194))</f>
        <v>2</v>
      </c>
    </row>
    <row r="195" spans="4:22" hidden="1" x14ac:dyDescent="0.35">
      <c r="D195" s="85" t="str">
        <f t="shared" ref="D195:E195" ca="1" si="17">K8</f>
        <v>Charlotte UNDERWOOD</v>
      </c>
      <c r="E195" s="85" t="str">
        <f t="shared" ca="1" si="17"/>
        <v>Stock</v>
      </c>
      <c r="T195" s="64">
        <f t="shared" ca="1" si="8"/>
        <v>2</v>
      </c>
      <c r="U195" s="64" t="str">
        <f t="shared" si="9"/>
        <v/>
      </c>
      <c r="V195" s="266">
        <f ca="1">IF(OR(D195=0,D195="",D195="Athlete"),"",COUNTIF($D$4:$D195,D195))</f>
        <v>2</v>
      </c>
    </row>
    <row r="196" spans="4:22" hidden="1" x14ac:dyDescent="0.35">
      <c r="D196" s="85" t="str">
        <f t="shared" ref="D196:E196" ca="1" si="18">K9</f>
        <v>Lily-grace POOLE</v>
      </c>
      <c r="E196" s="85" t="str">
        <f t="shared" ca="1" si="18"/>
        <v>ECHT</v>
      </c>
      <c r="T196" s="64">
        <f t="shared" ca="1" si="8"/>
        <v>1</v>
      </c>
      <c r="U196" s="64" t="str">
        <f t="shared" si="9"/>
        <v/>
      </c>
      <c r="V196" s="266">
        <f ca="1">IF(OR(D196=0,D196="",D196="Athlete"),"",COUNTIF($D$4:$D196,D196))</f>
        <v>1</v>
      </c>
    </row>
    <row r="197" spans="4:22" hidden="1" x14ac:dyDescent="0.35">
      <c r="D197" s="85" t="str">
        <f t="shared" ref="D197:E197" ca="1" si="19">K10</f>
        <v/>
      </c>
      <c r="E197" s="85" t="str">
        <f t="shared" ca="1" si="19"/>
        <v/>
      </c>
      <c r="T197" s="64" t="str">
        <f t="shared" ref="T197:T260" ca="1" si="20">IF(OR(D197=0,D197="",D197="Athlete"),"",COUNTIF($D$4:$D$352,D197))</f>
        <v/>
      </c>
      <c r="U197" s="64" t="str">
        <f t="shared" ref="U197:U260" si="21">IF(OR(K197=0,K197="",K197="Athlete"),"",COUNTIF($D$4:$D$352,K197))</f>
        <v/>
      </c>
      <c r="V197" s="266" t="str">
        <f ca="1">IF(OR(D197=0,D197="",D197="Athlete"),"",COUNTIF($D$4:$D197,D197))</f>
        <v/>
      </c>
    </row>
    <row r="198" spans="4:22" hidden="1" x14ac:dyDescent="0.35">
      <c r="D198" s="85" t="str">
        <f t="shared" ref="D198:E198" ca="1" si="22">K11</f>
        <v/>
      </c>
      <c r="E198" s="85" t="str">
        <f t="shared" ca="1" si="22"/>
        <v/>
      </c>
      <c r="T198" s="64" t="str">
        <f t="shared" ca="1" si="20"/>
        <v/>
      </c>
      <c r="U198" s="64" t="str">
        <f t="shared" si="21"/>
        <v/>
      </c>
      <c r="V198" s="266" t="str">
        <f ca="1">IF(OR(D198=0,D198="",D198="Athlete"),"",COUNTIF($D$4:$D198,D198))</f>
        <v/>
      </c>
    </row>
    <row r="199" spans="4:22" hidden="1" x14ac:dyDescent="0.35">
      <c r="D199" s="85">
        <f t="shared" ref="D199:E199" si="23">K12</f>
        <v>0</v>
      </c>
      <c r="E199" s="85">
        <f t="shared" si="23"/>
        <v>0</v>
      </c>
      <c r="T199" s="64" t="str">
        <f t="shared" si="20"/>
        <v/>
      </c>
      <c r="U199" s="64" t="str">
        <f t="shared" si="21"/>
        <v/>
      </c>
      <c r="V199" s="266" t="str">
        <f>IF(OR(D199=0,D199="",D199="Athlete"),"",COUNTIF($D$4:$D199,D199))</f>
        <v/>
      </c>
    </row>
    <row r="200" spans="4:22" hidden="1" x14ac:dyDescent="0.35">
      <c r="D200" s="85">
        <f t="shared" ref="D200:E200" si="24">K13</f>
        <v>0</v>
      </c>
      <c r="E200" s="85" t="str">
        <f t="shared" si="24"/>
        <v>Wind</v>
      </c>
      <c r="T200" s="64" t="str">
        <f t="shared" si="20"/>
        <v/>
      </c>
      <c r="U200" s="64" t="str">
        <f t="shared" si="21"/>
        <v/>
      </c>
      <c r="V200" s="266" t="str">
        <f>IF(OR(D200=0,D200="",D200="Athlete"),"",COUNTIF($D$4:$D200,D200))</f>
        <v/>
      </c>
    </row>
    <row r="201" spans="4:22" hidden="1" x14ac:dyDescent="0.35">
      <c r="D201" s="85" t="str">
        <f t="shared" ref="D201:E201" ca="1" si="25">K14</f>
        <v>Athlete</v>
      </c>
      <c r="E201" s="85" t="str">
        <f t="shared" ca="1" si="25"/>
        <v>Club</v>
      </c>
      <c r="T201" s="64" t="str">
        <f t="shared" ca="1" si="20"/>
        <v/>
      </c>
      <c r="U201" s="64" t="str">
        <f t="shared" si="21"/>
        <v/>
      </c>
      <c r="V201" s="266" t="str">
        <f ca="1">IF(OR(D201=0,D201="",D201="Athlete"),"",COUNTIF($D$4:$D201,D201))</f>
        <v/>
      </c>
    </row>
    <row r="202" spans="4:22" hidden="1" x14ac:dyDescent="0.35">
      <c r="D202" s="85" t="str">
        <f t="shared" ref="D202:E202" ca="1" si="26">K15</f>
        <v/>
      </c>
      <c r="E202" s="85" t="str">
        <f t="shared" ca="1" si="26"/>
        <v/>
      </c>
      <c r="T202" s="64" t="str">
        <f t="shared" ca="1" si="20"/>
        <v/>
      </c>
      <c r="U202" s="64" t="str">
        <f t="shared" si="21"/>
        <v/>
      </c>
      <c r="V202" s="266" t="str">
        <f ca="1">IF(OR(D202=0,D202="",D202="Athlete"),"",COUNTIF($D$4:$D202,D202))</f>
        <v/>
      </c>
    </row>
    <row r="203" spans="4:22" hidden="1" x14ac:dyDescent="0.35">
      <c r="D203" s="85" t="str">
        <f t="shared" ref="D203:E203" ca="1" si="27">K16</f>
        <v/>
      </c>
      <c r="E203" s="85" t="str">
        <f t="shared" ca="1" si="27"/>
        <v/>
      </c>
      <c r="T203" s="64" t="str">
        <f t="shared" ca="1" si="20"/>
        <v/>
      </c>
      <c r="U203" s="64" t="str">
        <f t="shared" si="21"/>
        <v/>
      </c>
      <c r="V203" s="266" t="str">
        <f ca="1">IF(OR(D203=0,D203="",D203="Athlete"),"",COUNTIF($D$4:$D203,D203))</f>
        <v/>
      </c>
    </row>
    <row r="204" spans="4:22" hidden="1" x14ac:dyDescent="0.35">
      <c r="D204" s="85" t="str">
        <f t="shared" ref="D204:E204" ca="1" si="28">K17</f>
        <v/>
      </c>
      <c r="E204" s="85" t="str">
        <f t="shared" ca="1" si="28"/>
        <v/>
      </c>
      <c r="T204" s="64" t="str">
        <f t="shared" ca="1" si="20"/>
        <v/>
      </c>
      <c r="U204" s="64" t="str">
        <f t="shared" si="21"/>
        <v/>
      </c>
      <c r="V204" s="266" t="str">
        <f ca="1">IF(OR(D204=0,D204="",D204="Athlete"),"",COUNTIF($D$4:$D204,D204))</f>
        <v/>
      </c>
    </row>
    <row r="205" spans="4:22" hidden="1" x14ac:dyDescent="0.35">
      <c r="D205" s="85" t="str">
        <f t="shared" ref="D205:E205" ca="1" si="29">K18</f>
        <v/>
      </c>
      <c r="E205" s="85" t="str">
        <f t="shared" ca="1" si="29"/>
        <v/>
      </c>
      <c r="T205" s="64" t="str">
        <f t="shared" ca="1" si="20"/>
        <v/>
      </c>
      <c r="U205" s="64" t="str">
        <f t="shared" si="21"/>
        <v/>
      </c>
      <c r="V205" s="266" t="str">
        <f ca="1">IF(OR(D205=0,D205="",D205="Athlete"),"",COUNTIF($D$4:$D205,D205))</f>
        <v/>
      </c>
    </row>
    <row r="206" spans="4:22" hidden="1" x14ac:dyDescent="0.35">
      <c r="D206" s="85" t="str">
        <f t="shared" ref="D206:E206" ca="1" si="30">K19</f>
        <v/>
      </c>
      <c r="E206" s="85" t="str">
        <f t="shared" ca="1" si="30"/>
        <v/>
      </c>
      <c r="T206" s="64" t="str">
        <f t="shared" ca="1" si="20"/>
        <v/>
      </c>
      <c r="U206" s="64" t="str">
        <f t="shared" si="21"/>
        <v/>
      </c>
      <c r="V206" s="266" t="str">
        <f ca="1">IF(OR(D206=0,D206="",D206="Athlete"),"",COUNTIF($D$4:$D206,D206))</f>
        <v/>
      </c>
    </row>
    <row r="207" spans="4:22" hidden="1" x14ac:dyDescent="0.35">
      <c r="D207" s="85" t="str">
        <f t="shared" ref="D207:E207" ca="1" si="31">K20</f>
        <v/>
      </c>
      <c r="E207" s="85" t="str">
        <f t="shared" ca="1" si="31"/>
        <v/>
      </c>
      <c r="T207" s="64" t="str">
        <f t="shared" ca="1" si="20"/>
        <v/>
      </c>
      <c r="U207" s="64" t="str">
        <f t="shared" si="21"/>
        <v/>
      </c>
      <c r="V207" s="266" t="str">
        <f ca="1">IF(OR(D207=0,D207="",D207="Athlete"),"",COUNTIF($D$4:$D207,D207))</f>
        <v/>
      </c>
    </row>
    <row r="208" spans="4:22" hidden="1" x14ac:dyDescent="0.35">
      <c r="D208" s="85" t="str">
        <f t="shared" ref="D208:E208" ca="1" si="32">K21</f>
        <v/>
      </c>
      <c r="E208" s="85" t="str">
        <f t="shared" ca="1" si="32"/>
        <v/>
      </c>
      <c r="T208" s="64" t="str">
        <f t="shared" ca="1" si="20"/>
        <v/>
      </c>
      <c r="U208" s="64" t="str">
        <f t="shared" si="21"/>
        <v/>
      </c>
      <c r="V208" s="266" t="str">
        <f ca="1">IF(OR(D208=0,D208="",D208="Athlete"),"",COUNTIF($D$4:$D208,D208))</f>
        <v/>
      </c>
    </row>
    <row r="209" spans="4:22" hidden="1" x14ac:dyDescent="0.35">
      <c r="D209" s="85" t="str">
        <f t="shared" ref="D209:E209" ca="1" si="33">K22</f>
        <v/>
      </c>
      <c r="E209" s="85" t="str">
        <f t="shared" ca="1" si="33"/>
        <v/>
      </c>
      <c r="T209" s="64" t="str">
        <f t="shared" ca="1" si="20"/>
        <v/>
      </c>
      <c r="U209" s="64" t="str">
        <f t="shared" si="21"/>
        <v/>
      </c>
      <c r="V209" s="266" t="str">
        <f ca="1">IF(OR(D209=0,D209="",D209="Athlete"),"",COUNTIF($D$4:$D209,D209))</f>
        <v/>
      </c>
    </row>
    <row r="210" spans="4:22" hidden="1" x14ac:dyDescent="0.35">
      <c r="D210" s="85">
        <f t="shared" ref="D210:E210" si="34">K23</f>
        <v>0</v>
      </c>
      <c r="E210" s="85">
        <f t="shared" si="34"/>
        <v>0</v>
      </c>
      <c r="T210" s="64" t="str">
        <f t="shared" si="20"/>
        <v/>
      </c>
      <c r="U210" s="64" t="str">
        <f t="shared" si="21"/>
        <v/>
      </c>
      <c r="V210" s="266" t="str">
        <f>IF(OR(D210=0,D210="",D210="Athlete"),"",COUNTIF($D$4:$D210,D210))</f>
        <v/>
      </c>
    </row>
    <row r="211" spans="4:22" hidden="1" x14ac:dyDescent="0.35">
      <c r="D211" s="85">
        <f t="shared" ref="D211:E211" si="35">K24</f>
        <v>0</v>
      </c>
      <c r="E211" s="85" t="str">
        <f t="shared" si="35"/>
        <v>Wind</v>
      </c>
      <c r="T211" s="64" t="str">
        <f t="shared" si="20"/>
        <v/>
      </c>
      <c r="U211" s="64" t="str">
        <f t="shared" si="21"/>
        <v/>
      </c>
      <c r="V211" s="266" t="str">
        <f>IF(OR(D211=0,D211="",D211="Athlete"),"",COUNTIF($D$4:$D211,D211))</f>
        <v/>
      </c>
    </row>
    <row r="212" spans="4:22" hidden="1" x14ac:dyDescent="0.35">
      <c r="D212" s="85" t="str">
        <f t="shared" ref="D212:E212" ca="1" si="36">K25</f>
        <v>Athlete</v>
      </c>
      <c r="E212" s="85" t="str">
        <f t="shared" ca="1" si="36"/>
        <v>Club</v>
      </c>
      <c r="T212" s="64" t="str">
        <f t="shared" ca="1" si="20"/>
        <v/>
      </c>
      <c r="U212" s="64" t="str">
        <f t="shared" si="21"/>
        <v/>
      </c>
      <c r="V212" s="266" t="str">
        <f ca="1">IF(OR(D212=0,D212="",D212="Athlete"),"",COUNTIF($D$4:$D212,D212))</f>
        <v/>
      </c>
    </row>
    <row r="213" spans="4:22" hidden="1" x14ac:dyDescent="0.35">
      <c r="D213" s="85" t="str">
        <f t="shared" ref="D213:E213" ca="1" si="37">K26</f>
        <v>Emma PIMBLETT</v>
      </c>
      <c r="E213" s="85" t="str">
        <f t="shared" ca="1" si="37"/>
        <v>Wigan</v>
      </c>
      <c r="T213" s="64">
        <f t="shared" ca="1" si="20"/>
        <v>3</v>
      </c>
      <c r="U213" s="64" t="str">
        <f t="shared" si="21"/>
        <v/>
      </c>
      <c r="V213" s="266">
        <f ca="1">IF(OR(D213=0,D213="",D213="Athlete"),"",COUNTIF($D$4:$D213,D213))</f>
        <v>3</v>
      </c>
    </row>
    <row r="214" spans="4:22" hidden="1" x14ac:dyDescent="0.35">
      <c r="D214" s="85" t="str">
        <f t="shared" ref="D214:E214" ca="1" si="38">K27</f>
        <v>Ava ROYLE</v>
      </c>
      <c r="E214" s="85" t="str">
        <f t="shared" ca="1" si="38"/>
        <v>ECHT</v>
      </c>
      <c r="T214" s="64">
        <f t="shared" ca="1" si="20"/>
        <v>3</v>
      </c>
      <c r="U214" s="64" t="str">
        <f t="shared" si="21"/>
        <v/>
      </c>
      <c r="V214" s="266">
        <f ca="1">IF(OR(D214=0,D214="",D214="Athlete"),"",COUNTIF($D$4:$D214,D214))</f>
        <v>3</v>
      </c>
    </row>
    <row r="215" spans="4:22" hidden="1" x14ac:dyDescent="0.35">
      <c r="D215" s="85" t="str">
        <f t="shared" ref="D215:E215" ca="1" si="39">K28</f>
        <v>Lexie SHANNON</v>
      </c>
      <c r="E215" s="85" t="str">
        <f t="shared" ca="1" si="39"/>
        <v>Leigh</v>
      </c>
      <c r="T215" s="64">
        <f t="shared" ca="1" si="20"/>
        <v>1</v>
      </c>
      <c r="U215" s="64" t="str">
        <f t="shared" si="21"/>
        <v/>
      </c>
      <c r="V215" s="266">
        <f ca="1">IF(OR(D215=0,D215="",D215="Athlete"),"",COUNTIF($D$4:$D215,D215))</f>
        <v>1</v>
      </c>
    </row>
    <row r="216" spans="4:22" hidden="1" x14ac:dyDescent="0.35">
      <c r="D216" s="85" t="str">
        <f t="shared" ref="D216:E216" ca="1" si="40">K29</f>
        <v>Annabel BROWN</v>
      </c>
      <c r="E216" s="85" t="str">
        <f t="shared" ca="1" si="40"/>
        <v>Macc</v>
      </c>
      <c r="T216" s="64">
        <f t="shared" ca="1" si="20"/>
        <v>1</v>
      </c>
      <c r="U216" s="64" t="str">
        <f t="shared" si="21"/>
        <v/>
      </c>
      <c r="V216" s="266">
        <f ca="1">IF(OR(D216=0,D216="",D216="Athlete"),"",COUNTIF($D$4:$D216,D216))</f>
        <v>1</v>
      </c>
    </row>
    <row r="217" spans="4:22" hidden="1" x14ac:dyDescent="0.35">
      <c r="D217" s="85" t="str">
        <f t="shared" ref="D217:E217" ca="1" si="41">K30</f>
        <v>Lola-mae WILKINS</v>
      </c>
      <c r="E217" s="85" t="str">
        <f t="shared" ca="1" si="41"/>
        <v>C&amp;N</v>
      </c>
      <c r="T217" s="64">
        <f t="shared" ca="1" si="20"/>
        <v>1</v>
      </c>
      <c r="U217" s="64" t="str">
        <f t="shared" si="21"/>
        <v/>
      </c>
      <c r="V217" s="266">
        <f ca="1">IF(OR(D217=0,D217="",D217="Athlete"),"",COUNTIF($D$4:$D217,D217))</f>
        <v>1</v>
      </c>
    </row>
    <row r="218" spans="4:22" hidden="1" x14ac:dyDescent="0.35">
      <c r="D218" s="85" t="str">
        <f t="shared" ref="D218:E218" ca="1" si="42">K31</f>
        <v>Krista JONES</v>
      </c>
      <c r="E218" s="85" t="str">
        <f t="shared" ca="1" si="42"/>
        <v>Menai</v>
      </c>
      <c r="T218" s="64">
        <f t="shared" ca="1" si="20"/>
        <v>3</v>
      </c>
      <c r="U218" s="64" t="str">
        <f t="shared" si="21"/>
        <v/>
      </c>
      <c r="V218" s="266">
        <f ca="1">IF(OR(D218=0,D218="",D218="Athlete"),"",COUNTIF($D$4:$D218,D218))</f>
        <v>2</v>
      </c>
    </row>
    <row r="219" spans="4:22" hidden="1" x14ac:dyDescent="0.35">
      <c r="D219" s="85" t="str">
        <f t="shared" ref="D219:E219" ca="1" si="43">K32</f>
        <v/>
      </c>
      <c r="E219" s="85" t="str">
        <f t="shared" ca="1" si="43"/>
        <v/>
      </c>
      <c r="T219" s="64" t="str">
        <f t="shared" ca="1" si="20"/>
        <v/>
      </c>
      <c r="U219" s="64" t="str">
        <f t="shared" si="21"/>
        <v/>
      </c>
      <c r="V219" s="266" t="str">
        <f ca="1">IF(OR(D219=0,D219="",D219="Athlete"),"",COUNTIF($D$4:$D219,D219))</f>
        <v/>
      </c>
    </row>
    <row r="220" spans="4:22" hidden="1" x14ac:dyDescent="0.35">
      <c r="D220" s="85" t="str">
        <f t="shared" ref="D220:E220" ca="1" si="44">K33</f>
        <v/>
      </c>
      <c r="E220" s="85" t="str">
        <f t="shared" ca="1" si="44"/>
        <v/>
      </c>
      <c r="T220" s="64" t="str">
        <f t="shared" ca="1" si="20"/>
        <v/>
      </c>
      <c r="U220" s="64" t="str">
        <f t="shared" si="21"/>
        <v/>
      </c>
      <c r="V220" s="266" t="str">
        <f ca="1">IF(OR(D220=0,D220="",D220="Athlete"),"",COUNTIF($D$4:$D220,D220))</f>
        <v/>
      </c>
    </row>
    <row r="221" spans="4:22" hidden="1" x14ac:dyDescent="0.35">
      <c r="D221" s="85">
        <f t="shared" ref="D221:E221" si="45">K34</f>
        <v>0</v>
      </c>
      <c r="E221" s="85">
        <f t="shared" si="45"/>
        <v>0</v>
      </c>
      <c r="T221" s="64" t="str">
        <f t="shared" si="20"/>
        <v/>
      </c>
      <c r="U221" s="64" t="str">
        <f t="shared" si="21"/>
        <v/>
      </c>
      <c r="V221" s="266" t="str">
        <f>IF(OR(D221=0,D221="",D221="Athlete"),"",COUNTIF($D$4:$D221,D221))</f>
        <v/>
      </c>
    </row>
    <row r="222" spans="4:22" hidden="1" x14ac:dyDescent="0.35">
      <c r="D222" s="85">
        <f t="shared" ref="D222:E222" si="46">K35</f>
        <v>0</v>
      </c>
      <c r="E222" s="85">
        <f t="shared" si="46"/>
        <v>0</v>
      </c>
      <c r="T222" s="64" t="str">
        <f t="shared" si="20"/>
        <v/>
      </c>
      <c r="U222" s="64" t="str">
        <f t="shared" si="21"/>
        <v/>
      </c>
      <c r="V222" s="266" t="str">
        <f>IF(OR(D222=0,D222="",D222="Athlete"),"",COUNTIF($D$4:$D222,D222))</f>
        <v/>
      </c>
    </row>
    <row r="223" spans="4:22" hidden="1" x14ac:dyDescent="0.35">
      <c r="D223" s="85" t="str">
        <f t="shared" ref="D223:E223" ca="1" si="47">K36</f>
        <v>Athlete</v>
      </c>
      <c r="E223" s="85" t="str">
        <f t="shared" ca="1" si="47"/>
        <v>Club</v>
      </c>
      <c r="T223" s="64" t="str">
        <f t="shared" ca="1" si="20"/>
        <v/>
      </c>
      <c r="U223" s="64" t="str">
        <f t="shared" si="21"/>
        <v/>
      </c>
      <c r="V223" s="266" t="str">
        <f ca="1">IF(OR(D223=0,D223="",D223="Athlete"),"",COUNTIF($D$4:$D223,D223))</f>
        <v/>
      </c>
    </row>
    <row r="224" spans="4:22" hidden="1" x14ac:dyDescent="0.35">
      <c r="D224" s="85" t="str">
        <f t="shared" ref="D224:E224" ca="1" si="48">K37</f>
        <v>Gabriella TAYLOR</v>
      </c>
      <c r="E224" s="85" t="str">
        <f t="shared" ca="1" si="48"/>
        <v>Leigh</v>
      </c>
      <c r="T224" s="64">
        <f t="shared" ca="1" si="20"/>
        <v>3</v>
      </c>
      <c r="U224" s="64" t="str">
        <f t="shared" si="21"/>
        <v/>
      </c>
      <c r="V224" s="266">
        <f ca="1">IF(OR(D224=0,D224="",D224="Athlete"),"",COUNTIF($D$4:$D224,D224))</f>
        <v>2</v>
      </c>
    </row>
    <row r="225" spans="4:22" hidden="1" x14ac:dyDescent="0.35">
      <c r="D225" s="85" t="str">
        <f t="shared" ref="D225:E225" ca="1" si="49">K38</f>
        <v>Nour KHOLEIF</v>
      </c>
      <c r="E225" s="85" t="str">
        <f t="shared" ca="1" si="49"/>
        <v>Wigan</v>
      </c>
      <c r="T225" s="64">
        <f t="shared" ca="1" si="20"/>
        <v>2</v>
      </c>
      <c r="U225" s="64" t="str">
        <f t="shared" si="21"/>
        <v/>
      </c>
      <c r="V225" s="266">
        <f ca="1">IF(OR(D225=0,D225="",D225="Athlete"),"",COUNTIF($D$4:$D225,D225))</f>
        <v>2</v>
      </c>
    </row>
    <row r="226" spans="4:22" hidden="1" x14ac:dyDescent="0.35">
      <c r="D226" s="85" t="str">
        <f t="shared" ref="D226:E226" ca="1" si="50">K39</f>
        <v>Hawys OWEN</v>
      </c>
      <c r="E226" s="85" t="str">
        <f t="shared" ca="1" si="50"/>
        <v>Menai</v>
      </c>
      <c r="T226" s="64">
        <f t="shared" ca="1" si="20"/>
        <v>2</v>
      </c>
      <c r="U226" s="64" t="str">
        <f t="shared" si="21"/>
        <v/>
      </c>
      <c r="V226" s="266">
        <f ca="1">IF(OR(D226=0,D226="",D226="Athlete"),"",COUNTIF($D$4:$D226,D226))</f>
        <v>2</v>
      </c>
    </row>
    <row r="227" spans="4:22" hidden="1" x14ac:dyDescent="0.35">
      <c r="D227" s="85" t="str">
        <f t="shared" ref="D227:E227" ca="1" si="51">K40</f>
        <v>Anna ROOKE</v>
      </c>
      <c r="E227" s="85" t="str">
        <f t="shared" ca="1" si="51"/>
        <v>ECHT</v>
      </c>
      <c r="T227" s="64">
        <f t="shared" ca="1" si="20"/>
        <v>3</v>
      </c>
      <c r="U227" s="64" t="str">
        <f t="shared" si="21"/>
        <v/>
      </c>
      <c r="V227" s="266">
        <f ca="1">IF(OR(D227=0,D227="",D227="Athlete"),"",COUNTIF($D$4:$D227,D227))</f>
        <v>2</v>
      </c>
    </row>
    <row r="228" spans="4:22" hidden="1" x14ac:dyDescent="0.35">
      <c r="D228" s="85" t="str">
        <f t="shared" ref="D228:E228" ca="1" si="52">K41</f>
        <v/>
      </c>
      <c r="E228" s="85" t="str">
        <f t="shared" ca="1" si="52"/>
        <v/>
      </c>
      <c r="T228" s="64" t="str">
        <f t="shared" ca="1" si="20"/>
        <v/>
      </c>
      <c r="U228" s="64" t="str">
        <f t="shared" si="21"/>
        <v/>
      </c>
      <c r="V228" s="266" t="str">
        <f ca="1">IF(OR(D228=0,D228="",D228="Athlete"),"",COUNTIF($D$4:$D228,D228))</f>
        <v/>
      </c>
    </row>
    <row r="229" spans="4:22" hidden="1" x14ac:dyDescent="0.35">
      <c r="D229" s="85" t="str">
        <f t="shared" ref="D229:E229" ca="1" si="53">K42</f>
        <v/>
      </c>
      <c r="E229" s="85" t="str">
        <f t="shared" ca="1" si="53"/>
        <v/>
      </c>
      <c r="T229" s="64" t="str">
        <f t="shared" ca="1" si="20"/>
        <v/>
      </c>
      <c r="U229" s="64" t="str">
        <f t="shared" si="21"/>
        <v/>
      </c>
      <c r="V229" s="266" t="str">
        <f ca="1">IF(OR(D229=0,D229="",D229="Athlete"),"",COUNTIF($D$4:$D229,D229))</f>
        <v/>
      </c>
    </row>
    <row r="230" spans="4:22" hidden="1" x14ac:dyDescent="0.35">
      <c r="D230" s="85" t="str">
        <f t="shared" ref="D230:E230" ca="1" si="54">K43</f>
        <v/>
      </c>
      <c r="E230" s="85" t="str">
        <f t="shared" ca="1" si="54"/>
        <v/>
      </c>
      <c r="T230" s="64" t="str">
        <f t="shared" ca="1" si="20"/>
        <v/>
      </c>
      <c r="U230" s="64" t="str">
        <f t="shared" si="21"/>
        <v/>
      </c>
      <c r="V230" s="266" t="str">
        <f ca="1">IF(OR(D230=0,D230="",D230="Athlete"),"",COUNTIF($D$4:$D230,D230))</f>
        <v/>
      </c>
    </row>
    <row r="231" spans="4:22" hidden="1" x14ac:dyDescent="0.35">
      <c r="D231" s="85" t="str">
        <f t="shared" ref="D231:E231" ca="1" si="55">K44</f>
        <v/>
      </c>
      <c r="E231" s="85" t="str">
        <f t="shared" ca="1" si="55"/>
        <v/>
      </c>
      <c r="T231" s="64" t="str">
        <f t="shared" ca="1" si="20"/>
        <v/>
      </c>
      <c r="U231" s="64" t="str">
        <f t="shared" si="21"/>
        <v/>
      </c>
      <c r="V231" s="266" t="str">
        <f ca="1">IF(OR(D231=0,D231="",D231="Athlete"),"",COUNTIF($D$4:$D231,D231))</f>
        <v/>
      </c>
    </row>
    <row r="232" spans="4:22" hidden="1" x14ac:dyDescent="0.35">
      <c r="D232" s="85">
        <f t="shared" ref="D232:E232" si="56">K45</f>
        <v>0</v>
      </c>
      <c r="E232" s="85">
        <f t="shared" si="56"/>
        <v>0</v>
      </c>
      <c r="T232" s="64" t="str">
        <f t="shared" si="20"/>
        <v/>
      </c>
      <c r="U232" s="64" t="str">
        <f t="shared" si="21"/>
        <v/>
      </c>
      <c r="V232" s="266" t="str">
        <f>IF(OR(D232=0,D232="",D232="Athlete"),"",COUNTIF($D$4:$D232,D232))</f>
        <v/>
      </c>
    </row>
    <row r="233" spans="4:22" hidden="1" x14ac:dyDescent="0.35">
      <c r="D233" s="85">
        <f t="shared" ref="D233:E233" si="57">K46</f>
        <v>0</v>
      </c>
      <c r="E233" s="85">
        <f t="shared" si="57"/>
        <v>0</v>
      </c>
      <c r="T233" s="64" t="str">
        <f t="shared" si="20"/>
        <v/>
      </c>
      <c r="U233" s="64" t="str">
        <f t="shared" si="21"/>
        <v/>
      </c>
      <c r="V233" s="266" t="str">
        <f>IF(OR(D233=0,D233="",D233="Athlete"),"",COUNTIF($D$4:$D233,D233))</f>
        <v/>
      </c>
    </row>
    <row r="234" spans="4:22" hidden="1" x14ac:dyDescent="0.35">
      <c r="D234" s="85" t="str">
        <f t="shared" ref="D234:E234" ca="1" si="58">K47</f>
        <v>Athlete</v>
      </c>
      <c r="E234" s="85" t="str">
        <f t="shared" ca="1" si="58"/>
        <v>Club</v>
      </c>
      <c r="T234" s="64" t="str">
        <f t="shared" ca="1" si="20"/>
        <v/>
      </c>
      <c r="U234" s="64" t="str">
        <f t="shared" si="21"/>
        <v/>
      </c>
      <c r="V234" s="266" t="str">
        <f ca="1">IF(OR(D234=0,D234="",D234="Athlete"),"",COUNTIF($D$4:$D234,D234))</f>
        <v/>
      </c>
    </row>
    <row r="235" spans="4:22" hidden="1" x14ac:dyDescent="0.35">
      <c r="D235" s="85" t="str">
        <f t="shared" ref="D235:E235" ca="1" si="59">K48</f>
        <v>Esme CLARK</v>
      </c>
      <c r="E235" s="85" t="str">
        <f t="shared" ca="1" si="59"/>
        <v>Wigan</v>
      </c>
      <c r="T235" s="64">
        <f t="shared" ca="1" si="20"/>
        <v>1</v>
      </c>
      <c r="U235" s="64" t="str">
        <f t="shared" si="21"/>
        <v/>
      </c>
      <c r="V235" s="266">
        <f ca="1">IF(OR(D235=0,D235="",D235="Athlete"),"",COUNTIF($D$4:$D235,D235))</f>
        <v>1</v>
      </c>
    </row>
    <row r="236" spans="4:22" hidden="1" x14ac:dyDescent="0.35">
      <c r="D236" s="85" t="str">
        <f t="shared" ref="D236:E236" ca="1" si="60">K49</f>
        <v>Anna ROOKE</v>
      </c>
      <c r="E236" s="85" t="str">
        <f t="shared" ca="1" si="60"/>
        <v>ECHT</v>
      </c>
      <c r="T236" s="64">
        <f t="shared" ca="1" si="20"/>
        <v>3</v>
      </c>
      <c r="U236" s="64" t="str">
        <f t="shared" si="21"/>
        <v/>
      </c>
      <c r="V236" s="266">
        <f ca="1">IF(OR(D236=0,D236="",D236="Athlete"),"",COUNTIF($D$4:$D236,D236))</f>
        <v>3</v>
      </c>
    </row>
    <row r="237" spans="4:22" hidden="1" x14ac:dyDescent="0.35">
      <c r="D237" s="85" t="str">
        <f t="shared" ref="D237:E237" ca="1" si="61">K50</f>
        <v>Heidi WOODS</v>
      </c>
      <c r="E237" s="85" t="str">
        <f t="shared" ca="1" si="61"/>
        <v>C&amp;N</v>
      </c>
      <c r="T237" s="64">
        <f t="shared" ca="1" si="20"/>
        <v>2</v>
      </c>
      <c r="U237" s="64" t="str">
        <f t="shared" si="21"/>
        <v/>
      </c>
      <c r="V237" s="266">
        <f ca="1">IF(OR(D237=0,D237="",D237="Athlete"),"",COUNTIF($D$4:$D237,D237))</f>
        <v>2</v>
      </c>
    </row>
    <row r="238" spans="4:22" hidden="1" x14ac:dyDescent="0.35">
      <c r="D238" s="85" t="str">
        <f t="shared" ref="D238:E238" ca="1" si="62">K51</f>
        <v/>
      </c>
      <c r="E238" s="85" t="str">
        <f t="shared" ca="1" si="62"/>
        <v/>
      </c>
      <c r="T238" s="64" t="str">
        <f t="shared" ca="1" si="20"/>
        <v/>
      </c>
      <c r="U238" s="64" t="str">
        <f t="shared" si="21"/>
        <v/>
      </c>
      <c r="V238" s="266" t="str">
        <f ca="1">IF(OR(D238=0,D238="",D238="Athlete"),"",COUNTIF($D$4:$D238,D238))</f>
        <v/>
      </c>
    </row>
    <row r="239" spans="4:22" hidden="1" x14ac:dyDescent="0.35">
      <c r="D239" s="85" t="str">
        <f t="shared" ref="D239:E239" ca="1" si="63">K52</f>
        <v/>
      </c>
      <c r="E239" s="85" t="str">
        <f t="shared" ca="1" si="63"/>
        <v/>
      </c>
      <c r="T239" s="64" t="str">
        <f t="shared" ca="1" si="20"/>
        <v/>
      </c>
      <c r="U239" s="64" t="str">
        <f t="shared" si="21"/>
        <v/>
      </c>
      <c r="V239" s="266" t="str">
        <f ca="1">IF(OR(D239=0,D239="",D239="Athlete"),"",COUNTIF($D$4:$D239,D239))</f>
        <v/>
      </c>
    </row>
    <row r="240" spans="4:22" hidden="1" x14ac:dyDescent="0.35">
      <c r="D240" s="85" t="str">
        <f t="shared" ref="D240:E240" ca="1" si="64">K53</f>
        <v/>
      </c>
      <c r="E240" s="85" t="str">
        <f t="shared" ca="1" si="64"/>
        <v/>
      </c>
      <c r="T240" s="64" t="str">
        <f t="shared" ca="1" si="20"/>
        <v/>
      </c>
      <c r="U240" s="64" t="str">
        <f t="shared" si="21"/>
        <v/>
      </c>
      <c r="V240" s="266" t="str">
        <f ca="1">IF(OR(D240=0,D240="",D240="Athlete"),"",COUNTIF($D$4:$D240,D240))</f>
        <v/>
      </c>
    </row>
    <row r="241" spans="4:22" hidden="1" x14ac:dyDescent="0.35">
      <c r="D241" s="85" t="str">
        <f t="shared" ref="D241:E241" ca="1" si="65">K54</f>
        <v/>
      </c>
      <c r="E241" s="85" t="str">
        <f t="shared" ca="1" si="65"/>
        <v/>
      </c>
      <c r="T241" s="64" t="str">
        <f t="shared" ca="1" si="20"/>
        <v/>
      </c>
      <c r="U241" s="64" t="str">
        <f t="shared" si="21"/>
        <v/>
      </c>
      <c r="V241" s="266" t="str">
        <f ca="1">IF(OR(D241=0,D241="",D241="Athlete"),"",COUNTIF($D$4:$D241,D241))</f>
        <v/>
      </c>
    </row>
    <row r="242" spans="4:22" hidden="1" x14ac:dyDescent="0.35">
      <c r="D242" s="85" t="str">
        <f t="shared" ref="D242:E242" ca="1" si="66">K55</f>
        <v/>
      </c>
      <c r="E242" s="85" t="str">
        <f t="shared" ca="1" si="66"/>
        <v/>
      </c>
      <c r="T242" s="64" t="str">
        <f t="shared" ca="1" si="20"/>
        <v/>
      </c>
      <c r="U242" s="64" t="str">
        <f t="shared" si="21"/>
        <v/>
      </c>
      <c r="V242" s="266" t="str">
        <f ca="1">IF(OR(D242=0,D242="",D242="Athlete"),"",COUNTIF($D$4:$D242,D242))</f>
        <v/>
      </c>
    </row>
    <row r="243" spans="4:22" hidden="1" x14ac:dyDescent="0.35">
      <c r="D243" s="85">
        <f t="shared" ref="D243:E243" si="67">K56</f>
        <v>0</v>
      </c>
      <c r="E243" s="85">
        <f t="shared" si="67"/>
        <v>0</v>
      </c>
      <c r="T243" s="64" t="str">
        <f t="shared" si="20"/>
        <v/>
      </c>
      <c r="U243" s="64" t="str">
        <f t="shared" si="21"/>
        <v/>
      </c>
      <c r="V243" s="266" t="str">
        <f>IF(OR(D243=0,D243="",D243="Athlete"),"",COUNTIF($D$4:$D243,D243))</f>
        <v/>
      </c>
    </row>
    <row r="244" spans="4:22" hidden="1" x14ac:dyDescent="0.35">
      <c r="D244" s="85">
        <f t="shared" ref="D244:E244" si="68">K57</f>
        <v>0</v>
      </c>
      <c r="E244" s="85">
        <f t="shared" si="68"/>
        <v>0</v>
      </c>
      <c r="T244" s="64" t="str">
        <f t="shared" si="20"/>
        <v/>
      </c>
      <c r="U244" s="64" t="str">
        <f t="shared" si="21"/>
        <v/>
      </c>
      <c r="V244" s="266" t="str">
        <f>IF(OR(D244=0,D244="",D244="Athlete"),"",COUNTIF($D$4:$D244,D244))</f>
        <v/>
      </c>
    </row>
    <row r="245" spans="4:22" hidden="1" x14ac:dyDescent="0.35">
      <c r="D245" s="85" t="str">
        <f t="shared" ref="D245:E245" ca="1" si="69">K58</f>
        <v>Athlete</v>
      </c>
      <c r="E245" s="85" t="str">
        <f t="shared" ca="1" si="69"/>
        <v>Club</v>
      </c>
      <c r="T245" s="64" t="str">
        <f t="shared" ca="1" si="20"/>
        <v/>
      </c>
      <c r="U245" s="64" t="str">
        <f t="shared" si="21"/>
        <v/>
      </c>
      <c r="V245" s="266" t="str">
        <f ca="1">IF(OR(D245=0,D245="",D245="Athlete"),"",COUNTIF($D$4:$D245,D245))</f>
        <v/>
      </c>
    </row>
    <row r="246" spans="4:22" hidden="1" x14ac:dyDescent="0.35">
      <c r="D246" s="85" t="str">
        <f t="shared" ref="D246:E246" ca="1" si="70">K59</f>
        <v/>
      </c>
      <c r="E246" s="85" t="str">
        <f t="shared" ca="1" si="70"/>
        <v/>
      </c>
      <c r="T246" s="64" t="str">
        <f t="shared" ca="1" si="20"/>
        <v/>
      </c>
      <c r="U246" s="64" t="str">
        <f t="shared" si="21"/>
        <v/>
      </c>
      <c r="V246" s="266" t="str">
        <f ca="1">IF(OR(D246=0,D246="",D246="Athlete"),"",COUNTIF($D$4:$D246,D246))</f>
        <v/>
      </c>
    </row>
    <row r="247" spans="4:22" hidden="1" x14ac:dyDescent="0.35">
      <c r="D247" s="85" t="str">
        <f t="shared" ref="D247:E247" ca="1" si="71">K60</f>
        <v/>
      </c>
      <c r="E247" s="85" t="str">
        <f t="shared" ca="1" si="71"/>
        <v/>
      </c>
      <c r="T247" s="64" t="str">
        <f t="shared" ca="1" si="20"/>
        <v/>
      </c>
      <c r="U247" s="64" t="str">
        <f t="shared" si="21"/>
        <v/>
      </c>
      <c r="V247" s="266" t="str">
        <f ca="1">IF(OR(D247=0,D247="",D247="Athlete"),"",COUNTIF($D$4:$D247,D247))</f>
        <v/>
      </c>
    </row>
    <row r="248" spans="4:22" hidden="1" x14ac:dyDescent="0.35">
      <c r="D248" s="85" t="str">
        <f t="shared" ref="D248:E248" ca="1" si="72">K61</f>
        <v/>
      </c>
      <c r="E248" s="85" t="str">
        <f t="shared" ca="1" si="72"/>
        <v/>
      </c>
      <c r="T248" s="64" t="str">
        <f t="shared" ca="1" si="20"/>
        <v/>
      </c>
      <c r="U248" s="64" t="str">
        <f t="shared" si="21"/>
        <v/>
      </c>
      <c r="V248" s="266" t="str">
        <f ca="1">IF(OR(D248=0,D248="",D248="Athlete"),"",COUNTIF($D$4:$D248,D248))</f>
        <v/>
      </c>
    </row>
    <row r="249" spans="4:22" hidden="1" x14ac:dyDescent="0.35">
      <c r="D249" s="85" t="str">
        <f t="shared" ref="D249:E249" ca="1" si="73">K62</f>
        <v/>
      </c>
      <c r="E249" s="85" t="str">
        <f t="shared" ca="1" si="73"/>
        <v/>
      </c>
      <c r="T249" s="64" t="str">
        <f t="shared" ca="1" si="20"/>
        <v/>
      </c>
      <c r="U249" s="64" t="str">
        <f t="shared" si="21"/>
        <v/>
      </c>
      <c r="V249" s="266" t="str">
        <f ca="1">IF(OR(D249=0,D249="",D249="Athlete"),"",COUNTIF($D$4:$D249,D249))</f>
        <v/>
      </c>
    </row>
    <row r="250" spans="4:22" hidden="1" x14ac:dyDescent="0.35">
      <c r="D250" s="85" t="str">
        <f t="shared" ref="D250:E250" ca="1" si="74">K63</f>
        <v/>
      </c>
      <c r="E250" s="85" t="str">
        <f t="shared" ca="1" si="74"/>
        <v/>
      </c>
      <c r="T250" s="64" t="str">
        <f t="shared" ca="1" si="20"/>
        <v/>
      </c>
      <c r="U250" s="64" t="str">
        <f t="shared" si="21"/>
        <v/>
      </c>
      <c r="V250" s="266" t="str">
        <f ca="1">IF(OR(D250=0,D250="",D250="Athlete"),"",COUNTIF($D$4:$D250,D250))</f>
        <v/>
      </c>
    </row>
    <row r="251" spans="4:22" hidden="1" x14ac:dyDescent="0.35">
      <c r="D251" s="85" t="str">
        <f t="shared" ref="D251:E251" ca="1" si="75">K64</f>
        <v/>
      </c>
      <c r="E251" s="85" t="str">
        <f t="shared" ca="1" si="75"/>
        <v/>
      </c>
      <c r="T251" s="64" t="str">
        <f t="shared" ca="1" si="20"/>
        <v/>
      </c>
      <c r="U251" s="64" t="str">
        <f t="shared" si="21"/>
        <v/>
      </c>
      <c r="V251" s="266" t="str">
        <f ca="1">IF(OR(D251=0,D251="",D251="Athlete"),"",COUNTIF($D$4:$D251,D251))</f>
        <v/>
      </c>
    </row>
    <row r="252" spans="4:22" hidden="1" x14ac:dyDescent="0.35">
      <c r="D252" s="85" t="str">
        <f t="shared" ref="D252:E252" ca="1" si="76">K65</f>
        <v/>
      </c>
      <c r="E252" s="85" t="str">
        <f t="shared" ca="1" si="76"/>
        <v/>
      </c>
      <c r="T252" s="64" t="str">
        <f t="shared" ca="1" si="20"/>
        <v/>
      </c>
      <c r="U252" s="64" t="str">
        <f t="shared" si="21"/>
        <v/>
      </c>
      <c r="V252" s="266" t="str">
        <f ca="1">IF(OR(D252=0,D252="",D252="Athlete"),"",COUNTIF($D$4:$D252,D252))</f>
        <v/>
      </c>
    </row>
    <row r="253" spans="4:22" hidden="1" x14ac:dyDescent="0.35">
      <c r="D253" s="85" t="str">
        <f t="shared" ref="D253:E253" ca="1" si="77">K66</f>
        <v/>
      </c>
      <c r="E253" s="85" t="str">
        <f t="shared" ca="1" si="77"/>
        <v/>
      </c>
      <c r="T253" s="64" t="str">
        <f t="shared" ca="1" si="20"/>
        <v/>
      </c>
      <c r="U253" s="64" t="str">
        <f t="shared" si="21"/>
        <v/>
      </c>
      <c r="V253" s="266" t="str">
        <f ca="1">IF(OR(D253=0,D253="",D253="Athlete"),"",COUNTIF($D$4:$D253,D253))</f>
        <v/>
      </c>
    </row>
    <row r="254" spans="4:22" hidden="1" x14ac:dyDescent="0.35">
      <c r="D254" s="85">
        <f t="shared" ref="D254:E254" si="78">K67</f>
        <v>0</v>
      </c>
      <c r="E254" s="85">
        <f t="shared" si="78"/>
        <v>0</v>
      </c>
      <c r="T254" s="64" t="str">
        <f t="shared" si="20"/>
        <v/>
      </c>
      <c r="U254" s="64" t="str">
        <f t="shared" si="21"/>
        <v/>
      </c>
      <c r="V254" s="266" t="str">
        <f>IF(OR(D254=0,D254="",D254="Athlete"),"",COUNTIF($D$4:$D254,D254))</f>
        <v/>
      </c>
    </row>
    <row r="255" spans="4:22" hidden="1" x14ac:dyDescent="0.35">
      <c r="D255" s="85">
        <f t="shared" ref="D255:E255" si="79">K68</f>
        <v>0</v>
      </c>
      <c r="E255" s="85">
        <f t="shared" si="79"/>
        <v>0</v>
      </c>
      <c r="T255" s="64" t="str">
        <f t="shared" si="20"/>
        <v/>
      </c>
      <c r="U255" s="64" t="str">
        <f t="shared" si="21"/>
        <v/>
      </c>
      <c r="V255" s="266" t="str">
        <f>IF(OR(D255=0,D255="",D255="Athlete"),"",COUNTIF($D$4:$D255,D255))</f>
        <v/>
      </c>
    </row>
    <row r="256" spans="4:22" hidden="1" x14ac:dyDescent="0.35">
      <c r="D256" s="85" t="str">
        <f t="shared" ref="D256:E256" ca="1" si="80">K69</f>
        <v>Athlete</v>
      </c>
      <c r="E256" s="85" t="str">
        <f t="shared" ca="1" si="80"/>
        <v>Club</v>
      </c>
      <c r="T256" s="64" t="str">
        <f t="shared" ca="1" si="20"/>
        <v/>
      </c>
      <c r="U256" s="64" t="str">
        <f t="shared" si="21"/>
        <v/>
      </c>
      <c r="V256" s="266" t="str">
        <f ca="1">IF(OR(D256=0,D256="",D256="Athlete"),"",COUNTIF($D$4:$D256,D256))</f>
        <v/>
      </c>
    </row>
    <row r="257" spans="4:22" hidden="1" x14ac:dyDescent="0.35">
      <c r="D257" s="85" t="str">
        <f t="shared" ref="D257:E257" ca="1" si="81">K70</f>
        <v>Lucy ORRELL</v>
      </c>
      <c r="E257" s="85" t="str">
        <f t="shared" ca="1" si="81"/>
        <v>Wigan</v>
      </c>
      <c r="T257" s="64">
        <f t="shared" ca="1" si="20"/>
        <v>1</v>
      </c>
      <c r="U257" s="64" t="str">
        <f t="shared" si="21"/>
        <v/>
      </c>
      <c r="V257" s="266">
        <f ca="1">IF(OR(D257=0,D257="",D257="Athlete"),"",COUNTIF($D$4:$D257,D257))</f>
        <v>1</v>
      </c>
    </row>
    <row r="258" spans="4:22" hidden="1" x14ac:dyDescent="0.35">
      <c r="D258" s="85" t="str">
        <f t="shared" ref="D258:E258" ca="1" si="82">K71</f>
        <v>Poppy BRANCH</v>
      </c>
      <c r="E258" s="85" t="str">
        <f t="shared" ca="1" si="82"/>
        <v>Stock</v>
      </c>
      <c r="T258" s="64">
        <f t="shared" ca="1" si="20"/>
        <v>1</v>
      </c>
      <c r="U258" s="64" t="str">
        <f t="shared" si="21"/>
        <v/>
      </c>
      <c r="V258" s="266">
        <f ca="1">IF(OR(D258=0,D258="",D258="Athlete"),"",COUNTIF($D$4:$D258,D258))</f>
        <v>1</v>
      </c>
    </row>
    <row r="259" spans="4:22" hidden="1" x14ac:dyDescent="0.35">
      <c r="D259" s="85" t="str">
        <f t="shared" ref="D259:E259" ca="1" si="83">K72</f>
        <v>Sophia GUSH</v>
      </c>
      <c r="E259" s="85" t="str">
        <f t="shared" ca="1" si="83"/>
        <v>ECHT</v>
      </c>
      <c r="T259" s="64">
        <f t="shared" ca="1" si="20"/>
        <v>2</v>
      </c>
      <c r="U259" s="64" t="str">
        <f t="shared" si="21"/>
        <v/>
      </c>
      <c r="V259" s="266">
        <f ca="1">IF(OR(D259=0,D259="",D259="Athlete"),"",COUNTIF($D$4:$D259,D259))</f>
        <v>1</v>
      </c>
    </row>
    <row r="260" spans="4:22" hidden="1" x14ac:dyDescent="0.35">
      <c r="D260" s="85" t="str">
        <f t="shared" ref="D260:E260" ca="1" si="84">K73</f>
        <v/>
      </c>
      <c r="E260" s="85" t="str">
        <f t="shared" ca="1" si="84"/>
        <v/>
      </c>
      <c r="T260" s="64" t="str">
        <f t="shared" ca="1" si="20"/>
        <v/>
      </c>
      <c r="U260" s="64" t="str">
        <f t="shared" si="21"/>
        <v/>
      </c>
      <c r="V260" s="266" t="str">
        <f ca="1">IF(OR(D260=0,D260="",D260="Athlete"),"",COUNTIF($D$4:$D260,D260))</f>
        <v/>
      </c>
    </row>
    <row r="261" spans="4:22" hidden="1" x14ac:dyDescent="0.35">
      <c r="D261" s="85" t="str">
        <f t="shared" ref="D261:E261" ca="1" si="85">K74</f>
        <v/>
      </c>
      <c r="E261" s="85" t="str">
        <f t="shared" ca="1" si="85"/>
        <v/>
      </c>
      <c r="T261" s="64" t="str">
        <f t="shared" ref="T261:T324" ca="1" si="86">IF(OR(D261=0,D261="",D261="Athlete"),"",COUNTIF($D$4:$D$352,D261))</f>
        <v/>
      </c>
      <c r="U261" s="64" t="str">
        <f t="shared" ref="U261:U324" si="87">IF(OR(K261=0,K261="",K261="Athlete"),"",COUNTIF($D$4:$D$352,K261))</f>
        <v/>
      </c>
      <c r="V261" s="266" t="str">
        <f ca="1">IF(OR(D261=0,D261="",D261="Athlete"),"",COUNTIF($D$4:$D261,D261))</f>
        <v/>
      </c>
    </row>
    <row r="262" spans="4:22" hidden="1" x14ac:dyDescent="0.35">
      <c r="D262" s="85" t="str">
        <f t="shared" ref="D262:E262" ca="1" si="88">K75</f>
        <v/>
      </c>
      <c r="E262" s="85" t="str">
        <f t="shared" ca="1" si="88"/>
        <v/>
      </c>
      <c r="T262" s="64" t="str">
        <f t="shared" ca="1" si="86"/>
        <v/>
      </c>
      <c r="U262" s="64" t="str">
        <f t="shared" si="87"/>
        <v/>
      </c>
      <c r="V262" s="266" t="str">
        <f ca="1">IF(OR(D262=0,D262="",D262="Athlete"),"",COUNTIF($D$4:$D262,D262))</f>
        <v/>
      </c>
    </row>
    <row r="263" spans="4:22" hidden="1" x14ac:dyDescent="0.35">
      <c r="D263" s="85" t="str">
        <f t="shared" ref="D263:E263" ca="1" si="89">K76</f>
        <v/>
      </c>
      <c r="E263" s="85" t="str">
        <f t="shared" ca="1" si="89"/>
        <v/>
      </c>
      <c r="T263" s="64" t="str">
        <f t="shared" ca="1" si="86"/>
        <v/>
      </c>
      <c r="U263" s="64" t="str">
        <f t="shared" si="87"/>
        <v/>
      </c>
      <c r="V263" s="266" t="str">
        <f ca="1">IF(OR(D263=0,D263="",D263="Athlete"),"",COUNTIF($D$4:$D263,D263))</f>
        <v/>
      </c>
    </row>
    <row r="264" spans="4:22" hidden="1" x14ac:dyDescent="0.35">
      <c r="D264" s="85" t="str">
        <f t="shared" ref="D264:E264" ca="1" si="90">K77</f>
        <v/>
      </c>
      <c r="E264" s="85" t="str">
        <f t="shared" ca="1" si="90"/>
        <v/>
      </c>
      <c r="T264" s="64" t="str">
        <f t="shared" ca="1" si="86"/>
        <v/>
      </c>
      <c r="U264" s="64" t="str">
        <f t="shared" si="87"/>
        <v/>
      </c>
      <c r="V264" s="266" t="str">
        <f ca="1">IF(OR(D264=0,D264="",D264="Athlete"),"",COUNTIF($D$4:$D264,D264))</f>
        <v/>
      </c>
    </row>
    <row r="265" spans="4:22" hidden="1" x14ac:dyDescent="0.35">
      <c r="D265" s="85">
        <f t="shared" ref="D265:E265" si="91">K78</f>
        <v>0</v>
      </c>
      <c r="E265" s="85">
        <f t="shared" si="91"/>
        <v>0</v>
      </c>
      <c r="T265" s="64" t="str">
        <f t="shared" si="86"/>
        <v/>
      </c>
      <c r="U265" s="64" t="str">
        <f t="shared" si="87"/>
        <v/>
      </c>
      <c r="V265" s="266" t="str">
        <f>IF(OR(D265=0,D265="",D265="Athlete"),"",COUNTIF($D$4:$D265,D265))</f>
        <v/>
      </c>
    </row>
    <row r="266" spans="4:22" hidden="1" x14ac:dyDescent="0.35">
      <c r="D266" s="85">
        <f t="shared" ref="D266:E266" si="92">K79</f>
        <v>0</v>
      </c>
      <c r="E266" s="85" t="str">
        <f t="shared" si="92"/>
        <v>Wind</v>
      </c>
      <c r="T266" s="64" t="str">
        <f t="shared" si="86"/>
        <v/>
      </c>
      <c r="U266" s="64" t="str">
        <f t="shared" si="87"/>
        <v/>
      </c>
      <c r="V266" s="266" t="str">
        <f>IF(OR(D266=0,D266="",D266="Athlete"),"",COUNTIF($D$4:$D266,D266))</f>
        <v/>
      </c>
    </row>
    <row r="267" spans="4:22" hidden="1" x14ac:dyDescent="0.35">
      <c r="D267" s="85" t="str">
        <f t="shared" ref="D267:E267" ca="1" si="93">K80</f>
        <v>Athlete</v>
      </c>
      <c r="E267" s="85" t="str">
        <f t="shared" ca="1" si="93"/>
        <v>Club</v>
      </c>
      <c r="T267" s="64" t="str">
        <f t="shared" ca="1" si="86"/>
        <v/>
      </c>
      <c r="U267" s="64" t="str">
        <f t="shared" si="87"/>
        <v/>
      </c>
      <c r="V267" s="266" t="str">
        <f ca="1">IF(OR(D267=0,D267="",D267="Athlete"),"",COUNTIF($D$4:$D267,D267))</f>
        <v/>
      </c>
    </row>
    <row r="268" spans="4:22" hidden="1" x14ac:dyDescent="0.35">
      <c r="D268" s="85" t="str">
        <f t="shared" ref="D268:E268" ca="1" si="94">K81</f>
        <v>Mia O'DONNELL</v>
      </c>
      <c r="E268" s="85" t="str">
        <f t="shared" ca="1" si="94"/>
        <v>C&amp;N</v>
      </c>
      <c r="T268" s="64">
        <f t="shared" ca="1" si="86"/>
        <v>2</v>
      </c>
      <c r="U268" s="64" t="str">
        <f t="shared" si="87"/>
        <v/>
      </c>
      <c r="V268" s="266">
        <f ca="1">IF(OR(D268=0,D268="",D268="Athlete"),"",COUNTIF($D$4:$D268,D268))</f>
        <v>1</v>
      </c>
    </row>
    <row r="269" spans="4:22" hidden="1" x14ac:dyDescent="0.35">
      <c r="D269" s="85" t="str">
        <f t="shared" ref="D269:E269" ca="1" si="95">K82</f>
        <v>Olivia COPPER</v>
      </c>
      <c r="E269" s="85" t="str">
        <f t="shared" ca="1" si="95"/>
        <v>Leigh</v>
      </c>
      <c r="T269" s="64">
        <f t="shared" ca="1" si="86"/>
        <v>3</v>
      </c>
      <c r="U269" s="64" t="str">
        <f t="shared" si="87"/>
        <v/>
      </c>
      <c r="V269" s="266">
        <f ca="1">IF(OR(D269=0,D269="",D269="Athlete"),"",COUNTIF($D$4:$D269,D269))</f>
        <v>3</v>
      </c>
    </row>
    <row r="270" spans="4:22" hidden="1" x14ac:dyDescent="0.35">
      <c r="D270" s="85" t="str">
        <f t="shared" ref="D270:E270" ca="1" si="96">K83</f>
        <v>Tanvi KUTTY</v>
      </c>
      <c r="E270" s="85" t="str">
        <f t="shared" ca="1" si="96"/>
        <v>Macc</v>
      </c>
      <c r="T270" s="64">
        <f t="shared" ca="1" si="86"/>
        <v>2</v>
      </c>
      <c r="U270" s="64" t="str">
        <f t="shared" si="87"/>
        <v/>
      </c>
      <c r="V270" s="266">
        <f ca="1">IF(OR(D270=0,D270="",D270="Athlete"),"",COUNTIF($D$4:$D270,D270))</f>
        <v>2</v>
      </c>
    </row>
    <row r="271" spans="4:22" hidden="1" x14ac:dyDescent="0.35">
      <c r="D271" s="85" t="str">
        <f t="shared" ref="D271:E271" ca="1" si="97">K84</f>
        <v/>
      </c>
      <c r="E271" s="85" t="str">
        <f t="shared" ca="1" si="97"/>
        <v/>
      </c>
      <c r="T271" s="64" t="str">
        <f t="shared" ca="1" si="86"/>
        <v/>
      </c>
      <c r="U271" s="64" t="str">
        <f t="shared" si="87"/>
        <v/>
      </c>
      <c r="V271" s="266" t="str">
        <f ca="1">IF(OR(D271=0,D271="",D271="Athlete"),"",COUNTIF($D$4:$D271,D271))</f>
        <v/>
      </c>
    </row>
    <row r="272" spans="4:22" hidden="1" x14ac:dyDescent="0.35">
      <c r="D272" s="85" t="str">
        <f t="shared" ref="D272:E272" ca="1" si="98">K85</f>
        <v/>
      </c>
      <c r="E272" s="85" t="str">
        <f t="shared" ca="1" si="98"/>
        <v/>
      </c>
      <c r="T272" s="64" t="str">
        <f t="shared" ca="1" si="86"/>
        <v/>
      </c>
      <c r="U272" s="64" t="str">
        <f t="shared" si="87"/>
        <v/>
      </c>
      <c r="V272" s="266" t="str">
        <f ca="1">IF(OR(D272=0,D272="",D272="Athlete"),"",COUNTIF($D$4:$D272,D272))</f>
        <v/>
      </c>
    </row>
    <row r="273" spans="4:22" hidden="1" x14ac:dyDescent="0.35">
      <c r="D273" s="85" t="str">
        <f t="shared" ref="D273:E273" ca="1" si="99">K86</f>
        <v/>
      </c>
      <c r="E273" s="85" t="str">
        <f t="shared" ca="1" si="99"/>
        <v/>
      </c>
      <c r="T273" s="64" t="str">
        <f t="shared" ca="1" si="86"/>
        <v/>
      </c>
      <c r="U273" s="64" t="str">
        <f t="shared" si="87"/>
        <v/>
      </c>
      <c r="V273" s="266" t="str">
        <f ca="1">IF(OR(D273=0,D273="",D273="Athlete"),"",COUNTIF($D$4:$D273,D273))</f>
        <v/>
      </c>
    </row>
    <row r="274" spans="4:22" hidden="1" x14ac:dyDescent="0.35">
      <c r="D274" s="85" t="str">
        <f t="shared" ref="D274:E274" ca="1" si="100">K87</f>
        <v/>
      </c>
      <c r="E274" s="85" t="str">
        <f t="shared" ca="1" si="100"/>
        <v/>
      </c>
      <c r="T274" s="64" t="str">
        <f t="shared" ca="1" si="86"/>
        <v/>
      </c>
      <c r="U274" s="64" t="str">
        <f t="shared" si="87"/>
        <v/>
      </c>
      <c r="V274" s="266" t="str">
        <f ca="1">IF(OR(D274=0,D274="",D274="Athlete"),"",COUNTIF($D$4:$D274,D274))</f>
        <v/>
      </c>
    </row>
    <row r="275" spans="4:22" hidden="1" x14ac:dyDescent="0.35">
      <c r="D275" s="85" t="str">
        <f t="shared" ref="D275:E275" ca="1" si="101">K88</f>
        <v/>
      </c>
      <c r="E275" s="85" t="str">
        <f t="shared" ca="1" si="101"/>
        <v/>
      </c>
      <c r="T275" s="64" t="str">
        <f t="shared" ca="1" si="86"/>
        <v/>
      </c>
      <c r="U275" s="64" t="str">
        <f t="shared" si="87"/>
        <v/>
      </c>
      <c r="V275" s="266" t="str">
        <f ca="1">IF(OR(D275=0,D275="",D275="Athlete"),"",COUNTIF($D$4:$D275,D275))</f>
        <v/>
      </c>
    </row>
    <row r="276" spans="4:22" hidden="1" x14ac:dyDescent="0.35">
      <c r="D276" s="85">
        <f t="shared" ref="D276:E276" si="102">K89</f>
        <v>0</v>
      </c>
      <c r="E276" s="85">
        <f t="shared" si="102"/>
        <v>0</v>
      </c>
      <c r="T276" s="64" t="str">
        <f t="shared" si="86"/>
        <v/>
      </c>
      <c r="U276" s="64" t="str">
        <f t="shared" si="87"/>
        <v/>
      </c>
      <c r="V276" s="266" t="str">
        <f>IF(OR(D276=0,D276="",D276="Athlete"),"",COUNTIF($D$4:$D276,D276))</f>
        <v/>
      </c>
    </row>
    <row r="277" spans="4:22" hidden="1" x14ac:dyDescent="0.35">
      <c r="D277" s="85">
        <f t="shared" ref="D277:E277" si="103">K90</f>
        <v>0</v>
      </c>
      <c r="E277" s="85">
        <f t="shared" si="103"/>
        <v>0</v>
      </c>
      <c r="T277" s="64" t="str">
        <f t="shared" si="86"/>
        <v/>
      </c>
      <c r="U277" s="64" t="str">
        <f t="shared" si="87"/>
        <v/>
      </c>
      <c r="V277" s="266" t="str">
        <f>IF(OR(D277=0,D277="",D277="Athlete"),"",COUNTIF($D$4:$D277,D277))</f>
        <v/>
      </c>
    </row>
    <row r="278" spans="4:22" hidden="1" x14ac:dyDescent="0.35">
      <c r="D278" s="85" t="str">
        <f t="shared" ref="D278:E278" ca="1" si="104">K91</f>
        <v>Athlete</v>
      </c>
      <c r="E278" s="85" t="str">
        <f t="shared" ca="1" si="104"/>
        <v>Club</v>
      </c>
      <c r="T278" s="64" t="str">
        <f t="shared" ca="1" si="86"/>
        <v/>
      </c>
      <c r="U278" s="64" t="str">
        <f t="shared" si="87"/>
        <v/>
      </c>
      <c r="V278" s="266" t="str">
        <f ca="1">IF(OR(D278=0,D278="",D278="Athlete"),"",COUNTIF($D$4:$D278,D278))</f>
        <v/>
      </c>
    </row>
    <row r="279" spans="4:22" hidden="1" x14ac:dyDescent="0.35">
      <c r="D279" s="85" t="str">
        <f t="shared" ref="D279:E279" ca="1" si="105">K92</f>
        <v/>
      </c>
      <c r="E279" s="85" t="str">
        <f t="shared" ca="1" si="105"/>
        <v>Stock</v>
      </c>
      <c r="T279" s="64" t="str">
        <f t="shared" ca="1" si="86"/>
        <v/>
      </c>
      <c r="U279" s="64" t="str">
        <f t="shared" si="87"/>
        <v/>
      </c>
      <c r="V279" s="266" t="str">
        <f ca="1">IF(OR(D279=0,D279="",D279="Athlete"),"",COUNTIF($D$4:$D279,D279))</f>
        <v/>
      </c>
    </row>
    <row r="280" spans="4:22" hidden="1" x14ac:dyDescent="0.35">
      <c r="D280" s="85" t="str">
        <f t="shared" ref="D280:E280" ca="1" si="106">K93</f>
        <v>Mia O'DONNELL</v>
      </c>
      <c r="E280" s="85" t="str">
        <f t="shared" ca="1" si="106"/>
        <v>C&amp;N</v>
      </c>
      <c r="T280" s="64">
        <f t="shared" ca="1" si="86"/>
        <v>2</v>
      </c>
      <c r="U280" s="64" t="str">
        <f t="shared" si="87"/>
        <v/>
      </c>
      <c r="V280" s="266">
        <f ca="1">IF(OR(D280=0,D280="",D280="Athlete"),"",COUNTIF($D$4:$D280,D280))</f>
        <v>2</v>
      </c>
    </row>
    <row r="281" spans="4:22" hidden="1" x14ac:dyDescent="0.35">
      <c r="D281" s="85" t="str">
        <f t="shared" ref="D281:E281" ca="1" si="107">K94</f>
        <v>Isobel EVANS</v>
      </c>
      <c r="E281" s="85" t="str">
        <f t="shared" ca="1" si="107"/>
        <v>Leigh</v>
      </c>
      <c r="T281" s="64">
        <f t="shared" ca="1" si="86"/>
        <v>2</v>
      </c>
      <c r="U281" s="64" t="str">
        <f t="shared" si="87"/>
        <v/>
      </c>
      <c r="V281" s="266">
        <f ca="1">IF(OR(D281=0,D281="",D281="Athlete"),"",COUNTIF($D$4:$D281,D281))</f>
        <v>2</v>
      </c>
    </row>
    <row r="282" spans="4:22" hidden="1" x14ac:dyDescent="0.35">
      <c r="D282" s="85" t="str">
        <f t="shared" ref="D282:E282" ca="1" si="108">K95</f>
        <v>Emily WILSON</v>
      </c>
      <c r="E282" s="85" t="str">
        <f t="shared" ca="1" si="108"/>
        <v>Wigan</v>
      </c>
      <c r="T282" s="64">
        <f t="shared" ca="1" si="86"/>
        <v>2</v>
      </c>
      <c r="U282" s="64" t="str">
        <f t="shared" si="87"/>
        <v/>
      </c>
      <c r="V282" s="266">
        <f ca="1">IF(OR(D282=0,D282="",D282="Athlete"),"",COUNTIF($D$4:$D282,D282))</f>
        <v>2</v>
      </c>
    </row>
    <row r="283" spans="4:22" hidden="1" x14ac:dyDescent="0.35">
      <c r="D283" s="85" t="str">
        <f t="shared" ref="D283:E283" ca="1" si="109">K96</f>
        <v>Mabli WILLIAMS</v>
      </c>
      <c r="E283" s="85" t="str">
        <f t="shared" ca="1" si="109"/>
        <v>Menai</v>
      </c>
      <c r="T283" s="64">
        <f t="shared" ca="1" si="86"/>
        <v>3</v>
      </c>
      <c r="U283" s="64" t="str">
        <f t="shared" si="87"/>
        <v/>
      </c>
      <c r="V283" s="266">
        <f ca="1">IF(OR(D283=0,D283="",D283="Athlete"),"",COUNTIF($D$4:$D283,D283))</f>
        <v>3</v>
      </c>
    </row>
    <row r="284" spans="4:22" hidden="1" x14ac:dyDescent="0.35">
      <c r="D284" s="85" t="str">
        <f t="shared" ref="D284:E284" ca="1" si="110">K97</f>
        <v>Brooke SAYCE</v>
      </c>
      <c r="E284" s="85" t="str">
        <f t="shared" ca="1" si="110"/>
        <v>Macc</v>
      </c>
      <c r="T284" s="64">
        <f t="shared" ca="1" si="86"/>
        <v>2</v>
      </c>
      <c r="U284" s="64" t="str">
        <f t="shared" si="87"/>
        <v/>
      </c>
      <c r="V284" s="266">
        <f ca="1">IF(OR(D284=0,D284="",D284="Athlete"),"",COUNTIF($D$4:$D284,D284))</f>
        <v>2</v>
      </c>
    </row>
    <row r="285" spans="4:22" hidden="1" x14ac:dyDescent="0.35">
      <c r="D285" s="85" t="str">
        <f t="shared" ref="D285:E285" ca="1" si="111">K98</f>
        <v/>
      </c>
      <c r="E285" s="85" t="str">
        <f t="shared" ca="1" si="111"/>
        <v/>
      </c>
      <c r="T285" s="64" t="str">
        <f t="shared" ca="1" si="86"/>
        <v/>
      </c>
      <c r="U285" s="64" t="str">
        <f t="shared" si="87"/>
        <v/>
      </c>
      <c r="V285" s="266" t="str">
        <f ca="1">IF(OR(D285=0,D285="",D285="Athlete"),"",COUNTIF($D$4:$D285,D285))</f>
        <v/>
      </c>
    </row>
    <row r="286" spans="4:22" hidden="1" x14ac:dyDescent="0.35">
      <c r="D286" s="85" t="str">
        <f t="shared" ref="D286:E286" ca="1" si="112">K99</f>
        <v/>
      </c>
      <c r="E286" s="85" t="str">
        <f t="shared" ca="1" si="112"/>
        <v/>
      </c>
      <c r="T286" s="64" t="str">
        <f t="shared" ca="1" si="86"/>
        <v/>
      </c>
      <c r="U286" s="64" t="str">
        <f t="shared" si="87"/>
        <v/>
      </c>
      <c r="V286" s="266" t="str">
        <f ca="1">IF(OR(D286=0,D286="",D286="Athlete"),"",COUNTIF($D$4:$D286,D286))</f>
        <v/>
      </c>
    </row>
    <row r="287" spans="4:22" hidden="1" x14ac:dyDescent="0.35">
      <c r="D287" s="85">
        <f t="shared" ref="D287:E287" si="113">K100</f>
        <v>0</v>
      </c>
      <c r="E287" s="85">
        <f t="shared" si="113"/>
        <v>0</v>
      </c>
      <c r="T287" s="64" t="str">
        <f t="shared" si="86"/>
        <v/>
      </c>
      <c r="U287" s="64" t="str">
        <f t="shared" si="87"/>
        <v/>
      </c>
      <c r="V287" s="266" t="str">
        <f>IF(OR(D287=0,D287="",D287="Athlete"),"",COUNTIF($D$4:$D287,D287))</f>
        <v/>
      </c>
    </row>
    <row r="288" spans="4:22" hidden="1" x14ac:dyDescent="0.35">
      <c r="D288" s="85">
        <f t="shared" ref="D288:E288" si="114">K101</f>
        <v>0</v>
      </c>
      <c r="E288" s="85">
        <f t="shared" si="114"/>
        <v>0</v>
      </c>
      <c r="T288" s="64" t="str">
        <f t="shared" si="86"/>
        <v/>
      </c>
      <c r="U288" s="64" t="str">
        <f t="shared" si="87"/>
        <v/>
      </c>
      <c r="V288" s="266" t="str">
        <f>IF(OR(D288=0,D288="",D288="Athlete"),"",COUNTIF($D$4:$D288,D288))</f>
        <v/>
      </c>
    </row>
    <row r="289" spans="4:22" hidden="1" x14ac:dyDescent="0.35">
      <c r="D289" s="85" t="str">
        <f t="shared" ref="D289:E289" ca="1" si="115">K102</f>
        <v>Athlete</v>
      </c>
      <c r="E289" s="85" t="str">
        <f t="shared" ca="1" si="115"/>
        <v>Club</v>
      </c>
      <c r="T289" s="64" t="str">
        <f t="shared" ca="1" si="86"/>
        <v/>
      </c>
      <c r="U289" s="64" t="str">
        <f t="shared" si="87"/>
        <v/>
      </c>
      <c r="V289" s="266" t="str">
        <f ca="1">IF(OR(D289=0,D289="",D289="Athlete"),"",COUNTIF($D$4:$D289,D289))</f>
        <v/>
      </c>
    </row>
    <row r="290" spans="4:22" hidden="1" x14ac:dyDescent="0.35">
      <c r="D290" s="85" t="str">
        <f t="shared" ref="D290:E290" ca="1" si="116">K103</f>
        <v>Lauren HEWITT</v>
      </c>
      <c r="E290" s="85" t="str">
        <f t="shared" ca="1" si="116"/>
        <v>Wigan</v>
      </c>
      <c r="T290" s="64">
        <f t="shared" ca="1" si="86"/>
        <v>3</v>
      </c>
      <c r="U290" s="64" t="str">
        <f t="shared" si="87"/>
        <v/>
      </c>
      <c r="V290" s="266">
        <f ca="1">IF(OR(D290=0,D290="",D290="Athlete"),"",COUNTIF($D$4:$D290,D290))</f>
        <v>3</v>
      </c>
    </row>
    <row r="291" spans="4:22" hidden="1" x14ac:dyDescent="0.35">
      <c r="D291" s="85" t="str">
        <f t="shared" ref="D291:E291" ca="1" si="117">K104</f>
        <v>Gabriella TAYLOR</v>
      </c>
      <c r="E291" s="85" t="str">
        <f t="shared" ca="1" si="117"/>
        <v>Leigh</v>
      </c>
      <c r="T291" s="64">
        <f t="shared" ca="1" si="86"/>
        <v>3</v>
      </c>
      <c r="U291" s="64" t="str">
        <f t="shared" si="87"/>
        <v/>
      </c>
      <c r="V291" s="266">
        <f ca="1">IF(OR(D291=0,D291="",D291="Athlete"),"",COUNTIF($D$4:$D291,D291))</f>
        <v>3</v>
      </c>
    </row>
    <row r="292" spans="4:22" hidden="1" x14ac:dyDescent="0.35">
      <c r="D292" s="85" t="str">
        <f t="shared" ref="D292:E292" ca="1" si="118">K105</f>
        <v>Elisha CARTER</v>
      </c>
      <c r="E292" s="85" t="str">
        <f t="shared" ca="1" si="118"/>
        <v>C&amp;N</v>
      </c>
      <c r="T292" s="64">
        <f t="shared" ca="1" si="86"/>
        <v>3</v>
      </c>
      <c r="U292" s="64" t="str">
        <f t="shared" si="87"/>
        <v/>
      </c>
      <c r="V292" s="266">
        <f ca="1">IF(OR(D292=0,D292="",D292="Athlete"),"",COUNTIF($D$4:$D292,D292))</f>
        <v>2</v>
      </c>
    </row>
    <row r="293" spans="4:22" hidden="1" x14ac:dyDescent="0.35">
      <c r="D293" s="85" t="str">
        <f t="shared" ref="D293:E293" ca="1" si="119">K106</f>
        <v/>
      </c>
      <c r="E293" s="85" t="str">
        <f t="shared" ca="1" si="119"/>
        <v/>
      </c>
      <c r="T293" s="64" t="str">
        <f t="shared" ca="1" si="86"/>
        <v/>
      </c>
      <c r="U293" s="64" t="str">
        <f t="shared" si="87"/>
        <v/>
      </c>
      <c r="V293" s="266" t="str">
        <f ca="1">IF(OR(D293=0,D293="",D293="Athlete"),"",COUNTIF($D$4:$D293,D293))</f>
        <v/>
      </c>
    </row>
    <row r="294" spans="4:22" hidden="1" x14ac:dyDescent="0.35">
      <c r="D294" s="85" t="str">
        <f t="shared" ref="D294:E294" ca="1" si="120">K107</f>
        <v/>
      </c>
      <c r="E294" s="85" t="str">
        <f t="shared" ca="1" si="120"/>
        <v/>
      </c>
      <c r="T294" s="64" t="str">
        <f t="shared" ca="1" si="86"/>
        <v/>
      </c>
      <c r="U294" s="64" t="str">
        <f t="shared" si="87"/>
        <v/>
      </c>
      <c r="V294" s="266" t="str">
        <f ca="1">IF(OR(D294=0,D294="",D294="Athlete"),"",COUNTIF($D$4:$D294,D294))</f>
        <v/>
      </c>
    </row>
    <row r="295" spans="4:22" hidden="1" x14ac:dyDescent="0.35">
      <c r="D295" s="85" t="str">
        <f t="shared" ref="D295:E295" ca="1" si="121">K108</f>
        <v/>
      </c>
      <c r="E295" s="85" t="str">
        <f t="shared" ca="1" si="121"/>
        <v/>
      </c>
      <c r="T295" s="64" t="str">
        <f t="shared" ca="1" si="86"/>
        <v/>
      </c>
      <c r="U295" s="64" t="str">
        <f t="shared" si="87"/>
        <v/>
      </c>
      <c r="V295" s="266" t="str">
        <f ca="1">IF(OR(D295=0,D295="",D295="Athlete"),"",COUNTIF($D$4:$D295,D295))</f>
        <v/>
      </c>
    </row>
    <row r="296" spans="4:22" hidden="1" x14ac:dyDescent="0.35">
      <c r="D296" s="85" t="str">
        <f t="shared" ref="D296:E296" ca="1" si="122">K109</f>
        <v/>
      </c>
      <c r="E296" s="85" t="str">
        <f t="shared" ca="1" si="122"/>
        <v/>
      </c>
      <c r="T296" s="64" t="str">
        <f t="shared" ca="1" si="86"/>
        <v/>
      </c>
      <c r="U296" s="64" t="str">
        <f t="shared" si="87"/>
        <v/>
      </c>
      <c r="V296" s="266" t="str">
        <f ca="1">IF(OR(D296=0,D296="",D296="Athlete"),"",COUNTIF($D$4:$D296,D296))</f>
        <v/>
      </c>
    </row>
    <row r="297" spans="4:22" hidden="1" x14ac:dyDescent="0.35">
      <c r="D297" s="85" t="str">
        <f t="shared" ref="D297:E297" ca="1" si="123">K110</f>
        <v/>
      </c>
      <c r="E297" s="85" t="str">
        <f t="shared" ca="1" si="123"/>
        <v/>
      </c>
      <c r="T297" s="64" t="str">
        <f t="shared" ca="1" si="86"/>
        <v/>
      </c>
      <c r="U297" s="64" t="str">
        <f t="shared" si="87"/>
        <v/>
      </c>
      <c r="V297" s="266" t="str">
        <f ca="1">IF(OR(D297=0,D297="",D297="Athlete"),"",COUNTIF($D$4:$D297,D297))</f>
        <v/>
      </c>
    </row>
    <row r="298" spans="4:22" hidden="1" x14ac:dyDescent="0.35">
      <c r="D298" s="85">
        <f t="shared" ref="D298:E298" si="124">K111</f>
        <v>0</v>
      </c>
      <c r="E298" s="85">
        <f t="shared" si="124"/>
        <v>0</v>
      </c>
      <c r="T298" s="64" t="str">
        <f t="shared" si="86"/>
        <v/>
      </c>
      <c r="U298" s="64" t="str">
        <f t="shared" si="87"/>
        <v/>
      </c>
      <c r="V298" s="266" t="str">
        <f>IF(OR(D298=0,D298="",D298="Athlete"),"",COUNTIF($D$4:$D298,D298))</f>
        <v/>
      </c>
    </row>
    <row r="299" spans="4:22" hidden="1" x14ac:dyDescent="0.35">
      <c r="D299" s="85">
        <f t="shared" ref="D299:E299" si="125">K112</f>
        <v>0</v>
      </c>
      <c r="E299" s="85">
        <f t="shared" si="125"/>
        <v>0</v>
      </c>
      <c r="T299" s="64" t="str">
        <f t="shared" si="86"/>
        <v/>
      </c>
      <c r="U299" s="64" t="str">
        <f t="shared" si="87"/>
        <v/>
      </c>
      <c r="V299" s="266" t="str">
        <f>IF(OR(D299=0,D299="",D299="Athlete"),"",COUNTIF($D$4:$D299,D299))</f>
        <v/>
      </c>
    </row>
    <row r="300" spans="4:22" hidden="1" x14ac:dyDescent="0.35">
      <c r="D300" s="85" t="str">
        <f t="shared" ref="D300:E300" ca="1" si="126">K113</f>
        <v>Athlete</v>
      </c>
      <c r="E300" s="85" t="str">
        <f t="shared" ca="1" si="126"/>
        <v>Club</v>
      </c>
      <c r="T300" s="64" t="str">
        <f t="shared" ca="1" si="86"/>
        <v/>
      </c>
      <c r="U300" s="64" t="str">
        <f t="shared" si="87"/>
        <v/>
      </c>
      <c r="V300" s="266" t="str">
        <f ca="1">IF(OR(D300=0,D300="",D300="Athlete"),"",COUNTIF($D$4:$D300,D300))</f>
        <v/>
      </c>
    </row>
    <row r="301" spans="4:22" hidden="1" x14ac:dyDescent="0.35">
      <c r="D301" s="85" t="str">
        <f t="shared" ref="D301:E301" ca="1" si="127">K114</f>
        <v>Lucy STRETTON</v>
      </c>
      <c r="E301" s="85" t="str">
        <f t="shared" ca="1" si="127"/>
        <v>Wigan</v>
      </c>
      <c r="T301" s="64">
        <f t="shared" ca="1" si="86"/>
        <v>3</v>
      </c>
      <c r="U301" s="64" t="str">
        <f t="shared" si="87"/>
        <v/>
      </c>
      <c r="V301" s="266">
        <f ca="1">IF(OR(D301=0,D301="",D301="Athlete"),"",COUNTIF($D$4:$D301,D301))</f>
        <v>2</v>
      </c>
    </row>
    <row r="302" spans="4:22" hidden="1" x14ac:dyDescent="0.35">
      <c r="D302" s="85" t="str">
        <f t="shared" ref="D302:E302" ca="1" si="128">K115</f>
        <v/>
      </c>
      <c r="E302" s="85" t="str">
        <f t="shared" ca="1" si="128"/>
        <v/>
      </c>
      <c r="T302" s="64" t="str">
        <f t="shared" ca="1" si="86"/>
        <v/>
      </c>
      <c r="U302" s="64" t="str">
        <f t="shared" si="87"/>
        <v/>
      </c>
      <c r="V302" s="266" t="str">
        <f ca="1">IF(OR(D302=0,D302="",D302="Athlete"),"",COUNTIF($D$4:$D302,D302))</f>
        <v/>
      </c>
    </row>
    <row r="303" spans="4:22" hidden="1" x14ac:dyDescent="0.35">
      <c r="D303" s="85" t="str">
        <f t="shared" ref="D303:E303" ca="1" si="129">K116</f>
        <v/>
      </c>
      <c r="E303" s="85" t="str">
        <f t="shared" ca="1" si="129"/>
        <v/>
      </c>
      <c r="T303" s="64" t="str">
        <f t="shared" ca="1" si="86"/>
        <v/>
      </c>
      <c r="U303" s="64" t="str">
        <f t="shared" si="87"/>
        <v/>
      </c>
      <c r="V303" s="266" t="str">
        <f ca="1">IF(OR(D303=0,D303="",D303="Athlete"),"",COUNTIF($D$4:$D303,D303))</f>
        <v/>
      </c>
    </row>
    <row r="304" spans="4:22" hidden="1" x14ac:dyDescent="0.35">
      <c r="D304" s="85" t="str">
        <f t="shared" ref="D304:E304" ca="1" si="130">K117</f>
        <v/>
      </c>
      <c r="E304" s="85" t="str">
        <f t="shared" ca="1" si="130"/>
        <v/>
      </c>
      <c r="T304" s="64" t="str">
        <f t="shared" ca="1" si="86"/>
        <v/>
      </c>
      <c r="U304" s="64" t="str">
        <f t="shared" si="87"/>
        <v/>
      </c>
      <c r="V304" s="266" t="str">
        <f ca="1">IF(OR(D304=0,D304="",D304="Athlete"),"",COUNTIF($D$4:$D304,D304))</f>
        <v/>
      </c>
    </row>
    <row r="305" spans="4:22" hidden="1" x14ac:dyDescent="0.35">
      <c r="D305" s="85" t="str">
        <f t="shared" ref="D305:E305" ca="1" si="131">K118</f>
        <v/>
      </c>
      <c r="E305" s="85" t="str">
        <f t="shared" ca="1" si="131"/>
        <v/>
      </c>
      <c r="T305" s="64" t="str">
        <f t="shared" ca="1" si="86"/>
        <v/>
      </c>
      <c r="U305" s="64" t="str">
        <f t="shared" si="87"/>
        <v/>
      </c>
      <c r="V305" s="266" t="str">
        <f ca="1">IF(OR(D305=0,D305="",D305="Athlete"),"",COUNTIF($D$4:$D305,D305))</f>
        <v/>
      </c>
    </row>
    <row r="306" spans="4:22" hidden="1" x14ac:dyDescent="0.35">
      <c r="D306" s="85" t="str">
        <f t="shared" ref="D306:E306" ca="1" si="132">K119</f>
        <v/>
      </c>
      <c r="E306" s="85" t="str">
        <f t="shared" ca="1" si="132"/>
        <v/>
      </c>
      <c r="T306" s="64" t="str">
        <f t="shared" ca="1" si="86"/>
        <v/>
      </c>
      <c r="U306" s="64" t="str">
        <f t="shared" si="87"/>
        <v/>
      </c>
      <c r="V306" s="266" t="str">
        <f ca="1">IF(OR(D306=0,D306="",D306="Athlete"),"",COUNTIF($D$4:$D306,D306))</f>
        <v/>
      </c>
    </row>
    <row r="307" spans="4:22" hidden="1" x14ac:dyDescent="0.35">
      <c r="D307" s="85" t="str">
        <f t="shared" ref="D307:E307" ca="1" si="133">K120</f>
        <v/>
      </c>
      <c r="E307" s="85" t="str">
        <f t="shared" ca="1" si="133"/>
        <v/>
      </c>
      <c r="T307" s="64" t="str">
        <f t="shared" ca="1" si="86"/>
        <v/>
      </c>
      <c r="U307" s="64" t="str">
        <f t="shared" si="87"/>
        <v/>
      </c>
      <c r="V307" s="266" t="str">
        <f ca="1">IF(OR(D307=0,D307="",D307="Athlete"),"",COUNTIF($D$4:$D307,D307))</f>
        <v/>
      </c>
    </row>
    <row r="308" spans="4:22" hidden="1" x14ac:dyDescent="0.35">
      <c r="D308" s="85" t="str">
        <f t="shared" ref="D308:E308" ca="1" si="134">K121</f>
        <v/>
      </c>
      <c r="E308" s="85" t="str">
        <f t="shared" ca="1" si="134"/>
        <v/>
      </c>
      <c r="T308" s="64" t="str">
        <f t="shared" ca="1" si="86"/>
        <v/>
      </c>
      <c r="U308" s="64" t="str">
        <f t="shared" si="87"/>
        <v/>
      </c>
      <c r="V308" s="266" t="str">
        <f ca="1">IF(OR(D308=0,D308="",D308="Athlete"),"",COUNTIF($D$4:$D308,D308))</f>
        <v/>
      </c>
    </row>
    <row r="309" spans="4:22" hidden="1" x14ac:dyDescent="0.35">
      <c r="D309" s="85">
        <f t="shared" ref="D309:E309" si="135">K122</f>
        <v>0</v>
      </c>
      <c r="E309" s="85">
        <f t="shared" si="135"/>
        <v>0</v>
      </c>
      <c r="T309" s="64" t="str">
        <f t="shared" si="86"/>
        <v/>
      </c>
      <c r="U309" s="64" t="str">
        <f t="shared" si="87"/>
        <v/>
      </c>
      <c r="V309" s="266" t="str">
        <f>IF(OR(D309=0,D309="",D309="Athlete"),"",COUNTIF($D$4:$D309,D309))</f>
        <v/>
      </c>
    </row>
    <row r="310" spans="4:22" hidden="1" x14ac:dyDescent="0.35">
      <c r="D310" s="85">
        <f t="shared" ref="D310:E310" si="136">K123</f>
        <v>0</v>
      </c>
      <c r="E310" s="85">
        <f t="shared" si="136"/>
        <v>0</v>
      </c>
      <c r="T310" s="64" t="str">
        <f t="shared" si="86"/>
        <v/>
      </c>
      <c r="U310" s="64" t="str">
        <f t="shared" si="87"/>
        <v/>
      </c>
      <c r="V310" s="266" t="str">
        <f>IF(OR(D310=0,D310="",D310="Athlete"),"",COUNTIF($D$4:$D310,D310))</f>
        <v/>
      </c>
    </row>
    <row r="311" spans="4:22" hidden="1" x14ac:dyDescent="0.35">
      <c r="D311" s="85" t="str">
        <f t="shared" ref="D311:E311" ca="1" si="137">K124</f>
        <v>Athlete</v>
      </c>
      <c r="E311" s="85" t="str">
        <f t="shared" ca="1" si="137"/>
        <v>Club</v>
      </c>
      <c r="T311" s="64" t="str">
        <f t="shared" ca="1" si="86"/>
        <v/>
      </c>
      <c r="U311" s="64" t="str">
        <f t="shared" si="87"/>
        <v/>
      </c>
      <c r="V311" s="266" t="str">
        <f ca="1">IF(OR(D311=0,D311="",D311="Athlete"),"",COUNTIF($D$4:$D311,D311))</f>
        <v/>
      </c>
    </row>
    <row r="312" spans="4:22" hidden="1" x14ac:dyDescent="0.35">
      <c r="D312" s="85" t="str">
        <f t="shared" ref="D312:E312" ca="1" si="138">K125</f>
        <v>Bella VARLEY</v>
      </c>
      <c r="E312" s="85" t="str">
        <f t="shared" ca="1" si="138"/>
        <v>C&amp;N</v>
      </c>
      <c r="T312" s="64">
        <f t="shared" ca="1" si="86"/>
        <v>3</v>
      </c>
      <c r="U312" s="64" t="str">
        <f t="shared" si="87"/>
        <v/>
      </c>
      <c r="V312" s="266">
        <f ca="1">IF(OR(D312=0,D312="",D312="Athlete"),"",COUNTIF($D$4:$D312,D312))</f>
        <v>3</v>
      </c>
    </row>
    <row r="313" spans="4:22" hidden="1" x14ac:dyDescent="0.35">
      <c r="D313" s="85" t="str">
        <f t="shared" ref="D313:E313" ca="1" si="139">K126</f>
        <v>Eva MELLING</v>
      </c>
      <c r="E313" s="85" t="str">
        <f t="shared" ca="1" si="139"/>
        <v>Leigh</v>
      </c>
      <c r="T313" s="64">
        <f t="shared" ca="1" si="86"/>
        <v>3</v>
      </c>
      <c r="U313" s="64" t="str">
        <f t="shared" si="87"/>
        <v/>
      </c>
      <c r="V313" s="266">
        <f ca="1">IF(OR(D313=0,D313="",D313="Athlete"),"",COUNTIF($D$4:$D313,D313))</f>
        <v>3</v>
      </c>
    </row>
    <row r="314" spans="4:22" hidden="1" x14ac:dyDescent="0.35">
      <c r="D314" s="85" t="str">
        <f t="shared" ref="D314:E314" ca="1" si="140">K127</f>
        <v>Lucy STRETTON</v>
      </c>
      <c r="E314" s="85" t="str">
        <f t="shared" ca="1" si="140"/>
        <v>Wigan</v>
      </c>
      <c r="T314" s="64">
        <f t="shared" ca="1" si="86"/>
        <v>3</v>
      </c>
      <c r="U314" s="64" t="str">
        <f t="shared" si="87"/>
        <v/>
      </c>
      <c r="V314" s="266">
        <f ca="1">IF(OR(D314=0,D314="",D314="Athlete"),"",COUNTIF($D$4:$D314,D314))</f>
        <v>3</v>
      </c>
    </row>
    <row r="315" spans="4:22" hidden="1" x14ac:dyDescent="0.35">
      <c r="D315" s="85" t="str">
        <f t="shared" ref="D315:E315" ca="1" si="141">K128</f>
        <v>Krista JONES</v>
      </c>
      <c r="E315" s="85" t="str">
        <f t="shared" ca="1" si="141"/>
        <v>Menai</v>
      </c>
      <c r="T315" s="64">
        <f t="shared" ca="1" si="86"/>
        <v>3</v>
      </c>
      <c r="U315" s="64" t="str">
        <f t="shared" si="87"/>
        <v/>
      </c>
      <c r="V315" s="266">
        <f ca="1">IF(OR(D315=0,D315="",D315="Athlete"),"",COUNTIF($D$4:$D315,D315))</f>
        <v>3</v>
      </c>
    </row>
    <row r="316" spans="4:22" hidden="1" x14ac:dyDescent="0.35">
      <c r="D316" s="85" t="str">
        <f t="shared" ref="D316:E316" ca="1" si="142">K129</f>
        <v/>
      </c>
      <c r="E316" s="85" t="str">
        <f t="shared" ca="1" si="142"/>
        <v/>
      </c>
      <c r="T316" s="64" t="str">
        <f t="shared" ca="1" si="86"/>
        <v/>
      </c>
      <c r="U316" s="64" t="str">
        <f t="shared" si="87"/>
        <v/>
      </c>
      <c r="V316" s="266" t="str">
        <f ca="1">IF(OR(D316=0,D316="",D316="Athlete"),"",COUNTIF($D$4:$D316,D316))</f>
        <v/>
      </c>
    </row>
    <row r="317" spans="4:22" hidden="1" x14ac:dyDescent="0.35">
      <c r="D317" s="85" t="str">
        <f t="shared" ref="D317:E317" ca="1" si="143">K130</f>
        <v/>
      </c>
      <c r="E317" s="85" t="str">
        <f t="shared" ca="1" si="143"/>
        <v/>
      </c>
      <c r="T317" s="64" t="str">
        <f t="shared" ca="1" si="86"/>
        <v/>
      </c>
      <c r="U317" s="64" t="str">
        <f t="shared" si="87"/>
        <v/>
      </c>
      <c r="V317" s="266" t="str">
        <f ca="1">IF(OR(D317=0,D317="",D317="Athlete"),"",COUNTIF($D$4:$D317,D317))</f>
        <v/>
      </c>
    </row>
    <row r="318" spans="4:22" hidden="1" x14ac:dyDescent="0.35">
      <c r="D318" s="85" t="str">
        <f t="shared" ref="D318:E318" ca="1" si="144">K131</f>
        <v/>
      </c>
      <c r="E318" s="85" t="str">
        <f t="shared" ca="1" si="144"/>
        <v/>
      </c>
      <c r="T318" s="64" t="str">
        <f t="shared" ca="1" si="86"/>
        <v/>
      </c>
      <c r="U318" s="64" t="str">
        <f t="shared" si="87"/>
        <v/>
      </c>
      <c r="V318" s="266" t="str">
        <f ca="1">IF(OR(D318=0,D318="",D318="Athlete"),"",COUNTIF($D$4:$D318,D318))</f>
        <v/>
      </c>
    </row>
    <row r="319" spans="4:22" hidden="1" x14ac:dyDescent="0.35">
      <c r="D319" s="85" t="str">
        <f t="shared" ref="D319:E319" ca="1" si="145">K132</f>
        <v/>
      </c>
      <c r="E319" s="85" t="str">
        <f t="shared" ca="1" si="145"/>
        <v/>
      </c>
      <c r="T319" s="64" t="str">
        <f t="shared" ca="1" si="86"/>
        <v/>
      </c>
      <c r="U319" s="64" t="str">
        <f t="shared" si="87"/>
        <v/>
      </c>
      <c r="V319" s="266" t="str">
        <f ca="1">IF(OR(D319=0,D319="",D319="Athlete"),"",COUNTIF($D$4:$D319,D319))</f>
        <v/>
      </c>
    </row>
    <row r="320" spans="4:22" hidden="1" x14ac:dyDescent="0.35">
      <c r="D320" s="85">
        <f t="shared" ref="D320:E320" si="146">K133</f>
        <v>0</v>
      </c>
      <c r="E320" s="85">
        <f t="shared" si="146"/>
        <v>0</v>
      </c>
      <c r="T320" s="64" t="str">
        <f t="shared" si="86"/>
        <v/>
      </c>
      <c r="U320" s="64" t="str">
        <f t="shared" si="87"/>
        <v/>
      </c>
      <c r="V320" s="266" t="str">
        <f>IF(OR(D320=0,D320="",D320="Athlete"),"",COUNTIF($D$4:$D320,D320))</f>
        <v/>
      </c>
    </row>
    <row r="321" spans="4:22" hidden="1" x14ac:dyDescent="0.35">
      <c r="D321" s="85">
        <f t="shared" ref="D321:E321" si="147">K134</f>
        <v>0</v>
      </c>
      <c r="E321" s="85">
        <f t="shared" si="147"/>
        <v>0</v>
      </c>
      <c r="T321" s="64" t="str">
        <f t="shared" si="86"/>
        <v/>
      </c>
      <c r="U321" s="64" t="str">
        <f t="shared" si="87"/>
        <v/>
      </c>
      <c r="V321" s="266" t="str">
        <f>IF(OR(D321=0,D321="",D321="Athlete"),"",COUNTIF($D$4:$D321,D321))</f>
        <v/>
      </c>
    </row>
    <row r="322" spans="4:22" hidden="1" x14ac:dyDescent="0.35">
      <c r="D322" s="85" t="str">
        <f t="shared" ref="D322:E322" ca="1" si="148">K135</f>
        <v>Athlete</v>
      </c>
      <c r="E322" s="85" t="str">
        <f t="shared" ca="1" si="148"/>
        <v>Club</v>
      </c>
      <c r="T322" s="64" t="str">
        <f t="shared" ca="1" si="86"/>
        <v/>
      </c>
      <c r="U322" s="64" t="str">
        <f t="shared" si="87"/>
        <v/>
      </c>
      <c r="V322" s="266" t="str">
        <f ca="1">IF(OR(D322=0,D322="",D322="Athlete"),"",COUNTIF($D$4:$D322,D322))</f>
        <v/>
      </c>
    </row>
    <row r="323" spans="4:22" hidden="1" x14ac:dyDescent="0.35">
      <c r="D323" s="85" t="str">
        <f t="shared" ref="D323:E323" ca="1" si="149">K136</f>
        <v>Elliw MOSS</v>
      </c>
      <c r="E323" s="85" t="str">
        <f t="shared" ca="1" si="149"/>
        <v>Menai</v>
      </c>
      <c r="T323" s="64">
        <f t="shared" ca="1" si="86"/>
        <v>2</v>
      </c>
      <c r="U323" s="64" t="str">
        <f t="shared" si="87"/>
        <v/>
      </c>
      <c r="V323" s="266">
        <f ca="1">IF(OR(D323=0,D323="",D323="Athlete"),"",COUNTIF($D$4:$D323,D323))</f>
        <v>1</v>
      </c>
    </row>
    <row r="324" spans="4:22" hidden="1" x14ac:dyDescent="0.35">
      <c r="D324" s="85" t="str">
        <f t="shared" ref="D324:E324" ca="1" si="150">K137</f>
        <v>Freya MASON</v>
      </c>
      <c r="E324" s="85" t="str">
        <f t="shared" ca="1" si="150"/>
        <v>C&amp;N</v>
      </c>
      <c r="T324" s="64">
        <f t="shared" ca="1" si="86"/>
        <v>2</v>
      </c>
      <c r="U324" s="64" t="str">
        <f t="shared" si="87"/>
        <v/>
      </c>
      <c r="V324" s="266">
        <f ca="1">IF(OR(D324=0,D324="",D324="Athlete"),"",COUNTIF($D$4:$D324,D324))</f>
        <v>2</v>
      </c>
    </row>
    <row r="325" spans="4:22" hidden="1" x14ac:dyDescent="0.35">
      <c r="D325" s="85" t="str">
        <f t="shared" ref="D325:E325" ca="1" si="151">K138</f>
        <v/>
      </c>
      <c r="E325" s="85" t="str">
        <f t="shared" ca="1" si="151"/>
        <v/>
      </c>
      <c r="T325" s="64" t="str">
        <f t="shared" ref="T325:T352" ca="1" si="152">IF(OR(D325=0,D325="",D325="Athlete"),"",COUNTIF($D$4:$D$352,D325))</f>
        <v/>
      </c>
      <c r="U325" s="64" t="str">
        <f t="shared" ref="U325:U352" si="153">IF(OR(K325=0,K325="",K325="Athlete"),"",COUNTIF($D$4:$D$352,K325))</f>
        <v/>
      </c>
      <c r="V325" s="266" t="str">
        <f ca="1">IF(OR(D325=0,D325="",D325="Athlete"),"",COUNTIF($D$4:$D325,D325))</f>
        <v/>
      </c>
    </row>
    <row r="326" spans="4:22" hidden="1" x14ac:dyDescent="0.35">
      <c r="D326" s="85" t="str">
        <f t="shared" ref="D326:E326" ca="1" si="154">K139</f>
        <v/>
      </c>
      <c r="E326" s="85" t="str">
        <f t="shared" ca="1" si="154"/>
        <v/>
      </c>
      <c r="T326" s="64" t="str">
        <f t="shared" ca="1" si="152"/>
        <v/>
      </c>
      <c r="U326" s="64" t="str">
        <f t="shared" si="153"/>
        <v/>
      </c>
      <c r="V326" s="266" t="str">
        <f ca="1">IF(OR(D326=0,D326="",D326="Athlete"),"",COUNTIF($D$4:$D326,D326))</f>
        <v/>
      </c>
    </row>
    <row r="327" spans="4:22" hidden="1" x14ac:dyDescent="0.35">
      <c r="D327" s="85" t="str">
        <f t="shared" ref="D327:E327" ca="1" si="155">K140</f>
        <v/>
      </c>
      <c r="E327" s="85" t="str">
        <f t="shared" ca="1" si="155"/>
        <v/>
      </c>
      <c r="T327" s="64" t="str">
        <f t="shared" ca="1" si="152"/>
        <v/>
      </c>
      <c r="U327" s="64" t="str">
        <f t="shared" si="153"/>
        <v/>
      </c>
      <c r="V327" s="266" t="str">
        <f ca="1">IF(OR(D327=0,D327="",D327="Athlete"),"",COUNTIF($D$4:$D327,D327))</f>
        <v/>
      </c>
    </row>
    <row r="328" spans="4:22" hidden="1" x14ac:dyDescent="0.35">
      <c r="D328" s="85" t="str">
        <f t="shared" ref="D328:E328" ca="1" si="156">K141</f>
        <v/>
      </c>
      <c r="E328" s="85" t="str">
        <f t="shared" ca="1" si="156"/>
        <v/>
      </c>
      <c r="T328" s="64" t="str">
        <f t="shared" ca="1" si="152"/>
        <v/>
      </c>
      <c r="U328" s="64" t="str">
        <f t="shared" si="153"/>
        <v/>
      </c>
      <c r="V328" s="266" t="str">
        <f ca="1">IF(OR(D328=0,D328="",D328="Athlete"),"",COUNTIF($D$4:$D328,D328))</f>
        <v/>
      </c>
    </row>
    <row r="329" spans="4:22" hidden="1" x14ac:dyDescent="0.35">
      <c r="D329" s="85" t="str">
        <f t="shared" ref="D329:E329" ca="1" si="157">K142</f>
        <v/>
      </c>
      <c r="E329" s="85" t="str">
        <f t="shared" ca="1" si="157"/>
        <v/>
      </c>
      <c r="T329" s="64" t="str">
        <f t="shared" ca="1" si="152"/>
        <v/>
      </c>
      <c r="U329" s="64" t="str">
        <f t="shared" si="153"/>
        <v/>
      </c>
      <c r="V329" s="266" t="str">
        <f ca="1">IF(OR(D329=0,D329="",D329="Athlete"),"",COUNTIF($D$4:$D329,D329))</f>
        <v/>
      </c>
    </row>
    <row r="330" spans="4:22" hidden="1" x14ac:dyDescent="0.35">
      <c r="D330" s="85" t="str">
        <f t="shared" ref="D330:E330" ca="1" si="158">K143</f>
        <v/>
      </c>
      <c r="E330" s="85" t="str">
        <f t="shared" ca="1" si="158"/>
        <v/>
      </c>
      <c r="T330" s="64" t="str">
        <f t="shared" ca="1" si="152"/>
        <v/>
      </c>
      <c r="U330" s="64" t="str">
        <f t="shared" si="153"/>
        <v/>
      </c>
      <c r="V330" s="266" t="str">
        <f ca="1">IF(OR(D330=0,D330="",D330="Athlete"),"",COUNTIF($D$4:$D330,D330))</f>
        <v/>
      </c>
    </row>
    <row r="331" spans="4:22" hidden="1" x14ac:dyDescent="0.35">
      <c r="D331" s="85">
        <f t="shared" ref="D331:E331" si="159">K144</f>
        <v>0</v>
      </c>
      <c r="E331" s="85">
        <f t="shared" si="159"/>
        <v>0</v>
      </c>
      <c r="T331" s="64" t="str">
        <f t="shared" si="152"/>
        <v/>
      </c>
      <c r="U331" s="64" t="str">
        <f t="shared" si="153"/>
        <v/>
      </c>
      <c r="V331" s="266" t="str">
        <f>IF(OR(D331=0,D331="",D331="Athlete"),"",COUNTIF($D$4:$D331,D331))</f>
        <v/>
      </c>
    </row>
    <row r="332" spans="4:22" hidden="1" x14ac:dyDescent="0.35">
      <c r="D332" s="85">
        <f t="shared" ref="D332:E332" si="160">K145</f>
        <v>0</v>
      </c>
      <c r="E332" s="85">
        <f t="shared" si="160"/>
        <v>0</v>
      </c>
      <c r="T332" s="64" t="str">
        <f t="shared" si="152"/>
        <v/>
      </c>
      <c r="U332" s="64" t="str">
        <f t="shared" si="153"/>
        <v/>
      </c>
      <c r="V332" s="266" t="str">
        <f>IF(OR(D332=0,D332="",D332="Athlete"),"",COUNTIF($D$4:$D332,D332))</f>
        <v/>
      </c>
    </row>
    <row r="333" spans="4:22" hidden="1" x14ac:dyDescent="0.35">
      <c r="D333" s="85" t="str">
        <f t="shared" ref="D333:E333" ca="1" si="161">K146</f>
        <v>Athlete</v>
      </c>
      <c r="E333" s="85" t="str">
        <f t="shared" ca="1" si="161"/>
        <v>Club</v>
      </c>
      <c r="T333" s="64" t="str">
        <f t="shared" ca="1" si="152"/>
        <v/>
      </c>
      <c r="U333" s="64" t="str">
        <f t="shared" si="153"/>
        <v/>
      </c>
      <c r="V333" s="266" t="str">
        <f ca="1">IF(OR(D333=0,D333="",D333="Athlete"),"",COUNTIF($D$4:$D333,D333))</f>
        <v/>
      </c>
    </row>
    <row r="334" spans="4:22" hidden="1" x14ac:dyDescent="0.35">
      <c r="D334" s="85" t="str">
        <f t="shared" ref="D334:E334" ca="1" si="162">K147</f>
        <v/>
      </c>
      <c r="E334" s="85" t="str">
        <f t="shared" ca="1" si="162"/>
        <v/>
      </c>
      <c r="T334" s="64" t="str">
        <f t="shared" ca="1" si="152"/>
        <v/>
      </c>
      <c r="U334" s="64" t="str">
        <f t="shared" si="153"/>
        <v/>
      </c>
      <c r="V334" s="266" t="str">
        <f ca="1">IF(OR(D334=0,D334="",D334="Athlete"),"",COUNTIF($D$4:$D334,D334))</f>
        <v/>
      </c>
    </row>
    <row r="335" spans="4:22" hidden="1" x14ac:dyDescent="0.35">
      <c r="D335" s="85" t="str">
        <f t="shared" ref="D335:E335" ca="1" si="163">K148</f>
        <v/>
      </c>
      <c r="E335" s="85" t="str">
        <f t="shared" ca="1" si="163"/>
        <v/>
      </c>
      <c r="T335" s="64" t="str">
        <f t="shared" ca="1" si="152"/>
        <v/>
      </c>
      <c r="U335" s="64" t="str">
        <f t="shared" si="153"/>
        <v/>
      </c>
      <c r="V335" s="266" t="str">
        <f ca="1">IF(OR(D335=0,D335="",D335="Athlete"),"",COUNTIF($D$4:$D335,D335))</f>
        <v/>
      </c>
    </row>
    <row r="336" spans="4:22" hidden="1" x14ac:dyDescent="0.35">
      <c r="D336" s="85" t="str">
        <f t="shared" ref="D336:E336" ca="1" si="164">K149</f>
        <v/>
      </c>
      <c r="E336" s="85" t="str">
        <f t="shared" ca="1" si="164"/>
        <v/>
      </c>
      <c r="T336" s="64" t="str">
        <f t="shared" ca="1" si="152"/>
        <v/>
      </c>
      <c r="U336" s="64" t="str">
        <f t="shared" si="153"/>
        <v/>
      </c>
      <c r="V336" s="266" t="str">
        <f ca="1">IF(OR(D336=0,D336="",D336="Athlete"),"",COUNTIF($D$4:$D336,D336))</f>
        <v/>
      </c>
    </row>
    <row r="337" spans="4:22" hidden="1" x14ac:dyDescent="0.35">
      <c r="D337" s="85" t="str">
        <f t="shared" ref="D337:E337" ca="1" si="165">K150</f>
        <v/>
      </c>
      <c r="E337" s="85" t="str">
        <f t="shared" ca="1" si="165"/>
        <v/>
      </c>
      <c r="T337" s="64" t="str">
        <f t="shared" ca="1" si="152"/>
        <v/>
      </c>
      <c r="U337" s="64" t="str">
        <f t="shared" si="153"/>
        <v/>
      </c>
      <c r="V337" s="266" t="str">
        <f ca="1">IF(OR(D337=0,D337="",D337="Athlete"),"",COUNTIF($D$4:$D337,D337))</f>
        <v/>
      </c>
    </row>
    <row r="338" spans="4:22" hidden="1" x14ac:dyDescent="0.35">
      <c r="D338" s="85" t="str">
        <f t="shared" ref="D338:E338" ca="1" si="166">K151</f>
        <v/>
      </c>
      <c r="E338" s="85" t="str">
        <f t="shared" ca="1" si="166"/>
        <v/>
      </c>
      <c r="T338" s="64" t="str">
        <f t="shared" ca="1" si="152"/>
        <v/>
      </c>
      <c r="U338" s="64" t="str">
        <f t="shared" si="153"/>
        <v/>
      </c>
      <c r="V338" s="266" t="str">
        <f ca="1">IF(OR(D338=0,D338="",D338="Athlete"),"",COUNTIF($D$4:$D338,D338))</f>
        <v/>
      </c>
    </row>
    <row r="339" spans="4:22" hidden="1" x14ac:dyDescent="0.35">
      <c r="D339" s="85" t="str">
        <f t="shared" ref="D339:E339" ca="1" si="167">K152</f>
        <v/>
      </c>
      <c r="E339" s="85" t="str">
        <f t="shared" ca="1" si="167"/>
        <v/>
      </c>
      <c r="T339" s="64" t="str">
        <f t="shared" ca="1" si="152"/>
        <v/>
      </c>
      <c r="U339" s="64" t="str">
        <f t="shared" si="153"/>
        <v/>
      </c>
      <c r="V339" s="266" t="str">
        <f ca="1">IF(OR(D339=0,D339="",D339="Athlete"),"",COUNTIF($D$4:$D339,D339))</f>
        <v/>
      </c>
    </row>
    <row r="340" spans="4:22" hidden="1" x14ac:dyDescent="0.35">
      <c r="D340" s="85" t="str">
        <f t="shared" ref="D340:E340" ca="1" si="168">K153</f>
        <v/>
      </c>
      <c r="E340" s="85" t="str">
        <f t="shared" ca="1" si="168"/>
        <v/>
      </c>
      <c r="T340" s="64" t="str">
        <f t="shared" ca="1" si="152"/>
        <v/>
      </c>
      <c r="U340" s="64" t="str">
        <f t="shared" si="153"/>
        <v/>
      </c>
      <c r="V340" s="266" t="str">
        <f ca="1">IF(OR(D340=0,D340="",D340="Athlete"),"",COUNTIF($D$4:$D340,D340))</f>
        <v/>
      </c>
    </row>
    <row r="341" spans="4:22" hidden="1" x14ac:dyDescent="0.35">
      <c r="D341" s="85" t="str">
        <f t="shared" ref="D341:E341" ca="1" si="169">K154</f>
        <v/>
      </c>
      <c r="E341" s="85" t="str">
        <f t="shared" ca="1" si="169"/>
        <v/>
      </c>
      <c r="T341" s="64" t="str">
        <f t="shared" ca="1" si="152"/>
        <v/>
      </c>
      <c r="U341" s="64" t="str">
        <f t="shared" si="153"/>
        <v/>
      </c>
      <c r="V341" s="266" t="str">
        <f ca="1">IF(OR(D341=0,D341="",D341="Athlete"),"",COUNTIF($D$4:$D341,D341))</f>
        <v/>
      </c>
    </row>
    <row r="342" spans="4:22" hidden="1" x14ac:dyDescent="0.35">
      <c r="D342" s="85">
        <f t="shared" ref="D342:E342" si="170">K155</f>
        <v>0</v>
      </c>
      <c r="E342" s="85">
        <f t="shared" si="170"/>
        <v>0</v>
      </c>
      <c r="T342" s="64" t="str">
        <f t="shared" si="152"/>
        <v/>
      </c>
      <c r="U342" s="64" t="str">
        <f t="shared" si="153"/>
        <v/>
      </c>
      <c r="V342" s="266" t="str">
        <f>IF(OR(D342=0,D342="",D342="Athlete"),"",COUNTIF($D$4:$D342,D342))</f>
        <v/>
      </c>
    </row>
    <row r="343" spans="4:22" hidden="1" x14ac:dyDescent="0.35">
      <c r="D343" s="85">
        <f t="shared" ref="D343:E343" si="171">K156</f>
        <v>0</v>
      </c>
      <c r="E343" s="85">
        <f t="shared" si="171"/>
        <v>0</v>
      </c>
      <c r="T343" s="64" t="str">
        <f t="shared" si="152"/>
        <v/>
      </c>
      <c r="U343" s="64" t="str">
        <f t="shared" si="153"/>
        <v/>
      </c>
      <c r="V343" s="266" t="str">
        <f>IF(OR(D343=0,D343="",D343="Athlete"),"",COUNTIF($D$4:$D343,D343))</f>
        <v/>
      </c>
    </row>
    <row r="344" spans="4:22" hidden="1" x14ac:dyDescent="0.35">
      <c r="D344" s="85" t="str">
        <f t="shared" ref="D344:E344" ca="1" si="172">K157</f>
        <v>Athlete</v>
      </c>
      <c r="E344" s="85" t="str">
        <f t="shared" ca="1" si="172"/>
        <v>Club</v>
      </c>
      <c r="T344" s="64" t="str">
        <f t="shared" ca="1" si="152"/>
        <v/>
      </c>
      <c r="U344" s="64" t="str">
        <f t="shared" si="153"/>
        <v/>
      </c>
      <c r="V344" s="266" t="str">
        <f ca="1">IF(OR(D344=0,D344="",D344="Athlete"),"",COUNTIF($D$4:$D344,D344))</f>
        <v/>
      </c>
    </row>
    <row r="345" spans="4:22" hidden="1" x14ac:dyDescent="0.35">
      <c r="D345" s="85" t="str">
        <f t="shared" ref="D345:E345" ca="1" si="173">K158</f>
        <v>Elisha CARTER</v>
      </c>
      <c r="E345" s="85" t="str">
        <f t="shared" ca="1" si="173"/>
        <v>C&amp;N</v>
      </c>
      <c r="T345" s="64">
        <f t="shared" ca="1" si="152"/>
        <v>3</v>
      </c>
      <c r="U345" s="64" t="str">
        <f t="shared" si="153"/>
        <v/>
      </c>
      <c r="V345" s="266">
        <f ca="1">IF(OR(D345=0,D345="",D345="Athlete"),"",COUNTIF($D$4:$D345,D345))</f>
        <v>3</v>
      </c>
    </row>
    <row r="346" spans="4:22" hidden="1" x14ac:dyDescent="0.35">
      <c r="D346" s="85" t="str">
        <f t="shared" ref="D346:E346" ca="1" si="174">K159</f>
        <v>Sophia GUSH</v>
      </c>
      <c r="E346" s="85" t="str">
        <f t="shared" ca="1" si="174"/>
        <v>ECHT</v>
      </c>
      <c r="T346" s="64">
        <f t="shared" ca="1" si="152"/>
        <v>2</v>
      </c>
      <c r="U346" s="64" t="str">
        <f t="shared" si="153"/>
        <v/>
      </c>
      <c r="V346" s="266">
        <f ca="1">IF(OR(D346=0,D346="",D346="Athlete"),"",COUNTIF($D$4:$D346,D346))</f>
        <v>2</v>
      </c>
    </row>
    <row r="347" spans="4:22" hidden="1" x14ac:dyDescent="0.35">
      <c r="D347" s="85" t="str">
        <f t="shared" ref="D347:E347" ca="1" si="175">K160</f>
        <v>Elliw MOSS</v>
      </c>
      <c r="E347" s="85" t="str">
        <f t="shared" ca="1" si="175"/>
        <v>Menai</v>
      </c>
      <c r="T347" s="64">
        <f t="shared" ca="1" si="152"/>
        <v>2</v>
      </c>
      <c r="U347" s="64" t="str">
        <f t="shared" si="153"/>
        <v/>
      </c>
      <c r="V347" s="266">
        <f ca="1">IF(OR(D347=0,D347="",D347="Athlete"),"",COUNTIF($D$4:$D347,D347))</f>
        <v>2</v>
      </c>
    </row>
    <row r="348" spans="4:22" hidden="1" x14ac:dyDescent="0.35">
      <c r="D348" s="85" t="str">
        <f t="shared" ref="D348:E348" ca="1" si="176">K161</f>
        <v>Niamh JOHNSON</v>
      </c>
      <c r="E348" s="85" t="str">
        <f t="shared" ca="1" si="176"/>
        <v>Wigan</v>
      </c>
      <c r="T348" s="64">
        <f t="shared" ca="1" si="152"/>
        <v>1</v>
      </c>
      <c r="U348" s="64" t="str">
        <f t="shared" si="153"/>
        <v/>
      </c>
      <c r="V348" s="266">
        <f ca="1">IF(OR(D348=0,D348="",D348="Athlete"),"",COUNTIF($D$4:$D348,D348))</f>
        <v>1</v>
      </c>
    </row>
    <row r="349" spans="4:22" hidden="1" x14ac:dyDescent="0.35">
      <c r="D349" s="85" t="str">
        <f t="shared" ref="D349:E349" ca="1" si="177">K162</f>
        <v/>
      </c>
      <c r="E349" s="85" t="str">
        <f t="shared" ca="1" si="177"/>
        <v/>
      </c>
      <c r="T349" s="64" t="str">
        <f t="shared" ca="1" si="152"/>
        <v/>
      </c>
      <c r="U349" s="64" t="str">
        <f t="shared" si="153"/>
        <v/>
      </c>
      <c r="V349" s="266" t="str">
        <f ca="1">IF(OR(D349=0,D349="",D349="Athlete"),"",COUNTIF($D$4:$D349,D349))</f>
        <v/>
      </c>
    </row>
    <row r="350" spans="4:22" hidden="1" x14ac:dyDescent="0.35">
      <c r="D350" s="85" t="str">
        <f t="shared" ref="D350:E350" ca="1" si="178">K163</f>
        <v/>
      </c>
      <c r="E350" s="85" t="str">
        <f t="shared" ca="1" si="178"/>
        <v/>
      </c>
      <c r="T350" s="64" t="str">
        <f t="shared" ca="1" si="152"/>
        <v/>
      </c>
      <c r="U350" s="64" t="str">
        <f t="shared" si="153"/>
        <v/>
      </c>
      <c r="V350" s="266" t="str">
        <f ca="1">IF(OR(D350=0,D350="",D350="Athlete"),"",COUNTIF($D$4:$D350,D350))</f>
        <v/>
      </c>
    </row>
    <row r="351" spans="4:22" hidden="1" x14ac:dyDescent="0.35">
      <c r="D351" s="85" t="str">
        <f t="shared" ref="D351:E351" ca="1" si="179">K164</f>
        <v/>
      </c>
      <c r="E351" s="85" t="str">
        <f t="shared" ca="1" si="179"/>
        <v/>
      </c>
      <c r="T351" s="64" t="str">
        <f t="shared" ca="1" si="152"/>
        <v/>
      </c>
      <c r="U351" s="64" t="str">
        <f t="shared" si="153"/>
        <v/>
      </c>
      <c r="V351" s="266" t="str">
        <f ca="1">IF(OR(D351=0,D351="",D351="Athlete"),"",COUNTIF($D$4:$D351,D351))</f>
        <v/>
      </c>
    </row>
    <row r="352" spans="4:22" hidden="1" x14ac:dyDescent="0.35">
      <c r="D352" s="85" t="str">
        <f t="shared" ref="D352:E352" ca="1" si="180">K165</f>
        <v/>
      </c>
      <c r="E352" s="85" t="str">
        <f t="shared" ca="1" si="180"/>
        <v/>
      </c>
      <c r="T352" s="64" t="str">
        <f t="shared" ca="1" si="152"/>
        <v/>
      </c>
      <c r="U352" s="64" t="str">
        <f t="shared" si="153"/>
        <v/>
      </c>
      <c r="V352" s="266" t="str">
        <f ca="1">IF(OR(D352=0,D352="",D352="Athlete"),"",COUNTIF($D$4:$D352,D352))</f>
        <v/>
      </c>
    </row>
  </sheetData>
  <sheetProtection algorithmName="SHA-512" hashValue="7pVJ/JdCo66MlDKykAQz00SB8IN33pINOhoIzCdl2kxRqkOPLlsxzNSYYG6NNGlcIcy7hpK0McD7ayDzrp6aDA==" saltValue="rLprEJK+AM2E3iiK1/e9Cg==" spinCount="100000" sheet="1" objects="1" scenarios="1" formatCells="0" formatColumns="0" formatRows="0" sort="0" autoFilter="0"/>
  <mergeCells count="1">
    <mergeCell ref="L1:M1"/>
  </mergeCells>
  <printOptions horizontalCentered="1"/>
  <pageMargins left="0.31496062992125984" right="0.31496062992125984" top="0.98425196850393704" bottom="0.74803149606299213" header="0.31496062992125984" footer="0.31496062992125984"/>
  <pageSetup paperSize="9" scale="99" orientation="portrait" r:id="rId1"/>
  <headerFooter>
    <oddHeader>&amp;L&amp;G&amp;CUK ATHLETICS :: YOUTH DEVELOPMENT LEAGUE 2023&amp;R&amp;"+,Regular"&amp;U&amp;A</oddHeader>
    <oddFooter>&amp;L&amp;9&amp;D &amp;T&amp;C&amp;G&amp;R&amp;9Page &amp;P of &amp;N</oddFooter>
  </headerFooter>
  <rowBreaks count="4" manualBreakCount="4">
    <brk id="45" min="1" max="13" man="1"/>
    <brk id="89" min="1" max="13" man="1"/>
    <brk id="133" min="1" max="13" man="1"/>
    <brk id="166" min="1" max="13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4">
    <tabColor rgb="FFFFFF00"/>
  </sheetPr>
  <dimension ref="A1:AB352"/>
  <sheetViews>
    <sheetView showZeros="0" zoomScaleNormal="100" workbookViewId="0">
      <pane ySplit="1" topLeftCell="A116" activePane="bottomLeft" state="frozen"/>
      <selection activeCell="F7" sqref="F7"/>
      <selection pane="bottomLeft" activeCell="F164" sqref="F164"/>
    </sheetView>
  </sheetViews>
  <sheetFormatPr defaultColWidth="8.7109375" defaultRowHeight="15" x14ac:dyDescent="0.35"/>
  <cols>
    <col min="1" max="1" width="8.7109375" style="66" hidden="1" customWidth="1"/>
    <col min="2" max="3" width="3.7109375" style="66" customWidth="1"/>
    <col min="4" max="4" width="20.7109375" style="85" customWidth="1"/>
    <col min="5" max="5" width="7.7109375" style="85" customWidth="1"/>
    <col min="6" max="6" width="7.42578125" style="67" bestFit="1" customWidth="1"/>
    <col min="7" max="7" width="4" style="108" customWidth="1"/>
    <col min="8" max="8" width="1.7109375" style="64" customWidth="1"/>
    <col min="9" max="10" width="3.7109375" style="66" customWidth="1"/>
    <col min="11" max="11" width="20.7109375" style="64" customWidth="1"/>
    <col min="12" max="12" width="7.7109375" style="85" customWidth="1"/>
    <col min="13" max="13" width="7.42578125" style="67" bestFit="1" customWidth="1"/>
    <col min="14" max="14" width="4" style="108" customWidth="1"/>
    <col min="15" max="17" width="8.7109375" style="64"/>
    <col min="18" max="18" width="0" style="64" hidden="1" customWidth="1"/>
    <col min="19" max="19" width="8.7109375" style="64"/>
    <col min="20" max="21" width="0" style="64" hidden="1" customWidth="1"/>
    <col min="22" max="23" width="0" style="266" hidden="1" customWidth="1"/>
    <col min="24" max="28" width="8.7109375" style="266"/>
    <col min="29" max="16384" width="8.7109375" style="64"/>
  </cols>
  <sheetData>
    <row r="1" spans="1:26" ht="45" customHeight="1" x14ac:dyDescent="0.35">
      <c r="A1" s="150" t="s">
        <v>540</v>
      </c>
      <c r="B1" s="193" t="str">
        <f>Dashboard!E1</f>
        <v>LOWER NORTH West 2 Macclesfield Leisure Centre</v>
      </c>
      <c r="G1" s="147"/>
      <c r="I1" s="64"/>
      <c r="J1" s="64"/>
      <c r="K1" s="151"/>
      <c r="L1" s="453">
        <f>Dashboard!E2</f>
        <v>45053</v>
      </c>
      <c r="M1" s="453"/>
      <c r="N1" s="149"/>
      <c r="P1" s="79"/>
      <c r="Q1" s="70"/>
      <c r="R1" s="79">
        <f ca="1">SUM(R2:R300)</f>
        <v>91</v>
      </c>
    </row>
    <row r="2" spans="1:26" x14ac:dyDescent="0.35">
      <c r="A2" s="66" t="s">
        <v>42</v>
      </c>
      <c r="B2" s="102" t="str">
        <f ca="1">IFERROR(INDIRECT(CONCATENATE("Track1!D",A3)),"")</f>
        <v>75m U13 Boys A</v>
      </c>
      <c r="E2" s="85" t="s">
        <v>206</v>
      </c>
      <c r="F2" s="253">
        <f ca="1">IFERROR(INDIRECT(CONCATENATE("Track1!h",A3)),"")</f>
        <v>0</v>
      </c>
      <c r="G2" s="108" t="str">
        <f ca="1">IFERROR(INDIRECT(CONCATENATE("Track1!i",A3)),"")</f>
        <v/>
      </c>
      <c r="I2" s="102" t="str">
        <f ca="1">IFERROR(INDIRECT(CONCATENATE("Track1!k",A3)),"")</f>
        <v>75m U13 Boys B</v>
      </c>
      <c r="L2" s="85" t="s">
        <v>206</v>
      </c>
      <c r="M2" s="195">
        <f ca="1">IFERROR(INDIRECT(CONCATENATE("Track1!o",A3)),"")</f>
        <v>0</v>
      </c>
    </row>
    <row r="3" spans="1:26" x14ac:dyDescent="0.35">
      <c r="A3" s="66">
        <f>IFERROR(MATCH(A2,Track1!C:C,0),"")</f>
        <v>101</v>
      </c>
      <c r="B3" s="45" t="str">
        <f ca="1">IFERROR(INDIRECT(CONCATENATE("Track1!D",A3+1)),"")</f>
        <v>Posn</v>
      </c>
      <c r="C3" s="45" t="str">
        <f ca="1">IFERROR(INDIRECT(CONCATENATE("Track1!e",A3+1)),"")</f>
        <v>No.</v>
      </c>
      <c r="D3" s="139" t="str">
        <f ca="1">IFERROR(INDIRECT(CONCATENATE("Track1!f",A3+1)),"")</f>
        <v>Athlete</v>
      </c>
      <c r="E3" s="139" t="str">
        <f ca="1">IFERROR(INDIRECT(CONCATENATE("Track1!g",A3+1)),"")</f>
        <v>Club</v>
      </c>
      <c r="F3" s="133" t="str">
        <f ca="1">IFERROR(INDIRECT(CONCATENATE("Track1!h",A3+1)),"")</f>
        <v>Perf</v>
      </c>
      <c r="G3" s="167" t="str">
        <f ca="1">IFERROR(INDIRECT(CONCATENATE("Track1!i",A3+1)),"")</f>
        <v>EA</v>
      </c>
      <c r="H3" s="45"/>
      <c r="I3" s="45" t="str">
        <f ca="1">IFERROR(INDIRECT(CONCATENATE("Track1!k",A3+1)),"")</f>
        <v>Posn</v>
      </c>
      <c r="J3" s="45" t="str">
        <f ca="1">IFERROR(INDIRECT(CONCATENATE("Track1!l",A3+1)),"")</f>
        <v>No.</v>
      </c>
      <c r="K3" s="139" t="str">
        <f ca="1">IFERROR(INDIRECT(CONCATENATE("Track1!m",A3+1)),"")</f>
        <v>Athlete</v>
      </c>
      <c r="L3" s="139" t="str">
        <f ca="1">IFERROR(INDIRECT(CONCATENATE("Track1!n",A3+1)),"")</f>
        <v>Club</v>
      </c>
      <c r="M3" s="133" t="str">
        <f ca="1">IFERROR(INDIRECT(CONCATENATE("Track1!o",A3+1)),"")</f>
        <v>Perf</v>
      </c>
      <c r="N3" s="167" t="str">
        <f ca="1">IFERROR(INDIRECT(CONCATENATE("Track1!p",A3+1)),"")</f>
        <v>EA</v>
      </c>
    </row>
    <row r="4" spans="1:26" x14ac:dyDescent="0.35">
      <c r="B4" s="66">
        <f ca="1">IFERROR(INDIRECT(CONCATENATE("Track1!D",A3+2)),"")</f>
        <v>1</v>
      </c>
      <c r="C4" s="66">
        <f ca="1">IFERROR(INDIRECT(CONCATENATE("Track1!e",A3+2)),"")</f>
        <v>3</v>
      </c>
      <c r="D4" s="85" t="str">
        <f ca="1">IFERROR(INDIRECT(CONCATENATE("Track1!f",A3+2)),"")</f>
        <v>Thierry KERR</v>
      </c>
      <c r="E4" s="85" t="str">
        <f ca="1">IFERROR(INDIRECT(CONCATENATE("Track1!g",A3+2)),"")</f>
        <v>Leigh</v>
      </c>
      <c r="F4" s="395">
        <f ca="1">IFERROR(INDIRECT(CONCATENATE("Track1!h",A3+2)),"")</f>
        <v>10.199999999999999</v>
      </c>
      <c r="G4" s="108">
        <f ca="1">IFERROR(INDIRECT(CONCATENATE("Track1!i",A3+2)),"")</f>
        <v>8</v>
      </c>
      <c r="H4" s="66"/>
      <c r="I4" s="66">
        <f ca="1">IFERROR(INDIRECT(CONCATENATE("Track1!k",A3+2)),"")</f>
        <v>1</v>
      </c>
      <c r="J4" s="66">
        <f ca="1">IFERROR(INDIRECT(CONCATENATE("Track1!l",A3+2)),"")</f>
        <v>33</v>
      </c>
      <c r="K4" s="85" t="str">
        <f ca="1">IFERROR(INDIRECT(CONCATENATE("Track1!m",A3+2)),"")</f>
        <v>Oscar FINCH</v>
      </c>
      <c r="L4" s="85" t="str">
        <f ca="1">IFERROR(INDIRECT(CONCATENATE("Track1!n",A3+2)),"")</f>
        <v>Leigh</v>
      </c>
      <c r="M4" s="395">
        <f ca="1">IFERROR(INDIRECT(CONCATENATE("Track1!o",A3+2)),"")</f>
        <v>10.3</v>
      </c>
      <c r="N4" s="108">
        <f ca="1">IFERROR(INDIRECT(CONCATENATE("Track1!p",A3+2)),"")</f>
        <v>7</v>
      </c>
      <c r="R4" s="168">
        <f ca="1">IFERROR(INDIRECT(CONCATENATE("Track1!r",A3+2)),"")</f>
        <v>10</v>
      </c>
      <c r="T4" s="64">
        <f ca="1">IF(OR(D4=0,D4="",D4="Athlete"),"",COUNTIF($D$4:$D$352,D4))</f>
        <v>3</v>
      </c>
      <c r="U4" s="64">
        <f ca="1">IF(OR(K4=0,K4="",K4="Athlete"),"",COUNTIF($D$4:$D$352,K4))</f>
        <v>3</v>
      </c>
      <c r="V4" s="266">
        <f ca="1">IF(OR(D4=0,D4="",D4="Athlete"),"",COUNTIF($D$4:$D4,D4))</f>
        <v>1</v>
      </c>
      <c r="W4" s="266" t="str">
        <f ca="1">IF(OR(D4=0,D4="",D4="Athlete"),"",E4)</f>
        <v>Leigh</v>
      </c>
      <c r="Z4" s="266">
        <f ca="1">IF(OR(G4=0,G4="",G4="Athlete"),"",H4)</f>
        <v>0</v>
      </c>
    </row>
    <row r="5" spans="1:26" x14ac:dyDescent="0.35">
      <c r="B5" s="66">
        <f ca="1">IFERROR(INDIRECT(CONCATENATE("Track1!D",A3+3)),"")</f>
        <v>2</v>
      </c>
      <c r="C5" s="66">
        <f ca="1">IFERROR(INDIRECT(CONCATENATE("Track1!e",A3+3)),"")</f>
        <v>7</v>
      </c>
      <c r="D5" s="85" t="str">
        <f ca="1">IFERROR(INDIRECT(CONCATENATE("Track1!f",A3+3)),"")</f>
        <v>Henry MORRIS</v>
      </c>
      <c r="E5" s="85" t="str">
        <f ca="1">IFERROR(INDIRECT(CONCATENATE("Track1!g",A3+3)),"")</f>
        <v>Wigan</v>
      </c>
      <c r="F5" s="395">
        <f ca="1">IFERROR(INDIRECT(CONCATENATE("Track1!h",A3+3)),"")</f>
        <v>10.8</v>
      </c>
      <c r="G5" s="108">
        <f ca="1">IFERROR(INDIRECT(CONCATENATE("Track1!i",A3+3)),"")</f>
        <v>5</v>
      </c>
      <c r="H5" s="66"/>
      <c r="I5" s="66">
        <f ca="1">IFERROR(INDIRECT(CONCATENATE("Track1!k",A3+3)),"")</f>
        <v>2</v>
      </c>
      <c r="J5" s="66">
        <f ca="1">IFERROR(INDIRECT(CONCATENATE("Track1!l",A3+3)),"")</f>
        <v>77</v>
      </c>
      <c r="K5" s="85" t="str">
        <f ca="1">IFERROR(INDIRECT(CONCATENATE("Track1!m",A3+3)),"")</f>
        <v>Theo MORGAN</v>
      </c>
      <c r="L5" s="85" t="str">
        <f ca="1">IFERROR(INDIRECT(CONCATENATE("Track1!n",A3+3)),"")</f>
        <v>Wigan</v>
      </c>
      <c r="M5" s="395">
        <f ca="1">IFERROR(INDIRECT(CONCATENATE("Track1!o",A3+3)),"")</f>
        <v>11.5</v>
      </c>
      <c r="N5" s="108">
        <f ca="1">IFERROR(INDIRECT(CONCATENATE("Track1!p",A3+3)),"")</f>
        <v>4</v>
      </c>
      <c r="T5" s="64">
        <f t="shared" ref="T5:T68" ca="1" si="0">IF(OR(D5=0,D5="",D5="Athlete"),"",COUNTIF($D$4:$D$352,D5))</f>
        <v>3</v>
      </c>
      <c r="U5" s="64">
        <f t="shared" ref="U5:U68" ca="1" si="1">IF(OR(K5=0,K5="",K5="Athlete"),"",COUNTIF($D$4:$D$352,K5))</f>
        <v>2</v>
      </c>
      <c r="V5" s="266">
        <f ca="1">IF(OR(D5=0,D5="",D5="Athlete"),"",COUNTIF($D$4:$D5,D5))</f>
        <v>1</v>
      </c>
      <c r="W5" s="266" t="str">
        <f t="shared" ref="W5:W68" ca="1" si="2">IF(OR(D5=0,D5="",D5="Athlete"),"",E5)</f>
        <v>Wigan</v>
      </c>
      <c r="Z5" s="266">
        <f t="shared" ref="Z5:Z68" ca="1" si="3">IF(OR(G5=0,G5="",G5="Athlete"),"",H5)</f>
        <v>0</v>
      </c>
    </row>
    <row r="6" spans="1:26" x14ac:dyDescent="0.35">
      <c r="B6" s="66">
        <f ca="1">IFERROR(INDIRECT(CONCATENATE("Track1!D",A3+4)),"")</f>
        <v>3</v>
      </c>
      <c r="C6" s="66">
        <f ca="1">IFERROR(INDIRECT(CONCATENATE("Track1!e",A3+4)),"")</f>
        <v>6</v>
      </c>
      <c r="D6" s="85" t="str">
        <f ca="1">IFERROR(INDIRECT(CONCATENATE("Track1!f",A3+4)),"")</f>
        <v>Alex KITCHEN</v>
      </c>
      <c r="E6" s="85" t="str">
        <f ca="1">IFERROR(INDIRECT(CONCATENATE("Track1!g",A3+4)),"")</f>
        <v>Stock</v>
      </c>
      <c r="F6" s="395">
        <f ca="1">IFERROR(INDIRECT(CONCATENATE("Track1!h",A3+4)),"")</f>
        <v>11.2</v>
      </c>
      <c r="G6" s="108">
        <f ca="1">IFERROR(INDIRECT(CONCATENATE("Track1!i",A3+4)),"")</f>
        <v>4</v>
      </c>
      <c r="H6" s="66"/>
      <c r="I6" s="66">
        <f ca="1">IFERROR(INDIRECT(CONCATENATE("Track1!k",A3+4)),"")</f>
        <v>3</v>
      </c>
      <c r="J6" s="66">
        <f ca="1">IFERROR(INDIRECT(CONCATENATE("Track1!l",A3+4)),"")</f>
        <v>11</v>
      </c>
      <c r="K6" s="85" t="str">
        <f ca="1">IFERROR(INDIRECT(CONCATENATE("Track1!m",A3+4)),"")</f>
        <v>Ewan DAVIES</v>
      </c>
      <c r="L6" s="85" t="str">
        <f ca="1">IFERROR(INDIRECT(CONCATENATE("Track1!n",A3+4)),"")</f>
        <v>C&amp;N</v>
      </c>
      <c r="M6" s="395">
        <f ca="1">IFERROR(INDIRECT(CONCATENATE("Track1!o",A3+4)),"")</f>
        <v>11.8</v>
      </c>
      <c r="N6" s="108">
        <f ca="1">IFERROR(INDIRECT(CONCATENATE("Track1!p",A3+4)),"")</f>
        <v>3</v>
      </c>
      <c r="T6" s="64">
        <f t="shared" ca="1" si="0"/>
        <v>3</v>
      </c>
      <c r="U6" s="64">
        <f t="shared" ca="1" si="1"/>
        <v>3</v>
      </c>
      <c r="V6" s="266">
        <f ca="1">IF(OR(D6=0,D6="",D6="Athlete"),"",COUNTIF($D$4:$D6,D6))</f>
        <v>1</v>
      </c>
      <c r="W6" s="266" t="str">
        <f t="shared" ca="1" si="2"/>
        <v>Stock</v>
      </c>
      <c r="Z6" s="266">
        <f t="shared" ca="1" si="3"/>
        <v>0</v>
      </c>
    </row>
    <row r="7" spans="1:26" x14ac:dyDescent="0.35">
      <c r="B7" s="66">
        <f ca="1">IFERROR(INDIRECT(CONCATENATE("Track1!D",A3+5)),"")</f>
        <v>4</v>
      </c>
      <c r="C7" s="66">
        <f ca="1">IFERROR(INDIRECT(CONCATENATE("Track1!e",A3+5)),"")</f>
        <v>4</v>
      </c>
      <c r="D7" s="85" t="str">
        <f ca="1">IFERROR(INDIRECT(CONCATENATE("Track1!f",A3+5)),"")</f>
        <v>Dylan BAKER</v>
      </c>
      <c r="E7" s="85" t="str">
        <f ca="1">IFERROR(INDIRECT(CONCATENATE("Track1!g",A3+5)),"")</f>
        <v>Macc</v>
      </c>
      <c r="F7" s="395">
        <f ca="1">IFERROR(INDIRECT(CONCATENATE("Track1!h",A3+5)),"")</f>
        <v>11.3</v>
      </c>
      <c r="G7" s="108">
        <f ca="1">IFERROR(INDIRECT(CONCATENATE("Track1!i",A3+5)),"")</f>
        <v>4</v>
      </c>
      <c r="H7" s="66"/>
      <c r="I7" s="66">
        <f ca="1">IFERROR(INDIRECT(CONCATENATE("Track1!k",A3+5)),"")</f>
        <v>4</v>
      </c>
      <c r="J7" s="66">
        <f ca="1">IFERROR(INDIRECT(CONCATENATE("Track1!l",A3+5)),"")</f>
        <v>22</v>
      </c>
      <c r="K7" s="85" t="str">
        <f ca="1">IFERROR(INDIRECT(CONCATENATE("Track1!m",A3+5)),"")</f>
        <v>James NELSON</v>
      </c>
      <c r="L7" s="85" t="str">
        <f ca="1">IFERROR(INDIRECT(CONCATENATE("Track1!n",A3+5)),"")</f>
        <v>ECHT</v>
      </c>
      <c r="M7" s="395">
        <f ca="1">IFERROR(INDIRECT(CONCATENATE("Track1!o",A3+5)),"")</f>
        <v>12.2</v>
      </c>
      <c r="N7" s="108">
        <f ca="1">IFERROR(INDIRECT(CONCATENATE("Track1!p",A3+5)),"")</f>
        <v>2</v>
      </c>
      <c r="T7" s="64">
        <f t="shared" ca="1" si="0"/>
        <v>2</v>
      </c>
      <c r="U7" s="64">
        <f t="shared" ca="1" si="1"/>
        <v>3</v>
      </c>
      <c r="V7" s="266">
        <f ca="1">IF(OR(D7=0,D7="",D7="Athlete"),"",COUNTIF($D$4:$D7,D7))</f>
        <v>1</v>
      </c>
      <c r="W7" s="266" t="str">
        <f t="shared" ca="1" si="2"/>
        <v>Macc</v>
      </c>
      <c r="Z7" s="266">
        <f t="shared" ca="1" si="3"/>
        <v>0</v>
      </c>
    </row>
    <row r="8" spans="1:26" x14ac:dyDescent="0.35">
      <c r="B8" s="66">
        <f ca="1">IFERROR(INDIRECT(CONCATENATE("Track1!D",A3+6)),"")</f>
        <v>5</v>
      </c>
      <c r="C8" s="66">
        <f ca="1">IFERROR(INDIRECT(CONCATENATE("Track1!e",A3+6)),"")</f>
        <v>1</v>
      </c>
      <c r="D8" s="85" t="str">
        <f ca="1">IFERROR(INDIRECT(CONCATENATE("Track1!f",A3+6)),"")</f>
        <v>Charlie SMITH</v>
      </c>
      <c r="E8" s="85" t="str">
        <f ca="1">IFERROR(INDIRECT(CONCATENATE("Track1!g",A3+6)),"")</f>
        <v>C&amp;N</v>
      </c>
      <c r="F8" s="395">
        <f ca="1">IFERROR(INDIRECT(CONCATENATE("Track1!h",A3+6)),"")</f>
        <v>11.4</v>
      </c>
      <c r="G8" s="108">
        <f ca="1">IFERROR(INDIRECT(CONCATENATE("Track1!i",A3+6)),"")</f>
        <v>4</v>
      </c>
      <c r="H8" s="66"/>
      <c r="I8" s="66">
        <f ca="1">IFERROR(INDIRECT(CONCATENATE("Track1!k",A3+6)),"")</f>
        <v>5</v>
      </c>
      <c r="J8" s="66">
        <f ca="1">IFERROR(INDIRECT(CONCATENATE("Track1!l",A3+6)),"")</f>
        <v>0</v>
      </c>
      <c r="K8" s="85" t="str">
        <f ca="1">IFERROR(INDIRECT(CONCATENATE("Track1!m",A3+6)),"")</f>
        <v/>
      </c>
      <c r="L8" s="85" t="str">
        <f ca="1">IFERROR(INDIRECT(CONCATENATE("Track1!n",A3+6)),"")</f>
        <v/>
      </c>
      <c r="M8" s="395">
        <f ca="1">IFERROR(INDIRECT(CONCATENATE("Track1!o",A3+6)),"")</f>
        <v>0</v>
      </c>
      <c r="N8" s="108" t="str">
        <f ca="1">IFERROR(INDIRECT(CONCATENATE("Track1!p",A3+6)),"")</f>
        <v/>
      </c>
      <c r="T8" s="64">
        <f t="shared" ca="1" si="0"/>
        <v>3</v>
      </c>
      <c r="U8" s="64" t="str">
        <f t="shared" ca="1" si="1"/>
        <v/>
      </c>
      <c r="V8" s="266">
        <f ca="1">IF(OR(D8=0,D8="",D8="Athlete"),"",COUNTIF($D$4:$D8,D8))</f>
        <v>1</v>
      </c>
      <c r="W8" s="266" t="str">
        <f t="shared" ca="1" si="2"/>
        <v>C&amp;N</v>
      </c>
      <c r="Z8" s="266">
        <f t="shared" ca="1" si="3"/>
        <v>0</v>
      </c>
    </row>
    <row r="9" spans="1:26" x14ac:dyDescent="0.35">
      <c r="B9" s="66">
        <f ca="1">IFERROR(INDIRECT(CONCATENATE("Track1!D",A3+7)),"")</f>
        <v>6</v>
      </c>
      <c r="C9" s="66">
        <f ca="1">IFERROR(INDIRECT(CONCATENATE("Track1!e",A3+7)),"")</f>
        <v>2</v>
      </c>
      <c r="D9" s="85" t="str">
        <f ca="1">IFERROR(INDIRECT(CONCATENATE("Track1!f",A3+7)),"")</f>
        <v>Ryan MCCARTHY</v>
      </c>
      <c r="E9" s="85" t="str">
        <f ca="1">IFERROR(INDIRECT(CONCATENATE("Track1!g",A3+7)),"")</f>
        <v>ECHT</v>
      </c>
      <c r="F9" s="395">
        <f ca="1">IFERROR(INDIRECT(CONCATENATE("Track1!h",A3+7)),"")</f>
        <v>11.8</v>
      </c>
      <c r="G9" s="108">
        <f ca="1">IFERROR(INDIRECT(CONCATENATE("Track1!i",A3+7)),"")</f>
        <v>3</v>
      </c>
      <c r="H9" s="66"/>
      <c r="I9" s="66">
        <f ca="1">IFERROR(INDIRECT(CONCATENATE("Track1!k",A3+7)),"")</f>
        <v>6</v>
      </c>
      <c r="J9" s="66">
        <f ca="1">IFERROR(INDIRECT(CONCATENATE("Track1!l",A3+7)),"")</f>
        <v>0</v>
      </c>
      <c r="K9" s="85" t="str">
        <f ca="1">IFERROR(INDIRECT(CONCATENATE("Track1!m",A3+7)),"")</f>
        <v/>
      </c>
      <c r="L9" s="85" t="str">
        <f ca="1">IFERROR(INDIRECT(CONCATENATE("Track1!n",A3+7)),"")</f>
        <v/>
      </c>
      <c r="M9" s="395">
        <f ca="1">IFERROR(INDIRECT(CONCATENATE("Track1!o",A3+7)),"")</f>
        <v>0</v>
      </c>
      <c r="N9" s="108" t="str">
        <f ca="1">IFERROR(INDIRECT(CONCATENATE("Track1!p",A3+7)),"")</f>
        <v/>
      </c>
      <c r="T9" s="64">
        <f t="shared" ca="1" si="0"/>
        <v>3</v>
      </c>
      <c r="U9" s="64" t="str">
        <f t="shared" ca="1" si="1"/>
        <v/>
      </c>
      <c r="V9" s="266">
        <f ca="1">IF(OR(D9=0,D9="",D9="Athlete"),"",COUNTIF($D$4:$D9,D9))</f>
        <v>1</v>
      </c>
      <c r="W9" s="266" t="str">
        <f t="shared" ca="1" si="2"/>
        <v>ECHT</v>
      </c>
      <c r="Z9" s="266">
        <f t="shared" ca="1" si="3"/>
        <v>0</v>
      </c>
    </row>
    <row r="10" spans="1:26" ht="13.9" customHeight="1" x14ac:dyDescent="0.35">
      <c r="B10" s="66">
        <f ca="1">IFERROR(INDIRECT(CONCATENATE("Track1!D",A3+8)),"")</f>
        <v>7</v>
      </c>
      <c r="C10" s="66">
        <f ca="1">IFERROR(INDIRECT(CONCATENATE("Track1!e",A3+8)),"")</f>
        <v>0</v>
      </c>
      <c r="D10" s="85" t="str">
        <f ca="1">IFERROR(INDIRECT(CONCATENATE("Track1!f",A3+8)),"")</f>
        <v/>
      </c>
      <c r="E10" s="85" t="str">
        <f ca="1">IFERROR(INDIRECT(CONCATENATE("Track1!g",A3+8)),"")</f>
        <v/>
      </c>
      <c r="F10" s="395">
        <f ca="1">IFERROR(INDIRECT(CONCATENATE("Track1!h",A3+8)),"")</f>
        <v>0</v>
      </c>
      <c r="G10" s="108" t="str">
        <f ca="1">IFERROR(INDIRECT(CONCATENATE("Track1!i",A3+8)),"")</f>
        <v/>
      </c>
      <c r="H10" s="66"/>
      <c r="I10" s="66">
        <f ca="1">IFERROR(INDIRECT(CONCATENATE("Track1!k",A3+8)),"")</f>
        <v>7</v>
      </c>
      <c r="J10" s="66">
        <f ca="1">IFERROR(INDIRECT(CONCATENATE("Track1!l",A3+8)),"")</f>
        <v>0</v>
      </c>
      <c r="K10" s="85" t="str">
        <f ca="1">IFERROR(INDIRECT(CONCATENATE("Track1!m",A3+8)),"")</f>
        <v/>
      </c>
      <c r="L10" s="85" t="str">
        <f ca="1">IFERROR(INDIRECT(CONCATENATE("Track1!n",A3+8)),"")</f>
        <v/>
      </c>
      <c r="M10" s="395">
        <f ca="1">IFERROR(INDIRECT(CONCATENATE("Track1!o",A3+8)),"")</f>
        <v>0</v>
      </c>
      <c r="N10" s="108" t="str">
        <f ca="1">IFERROR(INDIRECT(CONCATENATE("Track1!p",A3+8)),"")</f>
        <v/>
      </c>
      <c r="T10" s="64" t="str">
        <f t="shared" ca="1" si="0"/>
        <v/>
      </c>
      <c r="U10" s="64" t="str">
        <f t="shared" ca="1" si="1"/>
        <v/>
      </c>
      <c r="V10" s="266" t="str">
        <f ca="1">IF(OR(D10=0,D10="",D10="Athlete"),"",COUNTIF($D$4:$D10,D10))</f>
        <v/>
      </c>
      <c r="W10" s="266" t="str">
        <f t="shared" ca="1" si="2"/>
        <v/>
      </c>
      <c r="Z10" s="266" t="str">
        <f t="shared" ca="1" si="3"/>
        <v/>
      </c>
    </row>
    <row r="11" spans="1:26" x14ac:dyDescent="0.35">
      <c r="B11" s="66">
        <f ca="1">IFERROR(INDIRECT(CONCATENATE("Track1!D",A3+9)),"")</f>
        <v>8</v>
      </c>
      <c r="C11" s="66">
        <f ca="1">IFERROR(INDIRECT(CONCATENATE("Track1!e",A3+9)),"")</f>
        <v>0</v>
      </c>
      <c r="D11" s="85" t="str">
        <f ca="1">IFERROR(INDIRECT(CONCATENATE("Track1!f",A3+9)),"")</f>
        <v/>
      </c>
      <c r="E11" s="85" t="str">
        <f ca="1">IFERROR(INDIRECT(CONCATENATE("Track1!g",A3+9)),"")</f>
        <v/>
      </c>
      <c r="F11" s="395">
        <f ca="1">IFERROR(INDIRECT(CONCATENATE("Track1!h",A3+9)),"")</f>
        <v>0</v>
      </c>
      <c r="G11" s="108" t="str">
        <f ca="1">IFERROR(INDIRECT(CONCATENATE("Track1!i",A3+9)),"")</f>
        <v/>
      </c>
      <c r="H11" s="66"/>
      <c r="I11" s="66">
        <f ca="1">IFERROR(INDIRECT(CONCATENATE("Track1!k",A3+9)),"")</f>
        <v>8</v>
      </c>
      <c r="J11" s="66">
        <f ca="1">IFERROR(INDIRECT(CONCATENATE("Track1!l",A3+9)),"")</f>
        <v>0</v>
      </c>
      <c r="K11" s="85" t="str">
        <f ca="1">IFERROR(INDIRECT(CONCATENATE("Track1!m",A3+9)),"")</f>
        <v/>
      </c>
      <c r="L11" s="85" t="str">
        <f ca="1">IFERROR(INDIRECT(CONCATENATE("Track1!n",A3+9)),"")</f>
        <v/>
      </c>
      <c r="M11" s="395">
        <f ca="1">IFERROR(INDIRECT(CONCATENATE("Track1!o",A3+9)),"")</f>
        <v>0</v>
      </c>
      <c r="N11" s="108" t="str">
        <f ca="1">IFERROR(INDIRECT(CONCATENATE("Track1!p",A3+9)),"")</f>
        <v/>
      </c>
      <c r="T11" s="64" t="str">
        <f t="shared" ca="1" si="0"/>
        <v/>
      </c>
      <c r="U11" s="64" t="str">
        <f t="shared" ca="1" si="1"/>
        <v/>
      </c>
      <c r="V11" s="266" t="str">
        <f ca="1">IF(OR(D11=0,D11="",D11="Athlete"),"",COUNTIF($D$4:$D11,D11))</f>
        <v/>
      </c>
      <c r="W11" s="266" t="str">
        <f t="shared" ca="1" si="2"/>
        <v/>
      </c>
      <c r="Z11" s="266" t="str">
        <f t="shared" ca="1" si="3"/>
        <v/>
      </c>
    </row>
    <row r="12" spans="1:26" x14ac:dyDescent="0.35">
      <c r="F12" s="407"/>
      <c r="M12" s="407"/>
      <c r="T12" s="64" t="str">
        <f t="shared" si="0"/>
        <v/>
      </c>
      <c r="U12" s="64" t="str">
        <f t="shared" si="1"/>
        <v/>
      </c>
      <c r="V12" s="266" t="str">
        <f>IF(OR(D12=0,D12="",D12="Athlete"),"",COUNTIF($D$4:$D12,D12))</f>
        <v/>
      </c>
      <c r="W12" s="266" t="str">
        <f t="shared" si="2"/>
        <v/>
      </c>
      <c r="Z12" s="266" t="str">
        <f t="shared" si="3"/>
        <v/>
      </c>
    </row>
    <row r="13" spans="1:26" x14ac:dyDescent="0.35">
      <c r="A13" s="66" t="s">
        <v>45</v>
      </c>
      <c r="B13" s="102" t="str">
        <f ca="1">IFERROR(INDIRECT(CONCATENATE("Track1!D",A14)),"")</f>
        <v>75m NS U13 Boys A</v>
      </c>
      <c r="E13" s="85" t="s">
        <v>206</v>
      </c>
      <c r="F13" s="415">
        <f ca="1">IFERROR(INDIRECT(CONCATENATE("Track1!h",A14)),"")</f>
        <v>0</v>
      </c>
      <c r="G13" s="108">
        <f ca="1">IFERROR(INDIRECT(CONCATENATE("Track1!i",A14)),"")</f>
        <v>0</v>
      </c>
      <c r="I13" s="102" t="str">
        <f ca="1">IFERROR(INDIRECT(CONCATENATE("Track1!k",A14)),"")</f>
        <v>75m NS U13 Boys B</v>
      </c>
      <c r="L13" s="85" t="s">
        <v>206</v>
      </c>
      <c r="M13" s="395">
        <f ca="1">IFERROR(INDIRECT(CONCATENATE("Track1!o",A14)),"")</f>
        <v>0</v>
      </c>
      <c r="T13" s="64" t="str">
        <f t="shared" si="0"/>
        <v/>
      </c>
      <c r="U13" s="64" t="str">
        <f t="shared" si="1"/>
        <v/>
      </c>
      <c r="V13" s="266" t="str">
        <f>IF(OR(D13=0,D13="",D13="Athlete"),"",COUNTIF($D$4:$D13,D13))</f>
        <v/>
      </c>
      <c r="W13" s="266" t="str">
        <f t="shared" si="2"/>
        <v/>
      </c>
      <c r="Z13" s="266" t="str">
        <f t="shared" ca="1" si="3"/>
        <v/>
      </c>
    </row>
    <row r="14" spans="1:26" x14ac:dyDescent="0.35">
      <c r="A14" s="66">
        <f>IFERROR(MATCH(A13,Track1!C:C,0),"")</f>
        <v>145</v>
      </c>
      <c r="B14" s="45" t="str">
        <f ca="1">IFERROR(INDIRECT(CONCATENATE("Track1!D",A14+1)),"")</f>
        <v>Posn</v>
      </c>
      <c r="C14" s="45" t="str">
        <f ca="1">IFERROR(INDIRECT(CONCATENATE("Track1!e",A14+1)),"")</f>
        <v>No.</v>
      </c>
      <c r="D14" s="139" t="str">
        <f ca="1">IFERROR(INDIRECT(CONCATENATE("Track1!f",A14+1)),"")</f>
        <v>Athlete</v>
      </c>
      <c r="E14" s="139" t="str">
        <f ca="1">IFERROR(INDIRECT(CONCATENATE("Track1!g",A14+1)),"")</f>
        <v>Club</v>
      </c>
      <c r="F14" s="392" t="str">
        <f ca="1">IFERROR(INDIRECT(CONCATENATE("Track1!h",A14+1)),"")</f>
        <v>Perf</v>
      </c>
      <c r="G14" s="167" t="str">
        <f ca="1">IFERROR(INDIRECT(CONCATENATE("Track1!i",A14+1)),"")</f>
        <v>EA</v>
      </c>
      <c r="H14" s="45"/>
      <c r="I14" s="45" t="str">
        <f ca="1">IFERROR(INDIRECT(CONCATENATE("Track1!k",A14+1)),"")</f>
        <v>Posn</v>
      </c>
      <c r="J14" s="45" t="str">
        <f ca="1">IFERROR(INDIRECT(CONCATENATE("Track1!l",A14+1)),"")</f>
        <v>No.</v>
      </c>
      <c r="K14" s="139" t="str">
        <f ca="1">IFERROR(INDIRECT(CONCATENATE("Track1!m",A14+1)),"")</f>
        <v>Athlete</v>
      </c>
      <c r="L14" s="139" t="str">
        <f ca="1">IFERROR(INDIRECT(CONCATENATE("Track1!n",A14+1)),"")</f>
        <v>Club</v>
      </c>
      <c r="M14" s="392" t="str">
        <f ca="1">IFERROR(INDIRECT(CONCATENATE("Track1!o",A14+1)),"")</f>
        <v>Perf</v>
      </c>
      <c r="N14" s="167" t="str">
        <f ca="1">IFERROR(INDIRECT(CONCATENATE("Track1!p",A14+1)),"")</f>
        <v>EA</v>
      </c>
      <c r="T14" s="64" t="str">
        <f t="shared" ca="1" si="0"/>
        <v/>
      </c>
      <c r="U14" s="64" t="str">
        <f t="shared" ca="1" si="1"/>
        <v/>
      </c>
      <c r="V14" s="266" t="str">
        <f ca="1">IF(OR(D14=0,D14="",D14="Athlete"),"",COUNTIF($D$4:$D14,D14))</f>
        <v/>
      </c>
      <c r="W14" s="266" t="str">
        <f t="shared" ca="1" si="2"/>
        <v/>
      </c>
      <c r="Z14" s="266">
        <f t="shared" ca="1" si="3"/>
        <v>0</v>
      </c>
    </row>
    <row r="15" spans="1:26" x14ac:dyDescent="0.35">
      <c r="B15" s="66">
        <f ca="1">IFERROR(INDIRECT(CONCATENATE("Track1!D",A14+2)),"")</f>
        <v>1</v>
      </c>
      <c r="C15" s="66">
        <f ca="1">IFERROR(INDIRECT(CONCATENATE("Track1!e",A14+2)),"")</f>
        <v>2</v>
      </c>
      <c r="D15" s="85" t="str">
        <f ca="1">IFERROR(INDIRECT(CONCATENATE("Track1!f",A14+2)),"")</f>
        <v>Sebastien GREGORY</v>
      </c>
      <c r="E15" s="85" t="str">
        <f ca="1">IFERROR(INDIRECT(CONCATENATE("Track1!g",A14+2)),"")</f>
        <v>ECHT</v>
      </c>
      <c r="F15" s="395">
        <f ca="1">IFERROR(INDIRECT(CONCATENATE("Track1!h",A14+2)),"")</f>
        <v>12.6</v>
      </c>
      <c r="G15" s="108" t="str">
        <f ca="1">IFERROR(INDIRECT(CONCATENATE("Track1!i",A14+2)),"")</f>
        <v/>
      </c>
      <c r="H15" s="66"/>
      <c r="I15" s="66">
        <f ca="1">IFERROR(INDIRECT(CONCATENATE("Track1!k",A14+2)),"")</f>
        <v>1</v>
      </c>
      <c r="J15" s="66">
        <f ca="1">IFERROR(INDIRECT(CONCATENATE("Track1!l",A14+2)),"")</f>
        <v>0</v>
      </c>
      <c r="K15" s="85" t="str">
        <f ca="1">IFERROR(INDIRECT(CONCATENATE("Track1!m",A14+2)),"")</f>
        <v/>
      </c>
      <c r="L15" s="85" t="str">
        <f ca="1">IFERROR(INDIRECT(CONCATENATE("Track1!n",A14+2)),"")</f>
        <v/>
      </c>
      <c r="M15" s="395">
        <f ca="1">IFERROR(INDIRECT(CONCATENATE("Track1!o",A14+2)),"")</f>
        <v>0</v>
      </c>
      <c r="N15" s="108" t="str">
        <f ca="1">IFERROR(INDIRECT(CONCATENATE("Track1!p",A14+2)),"")</f>
        <v/>
      </c>
      <c r="R15" s="168">
        <f ca="1">IFERROR(INDIRECT(CONCATENATE("Track1!r",A14+2)),"")</f>
        <v>0</v>
      </c>
      <c r="T15" s="64">
        <f t="shared" ca="1" si="0"/>
        <v>2</v>
      </c>
      <c r="U15" s="64" t="str">
        <f t="shared" ca="1" si="1"/>
        <v/>
      </c>
      <c r="V15" s="266">
        <f ca="1">IF(OR(D15=0,D15="",D15="Athlete"),"",COUNTIF($D$4:$D15,D15))</f>
        <v>1</v>
      </c>
      <c r="W15" s="266" t="str">
        <f t="shared" ca="1" si="2"/>
        <v>ECHT</v>
      </c>
      <c r="Z15" s="266" t="str">
        <f t="shared" ca="1" si="3"/>
        <v/>
      </c>
    </row>
    <row r="16" spans="1:26" x14ac:dyDescent="0.35">
      <c r="B16" s="66">
        <f ca="1">IFERROR(INDIRECT(CONCATENATE("Track1!D",A14+3)),"")</f>
        <v>2</v>
      </c>
      <c r="C16" s="66">
        <f ca="1">IFERROR(INDIRECT(CONCATENATE("Track1!e",A14+3)),"")</f>
        <v>0</v>
      </c>
      <c r="D16" s="85" t="str">
        <f ca="1">IFERROR(INDIRECT(CONCATENATE("Track1!f",A14+3)),"")</f>
        <v/>
      </c>
      <c r="E16" s="85" t="str">
        <f ca="1">IFERROR(INDIRECT(CONCATENATE("Track1!g",A14+3)),"")</f>
        <v/>
      </c>
      <c r="F16" s="395">
        <f ca="1">IFERROR(INDIRECT(CONCATENATE("Track1!h",A14+3)),"")</f>
        <v>0</v>
      </c>
      <c r="G16" s="108" t="str">
        <f ca="1">IFERROR(INDIRECT(CONCATENATE("Track1!i",A14+3)),"")</f>
        <v/>
      </c>
      <c r="H16" s="66"/>
      <c r="I16" s="66">
        <f ca="1">IFERROR(INDIRECT(CONCATENATE("Track1!k",A14+3)),"")</f>
        <v>2</v>
      </c>
      <c r="J16" s="66">
        <f ca="1">IFERROR(INDIRECT(CONCATENATE("Track1!l",A14+3)),"")</f>
        <v>0</v>
      </c>
      <c r="K16" s="85" t="str">
        <f ca="1">IFERROR(INDIRECT(CONCATENATE("Track1!m",A14+3)),"")</f>
        <v/>
      </c>
      <c r="L16" s="85" t="str">
        <f ca="1">IFERROR(INDIRECT(CONCATENATE("Track1!n",A14+3)),"")</f>
        <v/>
      </c>
      <c r="M16" s="395">
        <f ca="1">IFERROR(INDIRECT(CONCATENATE("Track1!o",A14+3)),"")</f>
        <v>0</v>
      </c>
      <c r="N16" s="108" t="str">
        <f ca="1">IFERROR(INDIRECT(CONCATENATE("Track1!p",A14+3)),"")</f>
        <v/>
      </c>
      <c r="T16" s="64" t="str">
        <f t="shared" ca="1" si="0"/>
        <v/>
      </c>
      <c r="U16" s="64" t="str">
        <f t="shared" ca="1" si="1"/>
        <v/>
      </c>
      <c r="V16" s="266" t="str">
        <f ca="1">IF(OR(D16=0,D16="",D16="Athlete"),"",COUNTIF($D$4:$D16,D16))</f>
        <v/>
      </c>
      <c r="W16" s="266" t="str">
        <f t="shared" ca="1" si="2"/>
        <v/>
      </c>
      <c r="Z16" s="266" t="str">
        <f t="shared" ca="1" si="3"/>
        <v/>
      </c>
    </row>
    <row r="17" spans="1:26" x14ac:dyDescent="0.35">
      <c r="B17" s="66">
        <f ca="1">IFERROR(INDIRECT(CONCATENATE("Track1!D",A14+4)),"")</f>
        <v>3</v>
      </c>
      <c r="C17" s="66">
        <f ca="1">IFERROR(INDIRECT(CONCATENATE("Track1!e",A14+4)),"")</f>
        <v>0</v>
      </c>
      <c r="D17" s="85" t="str">
        <f ca="1">IFERROR(INDIRECT(CONCATENATE("Track1!f",A14+4)),"")</f>
        <v/>
      </c>
      <c r="E17" s="85" t="str">
        <f ca="1">IFERROR(INDIRECT(CONCATENATE("Track1!g",A14+4)),"")</f>
        <v/>
      </c>
      <c r="F17" s="395">
        <f ca="1">IFERROR(INDIRECT(CONCATENATE("Track1!h",A14+4)),"")</f>
        <v>0</v>
      </c>
      <c r="G17" s="108" t="str">
        <f ca="1">IFERROR(INDIRECT(CONCATENATE("Track1!i",A14+4)),"")</f>
        <v/>
      </c>
      <c r="H17" s="66"/>
      <c r="I17" s="66">
        <f ca="1">IFERROR(INDIRECT(CONCATENATE("Track1!k",A14+4)),"")</f>
        <v>3</v>
      </c>
      <c r="J17" s="66">
        <f ca="1">IFERROR(INDIRECT(CONCATENATE("Track1!l",A14+4)),"")</f>
        <v>0</v>
      </c>
      <c r="K17" s="85" t="str">
        <f ca="1">IFERROR(INDIRECT(CONCATENATE("Track1!m",A14+4)),"")</f>
        <v/>
      </c>
      <c r="L17" s="85" t="str">
        <f ca="1">IFERROR(INDIRECT(CONCATENATE("Track1!n",A14+4)),"")</f>
        <v/>
      </c>
      <c r="M17" s="395">
        <f ca="1">IFERROR(INDIRECT(CONCATENATE("Track1!o",A14+4)),"")</f>
        <v>0</v>
      </c>
      <c r="N17" s="108" t="str">
        <f ca="1">IFERROR(INDIRECT(CONCATENATE("Track1!p",A14+4)),"")</f>
        <v/>
      </c>
      <c r="T17" s="64" t="str">
        <f t="shared" ca="1" si="0"/>
        <v/>
      </c>
      <c r="U17" s="64" t="str">
        <f t="shared" ca="1" si="1"/>
        <v/>
      </c>
      <c r="V17" s="266" t="str">
        <f ca="1">IF(OR(D17=0,D17="",D17="Athlete"),"",COUNTIF($D$4:$D17,D17))</f>
        <v/>
      </c>
      <c r="W17" s="266" t="str">
        <f t="shared" ca="1" si="2"/>
        <v/>
      </c>
      <c r="Z17" s="266" t="str">
        <f t="shared" ca="1" si="3"/>
        <v/>
      </c>
    </row>
    <row r="18" spans="1:26" x14ac:dyDescent="0.35">
      <c r="B18" s="66">
        <f ca="1">IFERROR(INDIRECT(CONCATENATE("Track1!D",A14+5)),"")</f>
        <v>4</v>
      </c>
      <c r="C18" s="66">
        <f ca="1">IFERROR(INDIRECT(CONCATENATE("Track1!e",A14+5)),"")</f>
        <v>0</v>
      </c>
      <c r="D18" s="85" t="str">
        <f ca="1">IFERROR(INDIRECT(CONCATENATE("Track1!f",A14+5)),"")</f>
        <v/>
      </c>
      <c r="E18" s="85" t="str">
        <f ca="1">IFERROR(INDIRECT(CONCATENATE("Track1!g",A14+5)),"")</f>
        <v/>
      </c>
      <c r="F18" s="395">
        <f ca="1">IFERROR(INDIRECT(CONCATENATE("Track1!h",A14+5)),"")</f>
        <v>0</v>
      </c>
      <c r="G18" s="108" t="str">
        <f ca="1">IFERROR(INDIRECT(CONCATENATE("Track1!i",A14+5)),"")</f>
        <v/>
      </c>
      <c r="H18" s="66"/>
      <c r="I18" s="66">
        <f ca="1">IFERROR(INDIRECT(CONCATENATE("Track1!k",A14+5)),"")</f>
        <v>4</v>
      </c>
      <c r="J18" s="66">
        <f ca="1">IFERROR(INDIRECT(CONCATENATE("Track1!l",A14+5)),"")</f>
        <v>0</v>
      </c>
      <c r="K18" s="85" t="str">
        <f ca="1">IFERROR(INDIRECT(CONCATENATE("Track1!m",A14+5)),"")</f>
        <v/>
      </c>
      <c r="L18" s="85" t="str">
        <f ca="1">IFERROR(INDIRECT(CONCATENATE("Track1!n",A14+5)),"")</f>
        <v/>
      </c>
      <c r="M18" s="395">
        <f ca="1">IFERROR(INDIRECT(CONCATENATE("Track1!o",A14+5)),"")</f>
        <v>0</v>
      </c>
      <c r="N18" s="108" t="str">
        <f ca="1">IFERROR(INDIRECT(CONCATENATE("Track1!p",A14+5)),"")</f>
        <v/>
      </c>
      <c r="T18" s="64" t="str">
        <f t="shared" ca="1" si="0"/>
        <v/>
      </c>
      <c r="U18" s="64" t="str">
        <f t="shared" ca="1" si="1"/>
        <v/>
      </c>
      <c r="V18" s="266" t="str">
        <f ca="1">IF(OR(D18=0,D18="",D18="Athlete"),"",COUNTIF($D$4:$D18,D18))</f>
        <v/>
      </c>
      <c r="W18" s="266" t="str">
        <f t="shared" ca="1" si="2"/>
        <v/>
      </c>
      <c r="Z18" s="266" t="str">
        <f t="shared" ca="1" si="3"/>
        <v/>
      </c>
    </row>
    <row r="19" spans="1:26" x14ac:dyDescent="0.35">
      <c r="B19" s="66">
        <f ca="1">IFERROR(INDIRECT(CONCATENATE("Track1!D",A14+6)),"")</f>
        <v>5</v>
      </c>
      <c r="C19" s="66">
        <f ca="1">IFERROR(INDIRECT(CONCATENATE("Track1!e",A14+6)),"")</f>
        <v>0</v>
      </c>
      <c r="D19" s="85" t="str">
        <f ca="1">IFERROR(INDIRECT(CONCATENATE("Track1!f",A14+6)),"")</f>
        <v/>
      </c>
      <c r="E19" s="85" t="str">
        <f ca="1">IFERROR(INDIRECT(CONCATENATE("Track1!g",A14+6)),"")</f>
        <v/>
      </c>
      <c r="F19" s="395">
        <f ca="1">IFERROR(INDIRECT(CONCATENATE("Track1!h",A14+6)),"")</f>
        <v>0</v>
      </c>
      <c r="G19" s="108" t="str">
        <f ca="1">IFERROR(INDIRECT(CONCATENATE("Track1!i",A14+6)),"")</f>
        <v/>
      </c>
      <c r="H19" s="66"/>
      <c r="I19" s="66">
        <f ca="1">IFERROR(INDIRECT(CONCATENATE("Track1!k",A14+6)),"")</f>
        <v>5</v>
      </c>
      <c r="J19" s="66">
        <f ca="1">IFERROR(INDIRECT(CONCATENATE("Track1!l",A14+6)),"")</f>
        <v>0</v>
      </c>
      <c r="K19" s="85" t="str">
        <f ca="1">IFERROR(INDIRECT(CONCATENATE("Track1!m",A14+6)),"")</f>
        <v/>
      </c>
      <c r="L19" s="85" t="str">
        <f ca="1">IFERROR(INDIRECT(CONCATENATE("Track1!n",A14+6)),"")</f>
        <v/>
      </c>
      <c r="M19" s="395">
        <f ca="1">IFERROR(INDIRECT(CONCATENATE("Track1!o",A14+6)),"")</f>
        <v>0</v>
      </c>
      <c r="N19" s="108" t="str">
        <f ca="1">IFERROR(INDIRECT(CONCATENATE("Track1!p",A14+6)),"")</f>
        <v/>
      </c>
      <c r="T19" s="64" t="str">
        <f t="shared" ca="1" si="0"/>
        <v/>
      </c>
      <c r="U19" s="64" t="str">
        <f t="shared" ca="1" si="1"/>
        <v/>
      </c>
      <c r="V19" s="266" t="str">
        <f ca="1">IF(OR(D19=0,D19="",D19="Athlete"),"",COUNTIF($D$4:$D19,D19))</f>
        <v/>
      </c>
      <c r="W19" s="266" t="str">
        <f t="shared" ca="1" si="2"/>
        <v/>
      </c>
      <c r="Z19" s="266" t="str">
        <f t="shared" ca="1" si="3"/>
        <v/>
      </c>
    </row>
    <row r="20" spans="1:26" x14ac:dyDescent="0.35">
      <c r="B20" s="66">
        <f ca="1">IFERROR(INDIRECT(CONCATENATE("Track1!D",A14+7)),"")</f>
        <v>6</v>
      </c>
      <c r="C20" s="66">
        <f ca="1">IFERROR(INDIRECT(CONCATENATE("Track1!e",A14+7)),"")</f>
        <v>0</v>
      </c>
      <c r="D20" s="85" t="str">
        <f ca="1">IFERROR(INDIRECT(CONCATENATE("Track1!f",A14+7)),"")</f>
        <v/>
      </c>
      <c r="E20" s="85" t="str">
        <f ca="1">IFERROR(INDIRECT(CONCATENATE("Track1!g",A14+7)),"")</f>
        <v/>
      </c>
      <c r="F20" s="395">
        <f ca="1">IFERROR(INDIRECT(CONCATENATE("Track1!h",A14+7)),"")</f>
        <v>0</v>
      </c>
      <c r="G20" s="108" t="str">
        <f ca="1">IFERROR(INDIRECT(CONCATENATE("Track1!i",A14+7)),"")</f>
        <v/>
      </c>
      <c r="H20" s="66"/>
      <c r="I20" s="66">
        <f ca="1">IFERROR(INDIRECT(CONCATENATE("Track1!k",A14+7)),"")</f>
        <v>6</v>
      </c>
      <c r="J20" s="66">
        <f ca="1">IFERROR(INDIRECT(CONCATENATE("Track1!l",A14+7)),"")</f>
        <v>0</v>
      </c>
      <c r="K20" s="85" t="str">
        <f ca="1">IFERROR(INDIRECT(CONCATENATE("Track1!m",A14+7)),"")</f>
        <v/>
      </c>
      <c r="L20" s="85" t="str">
        <f ca="1">IFERROR(INDIRECT(CONCATENATE("Track1!n",A14+7)),"")</f>
        <v/>
      </c>
      <c r="M20" s="395">
        <f ca="1">IFERROR(INDIRECT(CONCATENATE("Track1!o",A14+7)),"")</f>
        <v>0</v>
      </c>
      <c r="N20" s="108" t="str">
        <f ca="1">IFERROR(INDIRECT(CONCATENATE("Track1!p",A14+7)),"")</f>
        <v/>
      </c>
      <c r="T20" s="64" t="str">
        <f t="shared" ca="1" si="0"/>
        <v/>
      </c>
      <c r="U20" s="64" t="str">
        <f t="shared" ca="1" si="1"/>
        <v/>
      </c>
      <c r="V20" s="266" t="str">
        <f ca="1">IF(OR(D20=0,D20="",D20="Athlete"),"",COUNTIF($D$4:$D20,D20))</f>
        <v/>
      </c>
      <c r="W20" s="266" t="str">
        <f t="shared" ca="1" si="2"/>
        <v/>
      </c>
      <c r="Z20" s="266" t="str">
        <f t="shared" ca="1" si="3"/>
        <v/>
      </c>
    </row>
    <row r="21" spans="1:26" x14ac:dyDescent="0.35">
      <c r="B21" s="66">
        <f ca="1">IFERROR(INDIRECT(CONCATENATE("Track1!D",A14+8)),"")</f>
        <v>7</v>
      </c>
      <c r="C21" s="66">
        <f ca="1">IFERROR(INDIRECT(CONCATENATE("Track1!e",A14+8)),"")</f>
        <v>0</v>
      </c>
      <c r="D21" s="85" t="str">
        <f ca="1">IFERROR(INDIRECT(CONCATENATE("Track1!f",A14+8)),"")</f>
        <v/>
      </c>
      <c r="E21" s="85" t="str">
        <f ca="1">IFERROR(INDIRECT(CONCATENATE("Track1!g",A14+8)),"")</f>
        <v/>
      </c>
      <c r="F21" s="395">
        <f ca="1">IFERROR(INDIRECT(CONCATENATE("Track1!h",A14+8)),"")</f>
        <v>0</v>
      </c>
      <c r="G21" s="108" t="str">
        <f ca="1">IFERROR(INDIRECT(CONCATENATE("Track1!i",A14+8)),"")</f>
        <v/>
      </c>
      <c r="H21" s="66"/>
      <c r="I21" s="66">
        <f ca="1">IFERROR(INDIRECT(CONCATENATE("Track1!k",A14+8)),"")</f>
        <v>7</v>
      </c>
      <c r="J21" s="66">
        <f ca="1">IFERROR(INDIRECT(CONCATENATE("Track1!l",A14+8)),"")</f>
        <v>0</v>
      </c>
      <c r="K21" s="85" t="str">
        <f ca="1">IFERROR(INDIRECT(CONCATENATE("Track1!m",A14+8)),"")</f>
        <v/>
      </c>
      <c r="L21" s="85" t="str">
        <f ca="1">IFERROR(INDIRECT(CONCATENATE("Track1!n",A14+8)),"")</f>
        <v/>
      </c>
      <c r="M21" s="395">
        <f ca="1">IFERROR(INDIRECT(CONCATENATE("Track1!o",A14+8)),"")</f>
        <v>0</v>
      </c>
      <c r="N21" s="108" t="str">
        <f ca="1">IFERROR(INDIRECT(CONCATENATE("Track1!p",A14+8)),"")</f>
        <v/>
      </c>
      <c r="T21" s="64" t="str">
        <f t="shared" ca="1" si="0"/>
        <v/>
      </c>
      <c r="U21" s="64" t="str">
        <f t="shared" ca="1" si="1"/>
        <v/>
      </c>
      <c r="V21" s="266" t="str">
        <f ca="1">IF(OR(D21=0,D21="",D21="Athlete"),"",COUNTIF($D$4:$D21,D21))</f>
        <v/>
      </c>
      <c r="W21" s="266" t="str">
        <f t="shared" ca="1" si="2"/>
        <v/>
      </c>
      <c r="Z21" s="266" t="str">
        <f t="shared" ca="1" si="3"/>
        <v/>
      </c>
    </row>
    <row r="22" spans="1:26" x14ac:dyDescent="0.35">
      <c r="B22" s="66">
        <f ca="1">IFERROR(INDIRECT(CONCATENATE("Track1!D",A14+9)),"")</f>
        <v>8</v>
      </c>
      <c r="C22" s="66">
        <f ca="1">IFERROR(INDIRECT(CONCATENATE("Track1!e",A14+9)),"")</f>
        <v>0</v>
      </c>
      <c r="D22" s="85" t="str">
        <f ca="1">IFERROR(INDIRECT(CONCATENATE("Track1!f",A14+9)),"")</f>
        <v/>
      </c>
      <c r="E22" s="85" t="str">
        <f ca="1">IFERROR(INDIRECT(CONCATENATE("Track1!g",A14+9)),"")</f>
        <v/>
      </c>
      <c r="F22" s="395">
        <f ca="1">IFERROR(INDIRECT(CONCATENATE("Track1!h",A14+9)),"")</f>
        <v>0</v>
      </c>
      <c r="G22" s="108" t="str">
        <f ca="1">IFERROR(INDIRECT(CONCATENATE("Track1!i",A14+9)),"")</f>
        <v/>
      </c>
      <c r="H22" s="66"/>
      <c r="I22" s="66">
        <f ca="1">IFERROR(INDIRECT(CONCATENATE("Track1!k",A14+9)),"")</f>
        <v>8</v>
      </c>
      <c r="J22" s="66">
        <f ca="1">IFERROR(INDIRECT(CONCATENATE("Track1!l",A14+9)),"")</f>
        <v>0</v>
      </c>
      <c r="K22" s="85" t="str">
        <f ca="1">IFERROR(INDIRECT(CONCATENATE("Track1!m",A14+9)),"")</f>
        <v/>
      </c>
      <c r="L22" s="85" t="str">
        <f ca="1">IFERROR(INDIRECT(CONCATENATE("Track1!n",A14+9)),"")</f>
        <v/>
      </c>
      <c r="M22" s="395">
        <f ca="1">IFERROR(INDIRECT(CONCATENATE("Track1!o",A14+9)),"")</f>
        <v>0</v>
      </c>
      <c r="N22" s="108" t="str">
        <f ca="1">IFERROR(INDIRECT(CONCATENATE("Track1!p",A14+9)),"")</f>
        <v/>
      </c>
      <c r="T22" s="64" t="str">
        <f t="shared" ca="1" si="0"/>
        <v/>
      </c>
      <c r="U22" s="64" t="str">
        <f t="shared" ca="1" si="1"/>
        <v/>
      </c>
      <c r="V22" s="266" t="str">
        <f ca="1">IF(OR(D22=0,D22="",D22="Athlete"),"",COUNTIF($D$4:$D22,D22))</f>
        <v/>
      </c>
      <c r="W22" s="266" t="str">
        <f t="shared" ca="1" si="2"/>
        <v/>
      </c>
      <c r="Z22" s="266" t="str">
        <f t="shared" ca="1" si="3"/>
        <v/>
      </c>
    </row>
    <row r="23" spans="1:26" x14ac:dyDescent="0.35">
      <c r="F23" s="407"/>
      <c r="M23" s="407"/>
      <c r="T23" s="64" t="str">
        <f t="shared" si="0"/>
        <v/>
      </c>
      <c r="U23" s="64" t="str">
        <f t="shared" si="1"/>
        <v/>
      </c>
      <c r="V23" s="266" t="str">
        <f>IF(OR(D23=0,D23="",D23="Athlete"),"",COUNTIF($D$4:$D23,D23))</f>
        <v/>
      </c>
      <c r="W23" s="266" t="str">
        <f t="shared" si="2"/>
        <v/>
      </c>
      <c r="Z23" s="266" t="str">
        <f t="shared" si="3"/>
        <v/>
      </c>
    </row>
    <row r="24" spans="1:26" x14ac:dyDescent="0.35">
      <c r="A24" s="66" t="s">
        <v>37</v>
      </c>
      <c r="B24" s="102" t="str">
        <f ca="1">IFERROR(INDIRECT(CONCATENATE("Track1!D",A25)),"")</f>
        <v>150m U13 Boys A</v>
      </c>
      <c r="E24" s="85" t="s">
        <v>206</v>
      </c>
      <c r="F24" s="415">
        <f ca="1">IFERROR(INDIRECT(CONCATENATE("Track1!h",A25)),"")</f>
        <v>0</v>
      </c>
      <c r="G24" s="108" t="str">
        <f ca="1">IFERROR(INDIRECT(CONCATENATE("Track1!i",A25)),"")</f>
        <v/>
      </c>
      <c r="I24" s="102" t="str">
        <f ca="1">IFERROR(INDIRECT(CONCATENATE("Track1!k",A25)),"")</f>
        <v>150m U13 Boys B</v>
      </c>
      <c r="L24" s="85" t="s">
        <v>206</v>
      </c>
      <c r="M24" s="395">
        <f ca="1">IFERROR(INDIRECT(CONCATENATE("Track1!o",A25)),"")</f>
        <v>0</v>
      </c>
      <c r="T24" s="64" t="str">
        <f t="shared" si="0"/>
        <v/>
      </c>
      <c r="U24" s="64" t="str">
        <f t="shared" si="1"/>
        <v/>
      </c>
      <c r="V24" s="266" t="str">
        <f>IF(OR(D24=0,D24="",D24="Athlete"),"",COUNTIF($D$4:$D24,D24))</f>
        <v/>
      </c>
      <c r="W24" s="266" t="str">
        <f t="shared" si="2"/>
        <v/>
      </c>
      <c r="Z24" s="266" t="str">
        <f t="shared" ca="1" si="3"/>
        <v/>
      </c>
    </row>
    <row r="25" spans="1:26" x14ac:dyDescent="0.35">
      <c r="A25" s="66">
        <f>IFERROR(MATCH(A24,Track1!C:C,0),"")</f>
        <v>57</v>
      </c>
      <c r="B25" s="45" t="str">
        <f ca="1">IFERROR(INDIRECT(CONCATENATE("Track1!D",A25+1)),"")</f>
        <v>Posn</v>
      </c>
      <c r="C25" s="45" t="str">
        <f ca="1">IFERROR(INDIRECT(CONCATENATE("Track1!e",A25+1)),"")</f>
        <v>No.</v>
      </c>
      <c r="D25" s="139" t="str">
        <f ca="1">IFERROR(INDIRECT(CONCATENATE("Track1!f",A25+1)),"")</f>
        <v>Athlete</v>
      </c>
      <c r="E25" s="139" t="str">
        <f ca="1">IFERROR(INDIRECT(CONCATENATE("Track1!g",A25+1)),"")</f>
        <v>Club</v>
      </c>
      <c r="F25" s="392" t="str">
        <f ca="1">IFERROR(INDIRECT(CONCATENATE("Track1!h",A25+1)),"")</f>
        <v>Perf</v>
      </c>
      <c r="G25" s="167" t="str">
        <f ca="1">IFERROR(INDIRECT(CONCATENATE("Track1!i",A25+1)),"")</f>
        <v>EA</v>
      </c>
      <c r="H25" s="45"/>
      <c r="I25" s="45" t="str">
        <f ca="1">IFERROR(INDIRECT(CONCATENATE("Track1!k",A25+1)),"")</f>
        <v>Posn</v>
      </c>
      <c r="J25" s="45" t="str">
        <f ca="1">IFERROR(INDIRECT(CONCATENATE("Track1!l",A25+1)),"")</f>
        <v>No.</v>
      </c>
      <c r="K25" s="139" t="str">
        <f ca="1">IFERROR(INDIRECT(CONCATENATE("Track1!m",A25+1)),"")</f>
        <v>Athlete</v>
      </c>
      <c r="L25" s="139" t="str">
        <f ca="1">IFERROR(INDIRECT(CONCATENATE("Track1!n",A25+1)),"")</f>
        <v>Club</v>
      </c>
      <c r="M25" s="392" t="str">
        <f ca="1">IFERROR(INDIRECT(CONCATENATE("Track1!o",A25+1)),"")</f>
        <v>Perf</v>
      </c>
      <c r="N25" s="167" t="str">
        <f ca="1">IFERROR(INDIRECT(CONCATENATE("Track1!p",A25+1)),"")</f>
        <v>EA</v>
      </c>
      <c r="T25" s="64" t="str">
        <f t="shared" ca="1" si="0"/>
        <v/>
      </c>
      <c r="U25" s="64" t="str">
        <f t="shared" ca="1" si="1"/>
        <v/>
      </c>
      <c r="V25" s="266" t="str">
        <f ca="1">IF(OR(D25=0,D25="",D25="Athlete"),"",COUNTIF($D$4:$D25,D25))</f>
        <v/>
      </c>
      <c r="W25" s="266" t="str">
        <f t="shared" ca="1" si="2"/>
        <v/>
      </c>
      <c r="Z25" s="266">
        <f t="shared" ca="1" si="3"/>
        <v>0</v>
      </c>
    </row>
    <row r="26" spans="1:26" x14ac:dyDescent="0.35">
      <c r="B26" s="66">
        <f ca="1">IFERROR(INDIRECT(CONCATENATE("Track1!D",A25+2)),"")</f>
        <v>1</v>
      </c>
      <c r="C26" s="66">
        <f ca="1">IFERROR(INDIRECT(CONCATENATE("Track1!e",A25+2)),"")</f>
        <v>1</v>
      </c>
      <c r="D26" s="85" t="str">
        <f ca="1">IFERROR(INDIRECT(CONCATENATE("Track1!f",A25+2)),"")</f>
        <v>Ben JEFFS</v>
      </c>
      <c r="E26" s="85" t="str">
        <f ca="1">IFERROR(INDIRECT(CONCATENATE("Track1!g",A25+2)),"")</f>
        <v>C&amp;N</v>
      </c>
      <c r="F26" s="395">
        <f ca="1">IFERROR(INDIRECT(CONCATENATE("Track1!h",A25+2)),"")</f>
        <v>20</v>
      </c>
      <c r="G26" s="108">
        <f ca="1">IFERROR(INDIRECT(CONCATENATE("Track1!i",A25+2)),"")</f>
        <v>8</v>
      </c>
      <c r="H26" s="66"/>
      <c r="I26" s="66">
        <f ca="1">IFERROR(INDIRECT(CONCATENATE("Track1!k",A25+2)),"")</f>
        <v>1</v>
      </c>
      <c r="J26" s="66">
        <f ca="1">IFERROR(INDIRECT(CONCATENATE("Track1!l",A25+2)),"")</f>
        <v>33</v>
      </c>
      <c r="K26" s="85" t="str">
        <f ca="1">IFERROR(INDIRECT(CONCATENATE("Track1!m",A25+2)),"")</f>
        <v>Jesse WAI IP CHAN</v>
      </c>
      <c r="L26" s="85" t="str">
        <f ca="1">IFERROR(INDIRECT(CONCATENATE("Track1!n",A25+2)),"")</f>
        <v>Leigh</v>
      </c>
      <c r="M26" s="395">
        <f ca="1">IFERROR(INDIRECT(CONCATENATE("Track1!o",A25+2)),"")</f>
        <v>19.399999999999999</v>
      </c>
      <c r="N26" s="108">
        <f ca="1">IFERROR(INDIRECT(CONCATENATE("Track1!p",A25+2)),"")</f>
        <v>9</v>
      </c>
      <c r="R26" s="168">
        <f ca="1">IFERROR(INDIRECT(CONCATENATE("Track1!r",A25+2)),"")</f>
        <v>10</v>
      </c>
      <c r="T26" s="64">
        <f t="shared" ca="1" si="0"/>
        <v>3</v>
      </c>
      <c r="U26" s="64">
        <f t="shared" ca="1" si="1"/>
        <v>1</v>
      </c>
      <c r="V26" s="266">
        <f ca="1">IF(OR(D26=0,D26="",D26="Athlete"),"",COUNTIF($D$4:$D26,D26))</f>
        <v>1</v>
      </c>
      <c r="W26" s="266" t="str">
        <f t="shared" ca="1" si="2"/>
        <v>C&amp;N</v>
      </c>
      <c r="Z26" s="266">
        <f t="shared" ca="1" si="3"/>
        <v>0</v>
      </c>
    </row>
    <row r="27" spans="1:26" x14ac:dyDescent="0.35">
      <c r="B27" s="66">
        <f ca="1">IFERROR(INDIRECT(CONCATENATE("Track1!D",A25+3)),"")</f>
        <v>2</v>
      </c>
      <c r="C27" s="66">
        <f ca="1">IFERROR(INDIRECT(CONCATENATE("Track1!e",A25+3)),"")</f>
        <v>7</v>
      </c>
      <c r="D27" s="85" t="str">
        <f ca="1">IFERROR(INDIRECT(CONCATENATE("Track1!f",A25+3)),"")</f>
        <v>Henry MORRIS</v>
      </c>
      <c r="E27" s="85" t="str">
        <f ca="1">IFERROR(INDIRECT(CONCATENATE("Track1!g",A25+3)),"")</f>
        <v>Wigan</v>
      </c>
      <c r="F27" s="395">
        <f ca="1">IFERROR(INDIRECT(CONCATENATE("Track1!h",A25+3)),"")</f>
        <v>21</v>
      </c>
      <c r="G27" s="108">
        <f ca="1">IFERROR(INDIRECT(CONCATENATE("Track1!i",A25+3)),"")</f>
        <v>6</v>
      </c>
      <c r="H27" s="66"/>
      <c r="I27" s="66">
        <f ca="1">IFERROR(INDIRECT(CONCATENATE("Track1!k",A25+3)),"")</f>
        <v>2</v>
      </c>
      <c r="J27" s="66">
        <f ca="1">IFERROR(INDIRECT(CONCATENATE("Track1!l",A25+3)),"")</f>
        <v>77</v>
      </c>
      <c r="K27" s="85" t="str">
        <f ca="1">IFERROR(INDIRECT(CONCATENATE("Track1!m",A25+3)),"")</f>
        <v>James DARBY</v>
      </c>
      <c r="L27" s="85" t="str">
        <f ca="1">IFERROR(INDIRECT(CONCATENATE("Track1!n",A25+3)),"")</f>
        <v>Wigan</v>
      </c>
      <c r="M27" s="395">
        <f ca="1">IFERROR(INDIRECT(CONCATENATE("Track1!o",A25+3)),"")</f>
        <v>22.8</v>
      </c>
      <c r="N27" s="108">
        <f ca="1">IFERROR(INDIRECT(CONCATENATE("Track1!p",A25+3)),"")</f>
        <v>3</v>
      </c>
      <c r="T27" s="64">
        <f t="shared" ca="1" si="0"/>
        <v>3</v>
      </c>
      <c r="U27" s="64">
        <f t="shared" ca="1" si="1"/>
        <v>2</v>
      </c>
      <c r="V27" s="266">
        <f ca="1">IF(OR(D27=0,D27="",D27="Athlete"),"",COUNTIF($D$4:$D27,D27))</f>
        <v>2</v>
      </c>
      <c r="W27" s="266" t="str">
        <f t="shared" ca="1" si="2"/>
        <v>Wigan</v>
      </c>
      <c r="Z27" s="266">
        <f t="shared" ca="1" si="3"/>
        <v>0</v>
      </c>
    </row>
    <row r="28" spans="1:26" x14ac:dyDescent="0.35">
      <c r="B28" s="66">
        <f ca="1">IFERROR(INDIRECT(CONCATENATE("Track1!D",A25+4)),"")</f>
        <v>3</v>
      </c>
      <c r="C28" s="66">
        <f ca="1">IFERROR(INDIRECT(CONCATENATE("Track1!e",A25+4)),"")</f>
        <v>3</v>
      </c>
      <c r="D28" s="85" t="str">
        <f ca="1">IFERROR(INDIRECT(CONCATENATE("Track1!f",A25+4)),"")</f>
        <v>Thierry KERR</v>
      </c>
      <c r="E28" s="85" t="str">
        <f ca="1">IFERROR(INDIRECT(CONCATENATE("Track1!g",A25+4)),"")</f>
        <v>Leigh</v>
      </c>
      <c r="F28" s="395">
        <f ca="1">IFERROR(INDIRECT(CONCATENATE("Track1!h",A25+4)),"")</f>
        <v>21.3</v>
      </c>
      <c r="G28" s="108">
        <f ca="1">IFERROR(INDIRECT(CONCATENATE("Track1!i",A25+4)),"")</f>
        <v>6</v>
      </c>
      <c r="H28" s="66"/>
      <c r="I28" s="66">
        <f ca="1">IFERROR(INDIRECT(CONCATENATE("Track1!k",A25+4)),"")</f>
        <v>3</v>
      </c>
      <c r="J28" s="66">
        <f ca="1">IFERROR(INDIRECT(CONCATENATE("Track1!l",A25+4)),"")</f>
        <v>11</v>
      </c>
      <c r="K28" s="85" t="str">
        <f ca="1">IFERROR(INDIRECT(CONCATENATE("Track1!m",A25+4)),"")</f>
        <v>Gabriel BRZEZINSKI</v>
      </c>
      <c r="L28" s="85" t="str">
        <f ca="1">IFERROR(INDIRECT(CONCATENATE("Track1!n",A25+4)),"")</f>
        <v>C&amp;N</v>
      </c>
      <c r="M28" s="395">
        <f ca="1">IFERROR(INDIRECT(CONCATENATE("Track1!o",A25+4)),"")</f>
        <v>23.4</v>
      </c>
      <c r="N28" s="108">
        <f ca="1">IFERROR(INDIRECT(CONCATENATE("Track1!p",A25+4)),"")</f>
        <v>2</v>
      </c>
      <c r="T28" s="64">
        <f t="shared" ca="1" si="0"/>
        <v>3</v>
      </c>
      <c r="U28" s="64">
        <f t="shared" ca="1" si="1"/>
        <v>3</v>
      </c>
      <c r="V28" s="266">
        <f ca="1">IF(OR(D28=0,D28="",D28="Athlete"),"",COUNTIF($D$4:$D28,D28))</f>
        <v>2</v>
      </c>
      <c r="W28" s="266" t="str">
        <f t="shared" ca="1" si="2"/>
        <v>Leigh</v>
      </c>
      <c r="Z28" s="266">
        <f t="shared" ca="1" si="3"/>
        <v>0</v>
      </c>
    </row>
    <row r="29" spans="1:26" x14ac:dyDescent="0.35">
      <c r="B29" s="66">
        <f ca="1">IFERROR(INDIRECT(CONCATENATE("Track1!D",A25+5)),"")</f>
        <v>4</v>
      </c>
      <c r="C29" s="66">
        <f ca="1">IFERROR(INDIRECT(CONCATENATE("Track1!e",A25+5)),"")</f>
        <v>4</v>
      </c>
      <c r="D29" s="85" t="str">
        <f ca="1">IFERROR(INDIRECT(CONCATENATE("Track1!f",A25+5)),"")</f>
        <v>Samuel SAVAGE</v>
      </c>
      <c r="E29" s="85" t="str">
        <f ca="1">IFERROR(INDIRECT(CONCATENATE("Track1!g",A25+5)),"")</f>
        <v>Macc</v>
      </c>
      <c r="F29" s="395">
        <f ca="1">IFERROR(INDIRECT(CONCATENATE("Track1!h",A25+5)),"")</f>
        <v>22.1</v>
      </c>
      <c r="G29" s="108">
        <f ca="1">IFERROR(INDIRECT(CONCATENATE("Track1!i",A25+5)),"")</f>
        <v>4</v>
      </c>
      <c r="H29" s="66"/>
      <c r="I29" s="66">
        <f ca="1">IFERROR(INDIRECT(CONCATENATE("Track1!k",A25+5)),"")</f>
        <v>4</v>
      </c>
      <c r="J29" s="66">
        <f ca="1">IFERROR(INDIRECT(CONCATENATE("Track1!l",A25+5)),"")</f>
        <v>66</v>
      </c>
      <c r="K29" s="85" t="str">
        <f ca="1">IFERROR(INDIRECT(CONCATENATE("Track1!m",A25+5)),"")</f>
        <v>Arthur CAMPBELL</v>
      </c>
      <c r="L29" s="85" t="str">
        <f ca="1">IFERROR(INDIRECT(CONCATENATE("Track1!n",A25+5)),"")</f>
        <v>Stock</v>
      </c>
      <c r="M29" s="395">
        <f ca="1">IFERROR(INDIRECT(CONCATENATE("Track1!o",A25+5)),"")</f>
        <v>23.4</v>
      </c>
      <c r="N29" s="108">
        <f ca="1">IFERROR(INDIRECT(CONCATENATE("Track1!p",A25+5)),"")</f>
        <v>2</v>
      </c>
      <c r="T29" s="64">
        <f t="shared" ca="1" si="0"/>
        <v>3</v>
      </c>
      <c r="U29" s="64">
        <f t="shared" ca="1" si="1"/>
        <v>2</v>
      </c>
      <c r="V29" s="266">
        <f ca="1">IF(OR(D29=0,D29="",D29="Athlete"),"",COUNTIF($D$4:$D29,D29))</f>
        <v>1</v>
      </c>
      <c r="W29" s="266" t="str">
        <f t="shared" ca="1" si="2"/>
        <v>Macc</v>
      </c>
      <c r="Z29" s="266">
        <f t="shared" ca="1" si="3"/>
        <v>0</v>
      </c>
    </row>
    <row r="30" spans="1:26" x14ac:dyDescent="0.35">
      <c r="B30" s="66">
        <f ca="1">IFERROR(INDIRECT(CONCATENATE("Track1!D",A25+6)),"")</f>
        <v>5</v>
      </c>
      <c r="C30" s="66">
        <f ca="1">IFERROR(INDIRECT(CONCATENATE("Track1!e",A25+6)),"")</f>
        <v>6</v>
      </c>
      <c r="D30" s="85" t="str">
        <f ca="1">IFERROR(INDIRECT(CONCATENATE("Track1!f",A25+6)),"")</f>
        <v>Alex KITCHEN</v>
      </c>
      <c r="E30" s="85" t="str">
        <f ca="1">IFERROR(INDIRECT(CONCATENATE("Track1!g",A25+6)),"")</f>
        <v>Stock</v>
      </c>
      <c r="F30" s="395">
        <f ca="1">IFERROR(INDIRECT(CONCATENATE("Track1!h",A25+6)),"")</f>
        <v>22.6</v>
      </c>
      <c r="G30" s="108">
        <f ca="1">IFERROR(INDIRECT(CONCATENATE("Track1!i",A25+6)),"")</f>
        <v>3</v>
      </c>
      <c r="H30" s="66"/>
      <c r="I30" s="66">
        <f ca="1">IFERROR(INDIRECT(CONCATENATE("Track1!k",A25+6)),"")</f>
        <v>5</v>
      </c>
      <c r="J30" s="66">
        <f ca="1">IFERROR(INDIRECT(CONCATENATE("Track1!l",A25+6)),"")</f>
        <v>22</v>
      </c>
      <c r="K30" s="85" t="str">
        <f ca="1">IFERROR(INDIRECT(CONCATENATE("Track1!m",A25+6)),"")</f>
        <v>Jake REANEY</v>
      </c>
      <c r="L30" s="85" t="str">
        <f ca="1">IFERROR(INDIRECT(CONCATENATE("Track1!n",A25+6)),"")</f>
        <v>ECHT</v>
      </c>
      <c r="M30" s="395">
        <f ca="1">IFERROR(INDIRECT(CONCATENATE("Track1!o",A25+6)),"")</f>
        <v>23.8</v>
      </c>
      <c r="N30" s="108" t="str">
        <f ca="1">IFERROR(INDIRECT(CONCATENATE("Track1!p",A25+6)),"")</f>
        <v/>
      </c>
      <c r="T30" s="64">
        <f t="shared" ca="1" si="0"/>
        <v>3</v>
      </c>
      <c r="U30" s="64">
        <f t="shared" ca="1" si="1"/>
        <v>2</v>
      </c>
      <c r="V30" s="266">
        <f ca="1">IF(OR(D30=0,D30="",D30="Athlete"),"",COUNTIF($D$4:$D30,D30))</f>
        <v>2</v>
      </c>
      <c r="W30" s="266" t="str">
        <f t="shared" ca="1" si="2"/>
        <v>Stock</v>
      </c>
      <c r="Z30" s="266">
        <f t="shared" ca="1" si="3"/>
        <v>0</v>
      </c>
    </row>
    <row r="31" spans="1:26" x14ac:dyDescent="0.35">
      <c r="B31" s="66">
        <f ca="1">IFERROR(INDIRECT(CONCATENATE("Track1!D",A25+7)),"")</f>
        <v>6</v>
      </c>
      <c r="C31" s="66">
        <f ca="1">IFERROR(INDIRECT(CONCATENATE("Track1!e",A25+7)),"")</f>
        <v>2</v>
      </c>
      <c r="D31" s="85" t="str">
        <f ca="1">IFERROR(INDIRECT(CONCATENATE("Track1!f",A25+7)),"")</f>
        <v>Ryan MCCARTHY</v>
      </c>
      <c r="E31" s="85" t="str">
        <f ca="1">IFERROR(INDIRECT(CONCATENATE("Track1!g",A25+7)),"")</f>
        <v>ECHT</v>
      </c>
      <c r="F31" s="395">
        <f ca="1">IFERROR(INDIRECT(CONCATENATE("Track1!h",A25+7)),"")</f>
        <v>23.1</v>
      </c>
      <c r="G31" s="108">
        <f ca="1">IFERROR(INDIRECT(CONCATENATE("Track1!i",A25+7)),"")</f>
        <v>2</v>
      </c>
      <c r="H31" s="66"/>
      <c r="I31" s="66">
        <f ca="1">IFERROR(INDIRECT(CONCATENATE("Track1!k",A25+7)),"")</f>
        <v>6</v>
      </c>
      <c r="J31" s="66">
        <f ca="1">IFERROR(INDIRECT(CONCATENATE("Track1!l",A25+7)),"")</f>
        <v>44</v>
      </c>
      <c r="K31" s="85" t="str">
        <f ca="1">IFERROR(INDIRECT(CONCATENATE("Track1!m",A25+7)),"")</f>
        <v>Alexander MCLAREN</v>
      </c>
      <c r="L31" s="85" t="str">
        <f ca="1">IFERROR(INDIRECT(CONCATENATE("Track1!n",A25+7)),"")</f>
        <v>Macc</v>
      </c>
      <c r="M31" s="395">
        <f ca="1">IFERROR(INDIRECT(CONCATENATE("Track1!o",A25+7)),"")</f>
        <v>23.9</v>
      </c>
      <c r="N31" s="108" t="str">
        <f ca="1">IFERROR(INDIRECT(CONCATENATE("Track1!p",A25+7)),"")</f>
        <v/>
      </c>
      <c r="T31" s="64">
        <f t="shared" ca="1" si="0"/>
        <v>3</v>
      </c>
      <c r="U31" s="64">
        <f t="shared" ca="1" si="1"/>
        <v>2</v>
      </c>
      <c r="V31" s="266">
        <f ca="1">IF(OR(D31=0,D31="",D31="Athlete"),"",COUNTIF($D$4:$D31,D31))</f>
        <v>2</v>
      </c>
      <c r="W31" s="266" t="str">
        <f t="shared" ca="1" si="2"/>
        <v>ECHT</v>
      </c>
      <c r="Z31" s="266">
        <f t="shared" ca="1" si="3"/>
        <v>0</v>
      </c>
    </row>
    <row r="32" spans="1:26" x14ac:dyDescent="0.35">
      <c r="B32" s="66">
        <f ca="1">IFERROR(INDIRECT(CONCATENATE("Track1!D",A25+8)),"")</f>
        <v>7</v>
      </c>
      <c r="C32" s="66">
        <f ca="1">IFERROR(INDIRECT(CONCATENATE("Track1!e",A25+8)),"")</f>
        <v>5</v>
      </c>
      <c r="D32" s="85" t="str">
        <f ca="1">IFERROR(INDIRECT(CONCATENATE("Track1!f",A25+8)),"")</f>
        <v>Perry MARSLAND</v>
      </c>
      <c r="E32" s="85" t="str">
        <f ca="1">IFERROR(INDIRECT(CONCATENATE("Track1!g",A25+8)),"")</f>
        <v>Menai</v>
      </c>
      <c r="F32" s="395">
        <f ca="1">IFERROR(INDIRECT(CONCATENATE("Track1!h",A25+8)),"")</f>
        <v>24.3</v>
      </c>
      <c r="G32" s="108" t="str">
        <f ca="1">IFERROR(INDIRECT(CONCATENATE("Track1!i",A25+8)),"")</f>
        <v/>
      </c>
      <c r="H32" s="66"/>
      <c r="I32" s="66">
        <f ca="1">IFERROR(INDIRECT(CONCATENATE("Track1!k",A25+8)),"")</f>
        <v>7</v>
      </c>
      <c r="J32" s="66">
        <f ca="1">IFERROR(INDIRECT(CONCATENATE("Track1!l",A25+8)),"")</f>
        <v>0</v>
      </c>
      <c r="K32" s="85" t="str">
        <f ca="1">IFERROR(INDIRECT(CONCATENATE("Track1!m",A25+8)),"")</f>
        <v/>
      </c>
      <c r="L32" s="85" t="str">
        <f ca="1">IFERROR(INDIRECT(CONCATENATE("Track1!n",A25+8)),"")</f>
        <v/>
      </c>
      <c r="M32" s="395">
        <f ca="1">IFERROR(INDIRECT(CONCATENATE("Track1!o",A25+8)),"")</f>
        <v>0</v>
      </c>
      <c r="N32" s="108" t="str">
        <f ca="1">IFERROR(INDIRECT(CONCATENATE("Track1!p",A25+8)),"")</f>
        <v/>
      </c>
      <c r="T32" s="64">
        <f t="shared" ca="1" si="0"/>
        <v>2</v>
      </c>
      <c r="U32" s="64" t="str">
        <f t="shared" ca="1" si="1"/>
        <v/>
      </c>
      <c r="V32" s="266">
        <f ca="1">IF(OR(D32=0,D32="",D32="Athlete"),"",COUNTIF($D$4:$D32,D32))</f>
        <v>1</v>
      </c>
      <c r="W32" s="266" t="str">
        <f t="shared" ca="1" si="2"/>
        <v>Menai</v>
      </c>
      <c r="Z32" s="266" t="str">
        <f t="shared" ca="1" si="3"/>
        <v/>
      </c>
    </row>
    <row r="33" spans="1:26" x14ac:dyDescent="0.35">
      <c r="B33" s="66">
        <f ca="1">IFERROR(INDIRECT(CONCATENATE("Track1!D",A25+9)),"")</f>
        <v>8</v>
      </c>
      <c r="C33" s="66">
        <f ca="1">IFERROR(INDIRECT(CONCATENATE("Track1!e",A25+9)),"")</f>
        <v>0</v>
      </c>
      <c r="D33" s="85" t="str">
        <f ca="1">IFERROR(INDIRECT(CONCATENATE("Track1!f",A25+9)),"")</f>
        <v/>
      </c>
      <c r="E33" s="85" t="str">
        <f ca="1">IFERROR(INDIRECT(CONCATENATE("Track1!g",A25+9)),"")</f>
        <v/>
      </c>
      <c r="F33" s="395">
        <f ca="1">IFERROR(INDIRECT(CONCATENATE("Track1!h",A25+9)),"")</f>
        <v>0</v>
      </c>
      <c r="G33" s="108" t="str">
        <f ca="1">IFERROR(INDIRECT(CONCATENATE("Track1!i",A25+9)),"")</f>
        <v/>
      </c>
      <c r="H33" s="66"/>
      <c r="I33" s="66">
        <f ca="1">IFERROR(INDIRECT(CONCATENATE("Track1!k",A25+9)),"")</f>
        <v>8</v>
      </c>
      <c r="J33" s="66">
        <f ca="1">IFERROR(INDIRECT(CONCATENATE("Track1!l",A25+9)),"")</f>
        <v>0</v>
      </c>
      <c r="K33" s="85" t="str">
        <f ca="1">IFERROR(INDIRECT(CONCATENATE("Track1!m",A25+9)),"")</f>
        <v/>
      </c>
      <c r="L33" s="85" t="str">
        <f ca="1">IFERROR(INDIRECT(CONCATENATE("Track1!n",A25+9)),"")</f>
        <v/>
      </c>
      <c r="M33" s="395">
        <f ca="1">IFERROR(INDIRECT(CONCATENATE("Track1!o",A25+9)),"")</f>
        <v>0</v>
      </c>
      <c r="N33" s="108" t="str">
        <f ca="1">IFERROR(INDIRECT(CONCATENATE("Track1!p",A25+9)),"")</f>
        <v/>
      </c>
      <c r="T33" s="64" t="str">
        <f t="shared" ca="1" si="0"/>
        <v/>
      </c>
      <c r="U33" s="64" t="str">
        <f t="shared" ca="1" si="1"/>
        <v/>
      </c>
      <c r="V33" s="266" t="str">
        <f ca="1">IF(OR(D33=0,D33="",D33="Athlete"),"",COUNTIF($D$4:$D33,D33))</f>
        <v/>
      </c>
      <c r="W33" s="266" t="str">
        <f t="shared" ca="1" si="2"/>
        <v/>
      </c>
      <c r="Z33" s="266" t="str">
        <f t="shared" ca="1" si="3"/>
        <v/>
      </c>
    </row>
    <row r="34" spans="1:26" x14ac:dyDescent="0.35">
      <c r="T34" s="64" t="str">
        <f t="shared" si="0"/>
        <v/>
      </c>
      <c r="U34" s="64" t="str">
        <f t="shared" si="1"/>
        <v/>
      </c>
      <c r="V34" s="266" t="str">
        <f>IF(OR(D34=0,D34="",D34="Athlete"),"",COUNTIF($D$4:$D34,D34))</f>
        <v/>
      </c>
      <c r="W34" s="266" t="str">
        <f t="shared" si="2"/>
        <v/>
      </c>
      <c r="Z34" s="266" t="str">
        <f t="shared" si="3"/>
        <v/>
      </c>
    </row>
    <row r="35" spans="1:26" x14ac:dyDescent="0.35">
      <c r="A35" s="66" t="s">
        <v>349</v>
      </c>
      <c r="B35" s="102" t="str">
        <f ca="1">IFERROR(INDIRECT(CONCATENATE("Track1!D",A36)),"")</f>
        <v>800m U13 Boys A</v>
      </c>
      <c r="F35" s="254">
        <f ca="1">IFERROR(INDIRECT(CONCATENATE("Track1!h",A36)),"")</f>
        <v>0</v>
      </c>
      <c r="G35" s="108" t="str">
        <f ca="1">IFERROR(INDIRECT(CONCATENATE("Track1!i",A36)),"")</f>
        <v/>
      </c>
      <c r="I35" s="102" t="str">
        <f ca="1">IFERROR(INDIRECT(CONCATENATE("Track1!k",A36)),"")</f>
        <v>800m U13 Boys B</v>
      </c>
      <c r="T35" s="64" t="str">
        <f t="shared" si="0"/>
        <v/>
      </c>
      <c r="U35" s="64" t="str">
        <f t="shared" si="1"/>
        <v/>
      </c>
      <c r="V35" s="266" t="str">
        <f>IF(OR(D35=0,D35="",D35="Athlete"),"",COUNTIF($D$4:$D35,D35))</f>
        <v/>
      </c>
      <c r="W35" s="266" t="str">
        <f t="shared" si="2"/>
        <v/>
      </c>
      <c r="Z35" s="266" t="str">
        <f t="shared" ca="1" si="3"/>
        <v/>
      </c>
    </row>
    <row r="36" spans="1:26" x14ac:dyDescent="0.35">
      <c r="A36" s="66">
        <f>IFERROR(MATCH(A35,Track1!C:C,0),"")</f>
        <v>211</v>
      </c>
      <c r="B36" s="45" t="str">
        <f ca="1">IFERROR(INDIRECT(CONCATENATE("Track1!D",A36+1)),"")</f>
        <v>Posn</v>
      </c>
      <c r="C36" s="45" t="str">
        <f ca="1">IFERROR(INDIRECT(CONCATENATE("Track1!e",A36+1)),"")</f>
        <v>No.</v>
      </c>
      <c r="D36" s="139" t="str">
        <f ca="1">IFERROR(INDIRECT(CONCATENATE("Track1!f",A36+1)),"")</f>
        <v>Athlete</v>
      </c>
      <c r="E36" s="139" t="str">
        <f ca="1">IFERROR(INDIRECT(CONCATENATE("Track1!g",A36+1)),"")</f>
        <v>Club</v>
      </c>
      <c r="F36" s="133" t="str">
        <f ca="1">IFERROR(INDIRECT(CONCATENATE("Track1!h",A36+1)),"")</f>
        <v>Perf</v>
      </c>
      <c r="G36" s="167" t="str">
        <f ca="1">IFERROR(INDIRECT(CONCATENATE("Track1!i",A36+1)),"")</f>
        <v>EA</v>
      </c>
      <c r="H36" s="45"/>
      <c r="I36" s="45" t="str">
        <f ca="1">IFERROR(INDIRECT(CONCATENATE("Track1!k",A36+1)),"")</f>
        <v>Posn</v>
      </c>
      <c r="J36" s="45" t="str">
        <f ca="1">IFERROR(INDIRECT(CONCATENATE("Track1!l",A36+1)),"")</f>
        <v>No.</v>
      </c>
      <c r="K36" s="139" t="str">
        <f ca="1">IFERROR(INDIRECT(CONCATENATE("Track1!m",A36+1)),"")</f>
        <v>Athlete</v>
      </c>
      <c r="L36" s="139" t="str">
        <f ca="1">IFERROR(INDIRECT(CONCATENATE("Track1!n",A36+1)),"")</f>
        <v>Club</v>
      </c>
      <c r="M36" s="133" t="str">
        <f ca="1">IFERROR(INDIRECT(CONCATENATE("Track1!o",A36+1)),"")</f>
        <v>Perf</v>
      </c>
      <c r="N36" s="167" t="str">
        <f ca="1">IFERROR(INDIRECT(CONCATENATE("Track1!p",A36+1)),"")</f>
        <v>EA</v>
      </c>
      <c r="T36" s="64" t="str">
        <f t="shared" ca="1" si="0"/>
        <v/>
      </c>
      <c r="U36" s="64" t="str">
        <f t="shared" ca="1" si="1"/>
        <v/>
      </c>
      <c r="V36" s="266" t="str">
        <f ca="1">IF(OR(D36=0,D36="",D36="Athlete"),"",COUNTIF($D$4:$D36,D36))</f>
        <v/>
      </c>
      <c r="W36" s="266" t="str">
        <f t="shared" ca="1" si="2"/>
        <v/>
      </c>
      <c r="Z36" s="266">
        <f t="shared" ca="1" si="3"/>
        <v>0</v>
      </c>
    </row>
    <row r="37" spans="1:26" x14ac:dyDescent="0.35">
      <c r="B37" s="66">
        <f ca="1">IFERROR(INDIRECT(CONCATENATE("Track1!D",A36+2)),"")</f>
        <v>1</v>
      </c>
      <c r="C37" s="66">
        <f ca="1">IFERROR(INDIRECT(CONCATENATE("Track1!e",A36+2)),"")</f>
        <v>4</v>
      </c>
      <c r="D37" s="85" t="str">
        <f ca="1">IFERROR(INDIRECT(CONCATENATE("Track1!f",A36+2)),"")</f>
        <v>Samuel SAVAGE</v>
      </c>
      <c r="E37" s="85" t="str">
        <f ca="1">IFERROR(INDIRECT(CONCATENATE("Track1!g",A36+2)),"")</f>
        <v>Macc</v>
      </c>
      <c r="F37" s="96">
        <f ca="1">IFERROR(INDIRECT(CONCATENATE("Track1!V",A36+2)),"")</f>
        <v>1.8148148148148147E-3</v>
      </c>
      <c r="G37" s="108">
        <f ca="1">IFERROR(INDIRECT(CONCATENATE("Track1!i",A36+2)),"")</f>
        <v>4</v>
      </c>
      <c r="H37" s="66"/>
      <c r="I37" s="66">
        <f ca="1">IFERROR(INDIRECT(CONCATENATE("Track1!k",A36+2)),"")</f>
        <v>1</v>
      </c>
      <c r="J37" s="66">
        <f ca="1">IFERROR(INDIRECT(CONCATENATE("Track1!l",A36+2)),"")</f>
        <v>77</v>
      </c>
      <c r="K37" s="85" t="str">
        <f ca="1">IFERROR(INDIRECT(CONCATENATE("Track1!m",A36+2)),"")</f>
        <v>James DARBY</v>
      </c>
      <c r="L37" s="85" t="str">
        <f ca="1">IFERROR(INDIRECT(CONCATENATE("Track1!n",A36+2)),"")</f>
        <v>Wigan</v>
      </c>
      <c r="M37" s="96">
        <f ca="1">IFERROR(INDIRECT(CONCATENATE("Track1!w",A36+2)),"")</f>
        <v>2.006944444444444E-3</v>
      </c>
      <c r="N37" s="108" t="str">
        <f ca="1">IFERROR(INDIRECT(CONCATENATE("Track1!p",A36+2)),"")</f>
        <v/>
      </c>
      <c r="R37" s="168">
        <f ca="1">IFERROR(INDIRECT(CONCATENATE("Track1!r",A36+2)),"")</f>
        <v>10</v>
      </c>
      <c r="T37" s="64">
        <f t="shared" ca="1" si="0"/>
        <v>3</v>
      </c>
      <c r="U37" s="64">
        <f t="shared" ca="1" si="1"/>
        <v>2</v>
      </c>
      <c r="V37" s="266">
        <f ca="1">IF(OR(D37=0,D37="",D37="Athlete"),"",COUNTIF($D$4:$D37,D37))</f>
        <v>2</v>
      </c>
      <c r="W37" s="266" t="str">
        <f t="shared" ca="1" si="2"/>
        <v>Macc</v>
      </c>
      <c r="Z37" s="266">
        <f t="shared" ca="1" si="3"/>
        <v>0</v>
      </c>
    </row>
    <row r="38" spans="1:26" x14ac:dyDescent="0.35">
      <c r="B38" s="66">
        <f ca="1">IFERROR(INDIRECT(CONCATENATE("Track1!D",A36+3)),"")</f>
        <v>2</v>
      </c>
      <c r="C38" s="66">
        <f ca="1">IFERROR(INDIRECT(CONCATENATE("Track1!e",A36+3)),"")</f>
        <v>1</v>
      </c>
      <c r="D38" s="85" t="str">
        <f ca="1">IFERROR(INDIRECT(CONCATENATE("Track1!f",A36+3)),"")</f>
        <v>Charlie SMITH</v>
      </c>
      <c r="E38" s="85" t="str">
        <f ca="1">IFERROR(INDIRECT(CONCATENATE("Track1!g",A36+3)),"")</f>
        <v>C&amp;N</v>
      </c>
      <c r="F38" s="96">
        <f ca="1">IFERROR(INDIRECT(CONCATENATE("Track1!V",A36+3)),"")</f>
        <v>1.8402777777777777E-3</v>
      </c>
      <c r="G38" s="108">
        <f ca="1">IFERROR(INDIRECT(CONCATENATE("Track1!i",A36+3)),"")</f>
        <v>4</v>
      </c>
      <c r="H38" s="66"/>
      <c r="I38" s="66">
        <f ca="1">IFERROR(INDIRECT(CONCATENATE("Track1!k",A36+3)),"")</f>
        <v>2</v>
      </c>
      <c r="J38" s="66">
        <f ca="1">IFERROR(INDIRECT(CONCATENATE("Track1!l",A36+3)),"")</f>
        <v>33</v>
      </c>
      <c r="K38" s="85" t="str">
        <f ca="1">IFERROR(INDIRECT(CONCATENATE("Track1!m",A36+3)),"")</f>
        <v>Henri MANNION</v>
      </c>
      <c r="L38" s="85" t="str">
        <f ca="1">IFERROR(INDIRECT(CONCATENATE("Track1!n",A36+3)),"")</f>
        <v>Leigh</v>
      </c>
      <c r="M38" s="96">
        <f ca="1">IFERROR(INDIRECT(CONCATENATE("Track1!w",A36+3)),"")</f>
        <v>2.0231481481481485E-3</v>
      </c>
      <c r="N38" s="108" t="str">
        <f ca="1">IFERROR(INDIRECT(CONCATENATE("Track1!p",A36+3)),"")</f>
        <v/>
      </c>
      <c r="T38" s="64">
        <f t="shared" ca="1" si="0"/>
        <v>3</v>
      </c>
      <c r="U38" s="64">
        <f t="shared" ca="1" si="1"/>
        <v>2</v>
      </c>
      <c r="V38" s="266">
        <f ca="1">IF(OR(D38=0,D38="",D38="Athlete"),"",COUNTIF($D$4:$D38,D38))</f>
        <v>2</v>
      </c>
      <c r="W38" s="266" t="str">
        <f t="shared" ca="1" si="2"/>
        <v>C&amp;N</v>
      </c>
      <c r="Z38" s="266">
        <f t="shared" ca="1" si="3"/>
        <v>0</v>
      </c>
    </row>
    <row r="39" spans="1:26" x14ac:dyDescent="0.35">
      <c r="B39" s="66">
        <f ca="1">IFERROR(INDIRECT(CONCATENATE("Track1!D",A36+4)),"")</f>
        <v>3</v>
      </c>
      <c r="C39" s="66">
        <f ca="1">IFERROR(INDIRECT(CONCATENATE("Track1!e",A36+4)),"")</f>
        <v>3</v>
      </c>
      <c r="D39" s="85" t="str">
        <f ca="1">IFERROR(INDIRECT(CONCATENATE("Track1!f",A36+4)),"")</f>
        <v>James HOWARTH-LINTON</v>
      </c>
      <c r="E39" s="85" t="str">
        <f ca="1">IFERROR(INDIRECT(CONCATENATE("Track1!g",A36+4)),"")</f>
        <v>Leigh</v>
      </c>
      <c r="F39" s="96">
        <f ca="1">IFERROR(INDIRECT(CONCATENATE("Track1!V",A36+4)),"")</f>
        <v>1.9085648148148145E-3</v>
      </c>
      <c r="G39" s="108">
        <f ca="1">IFERROR(INDIRECT(CONCATENATE("Track1!i",A36+4)),"")</f>
        <v>3</v>
      </c>
      <c r="H39" s="66"/>
      <c r="I39" s="66">
        <f ca="1">IFERROR(INDIRECT(CONCATENATE("Track1!k",A36+4)),"")</f>
        <v>3</v>
      </c>
      <c r="J39" s="66">
        <f ca="1">IFERROR(INDIRECT(CONCATENATE("Track1!l",A36+4)),"")</f>
        <v>44</v>
      </c>
      <c r="K39" s="85" t="str">
        <f ca="1">IFERROR(INDIRECT(CONCATENATE("Track1!m",A36+4)),"")</f>
        <v>Tomas BEDOYA</v>
      </c>
      <c r="L39" s="85" t="str">
        <f ca="1">IFERROR(INDIRECT(CONCATENATE("Track1!n",A36+4)),"")</f>
        <v>Macc</v>
      </c>
      <c r="M39" s="96">
        <f ca="1">IFERROR(INDIRECT(CONCATENATE("Track1!w",A36+4)),"")</f>
        <v>2.1111111111111113E-3</v>
      </c>
      <c r="N39" s="108" t="str">
        <f ca="1">IFERROR(INDIRECT(CONCATENATE("Track1!p",A36+4)),"")</f>
        <v/>
      </c>
      <c r="T39" s="64">
        <f t="shared" ca="1" si="0"/>
        <v>2</v>
      </c>
      <c r="U39" s="64">
        <f t="shared" ca="1" si="1"/>
        <v>3</v>
      </c>
      <c r="V39" s="266">
        <f ca="1">IF(OR(D39=0,D39="",D39="Athlete"),"",COUNTIF($D$4:$D39,D39))</f>
        <v>1</v>
      </c>
      <c r="W39" s="266" t="str">
        <f t="shared" ca="1" si="2"/>
        <v>Leigh</v>
      </c>
      <c r="Z39" s="266">
        <f t="shared" ca="1" si="3"/>
        <v>0</v>
      </c>
    </row>
    <row r="40" spans="1:26" x14ac:dyDescent="0.35">
      <c r="B40" s="66">
        <f ca="1">IFERROR(INDIRECT(CONCATENATE("Track1!D",A36+5)),"")</f>
        <v>4</v>
      </c>
      <c r="C40" s="66">
        <f ca="1">IFERROR(INDIRECT(CONCATENATE("Track1!e",A36+5)),"")</f>
        <v>2</v>
      </c>
      <c r="D40" s="85" t="str">
        <f ca="1">IFERROR(INDIRECT(CONCATENATE("Track1!f",A36+5)),"")</f>
        <v>Zachary JONES</v>
      </c>
      <c r="E40" s="85" t="str">
        <f ca="1">IFERROR(INDIRECT(CONCATENATE("Track1!g",A36+5)),"")</f>
        <v>ECHT</v>
      </c>
      <c r="F40" s="96">
        <f ca="1">IFERROR(INDIRECT(CONCATENATE("Track1!V",A36+5)),"")</f>
        <v>2.0243055555555552E-3</v>
      </c>
      <c r="G40" s="108" t="str">
        <f ca="1">IFERROR(INDIRECT(CONCATENATE("Track1!i",A36+5)),"")</f>
        <v/>
      </c>
      <c r="H40" s="66"/>
      <c r="I40" s="66">
        <f ca="1">IFERROR(INDIRECT(CONCATENATE("Track1!k",A36+5)),"")</f>
        <v>4</v>
      </c>
      <c r="J40" s="66">
        <f ca="1">IFERROR(INDIRECT(CONCATENATE("Track1!l",A36+5)),"")</f>
        <v>11</v>
      </c>
      <c r="K40" s="85" t="str">
        <f ca="1">IFERROR(INDIRECT(CONCATENATE("Track1!m",A36+5)),"")</f>
        <v>Gabriel BRZEZINSKI</v>
      </c>
      <c r="L40" s="85" t="str">
        <f ca="1">IFERROR(INDIRECT(CONCATENATE("Track1!n",A36+5)),"")</f>
        <v>C&amp;N</v>
      </c>
      <c r="M40" s="96">
        <f ca="1">IFERROR(INDIRECT(CONCATENATE("Track1!w",A36+5)),"")</f>
        <v>2.1122685185185185E-3</v>
      </c>
      <c r="N40" s="108" t="str">
        <f ca="1">IFERROR(INDIRECT(CONCATENATE("Track1!p",A36+5)),"")</f>
        <v/>
      </c>
      <c r="T40" s="64">
        <f t="shared" ca="1" si="0"/>
        <v>1</v>
      </c>
      <c r="U40" s="64">
        <f t="shared" ca="1" si="1"/>
        <v>3</v>
      </c>
      <c r="V40" s="266">
        <f ca="1">IF(OR(D40=0,D40="",D40="Athlete"),"",COUNTIF($D$4:$D40,D40))</f>
        <v>1</v>
      </c>
      <c r="W40" s="266" t="str">
        <f t="shared" ca="1" si="2"/>
        <v>ECHT</v>
      </c>
      <c r="Z40" s="266" t="str">
        <f t="shared" ca="1" si="3"/>
        <v/>
      </c>
    </row>
    <row r="41" spans="1:26" x14ac:dyDescent="0.35">
      <c r="B41" s="66">
        <f ca="1">IFERROR(INDIRECT(CONCATENATE("Track1!D",A36+6)),"")</f>
        <v>5</v>
      </c>
      <c r="C41" s="66">
        <f ca="1">IFERROR(INDIRECT(CONCATENATE("Track1!e",A36+6)),"")</f>
        <v>7</v>
      </c>
      <c r="D41" s="85" t="str">
        <f ca="1">IFERROR(INDIRECT(CONCATENATE("Track1!f",A36+6)),"")</f>
        <v>Charlie STRETTON</v>
      </c>
      <c r="E41" s="85" t="str">
        <f ca="1">IFERROR(INDIRECT(CONCATENATE("Track1!g",A36+6)),"")</f>
        <v>Wigan</v>
      </c>
      <c r="F41" s="96">
        <f ca="1">IFERROR(INDIRECT(CONCATENATE("Track1!V",A36+6)),"")</f>
        <v>2.0682870370370373E-3</v>
      </c>
      <c r="G41" s="108" t="str">
        <f ca="1">IFERROR(INDIRECT(CONCATENATE("Track1!i",A36+6)),"")</f>
        <v/>
      </c>
      <c r="H41" s="66"/>
      <c r="I41" s="66">
        <f ca="1">IFERROR(INDIRECT(CONCATENATE("Track1!k",A36+6)),"")</f>
        <v>5</v>
      </c>
      <c r="J41" s="66">
        <f ca="1">IFERROR(INDIRECT(CONCATENATE("Track1!l",A36+6)),"")</f>
        <v>22</v>
      </c>
      <c r="K41" s="85" t="str">
        <f ca="1">IFERROR(INDIRECT(CONCATENATE("Track1!m",A36+6)),"")</f>
        <v>Jake REANEY</v>
      </c>
      <c r="L41" s="85" t="str">
        <f ca="1">IFERROR(INDIRECT(CONCATENATE("Track1!n",A36+6)),"")</f>
        <v>ECHT</v>
      </c>
      <c r="M41" s="96">
        <f ca="1">IFERROR(INDIRECT(CONCATENATE("Track1!w",A36+6)),"")</f>
        <v>2.181712962962963E-3</v>
      </c>
      <c r="N41" s="108" t="str">
        <f ca="1">IFERROR(INDIRECT(CONCATENATE("Track1!p",A36+6)),"")</f>
        <v/>
      </c>
      <c r="T41" s="64">
        <f t="shared" ca="1" si="0"/>
        <v>3</v>
      </c>
      <c r="U41" s="64">
        <f t="shared" ca="1" si="1"/>
        <v>2</v>
      </c>
      <c r="V41" s="266">
        <f ca="1">IF(OR(D41=0,D41="",D41="Athlete"),"",COUNTIF($D$4:$D41,D41))</f>
        <v>1</v>
      </c>
      <c r="W41" s="266" t="str">
        <f t="shared" ca="1" si="2"/>
        <v>Wigan</v>
      </c>
      <c r="Z41" s="266" t="str">
        <f t="shared" ca="1" si="3"/>
        <v/>
      </c>
    </row>
    <row r="42" spans="1:26" x14ac:dyDescent="0.35">
      <c r="B42" s="66">
        <f ca="1">IFERROR(INDIRECT(CONCATENATE("Track1!D",A36+7)),"")</f>
        <v>6</v>
      </c>
      <c r="C42" s="66">
        <f ca="1">IFERROR(INDIRECT(CONCATENATE("Track1!e",A36+7)),"")</f>
        <v>0</v>
      </c>
      <c r="D42" s="85" t="str">
        <f ca="1">IFERROR(INDIRECT(CONCATENATE("Track1!f",A36+7)),"")</f>
        <v/>
      </c>
      <c r="E42" s="85" t="str">
        <f ca="1">IFERROR(INDIRECT(CONCATENATE("Track1!g",A36+7)),"")</f>
        <v/>
      </c>
      <c r="F42" s="96">
        <f ca="1">IFERROR(INDIRECT(CONCATENATE("Track1!V",A36+7)),"")</f>
        <v>0</v>
      </c>
      <c r="G42" s="108" t="str">
        <f ca="1">IFERROR(INDIRECT(CONCATENATE("Track1!i",A36+7)),"")</f>
        <v/>
      </c>
      <c r="H42" s="66"/>
      <c r="I42" s="66">
        <f ca="1">IFERROR(INDIRECT(CONCATENATE("Track1!k",A36+7)),"")</f>
        <v>6</v>
      </c>
      <c r="J42" s="66">
        <f ca="1">IFERROR(INDIRECT(CONCATENATE("Track1!l",A36+7)),"")</f>
        <v>0</v>
      </c>
      <c r="K42" s="85" t="str">
        <f ca="1">IFERROR(INDIRECT(CONCATENATE("Track1!m",A36+7)),"")</f>
        <v/>
      </c>
      <c r="L42" s="85" t="str">
        <f ca="1">IFERROR(INDIRECT(CONCATENATE("Track1!n",A36+7)),"")</f>
        <v/>
      </c>
      <c r="M42" s="96">
        <f ca="1">IFERROR(INDIRECT(CONCATENATE("Track1!w",A36+7)),"")</f>
        <v>0</v>
      </c>
      <c r="N42" s="108" t="str">
        <f ca="1">IFERROR(INDIRECT(CONCATENATE("Track1!p",A36+7)),"")</f>
        <v/>
      </c>
      <c r="T42" s="64" t="str">
        <f t="shared" ca="1" si="0"/>
        <v/>
      </c>
      <c r="U42" s="64" t="str">
        <f t="shared" ca="1" si="1"/>
        <v/>
      </c>
      <c r="V42" s="266" t="str">
        <f ca="1">IF(OR(D42=0,D42="",D42="Athlete"),"",COUNTIF($D$4:$D42,D42))</f>
        <v/>
      </c>
      <c r="W42" s="266" t="str">
        <f t="shared" ca="1" si="2"/>
        <v/>
      </c>
      <c r="Z42" s="266" t="str">
        <f t="shared" ca="1" si="3"/>
        <v/>
      </c>
    </row>
    <row r="43" spans="1:26" x14ac:dyDescent="0.35">
      <c r="B43" s="66">
        <f ca="1">IFERROR(INDIRECT(CONCATENATE("Track1!D",A36+8)),"")</f>
        <v>7</v>
      </c>
      <c r="C43" s="66">
        <f ca="1">IFERROR(INDIRECT(CONCATENATE("Track1!e",A36+8)),"")</f>
        <v>0</v>
      </c>
      <c r="D43" s="85" t="str">
        <f ca="1">IFERROR(INDIRECT(CONCATENATE("Track1!f",A36+8)),"")</f>
        <v/>
      </c>
      <c r="E43" s="85" t="str">
        <f ca="1">IFERROR(INDIRECT(CONCATENATE("Track1!g",A36+8)),"")</f>
        <v/>
      </c>
      <c r="F43" s="96">
        <f ca="1">IFERROR(INDIRECT(CONCATENATE("Track1!V",A36+8)),"")</f>
        <v>0</v>
      </c>
      <c r="G43" s="108" t="str">
        <f ca="1">IFERROR(INDIRECT(CONCATENATE("Track1!i",A36+8)),"")</f>
        <v/>
      </c>
      <c r="H43" s="66"/>
      <c r="I43" s="66">
        <f ca="1">IFERROR(INDIRECT(CONCATENATE("Track1!k",A36+8)),"")</f>
        <v>7</v>
      </c>
      <c r="J43" s="66">
        <f ca="1">IFERROR(INDIRECT(CONCATENATE("Track1!l",A36+8)),"")</f>
        <v>0</v>
      </c>
      <c r="K43" s="85" t="str">
        <f ca="1">IFERROR(INDIRECT(CONCATENATE("Track1!m",A36+8)),"")</f>
        <v/>
      </c>
      <c r="L43" s="85" t="str">
        <f ca="1">IFERROR(INDIRECT(CONCATENATE("Track1!n",A36+8)),"")</f>
        <v/>
      </c>
      <c r="M43" s="96">
        <f ca="1">IFERROR(INDIRECT(CONCATENATE("Track1!w",A36+8)),"")</f>
        <v>0</v>
      </c>
      <c r="N43" s="108" t="str">
        <f ca="1">IFERROR(INDIRECT(CONCATENATE("Track1!p",A36+8)),"")</f>
        <v/>
      </c>
      <c r="T43" s="64" t="str">
        <f t="shared" ca="1" si="0"/>
        <v/>
      </c>
      <c r="U43" s="64" t="str">
        <f t="shared" ca="1" si="1"/>
        <v/>
      </c>
      <c r="V43" s="266" t="str">
        <f ca="1">IF(OR(D43=0,D43="",D43="Athlete"),"",COUNTIF($D$4:$D43,D43))</f>
        <v/>
      </c>
      <c r="W43" s="266" t="str">
        <f t="shared" ca="1" si="2"/>
        <v/>
      </c>
      <c r="Z43" s="266" t="str">
        <f t="shared" ca="1" si="3"/>
        <v/>
      </c>
    </row>
    <row r="44" spans="1:26" x14ac:dyDescent="0.35">
      <c r="B44" s="66">
        <f ca="1">IFERROR(INDIRECT(CONCATENATE("Track1!D",A36+9)),"")</f>
        <v>8</v>
      </c>
      <c r="C44" s="66">
        <f ca="1">IFERROR(INDIRECT(CONCATENATE("Track1!e",A36+9)),"")</f>
        <v>0</v>
      </c>
      <c r="D44" s="85" t="str">
        <f ca="1">IFERROR(INDIRECT(CONCATENATE("Track1!f",A36+9)),"")</f>
        <v/>
      </c>
      <c r="E44" s="85" t="str">
        <f ca="1">IFERROR(INDIRECT(CONCATENATE("Track1!g",A36+9)),"")</f>
        <v/>
      </c>
      <c r="F44" s="96">
        <f ca="1">IFERROR(INDIRECT(CONCATENATE("Track1!V",A36+9)),"")</f>
        <v>0</v>
      </c>
      <c r="G44" s="108" t="str">
        <f ca="1">IFERROR(INDIRECT(CONCATENATE("Track1!i",A36+9)),"")</f>
        <v/>
      </c>
      <c r="H44" s="66"/>
      <c r="I44" s="66">
        <f ca="1">IFERROR(INDIRECT(CONCATENATE("Track1!k",A36+9)),"")</f>
        <v>8</v>
      </c>
      <c r="J44" s="66">
        <f ca="1">IFERROR(INDIRECT(CONCATENATE("Track1!l",A36+9)),"")</f>
        <v>0</v>
      </c>
      <c r="K44" s="85" t="str">
        <f ca="1">IFERROR(INDIRECT(CONCATENATE("Track1!m",A36+9)),"")</f>
        <v/>
      </c>
      <c r="L44" s="85" t="str">
        <f ca="1">IFERROR(INDIRECT(CONCATENATE("Track1!n",A36+9)),"")</f>
        <v/>
      </c>
      <c r="M44" s="96">
        <f ca="1">IFERROR(INDIRECT(CONCATENATE("Track1!w",A36+9)),"")</f>
        <v>0</v>
      </c>
      <c r="N44" s="108" t="str">
        <f ca="1">IFERROR(INDIRECT(CONCATENATE("Track1!p",A36+9)),"")</f>
        <v/>
      </c>
      <c r="T44" s="64" t="str">
        <f t="shared" ca="1" si="0"/>
        <v/>
      </c>
      <c r="U44" s="64" t="str">
        <f t="shared" ca="1" si="1"/>
        <v/>
      </c>
      <c r="V44" s="266" t="str">
        <f ca="1">IF(OR(D44=0,D44="",D44="Athlete"),"",COUNTIF($D$4:$D44,D44))</f>
        <v/>
      </c>
      <c r="W44" s="266" t="str">
        <f t="shared" ca="1" si="2"/>
        <v/>
      </c>
      <c r="Z44" s="266" t="str">
        <f t="shared" ca="1" si="3"/>
        <v/>
      </c>
    </row>
    <row r="45" spans="1:26" x14ac:dyDescent="0.35">
      <c r="F45" s="97"/>
      <c r="M45" s="97"/>
      <c r="T45" s="64" t="str">
        <f t="shared" si="0"/>
        <v/>
      </c>
      <c r="U45" s="64" t="str">
        <f t="shared" si="1"/>
        <v/>
      </c>
      <c r="V45" s="266" t="str">
        <f>IF(OR(D45=0,D45="",D45="Athlete"),"",COUNTIF($D$4:$D45,D45))</f>
        <v/>
      </c>
      <c r="W45" s="266" t="str">
        <f t="shared" si="2"/>
        <v/>
      </c>
      <c r="Z45" s="266" t="str">
        <f t="shared" si="3"/>
        <v/>
      </c>
    </row>
    <row r="46" spans="1:26" x14ac:dyDescent="0.35">
      <c r="A46" s="66" t="s">
        <v>353</v>
      </c>
      <c r="B46" s="102" t="str">
        <f ca="1">IFERROR(INDIRECT(CONCATENATE("Track1!D",A47)),"")</f>
        <v>800m NS U13 Boys A</v>
      </c>
      <c r="F46" s="416">
        <f ca="1">IFERROR(INDIRECT(CONCATENATE("Track1!h",A47)),"")</f>
        <v>0</v>
      </c>
      <c r="G46" s="108" t="str">
        <f ca="1">IFERROR(INDIRECT(CONCATENATE("Track1!i",A47)),"")</f>
        <v/>
      </c>
      <c r="I46" s="102" t="str">
        <f ca="1">IFERROR(INDIRECT(CONCATENATE("Track1!k",A47)),"")</f>
        <v>800m NS U13 Boys B</v>
      </c>
      <c r="M46" s="97"/>
      <c r="T46" s="64" t="str">
        <f t="shared" si="0"/>
        <v/>
      </c>
      <c r="U46" s="64" t="str">
        <f t="shared" si="1"/>
        <v/>
      </c>
      <c r="V46" s="266" t="str">
        <f>IF(OR(D46=0,D46="",D46="Athlete"),"",COUNTIF($D$4:$D46,D46))</f>
        <v/>
      </c>
      <c r="W46" s="266" t="str">
        <f t="shared" si="2"/>
        <v/>
      </c>
      <c r="Z46" s="266" t="str">
        <f t="shared" ca="1" si="3"/>
        <v/>
      </c>
    </row>
    <row r="47" spans="1:26" x14ac:dyDescent="0.35">
      <c r="A47" s="66">
        <f>IFERROR(MATCH(A46,Track1!C:C,0),"")</f>
        <v>255</v>
      </c>
      <c r="B47" s="45" t="str">
        <f ca="1">IFERROR(INDIRECT(CONCATENATE("Track1!D",A47+1)),"")</f>
        <v>Posn</v>
      </c>
      <c r="C47" s="45" t="str">
        <f ca="1">IFERROR(INDIRECT(CONCATENATE("Track1!e",A47+1)),"")</f>
        <v>No.</v>
      </c>
      <c r="D47" s="139" t="str">
        <f ca="1">IFERROR(INDIRECT(CONCATENATE("Track1!f",A47+1)),"")</f>
        <v>Athlete</v>
      </c>
      <c r="E47" s="139" t="str">
        <f ca="1">IFERROR(INDIRECT(CONCATENATE("Track1!g",A47+1)),"")</f>
        <v>Club</v>
      </c>
      <c r="F47" s="134" t="str">
        <f ca="1">IFERROR(INDIRECT(CONCATENATE("Track1!h",A47+1)),"")</f>
        <v>Perf</v>
      </c>
      <c r="G47" s="167" t="str">
        <f ca="1">IFERROR(INDIRECT(CONCATENATE("Track1!i",A47+1)),"")</f>
        <v>EA</v>
      </c>
      <c r="H47" s="45"/>
      <c r="I47" s="45" t="str">
        <f ca="1">IFERROR(INDIRECT(CONCATENATE("Track1!k",A47+1)),"")</f>
        <v>Posn</v>
      </c>
      <c r="J47" s="45" t="str">
        <f ca="1">IFERROR(INDIRECT(CONCATENATE("Track1!l",A47+1)),"")</f>
        <v>No.</v>
      </c>
      <c r="K47" s="139" t="str">
        <f ca="1">IFERROR(INDIRECT(CONCATENATE("Track1!m",A47+1)),"")</f>
        <v>Athlete</v>
      </c>
      <c r="L47" s="139" t="str">
        <f ca="1">IFERROR(INDIRECT(CONCATENATE("Track1!n",A47+1)),"")</f>
        <v>Club</v>
      </c>
      <c r="M47" s="134" t="str">
        <f ca="1">IFERROR(INDIRECT(CONCATENATE("Track1!o",A47+1)),"")</f>
        <v>Perf</v>
      </c>
      <c r="N47" s="167" t="str">
        <f ca="1">IFERROR(INDIRECT(CONCATENATE("Track1!p",A47+1)),"")</f>
        <v>EA</v>
      </c>
      <c r="T47" s="64" t="str">
        <f t="shared" ca="1" si="0"/>
        <v/>
      </c>
      <c r="U47" s="64" t="str">
        <f t="shared" ca="1" si="1"/>
        <v/>
      </c>
      <c r="V47" s="266" t="str">
        <f ca="1">IF(OR(D47=0,D47="",D47="Athlete"),"",COUNTIF($D$4:$D47,D47))</f>
        <v/>
      </c>
      <c r="W47" s="266" t="str">
        <f t="shared" ca="1" si="2"/>
        <v/>
      </c>
      <c r="Z47" s="266">
        <f t="shared" ca="1" si="3"/>
        <v>0</v>
      </c>
    </row>
    <row r="48" spans="1:26" x14ac:dyDescent="0.35">
      <c r="B48" s="66">
        <f ca="1">IFERROR(INDIRECT(CONCATENATE("Track1!D",A47+2)),"")</f>
        <v>1</v>
      </c>
      <c r="C48" s="66">
        <f ca="1">IFERROR(INDIRECT(CONCATENATE("Track1!e",A47+2)),"")</f>
        <v>98</v>
      </c>
      <c r="D48" s="85" t="str">
        <f ca="1">IFERROR(INDIRECT(CONCATENATE("Track1!f",A47+2)),"")</f>
        <v/>
      </c>
      <c r="E48" s="85" t="str">
        <f ca="1">IFERROR(INDIRECT(CONCATENATE("Track1!g",A47+2)),"")</f>
        <v>No Competitors</v>
      </c>
      <c r="F48" s="96">
        <f ca="1">IFERROR(INDIRECT(CONCATENATE("Track1!v",A47+2)),"")</f>
        <v>0</v>
      </c>
      <c r="G48" s="108" t="str">
        <f ca="1">IFERROR(INDIRECT(CONCATENATE("Track1!i",A47+2)),"")</f>
        <v/>
      </c>
      <c r="H48" s="66"/>
      <c r="I48" s="66">
        <f ca="1">IFERROR(INDIRECT(CONCATENATE("Track1!k",A47+2)),"")</f>
        <v>1</v>
      </c>
      <c r="J48" s="66">
        <f ca="1">IFERROR(INDIRECT(CONCATENATE("Track1!l",A47+2)),"")</f>
        <v>98</v>
      </c>
      <c r="K48" s="85" t="str">
        <f ca="1">IFERROR(INDIRECT(CONCATENATE("Track1!m",A47+2)),"")</f>
        <v/>
      </c>
      <c r="L48" s="85" t="str">
        <f ca="1">IFERROR(INDIRECT(CONCATENATE("Track1!n",A47+2)),"")</f>
        <v>No Competitors</v>
      </c>
      <c r="M48" s="96">
        <f ca="1">IFERROR(INDIRECT(CONCATENATE("Track1!w",A47+2)),"")</f>
        <v>0</v>
      </c>
      <c r="N48" s="108" t="str">
        <f ca="1">IFERROR(INDIRECT(CONCATENATE("Track1!p",A47+2)),"")</f>
        <v/>
      </c>
      <c r="R48" s="168">
        <f ca="1">IFERROR(INDIRECT(CONCATENATE("Track1!r",A47+2)),"")</f>
        <v>0</v>
      </c>
      <c r="T48" s="64" t="str">
        <f t="shared" ca="1" si="0"/>
        <v/>
      </c>
      <c r="U48" s="64" t="str">
        <f t="shared" ca="1" si="1"/>
        <v/>
      </c>
      <c r="V48" s="266" t="str">
        <f ca="1">IF(OR(D48=0,D48="",D48="Athlete"),"",COUNTIF($D$4:$D48,D48))</f>
        <v/>
      </c>
      <c r="W48" s="266" t="str">
        <f t="shared" ca="1" si="2"/>
        <v/>
      </c>
      <c r="Z48" s="266" t="str">
        <f t="shared" ca="1" si="3"/>
        <v/>
      </c>
    </row>
    <row r="49" spans="1:26" x14ac:dyDescent="0.35">
      <c r="B49" s="66">
        <f ca="1">IFERROR(INDIRECT(CONCATENATE("Track1!D",A47+3)),"")</f>
        <v>2</v>
      </c>
      <c r="C49" s="66">
        <f ca="1">IFERROR(INDIRECT(CONCATENATE("Track1!e",A47+3)),"")</f>
        <v>0</v>
      </c>
      <c r="D49" s="85" t="str">
        <f ca="1">IFERROR(INDIRECT(CONCATENATE("Track1!f",A47+3)),"")</f>
        <v/>
      </c>
      <c r="E49" s="85" t="str">
        <f ca="1">IFERROR(INDIRECT(CONCATENATE("Track1!g",A47+3)),"")</f>
        <v/>
      </c>
      <c r="F49" s="96">
        <f ca="1">IFERROR(INDIRECT(CONCATENATE("Track1!v",A47+3)),"")</f>
        <v>0</v>
      </c>
      <c r="G49" s="108" t="str">
        <f ca="1">IFERROR(INDIRECT(CONCATENATE("Track1!i",A47+3)),"")</f>
        <v/>
      </c>
      <c r="H49" s="66"/>
      <c r="I49" s="66">
        <f ca="1">IFERROR(INDIRECT(CONCATENATE("Track1!k",A47+3)),"")</f>
        <v>2</v>
      </c>
      <c r="J49" s="66">
        <f ca="1">IFERROR(INDIRECT(CONCATENATE("Track1!l",A47+3)),"")</f>
        <v>0</v>
      </c>
      <c r="K49" s="85" t="str">
        <f ca="1">IFERROR(INDIRECT(CONCATENATE("Track1!m",A47+3)),"")</f>
        <v/>
      </c>
      <c r="L49" s="85" t="str">
        <f ca="1">IFERROR(INDIRECT(CONCATENATE("Track1!n",A47+3)),"")</f>
        <v/>
      </c>
      <c r="M49" s="96">
        <f ca="1">IFERROR(INDIRECT(CONCATENATE("Track1!w",A47+3)),"")</f>
        <v>0</v>
      </c>
      <c r="N49" s="108" t="str">
        <f ca="1">IFERROR(INDIRECT(CONCATENATE("Track1!p",A47+3)),"")</f>
        <v/>
      </c>
      <c r="T49" s="64" t="str">
        <f t="shared" ca="1" si="0"/>
        <v/>
      </c>
      <c r="U49" s="64" t="str">
        <f t="shared" ca="1" si="1"/>
        <v/>
      </c>
      <c r="V49" s="266" t="str">
        <f ca="1">IF(OR(D49=0,D49="",D49="Athlete"),"",COUNTIF($D$4:$D49,D49))</f>
        <v/>
      </c>
      <c r="W49" s="266" t="str">
        <f t="shared" ca="1" si="2"/>
        <v/>
      </c>
      <c r="Z49" s="266" t="str">
        <f t="shared" ca="1" si="3"/>
        <v/>
      </c>
    </row>
    <row r="50" spans="1:26" x14ac:dyDescent="0.35">
      <c r="B50" s="66">
        <f ca="1">IFERROR(INDIRECT(CONCATENATE("Track1!D",A47+4)),"")</f>
        <v>3</v>
      </c>
      <c r="C50" s="66">
        <f ca="1">IFERROR(INDIRECT(CONCATENATE("Track1!e",A47+4)),"")</f>
        <v>0</v>
      </c>
      <c r="D50" s="85" t="str">
        <f ca="1">IFERROR(INDIRECT(CONCATENATE("Track1!f",A47+4)),"")</f>
        <v/>
      </c>
      <c r="E50" s="85" t="str">
        <f ca="1">IFERROR(INDIRECT(CONCATENATE("Track1!g",A47+4)),"")</f>
        <v/>
      </c>
      <c r="F50" s="96">
        <f ca="1">IFERROR(INDIRECT(CONCATENATE("Track1!v",A47+4)),"")</f>
        <v>0</v>
      </c>
      <c r="G50" s="108" t="str">
        <f ca="1">IFERROR(INDIRECT(CONCATENATE("Track1!i",A47+4)),"")</f>
        <v/>
      </c>
      <c r="H50" s="66"/>
      <c r="I50" s="66">
        <f ca="1">IFERROR(INDIRECT(CONCATENATE("Track1!k",A47+4)),"")</f>
        <v>3</v>
      </c>
      <c r="J50" s="66">
        <f ca="1">IFERROR(INDIRECT(CONCATENATE("Track1!l",A47+4)),"")</f>
        <v>0</v>
      </c>
      <c r="K50" s="85" t="str">
        <f ca="1">IFERROR(INDIRECT(CONCATENATE("Track1!m",A47+4)),"")</f>
        <v/>
      </c>
      <c r="L50" s="85" t="str">
        <f ca="1">IFERROR(INDIRECT(CONCATENATE("Track1!n",A47+4)),"")</f>
        <v/>
      </c>
      <c r="M50" s="96">
        <f ca="1">IFERROR(INDIRECT(CONCATENATE("Track1!w",A47+4)),"")</f>
        <v>0</v>
      </c>
      <c r="N50" s="108" t="str">
        <f ca="1">IFERROR(INDIRECT(CONCATENATE("Track1!p",A47+4)),"")</f>
        <v/>
      </c>
      <c r="T50" s="64" t="str">
        <f t="shared" ca="1" si="0"/>
        <v/>
      </c>
      <c r="U50" s="64" t="str">
        <f t="shared" ca="1" si="1"/>
        <v/>
      </c>
      <c r="V50" s="266" t="str">
        <f ca="1">IF(OR(D50=0,D50="",D50="Athlete"),"",COUNTIF($D$4:$D50,D50))</f>
        <v/>
      </c>
      <c r="W50" s="266" t="str">
        <f t="shared" ca="1" si="2"/>
        <v/>
      </c>
      <c r="Z50" s="266" t="str">
        <f t="shared" ca="1" si="3"/>
        <v/>
      </c>
    </row>
    <row r="51" spans="1:26" x14ac:dyDescent="0.35">
      <c r="B51" s="66">
        <f ca="1">IFERROR(INDIRECT(CONCATENATE("Track1!D",A47+5)),"")</f>
        <v>4</v>
      </c>
      <c r="C51" s="66">
        <f ca="1">IFERROR(INDIRECT(CONCATENATE("Track1!e",A47+5)),"")</f>
        <v>0</v>
      </c>
      <c r="D51" s="85" t="str">
        <f ca="1">IFERROR(INDIRECT(CONCATENATE("Track1!f",A47+5)),"")</f>
        <v/>
      </c>
      <c r="E51" s="85" t="str">
        <f ca="1">IFERROR(INDIRECT(CONCATENATE("Track1!g",A47+5)),"")</f>
        <v/>
      </c>
      <c r="F51" s="96">
        <f ca="1">IFERROR(INDIRECT(CONCATENATE("Track1!v",A47+5)),"")</f>
        <v>0</v>
      </c>
      <c r="G51" s="108" t="str">
        <f ca="1">IFERROR(INDIRECT(CONCATENATE("Track1!i",A47+5)),"")</f>
        <v/>
      </c>
      <c r="H51" s="66"/>
      <c r="I51" s="66">
        <f ca="1">IFERROR(INDIRECT(CONCATENATE("Track1!k",A47+5)),"")</f>
        <v>4</v>
      </c>
      <c r="J51" s="66">
        <f ca="1">IFERROR(INDIRECT(CONCATENATE("Track1!l",A47+5)),"")</f>
        <v>0</v>
      </c>
      <c r="K51" s="85" t="str">
        <f ca="1">IFERROR(INDIRECT(CONCATENATE("Track1!m",A47+5)),"")</f>
        <v/>
      </c>
      <c r="L51" s="85" t="str">
        <f ca="1">IFERROR(INDIRECT(CONCATENATE("Track1!n",A47+5)),"")</f>
        <v/>
      </c>
      <c r="M51" s="96">
        <f ca="1">IFERROR(INDIRECT(CONCATENATE("Track1!w",A47+5)),"")</f>
        <v>0</v>
      </c>
      <c r="N51" s="108" t="str">
        <f ca="1">IFERROR(INDIRECT(CONCATENATE("Track1!p",A47+5)),"")</f>
        <v/>
      </c>
      <c r="T51" s="64" t="str">
        <f t="shared" ca="1" si="0"/>
        <v/>
      </c>
      <c r="U51" s="64" t="str">
        <f t="shared" ca="1" si="1"/>
        <v/>
      </c>
      <c r="V51" s="266" t="str">
        <f ca="1">IF(OR(D51=0,D51="",D51="Athlete"),"",COUNTIF($D$4:$D51,D51))</f>
        <v/>
      </c>
      <c r="W51" s="266" t="str">
        <f t="shared" ca="1" si="2"/>
        <v/>
      </c>
      <c r="Z51" s="266" t="str">
        <f t="shared" ca="1" si="3"/>
        <v/>
      </c>
    </row>
    <row r="52" spans="1:26" x14ac:dyDescent="0.35">
      <c r="B52" s="66">
        <f ca="1">IFERROR(INDIRECT(CONCATENATE("Track1!D",A47+6)),"")</f>
        <v>5</v>
      </c>
      <c r="C52" s="66">
        <f ca="1">IFERROR(INDIRECT(CONCATENATE("Track1!e",A47+6)),"")</f>
        <v>0</v>
      </c>
      <c r="D52" s="85" t="str">
        <f ca="1">IFERROR(INDIRECT(CONCATENATE("Track1!f",A47+6)),"")</f>
        <v/>
      </c>
      <c r="E52" s="85" t="str">
        <f ca="1">IFERROR(INDIRECT(CONCATENATE("Track1!g",A47+6)),"")</f>
        <v/>
      </c>
      <c r="F52" s="96">
        <f ca="1">IFERROR(INDIRECT(CONCATENATE("Track1!v",A47+6)),"")</f>
        <v>0</v>
      </c>
      <c r="G52" s="108" t="str">
        <f ca="1">IFERROR(INDIRECT(CONCATENATE("Track1!i",A47+6)),"")</f>
        <v/>
      </c>
      <c r="H52" s="66"/>
      <c r="I52" s="66">
        <f ca="1">IFERROR(INDIRECT(CONCATENATE("Track1!k",A47+6)),"")</f>
        <v>5</v>
      </c>
      <c r="J52" s="66">
        <f ca="1">IFERROR(INDIRECT(CONCATENATE("Track1!l",A47+6)),"")</f>
        <v>0</v>
      </c>
      <c r="K52" s="85" t="str">
        <f ca="1">IFERROR(INDIRECT(CONCATENATE("Track1!m",A47+6)),"")</f>
        <v/>
      </c>
      <c r="L52" s="85" t="str">
        <f ca="1">IFERROR(INDIRECT(CONCATENATE("Track1!n",A47+6)),"")</f>
        <v/>
      </c>
      <c r="M52" s="96">
        <f ca="1">IFERROR(INDIRECT(CONCATENATE("Track1!w",A47+6)),"")</f>
        <v>0</v>
      </c>
      <c r="N52" s="108" t="str">
        <f ca="1">IFERROR(INDIRECT(CONCATENATE("Track1!p",A47+6)),"")</f>
        <v/>
      </c>
      <c r="T52" s="64" t="str">
        <f t="shared" ca="1" si="0"/>
        <v/>
      </c>
      <c r="U52" s="64" t="str">
        <f t="shared" ca="1" si="1"/>
        <v/>
      </c>
      <c r="V52" s="266" t="str">
        <f ca="1">IF(OR(D52=0,D52="",D52="Athlete"),"",COUNTIF($D$4:$D52,D52))</f>
        <v/>
      </c>
      <c r="W52" s="266" t="str">
        <f t="shared" ca="1" si="2"/>
        <v/>
      </c>
      <c r="Z52" s="266" t="str">
        <f t="shared" ca="1" si="3"/>
        <v/>
      </c>
    </row>
    <row r="53" spans="1:26" x14ac:dyDescent="0.35">
      <c r="B53" s="66">
        <f ca="1">IFERROR(INDIRECT(CONCATENATE("Track1!D",A47+7)),"")</f>
        <v>6</v>
      </c>
      <c r="C53" s="66">
        <f ca="1">IFERROR(INDIRECT(CONCATENATE("Track1!e",A47+7)),"")</f>
        <v>0</v>
      </c>
      <c r="D53" s="85" t="str">
        <f ca="1">IFERROR(INDIRECT(CONCATENATE("Track1!f",A47+7)),"")</f>
        <v/>
      </c>
      <c r="E53" s="85" t="str">
        <f ca="1">IFERROR(INDIRECT(CONCATENATE("Track1!g",A47+7)),"")</f>
        <v/>
      </c>
      <c r="F53" s="96">
        <f ca="1">IFERROR(INDIRECT(CONCATENATE("Track1!v",A47+7)),"")</f>
        <v>0</v>
      </c>
      <c r="G53" s="108" t="str">
        <f ca="1">IFERROR(INDIRECT(CONCATENATE("Track1!i",A47+7)),"")</f>
        <v/>
      </c>
      <c r="H53" s="66"/>
      <c r="I53" s="66">
        <f ca="1">IFERROR(INDIRECT(CONCATENATE("Track1!k",A47+7)),"")</f>
        <v>6</v>
      </c>
      <c r="J53" s="66">
        <f ca="1">IFERROR(INDIRECT(CONCATENATE("Track1!l",A47+7)),"")</f>
        <v>0</v>
      </c>
      <c r="K53" s="85" t="str">
        <f ca="1">IFERROR(INDIRECT(CONCATENATE("Track1!m",A47+7)),"")</f>
        <v/>
      </c>
      <c r="L53" s="85" t="str">
        <f ca="1">IFERROR(INDIRECT(CONCATENATE("Track1!n",A47+7)),"")</f>
        <v/>
      </c>
      <c r="M53" s="96">
        <f ca="1">IFERROR(INDIRECT(CONCATENATE("Track1!w",A47+7)),"")</f>
        <v>0</v>
      </c>
      <c r="N53" s="108" t="str">
        <f ca="1">IFERROR(INDIRECT(CONCATENATE("Track1!p",A47+7)),"")</f>
        <v/>
      </c>
      <c r="T53" s="64" t="str">
        <f t="shared" ca="1" si="0"/>
        <v/>
      </c>
      <c r="U53" s="64" t="str">
        <f t="shared" ca="1" si="1"/>
        <v/>
      </c>
      <c r="V53" s="266" t="str">
        <f ca="1">IF(OR(D53=0,D53="",D53="Athlete"),"",COUNTIF($D$4:$D53,D53))</f>
        <v/>
      </c>
      <c r="W53" s="266" t="str">
        <f t="shared" ca="1" si="2"/>
        <v/>
      </c>
      <c r="Z53" s="266" t="str">
        <f t="shared" ca="1" si="3"/>
        <v/>
      </c>
    </row>
    <row r="54" spans="1:26" x14ac:dyDescent="0.35">
      <c r="B54" s="66">
        <f ca="1">IFERROR(INDIRECT(CONCATENATE("Track1!D",A47+8)),"")</f>
        <v>7</v>
      </c>
      <c r="C54" s="66">
        <f ca="1">IFERROR(INDIRECT(CONCATENATE("Track1!e",A47+8)),"")</f>
        <v>0</v>
      </c>
      <c r="D54" s="85" t="str">
        <f ca="1">IFERROR(INDIRECT(CONCATENATE("Track1!f",A47+8)),"")</f>
        <v/>
      </c>
      <c r="E54" s="85" t="str">
        <f ca="1">IFERROR(INDIRECT(CONCATENATE("Track1!g",A47+8)),"")</f>
        <v/>
      </c>
      <c r="F54" s="96">
        <f ca="1">IFERROR(INDIRECT(CONCATENATE("Track1!v",A47+8)),"")</f>
        <v>0</v>
      </c>
      <c r="G54" s="108" t="str">
        <f ca="1">IFERROR(INDIRECT(CONCATENATE("Track1!i",A47+8)),"")</f>
        <v/>
      </c>
      <c r="H54" s="66"/>
      <c r="I54" s="66">
        <f ca="1">IFERROR(INDIRECT(CONCATENATE("Track1!k",A47+8)),"")</f>
        <v>7</v>
      </c>
      <c r="J54" s="66">
        <f ca="1">IFERROR(INDIRECT(CONCATENATE("Track1!l",A47+8)),"")</f>
        <v>0</v>
      </c>
      <c r="K54" s="85" t="str">
        <f ca="1">IFERROR(INDIRECT(CONCATENATE("Track1!m",A47+8)),"")</f>
        <v/>
      </c>
      <c r="L54" s="85" t="str">
        <f ca="1">IFERROR(INDIRECT(CONCATENATE("Track1!n",A47+8)),"")</f>
        <v/>
      </c>
      <c r="M54" s="96">
        <f ca="1">IFERROR(INDIRECT(CONCATENATE("Track1!w",A47+8)),"")</f>
        <v>0</v>
      </c>
      <c r="N54" s="108" t="str">
        <f ca="1">IFERROR(INDIRECT(CONCATENATE("Track1!p",A47+8)),"")</f>
        <v/>
      </c>
      <c r="T54" s="64" t="str">
        <f t="shared" ca="1" si="0"/>
        <v/>
      </c>
      <c r="U54" s="64" t="str">
        <f t="shared" ca="1" si="1"/>
        <v/>
      </c>
      <c r="V54" s="266" t="str">
        <f ca="1">IF(OR(D54=0,D54="",D54="Athlete"),"",COUNTIF($D$4:$D54,D54))</f>
        <v/>
      </c>
      <c r="W54" s="266" t="str">
        <f t="shared" ca="1" si="2"/>
        <v/>
      </c>
      <c r="Z54" s="266" t="str">
        <f t="shared" ca="1" si="3"/>
        <v/>
      </c>
    </row>
    <row r="55" spans="1:26" x14ac:dyDescent="0.35">
      <c r="B55" s="66">
        <f ca="1">IFERROR(INDIRECT(CONCATENATE("Track1!D",A47+9)),"")</f>
        <v>8</v>
      </c>
      <c r="C55" s="66">
        <f ca="1">IFERROR(INDIRECT(CONCATENATE("Track1!e",A47+9)),"")</f>
        <v>0</v>
      </c>
      <c r="D55" s="85" t="str">
        <f ca="1">IFERROR(INDIRECT(CONCATENATE("Track1!f",A47+9)),"")</f>
        <v/>
      </c>
      <c r="E55" s="85" t="str">
        <f ca="1">IFERROR(INDIRECT(CONCATENATE("Track1!g",A47+9)),"")</f>
        <v/>
      </c>
      <c r="F55" s="96">
        <f ca="1">IFERROR(INDIRECT(CONCATENATE("Track1!v",A47+9)),"")</f>
        <v>0</v>
      </c>
      <c r="G55" s="108" t="str">
        <f ca="1">IFERROR(INDIRECT(CONCATENATE("Track1!i",A47+9)),"")</f>
        <v/>
      </c>
      <c r="H55" s="66"/>
      <c r="I55" s="66">
        <f ca="1">IFERROR(INDIRECT(CONCATENATE("Track1!k",A47+9)),"")</f>
        <v>8</v>
      </c>
      <c r="J55" s="66">
        <f ca="1">IFERROR(INDIRECT(CONCATENATE("Track1!l",A47+9)),"")</f>
        <v>0</v>
      </c>
      <c r="K55" s="85" t="str">
        <f ca="1">IFERROR(INDIRECT(CONCATENATE("Track1!m",A47+9)),"")</f>
        <v/>
      </c>
      <c r="L55" s="85" t="str">
        <f ca="1">IFERROR(INDIRECT(CONCATENATE("Track1!n",A47+9)),"")</f>
        <v/>
      </c>
      <c r="M55" s="96">
        <f ca="1">IFERROR(INDIRECT(CONCATENATE("Track1!w",A47+9)),"")</f>
        <v>0</v>
      </c>
      <c r="N55" s="108" t="str">
        <f ca="1">IFERROR(INDIRECT(CONCATENATE("Track1!p",A47+9)),"")</f>
        <v/>
      </c>
      <c r="T55" s="64" t="str">
        <f t="shared" ca="1" si="0"/>
        <v/>
      </c>
      <c r="U55" s="64" t="str">
        <f t="shared" ca="1" si="1"/>
        <v/>
      </c>
      <c r="V55" s="266" t="str">
        <f ca="1">IF(OR(D55=0,D55="",D55="Athlete"),"",COUNTIF($D$4:$D55,D55))</f>
        <v/>
      </c>
      <c r="W55" s="266" t="str">
        <f t="shared" ca="1" si="2"/>
        <v/>
      </c>
      <c r="Z55" s="266" t="str">
        <f t="shared" ca="1" si="3"/>
        <v/>
      </c>
    </row>
    <row r="56" spans="1:26" x14ac:dyDescent="0.35">
      <c r="F56" s="97"/>
      <c r="M56" s="97"/>
      <c r="T56" s="64" t="str">
        <f t="shared" si="0"/>
        <v/>
      </c>
      <c r="U56" s="64" t="str">
        <f t="shared" si="1"/>
        <v/>
      </c>
      <c r="V56" s="266" t="str">
        <f>IF(OR(D56=0,D56="",D56="Athlete"),"",COUNTIF($D$4:$D56,D56))</f>
        <v/>
      </c>
      <c r="W56" s="266" t="str">
        <f t="shared" si="2"/>
        <v/>
      </c>
      <c r="Z56" s="266" t="str">
        <f t="shared" si="3"/>
        <v/>
      </c>
    </row>
    <row r="57" spans="1:26" x14ac:dyDescent="0.35">
      <c r="A57" s="66" t="s">
        <v>257</v>
      </c>
      <c r="B57" s="102" t="str">
        <f ca="1">IFERROR(INDIRECT(CONCATENATE("Track2!D",A58)),"")</f>
        <v>1200m U13 Boys A</v>
      </c>
      <c r="F57" s="97"/>
      <c r="G57" s="108">
        <f ca="1">IFERROR(INDIRECT(CONCATENATE("Track2!i",A58)),"")</f>
        <v>0</v>
      </c>
      <c r="I57" s="102" t="str">
        <f ca="1">IFERROR(INDIRECT(CONCATENATE("Track2!k",A58)),"")</f>
        <v>1200m U13 Boys B</v>
      </c>
      <c r="M57" s="97"/>
      <c r="T57" s="64" t="str">
        <f t="shared" si="0"/>
        <v/>
      </c>
      <c r="U57" s="64" t="str">
        <f t="shared" si="1"/>
        <v/>
      </c>
      <c r="V57" s="266" t="str">
        <f>IF(OR(D57=0,D57="",D57="Athlete"),"",COUNTIF($D$4:$D57,D57))</f>
        <v/>
      </c>
      <c r="W57" s="266" t="str">
        <f t="shared" si="2"/>
        <v/>
      </c>
      <c r="Z57" s="266" t="str">
        <f t="shared" ca="1" si="3"/>
        <v/>
      </c>
    </row>
    <row r="58" spans="1:26" x14ac:dyDescent="0.35">
      <c r="A58" s="66">
        <f>IFERROR(MATCH(A57,Track2!C:C,0),"")</f>
        <v>13</v>
      </c>
      <c r="B58" s="45" t="str">
        <f ca="1">IFERROR(INDIRECT(CONCATENATE("Track2!D",A58+1)),"")</f>
        <v>Posn</v>
      </c>
      <c r="C58" s="45" t="str">
        <f ca="1">IFERROR(INDIRECT(CONCATENATE("Track2!e",A58+1)),"")</f>
        <v>No.</v>
      </c>
      <c r="D58" s="139" t="str">
        <f ca="1">IFERROR(INDIRECT(CONCATENATE("Track2!f",A58+1)),"")</f>
        <v>Athlete</v>
      </c>
      <c r="E58" s="139" t="str">
        <f ca="1">IFERROR(INDIRECT(CONCATENATE("Track2!g",A58+1)),"")</f>
        <v>Club</v>
      </c>
      <c r="F58" s="134" t="str">
        <f ca="1">IFERROR(INDIRECT(CONCATENATE("Track2!h",A58+1)),"")</f>
        <v>Perf</v>
      </c>
      <c r="G58" s="167" t="str">
        <f ca="1">IFERROR(INDIRECT(CONCATENATE("Track2!i",A58+1)),"")</f>
        <v>EA</v>
      </c>
      <c r="H58" s="45"/>
      <c r="I58" s="45" t="str">
        <f ca="1">IFERROR(INDIRECT(CONCATENATE("Track2!k",A58+1)),"")</f>
        <v>Posn</v>
      </c>
      <c r="J58" s="45" t="str">
        <f ca="1">IFERROR(INDIRECT(CONCATENATE("Track2!l",A58+1)),"")</f>
        <v>No.</v>
      </c>
      <c r="K58" s="139" t="str">
        <f ca="1">IFERROR(INDIRECT(CONCATENATE("Track2!m",A58+1)),"")</f>
        <v>Athlete</v>
      </c>
      <c r="L58" s="139" t="str">
        <f ca="1">IFERROR(INDIRECT(CONCATENATE("Track2!n",A58+1)),"")</f>
        <v>Club</v>
      </c>
      <c r="M58" s="134" t="str">
        <f ca="1">IFERROR(INDIRECT(CONCATENATE("Track2!o",A58+1)),"")</f>
        <v>Perf</v>
      </c>
      <c r="N58" s="167" t="str">
        <f ca="1">IFERROR(INDIRECT(CONCATENATE("Track2!p",A58+1)),"")</f>
        <v>EA</v>
      </c>
      <c r="T58" s="64" t="str">
        <f t="shared" ca="1" si="0"/>
        <v/>
      </c>
      <c r="U58" s="64" t="str">
        <f t="shared" ca="1" si="1"/>
        <v/>
      </c>
      <c r="V58" s="266" t="str">
        <f ca="1">IF(OR(D58=0,D58="",D58="Athlete"),"",COUNTIF($D$4:$D58,D58))</f>
        <v/>
      </c>
      <c r="W58" s="266" t="str">
        <f t="shared" ca="1" si="2"/>
        <v/>
      </c>
      <c r="Z58" s="266">
        <f t="shared" ca="1" si="3"/>
        <v>0</v>
      </c>
    </row>
    <row r="59" spans="1:26" x14ac:dyDescent="0.35">
      <c r="B59" s="66">
        <f ca="1">IFERROR(INDIRECT(CONCATENATE("Track2!D",A58+2)),"")</f>
        <v>1</v>
      </c>
      <c r="C59" s="66">
        <f ca="1">IFERROR(INDIRECT(CONCATENATE("Track2!e",A58+2)),"")</f>
        <v>2</v>
      </c>
      <c r="D59" s="85" t="str">
        <f ca="1">IFERROR(INDIRECT(CONCATENATE("Track2!f",A58+2)),"")</f>
        <v>Oliver MANNION</v>
      </c>
      <c r="E59" s="85" t="str">
        <f ca="1">IFERROR(INDIRECT(CONCATENATE("Track2!g",A58+2)),"")</f>
        <v>ECHT</v>
      </c>
      <c r="F59" s="96">
        <f ca="1">IFERROR(INDIRECT(CONCATENATE("Track2!h",A58+2)),"")</f>
        <v>2.9942129629629633E-3</v>
      </c>
      <c r="G59" s="108">
        <f ca="1">IFERROR(INDIRECT(CONCATENATE("Track2!i",A58+2)),"")</f>
        <v>5</v>
      </c>
      <c r="H59" s="66"/>
      <c r="I59" s="66">
        <f ca="1">IFERROR(INDIRECT(CONCATENATE("Track2!k",A58+2)),"")</f>
        <v>1</v>
      </c>
      <c r="J59" s="66">
        <f ca="1">IFERROR(INDIRECT(CONCATENATE("Track2!l",A58+2)),"")</f>
        <v>22</v>
      </c>
      <c r="K59" s="85" t="str">
        <f ca="1">IFERROR(INDIRECT(CONCATENATE("Track2!m",A58+2)),"")</f>
        <v>James NELSON</v>
      </c>
      <c r="L59" s="85" t="str">
        <f ca="1">IFERROR(INDIRECT(CONCATENATE("Track2!n",A58+2)),"")</f>
        <v>ECHT</v>
      </c>
      <c r="M59" s="96">
        <f ca="1">IFERROR(INDIRECT(CONCATENATE("Track2!o",A58+2)),"")</f>
        <v>3.2569444444444443E-3</v>
      </c>
      <c r="N59" s="108">
        <f ca="1">IFERROR(INDIRECT(CONCATENATE("Track2!p",A58+2)),"")</f>
        <v>2</v>
      </c>
      <c r="R59" s="168">
        <f ca="1">IFERROR(INDIRECT(CONCATENATE("Track2!r",A58+2)),"")</f>
        <v>10</v>
      </c>
      <c r="T59" s="64">
        <f t="shared" ca="1" si="0"/>
        <v>3</v>
      </c>
      <c r="U59" s="64">
        <f t="shared" ca="1" si="1"/>
        <v>3</v>
      </c>
      <c r="V59" s="266">
        <f ca="1">IF(OR(D59=0,D59="",D59="Athlete"),"",COUNTIF($D$4:$D59,D59))</f>
        <v>1</v>
      </c>
      <c r="W59" s="266" t="str">
        <f t="shared" ca="1" si="2"/>
        <v>ECHT</v>
      </c>
      <c r="Z59" s="266">
        <f t="shared" ca="1" si="3"/>
        <v>0</v>
      </c>
    </row>
    <row r="60" spans="1:26" x14ac:dyDescent="0.35">
      <c r="B60" s="66">
        <f ca="1">IFERROR(INDIRECT(CONCATENATE("Track2!D",A58+3)),"")</f>
        <v>2</v>
      </c>
      <c r="C60" s="66">
        <f ca="1">IFERROR(INDIRECT(CONCATENATE("Track2!e",A58+3)),"")</f>
        <v>5</v>
      </c>
      <c r="D60" s="85" t="str">
        <f ca="1">IFERROR(INDIRECT(CONCATENATE("Track2!f",A58+3)),"")</f>
        <v>Perry MARSLAND</v>
      </c>
      <c r="E60" s="85" t="str">
        <f ca="1">IFERROR(INDIRECT(CONCATENATE("Track2!g",A58+3)),"")</f>
        <v>Menai</v>
      </c>
      <c r="F60" s="96">
        <f ca="1">IFERROR(INDIRECT(CONCATENATE("Track2!h",A58+3)),"")</f>
        <v>3.0277777777777781E-3</v>
      </c>
      <c r="G60" s="108">
        <f ca="1">IFERROR(INDIRECT(CONCATENATE("Track2!i",A58+3)),"")</f>
        <v>4</v>
      </c>
      <c r="H60" s="66"/>
      <c r="I60" s="66">
        <f ca="1">IFERROR(INDIRECT(CONCATENATE("Track2!k",A58+3)),"")</f>
        <v>2</v>
      </c>
      <c r="J60" s="66">
        <f ca="1">IFERROR(INDIRECT(CONCATENATE("Track2!l",A58+3)),"")</f>
        <v>33</v>
      </c>
      <c r="K60" s="85" t="str">
        <f ca="1">IFERROR(INDIRECT(CONCATENATE("Track2!m",A58+3)),"")</f>
        <v>Samuel WILLIAMS</v>
      </c>
      <c r="L60" s="85" t="str">
        <f ca="1">IFERROR(INDIRECT(CONCATENATE("Track2!n",A58+3)),"")</f>
        <v>Leigh</v>
      </c>
      <c r="M60" s="96">
        <f ca="1">IFERROR(INDIRECT(CONCATENATE("Track2!o",A58+3)),"")</f>
        <v>3.5856481481481481E-3</v>
      </c>
      <c r="N60" s="108" t="str">
        <f ca="1">IFERROR(INDIRECT(CONCATENATE("Track2!p",A58+3)),"")</f>
        <v/>
      </c>
      <c r="T60" s="64">
        <f t="shared" ca="1" si="0"/>
        <v>2</v>
      </c>
      <c r="U60" s="64">
        <f t="shared" ca="1" si="1"/>
        <v>1</v>
      </c>
      <c r="V60" s="266">
        <f ca="1">IF(OR(D60=0,D60="",D60="Athlete"),"",COUNTIF($D$4:$D60,D60))</f>
        <v>2</v>
      </c>
      <c r="W60" s="266" t="str">
        <f t="shared" ca="1" si="2"/>
        <v>Menai</v>
      </c>
      <c r="Z60" s="266">
        <f t="shared" ca="1" si="3"/>
        <v>0</v>
      </c>
    </row>
    <row r="61" spans="1:26" x14ac:dyDescent="0.35">
      <c r="B61" s="66">
        <f ca="1">IFERROR(INDIRECT(CONCATENATE("Track2!D",A58+4)),"")</f>
        <v>3</v>
      </c>
      <c r="C61" s="66">
        <f ca="1">IFERROR(INDIRECT(CONCATENATE("Track2!e",A58+4)),"")</f>
        <v>4</v>
      </c>
      <c r="D61" s="85" t="str">
        <f ca="1">IFERROR(INDIRECT(CONCATENATE("Track2!f",A58+4)),"")</f>
        <v>Alexander MCLAREN</v>
      </c>
      <c r="E61" s="85" t="str">
        <f ca="1">IFERROR(INDIRECT(CONCATENATE("Track2!g",A58+4)),"")</f>
        <v>Macc</v>
      </c>
      <c r="F61" s="96">
        <f ca="1">IFERROR(INDIRECT(CONCATENATE("Track2!h",A58+4)),"")</f>
        <v>3.0833333333333338E-3</v>
      </c>
      <c r="G61" s="108">
        <f ca="1">IFERROR(INDIRECT(CONCATENATE("Track2!i",A58+4)),"")</f>
        <v>4</v>
      </c>
      <c r="H61" s="66"/>
      <c r="I61" s="66">
        <f ca="1">IFERROR(INDIRECT(CONCATENATE("Track2!k",A58+4)),"")</f>
        <v>3</v>
      </c>
      <c r="J61" s="66" t="str">
        <f ca="1">IFERROR(INDIRECT(CONCATENATE("Track2!l",A58+4)),"")</f>
        <v/>
      </c>
      <c r="K61" s="85" t="str">
        <f ca="1">IFERROR(INDIRECT(CONCATENATE("Track2!m",A58+4)),"")</f>
        <v/>
      </c>
      <c r="L61" s="85" t="str">
        <f ca="1">IFERROR(INDIRECT(CONCATENATE("Track2!n",A58+4)),"")</f>
        <v/>
      </c>
      <c r="M61" s="96" t="str">
        <f ca="1">IFERROR(INDIRECT(CONCATENATE("Track2!o",A58+4)),"")</f>
        <v/>
      </c>
      <c r="N61" s="108" t="str">
        <f ca="1">IFERROR(INDIRECT(CONCATENATE("Track2!p",A58+4)),"")</f>
        <v/>
      </c>
      <c r="T61" s="64">
        <f t="shared" ca="1" si="0"/>
        <v>2</v>
      </c>
      <c r="U61" s="64" t="str">
        <f t="shared" ca="1" si="1"/>
        <v/>
      </c>
      <c r="V61" s="266">
        <f ca="1">IF(OR(D61=0,D61="",D61="Athlete"),"",COUNTIF($D$4:$D61,D61))</f>
        <v>1</v>
      </c>
      <c r="W61" s="266" t="str">
        <f t="shared" ca="1" si="2"/>
        <v>Macc</v>
      </c>
      <c r="Z61" s="266">
        <f t="shared" ca="1" si="3"/>
        <v>0</v>
      </c>
    </row>
    <row r="62" spans="1:26" x14ac:dyDescent="0.35">
      <c r="B62" s="66">
        <f ca="1">IFERROR(INDIRECT(CONCATENATE("Track2!D",A58+5)),"")</f>
        <v>4</v>
      </c>
      <c r="C62" s="66">
        <f ca="1">IFERROR(INDIRECT(CONCATENATE("Track2!e",A58+5)),"")</f>
        <v>3</v>
      </c>
      <c r="D62" s="85" t="str">
        <f ca="1">IFERROR(INDIRECT(CONCATENATE("Track2!f",A58+5)),"")</f>
        <v>Jasper PARKIN-KERNER</v>
      </c>
      <c r="E62" s="85" t="str">
        <f ca="1">IFERROR(INDIRECT(CONCATENATE("Track2!g",A58+5)),"")</f>
        <v>Leigh</v>
      </c>
      <c r="F62" s="96">
        <f ca="1">IFERROR(INDIRECT(CONCATENATE("Track2!h",A58+5)),"")</f>
        <v>3.196759259259259E-3</v>
      </c>
      <c r="G62" s="108">
        <f ca="1">IFERROR(INDIRECT(CONCATENATE("Track2!i",A58+5)),"")</f>
        <v>3</v>
      </c>
      <c r="H62" s="66"/>
      <c r="I62" s="66">
        <f ca="1">IFERROR(INDIRECT(CONCATENATE("Track2!k",A58+5)),"")</f>
        <v>4</v>
      </c>
      <c r="J62" s="66" t="str">
        <f ca="1">IFERROR(INDIRECT(CONCATENATE("Track2!l",A58+5)),"")</f>
        <v/>
      </c>
      <c r="K62" s="85" t="str">
        <f ca="1">IFERROR(INDIRECT(CONCATENATE("Track2!m",A58+5)),"")</f>
        <v/>
      </c>
      <c r="L62" s="85" t="str">
        <f ca="1">IFERROR(INDIRECT(CONCATENATE("Track2!n",A58+5)),"")</f>
        <v/>
      </c>
      <c r="M62" s="96" t="str">
        <f ca="1">IFERROR(INDIRECT(CONCATENATE("Track2!o",A58+5)),"")</f>
        <v/>
      </c>
      <c r="N62" s="108" t="str">
        <f ca="1">IFERROR(INDIRECT(CONCATENATE("Track2!p",A58+5)),"")</f>
        <v/>
      </c>
      <c r="T62" s="64">
        <f t="shared" ca="1" si="0"/>
        <v>1</v>
      </c>
      <c r="U62" s="64" t="str">
        <f t="shared" ca="1" si="1"/>
        <v/>
      </c>
      <c r="V62" s="266">
        <f ca="1">IF(OR(D62=0,D62="",D62="Athlete"),"",COUNTIF($D$4:$D62,D62))</f>
        <v>1</v>
      </c>
      <c r="W62" s="266" t="str">
        <f t="shared" ca="1" si="2"/>
        <v>Leigh</v>
      </c>
      <c r="Z62" s="266">
        <f t="shared" ca="1" si="3"/>
        <v>0</v>
      </c>
    </row>
    <row r="63" spans="1:26" x14ac:dyDescent="0.35">
      <c r="B63" s="66">
        <f ca="1">IFERROR(INDIRECT(CONCATENATE("Track2!D",A58+6)),"")</f>
        <v>5</v>
      </c>
      <c r="C63" s="66">
        <f ca="1">IFERROR(INDIRECT(CONCATENATE("Track2!e",A58+6)),"")</f>
        <v>7</v>
      </c>
      <c r="D63" s="85" t="str">
        <f ca="1">IFERROR(INDIRECT(CONCATENATE("Track2!f",A58+6)),"")</f>
        <v>Samuel HODGKINSON</v>
      </c>
      <c r="E63" s="85" t="str">
        <f ca="1">IFERROR(INDIRECT(CONCATENATE("Track2!g",A58+6)),"")</f>
        <v>Wigan</v>
      </c>
      <c r="F63" s="96">
        <f ca="1">IFERROR(INDIRECT(CONCATENATE("Track2!h",A58+6)),"")</f>
        <v>3.251157407407407E-3</v>
      </c>
      <c r="G63" s="108">
        <f ca="1">IFERROR(INDIRECT(CONCATENATE("Track2!i",A58+6)),"")</f>
        <v>2</v>
      </c>
      <c r="H63" s="66"/>
      <c r="I63" s="66">
        <f ca="1">IFERROR(INDIRECT(CONCATENATE("Track2!k",A58+6)),"")</f>
        <v>5</v>
      </c>
      <c r="J63" s="66" t="str">
        <f ca="1">IFERROR(INDIRECT(CONCATENATE("Track2!l",A58+6)),"")</f>
        <v/>
      </c>
      <c r="K63" s="85" t="str">
        <f ca="1">IFERROR(INDIRECT(CONCATENATE("Track2!m",A58+6)),"")</f>
        <v/>
      </c>
      <c r="L63" s="85" t="str">
        <f ca="1">IFERROR(INDIRECT(CONCATENATE("Track2!n",A58+6)),"")</f>
        <v/>
      </c>
      <c r="M63" s="96" t="str">
        <f ca="1">IFERROR(INDIRECT(CONCATENATE("Track2!o",A58+6)),"")</f>
        <v/>
      </c>
      <c r="N63" s="108" t="str">
        <f ca="1">IFERROR(INDIRECT(CONCATENATE("Track2!p",A58+6)),"")</f>
        <v/>
      </c>
      <c r="T63" s="64">
        <f t="shared" ca="1" si="0"/>
        <v>3</v>
      </c>
      <c r="U63" s="64" t="str">
        <f t="shared" ca="1" si="1"/>
        <v/>
      </c>
      <c r="V63" s="266">
        <f ca="1">IF(OR(D63=0,D63="",D63="Athlete"),"",COUNTIF($D$4:$D63,D63))</f>
        <v>1</v>
      </c>
      <c r="W63" s="266" t="str">
        <f t="shared" ca="1" si="2"/>
        <v>Wigan</v>
      </c>
      <c r="Z63" s="266">
        <f t="shared" ca="1" si="3"/>
        <v>0</v>
      </c>
    </row>
    <row r="64" spans="1:26" x14ac:dyDescent="0.35">
      <c r="B64" s="66">
        <f ca="1">IFERROR(INDIRECT(CONCATENATE("Track2!D",A58+7)),"")</f>
        <v>6</v>
      </c>
      <c r="C64" s="66" t="str">
        <f ca="1">IFERROR(INDIRECT(CONCATENATE("Track2!e",A58+7)),"")</f>
        <v/>
      </c>
      <c r="D64" s="85" t="str">
        <f ca="1">IFERROR(INDIRECT(CONCATENATE("Track2!f",A58+7)),"")</f>
        <v/>
      </c>
      <c r="E64" s="85" t="str">
        <f ca="1">IFERROR(INDIRECT(CONCATENATE("Track2!g",A58+7)),"")</f>
        <v/>
      </c>
      <c r="F64" s="96" t="str">
        <f ca="1">IFERROR(INDIRECT(CONCATENATE("Track2!h",A58+7)),"")</f>
        <v/>
      </c>
      <c r="G64" s="108" t="str">
        <f ca="1">IFERROR(INDIRECT(CONCATENATE("Track2!i",A58+7)),"")</f>
        <v/>
      </c>
      <c r="H64" s="66"/>
      <c r="I64" s="66">
        <f ca="1">IFERROR(INDIRECT(CONCATENATE("Track2!k",A58+7)),"")</f>
        <v>6</v>
      </c>
      <c r="J64" s="66" t="str">
        <f ca="1">IFERROR(INDIRECT(CONCATENATE("Track2!l",A58+7)),"")</f>
        <v/>
      </c>
      <c r="K64" s="85" t="str">
        <f ca="1">IFERROR(INDIRECT(CONCATENATE("Track2!m",A58+7)),"")</f>
        <v/>
      </c>
      <c r="L64" s="85" t="str">
        <f ca="1">IFERROR(INDIRECT(CONCATENATE("Track2!n",A58+7)),"")</f>
        <v/>
      </c>
      <c r="M64" s="96" t="str">
        <f ca="1">IFERROR(INDIRECT(CONCATENATE("Track2!o",A58+7)),"")</f>
        <v/>
      </c>
      <c r="N64" s="108" t="str">
        <f ca="1">IFERROR(INDIRECT(CONCATENATE("Track2!p",A58+7)),"")</f>
        <v/>
      </c>
      <c r="T64" s="64" t="str">
        <f t="shared" ca="1" si="0"/>
        <v/>
      </c>
      <c r="U64" s="64" t="str">
        <f t="shared" ca="1" si="1"/>
        <v/>
      </c>
      <c r="V64" s="266" t="str">
        <f ca="1">IF(OR(D64=0,D64="",D64="Athlete"),"",COUNTIF($D$4:$D64,D64))</f>
        <v/>
      </c>
      <c r="W64" s="266" t="str">
        <f t="shared" ca="1" si="2"/>
        <v/>
      </c>
      <c r="Z64" s="266" t="str">
        <f t="shared" ca="1" si="3"/>
        <v/>
      </c>
    </row>
    <row r="65" spans="1:26" x14ac:dyDescent="0.35">
      <c r="B65" s="66">
        <f ca="1">IFERROR(INDIRECT(CONCATENATE("Track2!D",A58+8)),"")</f>
        <v>7</v>
      </c>
      <c r="C65" s="66" t="str">
        <f ca="1">IFERROR(INDIRECT(CONCATENATE("Track2!e",A58+8)),"")</f>
        <v/>
      </c>
      <c r="D65" s="85" t="str">
        <f ca="1">IFERROR(INDIRECT(CONCATENATE("Track2!f",A58+8)),"")</f>
        <v/>
      </c>
      <c r="E65" s="85" t="str">
        <f ca="1">IFERROR(INDIRECT(CONCATENATE("Track2!g",A58+8)),"")</f>
        <v/>
      </c>
      <c r="F65" s="96" t="str">
        <f ca="1">IFERROR(INDIRECT(CONCATENATE("Track2!h",A58+8)),"")</f>
        <v/>
      </c>
      <c r="G65" s="108" t="str">
        <f ca="1">IFERROR(INDIRECT(CONCATENATE("Track2!i",A58+8)),"")</f>
        <v/>
      </c>
      <c r="H65" s="66"/>
      <c r="I65" s="66">
        <f ca="1">IFERROR(INDIRECT(CONCATENATE("Track2!k",A58+8)),"")</f>
        <v>7</v>
      </c>
      <c r="J65" s="66" t="str">
        <f ca="1">IFERROR(INDIRECT(CONCATENATE("Track2!l",A58+8)),"")</f>
        <v/>
      </c>
      <c r="K65" s="85" t="str">
        <f ca="1">IFERROR(INDIRECT(CONCATENATE("Track2!m",A58+8)),"")</f>
        <v/>
      </c>
      <c r="L65" s="85" t="str">
        <f ca="1">IFERROR(INDIRECT(CONCATENATE("Track2!n",A58+8)),"")</f>
        <v/>
      </c>
      <c r="M65" s="96" t="str">
        <f ca="1">IFERROR(INDIRECT(CONCATENATE("Track2!o",A58+8)),"")</f>
        <v/>
      </c>
      <c r="N65" s="108" t="str">
        <f ca="1">IFERROR(INDIRECT(CONCATENATE("Track2!p",A58+8)),"")</f>
        <v/>
      </c>
      <c r="T65" s="64" t="str">
        <f t="shared" ca="1" si="0"/>
        <v/>
      </c>
      <c r="U65" s="64" t="str">
        <f t="shared" ca="1" si="1"/>
        <v/>
      </c>
      <c r="V65" s="266" t="str">
        <f ca="1">IF(OR(D65=0,D65="",D65="Athlete"),"",COUNTIF($D$4:$D65,D65))</f>
        <v/>
      </c>
      <c r="W65" s="266" t="str">
        <f t="shared" ca="1" si="2"/>
        <v/>
      </c>
      <c r="Z65" s="266" t="str">
        <f t="shared" ca="1" si="3"/>
        <v/>
      </c>
    </row>
    <row r="66" spans="1:26" x14ac:dyDescent="0.35">
      <c r="B66" s="66">
        <f ca="1">IFERROR(INDIRECT(CONCATENATE("Track2!D",A58+9)),"")</f>
        <v>8</v>
      </c>
      <c r="C66" s="66" t="str">
        <f ca="1">IFERROR(INDIRECT(CONCATENATE("Track2!e",A58+9)),"")</f>
        <v/>
      </c>
      <c r="D66" s="85" t="str">
        <f ca="1">IFERROR(INDIRECT(CONCATENATE("Track2!f",A58+9)),"")</f>
        <v/>
      </c>
      <c r="E66" s="85" t="str">
        <f ca="1">IFERROR(INDIRECT(CONCATENATE("Track2!g",A58+9)),"")</f>
        <v/>
      </c>
      <c r="F66" s="96" t="str">
        <f ca="1">IFERROR(INDIRECT(CONCATENATE("Track2!h",A58+9)),"")</f>
        <v/>
      </c>
      <c r="G66" s="108" t="str">
        <f ca="1">IFERROR(INDIRECT(CONCATENATE("Track2!i",A58+9)),"")</f>
        <v/>
      </c>
      <c r="H66" s="66"/>
      <c r="I66" s="66">
        <f ca="1">IFERROR(INDIRECT(CONCATENATE("Track2!k",A58+9)),"")</f>
        <v>8</v>
      </c>
      <c r="J66" s="66" t="str">
        <f ca="1">IFERROR(INDIRECT(CONCATENATE("Track2!l",A58+9)),"")</f>
        <v/>
      </c>
      <c r="K66" s="85" t="str">
        <f ca="1">IFERROR(INDIRECT(CONCATENATE("Track2!m",A58+9)),"")</f>
        <v/>
      </c>
      <c r="L66" s="85" t="str">
        <f ca="1">IFERROR(INDIRECT(CONCATENATE("Track2!n",A58+9)),"")</f>
        <v/>
      </c>
      <c r="M66" s="96" t="str">
        <f ca="1">IFERROR(INDIRECT(CONCATENATE("Track2!o",A58+9)),"")</f>
        <v/>
      </c>
      <c r="N66" s="108" t="str">
        <f ca="1">IFERROR(INDIRECT(CONCATENATE("Track2!p",A58+9)),"")</f>
        <v/>
      </c>
      <c r="T66" s="64" t="str">
        <f t="shared" ca="1" si="0"/>
        <v/>
      </c>
      <c r="U66" s="64" t="str">
        <f t="shared" ca="1" si="1"/>
        <v/>
      </c>
      <c r="V66" s="266" t="str">
        <f ca="1">IF(OR(D66=0,D66="",D66="Athlete"),"",COUNTIF($D$4:$D66,D66))</f>
        <v/>
      </c>
      <c r="W66" s="266" t="str">
        <f t="shared" ca="1" si="2"/>
        <v/>
      </c>
      <c r="Z66" s="266" t="str">
        <f t="shared" ca="1" si="3"/>
        <v/>
      </c>
    </row>
    <row r="67" spans="1:26" x14ac:dyDescent="0.35">
      <c r="T67" s="64" t="str">
        <f t="shared" si="0"/>
        <v/>
      </c>
      <c r="U67" s="64" t="str">
        <f t="shared" si="1"/>
        <v/>
      </c>
      <c r="V67" s="266" t="str">
        <f>IF(OR(D67=0,D67="",D67="Athlete"),"",COUNTIF($D$4:$D67,D67))</f>
        <v/>
      </c>
      <c r="W67" s="266" t="str">
        <f t="shared" si="2"/>
        <v/>
      </c>
      <c r="Z67" s="266" t="str">
        <f t="shared" si="3"/>
        <v/>
      </c>
    </row>
    <row r="68" spans="1:26" x14ac:dyDescent="0.35">
      <c r="A68" s="66" t="s">
        <v>33</v>
      </c>
      <c r="B68" s="102" t="str">
        <f ca="1">IFERROR(INDIRECT(CONCATENATE("Track1!D",A69)),"")</f>
        <v>75m Hurdles U13 Boys A</v>
      </c>
      <c r="E68" s="85" t="s">
        <v>206</v>
      </c>
      <c r="F68" s="253">
        <f ca="1">IFERROR(INDIRECT(CONCATENATE("Track1!h",A69)),"")</f>
        <v>0</v>
      </c>
      <c r="G68" s="108" t="str">
        <f ca="1">IFERROR(INDIRECT(CONCATENATE("Track1!i",A69)),"")</f>
        <v/>
      </c>
      <c r="I68" s="102" t="str">
        <f ca="1">IFERROR(INDIRECT(CONCATENATE("Track1!k",A69)),"")</f>
        <v>75m Hurdles U13 Boys B</v>
      </c>
      <c r="L68" s="85" t="s">
        <v>206</v>
      </c>
      <c r="M68" s="195">
        <f ca="1">IFERROR(INDIRECT(CONCATENATE("Track1!o",A69)),"")</f>
        <v>0</v>
      </c>
      <c r="T68" s="64" t="str">
        <f t="shared" si="0"/>
        <v/>
      </c>
      <c r="U68" s="64" t="str">
        <f t="shared" si="1"/>
        <v/>
      </c>
      <c r="V68" s="266" t="str">
        <f>IF(OR(D68=0,D68="",D68="Athlete"),"",COUNTIF($D$4:$D68,D68))</f>
        <v/>
      </c>
      <c r="W68" s="266" t="str">
        <f t="shared" si="2"/>
        <v/>
      </c>
      <c r="Z68" s="266" t="str">
        <f t="shared" ca="1" si="3"/>
        <v/>
      </c>
    </row>
    <row r="69" spans="1:26" x14ac:dyDescent="0.35">
      <c r="A69" s="66">
        <f>IFERROR(MATCH(A68,Track1!C:C,0),"")</f>
        <v>13</v>
      </c>
      <c r="B69" s="45" t="str">
        <f ca="1">IFERROR(INDIRECT(CONCATENATE("Track1!D",A69+1)),"")</f>
        <v>Posn</v>
      </c>
      <c r="C69" s="45" t="str">
        <f ca="1">IFERROR(INDIRECT(CONCATENATE("Track1!e",A69+1)),"")</f>
        <v>No.</v>
      </c>
      <c r="D69" s="139" t="str">
        <f ca="1">IFERROR(INDIRECT(CONCATENATE("Track1!f",A69+1)),"")</f>
        <v>Athlete</v>
      </c>
      <c r="E69" s="139" t="str">
        <f ca="1">IFERROR(INDIRECT(CONCATENATE("Track1!g",A69+1)),"")</f>
        <v>Club</v>
      </c>
      <c r="F69" s="133" t="str">
        <f ca="1">IFERROR(INDIRECT(CONCATENATE("Track1!h",A69+1)),"")</f>
        <v>Perf</v>
      </c>
      <c r="G69" s="167" t="str">
        <f ca="1">IFERROR(INDIRECT(CONCATENATE("Track1!i",A69+1)),"")</f>
        <v>EA</v>
      </c>
      <c r="H69" s="45"/>
      <c r="I69" s="45" t="str">
        <f ca="1">IFERROR(INDIRECT(CONCATENATE("Track1!k",A69+1)),"")</f>
        <v>Posn</v>
      </c>
      <c r="J69" s="45" t="str">
        <f ca="1">IFERROR(INDIRECT(CONCATENATE("Track1!l",A69+1)),"")</f>
        <v>No.</v>
      </c>
      <c r="K69" s="139" t="str">
        <f ca="1">IFERROR(INDIRECT(CONCATENATE("Track1!m",A69+1)),"")</f>
        <v>Athlete</v>
      </c>
      <c r="L69" s="139" t="str">
        <f ca="1">IFERROR(INDIRECT(CONCATENATE("Track1!n",A69+1)),"")</f>
        <v>Club</v>
      </c>
      <c r="M69" s="133" t="str">
        <f ca="1">IFERROR(INDIRECT(CONCATENATE("Track1!o",A69+1)),"")</f>
        <v>Perf</v>
      </c>
      <c r="N69" s="167" t="str">
        <f ca="1">IFERROR(INDIRECT(CONCATENATE("Track1!p",A69+1)),"")</f>
        <v>EA</v>
      </c>
      <c r="T69" s="64" t="str">
        <f t="shared" ref="T69:T123" ca="1" si="4">IF(OR(D69=0,D69="",D69="Athlete"),"",COUNTIF($D$4:$D$352,D69))</f>
        <v/>
      </c>
      <c r="U69" s="64" t="str">
        <f t="shared" ref="U69:U132" ca="1" si="5">IF(OR(K69=0,K69="",K69="Athlete"),"",COUNTIF($D$4:$D$352,K69))</f>
        <v/>
      </c>
      <c r="V69" s="266" t="str">
        <f ca="1">IF(OR(D69=0,D69="",D69="Athlete"),"",COUNTIF($D$4:$D69,D69))</f>
        <v/>
      </c>
      <c r="W69" s="266" t="str">
        <f t="shared" ref="W69:W123" ca="1" si="6">IF(OR(D69=0,D69="",D69="Athlete"),"",E69)</f>
        <v/>
      </c>
      <c r="Z69" s="266">
        <f t="shared" ref="Z69:Z132" ca="1" si="7">IF(OR(G69=0,G69="",G69="Athlete"),"",H69)</f>
        <v>0</v>
      </c>
    </row>
    <row r="70" spans="1:26" x14ac:dyDescent="0.35">
      <c r="B70" s="66">
        <f ca="1">IFERROR(INDIRECT(CONCATENATE("Track1!D",A69+2)),"")</f>
        <v>1</v>
      </c>
      <c r="C70" s="66">
        <f ca="1">IFERROR(INDIRECT(CONCATENATE("Track1!e",A69+2)),"")</f>
        <v>3</v>
      </c>
      <c r="D70" s="85" t="str">
        <f ca="1">IFERROR(INDIRECT(CONCATENATE("Track1!f",A69+2)),"")</f>
        <v>Thierry KERR</v>
      </c>
      <c r="E70" s="85" t="str">
        <f ca="1">IFERROR(INDIRECT(CONCATENATE("Track1!g",A69+2)),"")</f>
        <v>Leigh</v>
      </c>
      <c r="F70" s="395">
        <f ca="1">IFERROR(INDIRECT(CONCATENATE("Track1!h",A69+2)),"")</f>
        <v>12.6</v>
      </c>
      <c r="G70" s="108">
        <f ca="1">IFERROR(INDIRECT(CONCATENATE("Track1!i",A69+2)),"")</f>
        <v>9</v>
      </c>
      <c r="H70" s="66"/>
      <c r="I70" s="66">
        <f ca="1">IFERROR(INDIRECT(CONCATENATE("Track1!k",A69+2)),"")</f>
        <v>1</v>
      </c>
      <c r="J70" s="66">
        <f ca="1">IFERROR(INDIRECT(CONCATENATE("Track1!l",A69+2)),"")</f>
        <v>33</v>
      </c>
      <c r="K70" s="85" t="str">
        <f ca="1">IFERROR(INDIRECT(CONCATENATE("Track1!m",A69+2)),"")</f>
        <v>Jack FLETCHER</v>
      </c>
      <c r="L70" s="85" t="str">
        <f ca="1">IFERROR(INDIRECT(CONCATENATE("Track1!n",A69+2)),"")</f>
        <v>Leigh</v>
      </c>
      <c r="M70" s="395">
        <f ca="1">IFERROR(INDIRECT(CONCATENATE("Track1!o",A69+2)),"")</f>
        <v>15</v>
      </c>
      <c r="N70" s="108">
        <f ca="1">IFERROR(INDIRECT(CONCATENATE("Track1!p",A69+2)),"")</f>
        <v>3</v>
      </c>
      <c r="R70" s="168">
        <f ca="1">IFERROR(INDIRECT(CONCATENATE("Track1!r",A69+2)),"")</f>
        <v>10</v>
      </c>
      <c r="T70" s="64">
        <f t="shared" ca="1" si="4"/>
        <v>3</v>
      </c>
      <c r="U70" s="64">
        <f t="shared" ca="1" si="5"/>
        <v>3</v>
      </c>
      <c r="V70" s="266">
        <f ca="1">IF(OR(D70=0,D70="",D70="Athlete"),"",COUNTIF($D$4:$D70,D70))</f>
        <v>3</v>
      </c>
      <c r="W70" s="266" t="str">
        <f t="shared" ca="1" si="6"/>
        <v>Leigh</v>
      </c>
      <c r="Z70" s="266">
        <f t="shared" ca="1" si="7"/>
        <v>0</v>
      </c>
    </row>
    <row r="71" spans="1:26" x14ac:dyDescent="0.35">
      <c r="B71" s="66">
        <f ca="1">IFERROR(INDIRECT(CONCATENATE("Track1!D",A69+3)),"")</f>
        <v>2</v>
      </c>
      <c r="C71" s="66">
        <f ca="1">IFERROR(INDIRECT(CONCATENATE("Track1!e",A69+3)),"")</f>
        <v>1</v>
      </c>
      <c r="D71" s="85" t="str">
        <f ca="1">IFERROR(INDIRECT(CONCATENATE("Track1!f",A69+3)),"")</f>
        <v>Ben JEFFS</v>
      </c>
      <c r="E71" s="85" t="str">
        <f ca="1">IFERROR(INDIRECT(CONCATENATE("Track1!g",A69+3)),"")</f>
        <v>C&amp;N</v>
      </c>
      <c r="F71" s="395">
        <f ca="1">IFERROR(INDIRECT(CONCATENATE("Track1!h",A69+3)),"")</f>
        <v>13</v>
      </c>
      <c r="G71" s="108">
        <f ca="1">IFERROR(INDIRECT(CONCATENATE("Track1!i",A69+3)),"")</f>
        <v>9</v>
      </c>
      <c r="H71" s="66"/>
      <c r="I71" s="66">
        <f ca="1">IFERROR(INDIRECT(CONCATENATE("Track1!k",A69+3)),"")</f>
        <v>2</v>
      </c>
      <c r="J71" s="66">
        <f ca="1">IFERROR(INDIRECT(CONCATENATE("Track1!l",A69+3)),"")</f>
        <v>0</v>
      </c>
      <c r="K71" s="85" t="str">
        <f ca="1">IFERROR(INDIRECT(CONCATENATE("Track1!m",A69+3)),"")</f>
        <v/>
      </c>
      <c r="L71" s="85" t="str">
        <f ca="1">IFERROR(INDIRECT(CONCATENATE("Track1!n",A69+3)),"")</f>
        <v/>
      </c>
      <c r="M71" s="395">
        <f ca="1">IFERROR(INDIRECT(CONCATENATE("Track1!o",A69+3)),"")</f>
        <v>0</v>
      </c>
      <c r="N71" s="108" t="str">
        <f ca="1">IFERROR(INDIRECT(CONCATENATE("Track1!p",A69+3)),"")</f>
        <v/>
      </c>
      <c r="T71" s="64">
        <f t="shared" ca="1" si="4"/>
        <v>3</v>
      </c>
      <c r="U71" s="64" t="str">
        <f t="shared" ca="1" si="5"/>
        <v/>
      </c>
      <c r="V71" s="266">
        <f ca="1">IF(OR(D71=0,D71="",D71="Athlete"),"",COUNTIF($D$4:$D71,D71))</f>
        <v>2</v>
      </c>
      <c r="W71" s="266" t="str">
        <f t="shared" ca="1" si="6"/>
        <v>C&amp;N</v>
      </c>
      <c r="Z71" s="266">
        <f t="shared" ca="1" si="7"/>
        <v>0</v>
      </c>
    </row>
    <row r="72" spans="1:26" x14ac:dyDescent="0.35">
      <c r="B72" s="66">
        <f ca="1">IFERROR(INDIRECT(CONCATENATE("Track1!D",A69+4)),"")</f>
        <v>3</v>
      </c>
      <c r="C72" s="66">
        <f ca="1">IFERROR(INDIRECT(CONCATENATE("Track1!e",A69+4)),"")</f>
        <v>4</v>
      </c>
      <c r="D72" s="85" t="str">
        <f ca="1">IFERROR(INDIRECT(CONCATENATE("Track1!f",A69+4)),"")</f>
        <v>Isaac BAKER</v>
      </c>
      <c r="E72" s="85" t="str">
        <f ca="1">IFERROR(INDIRECT(CONCATENATE("Track1!g",A69+4)),"")</f>
        <v>Macc</v>
      </c>
      <c r="F72" s="395">
        <f ca="1">IFERROR(INDIRECT(CONCATENATE("Track1!h",A69+4)),"")</f>
        <v>17.2</v>
      </c>
      <c r="G72" s="108" t="str">
        <f ca="1">IFERROR(INDIRECT(CONCATENATE("Track1!i",A69+4)),"")</f>
        <v/>
      </c>
      <c r="H72" s="66"/>
      <c r="I72" s="66">
        <f ca="1">IFERROR(INDIRECT(CONCATENATE("Track1!k",A69+4)),"")</f>
        <v>3</v>
      </c>
      <c r="J72" s="66">
        <f ca="1">IFERROR(INDIRECT(CONCATENATE("Track1!l",A69+4)),"")</f>
        <v>0</v>
      </c>
      <c r="K72" s="85" t="str">
        <f ca="1">IFERROR(INDIRECT(CONCATENATE("Track1!m",A69+4)),"")</f>
        <v/>
      </c>
      <c r="L72" s="85" t="str">
        <f ca="1">IFERROR(INDIRECT(CONCATENATE("Track1!n",A69+4)),"")</f>
        <v/>
      </c>
      <c r="M72" s="395">
        <f ca="1">IFERROR(INDIRECT(CONCATENATE("Track1!o",A69+4)),"")</f>
        <v>0</v>
      </c>
      <c r="N72" s="108" t="str">
        <f ca="1">IFERROR(INDIRECT(CONCATENATE("Track1!p",A69+4)),"")</f>
        <v/>
      </c>
      <c r="T72" s="64">
        <f t="shared" ca="1" si="4"/>
        <v>2</v>
      </c>
      <c r="U72" s="64" t="str">
        <f t="shared" ca="1" si="5"/>
        <v/>
      </c>
      <c r="V72" s="266">
        <f ca="1">IF(OR(D72=0,D72="",D72="Athlete"),"",COUNTIF($D$4:$D72,D72))</f>
        <v>1</v>
      </c>
      <c r="W72" s="266" t="str">
        <f t="shared" ca="1" si="6"/>
        <v>Macc</v>
      </c>
      <c r="Z72" s="266" t="str">
        <f t="shared" ca="1" si="7"/>
        <v/>
      </c>
    </row>
    <row r="73" spans="1:26" x14ac:dyDescent="0.35">
      <c r="B73" s="66">
        <f ca="1">IFERROR(INDIRECT(CONCATENATE("Track1!D",A69+5)),"")</f>
        <v>4</v>
      </c>
      <c r="C73" s="66">
        <f ca="1">IFERROR(INDIRECT(CONCATENATE("Track1!e",A69+5)),"")</f>
        <v>0</v>
      </c>
      <c r="D73" s="85" t="str">
        <f ca="1">IFERROR(INDIRECT(CONCATENATE("Track1!f",A69+5)),"")</f>
        <v/>
      </c>
      <c r="E73" s="85" t="str">
        <f ca="1">IFERROR(INDIRECT(CONCATENATE("Track1!g",A69+5)),"")</f>
        <v/>
      </c>
      <c r="F73" s="395">
        <f ca="1">IFERROR(INDIRECT(CONCATENATE("Track1!h",A69+5)),"")</f>
        <v>0</v>
      </c>
      <c r="G73" s="108" t="str">
        <f ca="1">IFERROR(INDIRECT(CONCATENATE("Track1!i",A69+5)),"")</f>
        <v/>
      </c>
      <c r="H73" s="66"/>
      <c r="I73" s="66">
        <f ca="1">IFERROR(INDIRECT(CONCATENATE("Track1!k",A69+5)),"")</f>
        <v>4</v>
      </c>
      <c r="J73" s="66">
        <f ca="1">IFERROR(INDIRECT(CONCATENATE("Track1!l",A69+5)),"")</f>
        <v>0</v>
      </c>
      <c r="K73" s="85" t="str">
        <f ca="1">IFERROR(INDIRECT(CONCATENATE("Track1!m",A69+5)),"")</f>
        <v/>
      </c>
      <c r="L73" s="85" t="str">
        <f ca="1">IFERROR(INDIRECT(CONCATENATE("Track1!n",A69+5)),"")</f>
        <v/>
      </c>
      <c r="M73" s="395">
        <f ca="1">IFERROR(INDIRECT(CONCATENATE("Track1!o",A69+5)),"")</f>
        <v>0</v>
      </c>
      <c r="N73" s="108" t="str">
        <f ca="1">IFERROR(INDIRECT(CONCATENATE("Track1!p",A69+5)),"")</f>
        <v/>
      </c>
      <c r="T73" s="64" t="str">
        <f t="shared" ca="1" si="4"/>
        <v/>
      </c>
      <c r="U73" s="64" t="str">
        <f t="shared" ca="1" si="5"/>
        <v/>
      </c>
      <c r="V73" s="266" t="str">
        <f ca="1">IF(OR(D73=0,D73="",D73="Athlete"),"",COUNTIF($D$4:$D73,D73))</f>
        <v/>
      </c>
      <c r="W73" s="266" t="str">
        <f t="shared" ca="1" si="6"/>
        <v/>
      </c>
      <c r="Z73" s="266" t="str">
        <f t="shared" ca="1" si="7"/>
        <v/>
      </c>
    </row>
    <row r="74" spans="1:26" x14ac:dyDescent="0.35">
      <c r="B74" s="66">
        <f ca="1">IFERROR(INDIRECT(CONCATENATE("Track1!D",A69+6)),"")</f>
        <v>5</v>
      </c>
      <c r="C74" s="66">
        <f ca="1">IFERROR(INDIRECT(CONCATENATE("Track1!e",A69+6)),"")</f>
        <v>0</v>
      </c>
      <c r="D74" s="85" t="str">
        <f ca="1">IFERROR(INDIRECT(CONCATENATE("Track1!f",A69+6)),"")</f>
        <v/>
      </c>
      <c r="E74" s="85" t="str">
        <f ca="1">IFERROR(INDIRECT(CONCATENATE("Track1!g",A69+6)),"")</f>
        <v/>
      </c>
      <c r="F74" s="395">
        <f ca="1">IFERROR(INDIRECT(CONCATENATE("Track1!h",A69+6)),"")</f>
        <v>0</v>
      </c>
      <c r="G74" s="108" t="str">
        <f ca="1">IFERROR(INDIRECT(CONCATENATE("Track1!i",A69+6)),"")</f>
        <v/>
      </c>
      <c r="H74" s="66"/>
      <c r="I74" s="66">
        <f ca="1">IFERROR(INDIRECT(CONCATENATE("Track1!k",A69+6)),"")</f>
        <v>5</v>
      </c>
      <c r="J74" s="66">
        <f ca="1">IFERROR(INDIRECT(CONCATENATE("Track1!l",A69+6)),"")</f>
        <v>0</v>
      </c>
      <c r="K74" s="85" t="str">
        <f ca="1">IFERROR(INDIRECT(CONCATENATE("Track1!m",A69+6)),"")</f>
        <v/>
      </c>
      <c r="L74" s="85" t="str">
        <f ca="1">IFERROR(INDIRECT(CONCATENATE("Track1!n",A69+6)),"")</f>
        <v/>
      </c>
      <c r="M74" s="395">
        <f ca="1">IFERROR(INDIRECT(CONCATENATE("Track1!o",A69+6)),"")</f>
        <v>0</v>
      </c>
      <c r="N74" s="108" t="str">
        <f ca="1">IFERROR(INDIRECT(CONCATENATE("Track1!p",A69+6)),"")</f>
        <v/>
      </c>
      <c r="T74" s="64" t="str">
        <f t="shared" ca="1" si="4"/>
        <v/>
      </c>
      <c r="U74" s="64" t="str">
        <f t="shared" ca="1" si="5"/>
        <v/>
      </c>
      <c r="V74" s="266" t="str">
        <f ca="1">IF(OR(D74=0,D74="",D74="Athlete"),"",COUNTIF($D$4:$D74,D74))</f>
        <v/>
      </c>
      <c r="W74" s="266" t="str">
        <f t="shared" ca="1" si="6"/>
        <v/>
      </c>
      <c r="Z74" s="266" t="str">
        <f t="shared" ca="1" si="7"/>
        <v/>
      </c>
    </row>
    <row r="75" spans="1:26" x14ac:dyDescent="0.35">
      <c r="B75" s="66">
        <f ca="1">IFERROR(INDIRECT(CONCATENATE("Track1!D",A69+7)),"")</f>
        <v>6</v>
      </c>
      <c r="C75" s="66">
        <f ca="1">IFERROR(INDIRECT(CONCATENATE("Track1!e",A69+7)),"")</f>
        <v>0</v>
      </c>
      <c r="D75" s="85" t="str">
        <f ca="1">IFERROR(INDIRECT(CONCATENATE("Track1!f",A69+7)),"")</f>
        <v/>
      </c>
      <c r="E75" s="85" t="str">
        <f ca="1">IFERROR(INDIRECT(CONCATENATE("Track1!g",A69+7)),"")</f>
        <v/>
      </c>
      <c r="F75" s="395">
        <f ca="1">IFERROR(INDIRECT(CONCATENATE("Track1!h",A69+7)),"")</f>
        <v>0</v>
      </c>
      <c r="G75" s="108" t="str">
        <f ca="1">IFERROR(INDIRECT(CONCATENATE("Track1!i",A69+7)),"")</f>
        <v/>
      </c>
      <c r="H75" s="66"/>
      <c r="I75" s="66">
        <f ca="1">IFERROR(INDIRECT(CONCATENATE("Track1!k",A69+7)),"")</f>
        <v>6</v>
      </c>
      <c r="J75" s="66">
        <f ca="1">IFERROR(INDIRECT(CONCATENATE("Track1!l",A69+7)),"")</f>
        <v>0</v>
      </c>
      <c r="K75" s="85" t="str">
        <f ca="1">IFERROR(INDIRECT(CONCATENATE("Track1!m",A69+7)),"")</f>
        <v/>
      </c>
      <c r="L75" s="85" t="str">
        <f ca="1">IFERROR(INDIRECT(CONCATENATE("Track1!n",A69+7)),"")</f>
        <v/>
      </c>
      <c r="M75" s="395">
        <f ca="1">IFERROR(INDIRECT(CONCATENATE("Track1!o",A69+7)),"")</f>
        <v>0</v>
      </c>
      <c r="N75" s="108" t="str">
        <f ca="1">IFERROR(INDIRECT(CONCATENATE("Track1!p",A69+7)),"")</f>
        <v/>
      </c>
      <c r="T75" s="64" t="str">
        <f t="shared" ca="1" si="4"/>
        <v/>
      </c>
      <c r="U75" s="64" t="str">
        <f t="shared" ca="1" si="5"/>
        <v/>
      </c>
      <c r="V75" s="266" t="str">
        <f ca="1">IF(OR(D75=0,D75="",D75="Athlete"),"",COUNTIF($D$4:$D75,D75))</f>
        <v/>
      </c>
      <c r="W75" s="266" t="str">
        <f t="shared" ca="1" si="6"/>
        <v/>
      </c>
      <c r="Z75" s="266" t="str">
        <f t="shared" ca="1" si="7"/>
        <v/>
      </c>
    </row>
    <row r="76" spans="1:26" x14ac:dyDescent="0.35">
      <c r="B76" s="66">
        <f ca="1">IFERROR(INDIRECT(CONCATENATE("Track1!D",A69+8)),"")</f>
        <v>7</v>
      </c>
      <c r="C76" s="66">
        <f ca="1">IFERROR(INDIRECT(CONCATENATE("Track1!e",A69+8)),"")</f>
        <v>0</v>
      </c>
      <c r="D76" s="85" t="str">
        <f ca="1">IFERROR(INDIRECT(CONCATENATE("Track1!f",A69+8)),"")</f>
        <v/>
      </c>
      <c r="E76" s="85" t="str">
        <f ca="1">IFERROR(INDIRECT(CONCATENATE("Track1!g",A69+8)),"")</f>
        <v/>
      </c>
      <c r="F76" s="395">
        <f ca="1">IFERROR(INDIRECT(CONCATENATE("Track1!h",A69+8)),"")</f>
        <v>0</v>
      </c>
      <c r="G76" s="108" t="str">
        <f ca="1">IFERROR(INDIRECT(CONCATENATE("Track1!i",A69+8)),"")</f>
        <v/>
      </c>
      <c r="H76" s="66"/>
      <c r="I76" s="66">
        <f ca="1">IFERROR(INDIRECT(CONCATENATE("Track1!k",A69+8)),"")</f>
        <v>7</v>
      </c>
      <c r="J76" s="66">
        <f ca="1">IFERROR(INDIRECT(CONCATENATE("Track1!l",A69+8)),"")</f>
        <v>0</v>
      </c>
      <c r="K76" s="85" t="str">
        <f ca="1">IFERROR(INDIRECT(CONCATENATE("Track1!m",A69+8)),"")</f>
        <v/>
      </c>
      <c r="L76" s="85" t="str">
        <f ca="1">IFERROR(INDIRECT(CONCATENATE("Track1!n",A69+8)),"")</f>
        <v/>
      </c>
      <c r="M76" s="395">
        <f ca="1">IFERROR(INDIRECT(CONCATENATE("Track1!o",A69+8)),"")</f>
        <v>0</v>
      </c>
      <c r="N76" s="108" t="str">
        <f ca="1">IFERROR(INDIRECT(CONCATENATE("Track1!p",A69+8)),"")</f>
        <v/>
      </c>
      <c r="T76" s="64" t="str">
        <f t="shared" ca="1" si="4"/>
        <v/>
      </c>
      <c r="U76" s="64" t="str">
        <f t="shared" ca="1" si="5"/>
        <v/>
      </c>
      <c r="V76" s="266" t="str">
        <f ca="1">IF(OR(D76=0,D76="",D76="Athlete"),"",COUNTIF($D$4:$D76,D76))</f>
        <v/>
      </c>
      <c r="W76" s="266" t="str">
        <f t="shared" ca="1" si="6"/>
        <v/>
      </c>
      <c r="Z76" s="266" t="str">
        <f t="shared" ca="1" si="7"/>
        <v/>
      </c>
    </row>
    <row r="77" spans="1:26" x14ac:dyDescent="0.35">
      <c r="B77" s="66">
        <f ca="1">IFERROR(INDIRECT(CONCATENATE("Track1!D",A69+9)),"")</f>
        <v>8</v>
      </c>
      <c r="C77" s="66">
        <f ca="1">IFERROR(INDIRECT(CONCATENATE("Track1!e",A69+9)),"")</f>
        <v>0</v>
      </c>
      <c r="D77" s="85" t="str">
        <f ca="1">IFERROR(INDIRECT(CONCATENATE("Track1!f",A69+9)),"")</f>
        <v/>
      </c>
      <c r="E77" s="85" t="str">
        <f ca="1">IFERROR(INDIRECT(CONCATENATE("Track1!g",A69+9)),"")</f>
        <v/>
      </c>
      <c r="F77" s="395">
        <f ca="1">IFERROR(INDIRECT(CONCATENATE("Track1!h",A69+9)),"")</f>
        <v>0</v>
      </c>
      <c r="G77" s="108" t="str">
        <f ca="1">IFERROR(INDIRECT(CONCATENATE("Track1!i",A69+9)),"")</f>
        <v/>
      </c>
      <c r="H77" s="66"/>
      <c r="I77" s="66">
        <f ca="1">IFERROR(INDIRECT(CONCATENATE("Track1!k",A69+9)),"")</f>
        <v>8</v>
      </c>
      <c r="J77" s="66">
        <f ca="1">IFERROR(INDIRECT(CONCATENATE("Track1!l",A69+9)),"")</f>
        <v>0</v>
      </c>
      <c r="K77" s="85" t="str">
        <f ca="1">IFERROR(INDIRECT(CONCATENATE("Track1!m",A69+9)),"")</f>
        <v/>
      </c>
      <c r="L77" s="85" t="str">
        <f ca="1">IFERROR(INDIRECT(CONCATENATE("Track1!n",A69+9)),"")</f>
        <v/>
      </c>
      <c r="M77" s="395">
        <f ca="1">IFERROR(INDIRECT(CONCATENATE("Track1!o",A69+9)),"")</f>
        <v>0</v>
      </c>
      <c r="N77" s="108" t="str">
        <f ca="1">IFERROR(INDIRECT(CONCATENATE("Track1!p",A69+9)),"")</f>
        <v/>
      </c>
      <c r="T77" s="64" t="str">
        <f t="shared" ca="1" si="4"/>
        <v/>
      </c>
      <c r="U77" s="64" t="str">
        <f t="shared" ca="1" si="5"/>
        <v/>
      </c>
      <c r="V77" s="266" t="str">
        <f ca="1">IF(OR(D77=0,D77="",D77="Athlete"),"",COUNTIF($D$4:$D77,D77))</f>
        <v/>
      </c>
      <c r="W77" s="266" t="str">
        <f t="shared" ca="1" si="6"/>
        <v/>
      </c>
      <c r="Z77" s="266" t="str">
        <f t="shared" ca="1" si="7"/>
        <v/>
      </c>
    </row>
    <row r="78" spans="1:26" x14ac:dyDescent="0.35">
      <c r="T78" s="64" t="str">
        <f t="shared" si="4"/>
        <v/>
      </c>
      <c r="U78" s="64" t="str">
        <f t="shared" si="5"/>
        <v/>
      </c>
      <c r="V78" s="266" t="str">
        <f>IF(OR(D78=0,D78="",D78="Athlete"),"",COUNTIF($D$4:$D78,D78))</f>
        <v/>
      </c>
      <c r="W78" s="266" t="str">
        <f t="shared" si="6"/>
        <v/>
      </c>
      <c r="Z78" s="266" t="str">
        <f t="shared" si="7"/>
        <v/>
      </c>
    </row>
    <row r="79" spans="1:26" x14ac:dyDescent="0.35">
      <c r="A79" s="255" t="s">
        <v>244</v>
      </c>
      <c r="B79" s="102" t="str">
        <f ca="1">IFERROR(INDIRECT(CONCATENATE("Field!D",A80)),"")</f>
        <v>Long Jump U13 Boys A</v>
      </c>
      <c r="F79" s="65"/>
      <c r="G79" s="256" t="str">
        <f ca="1">IFERROR(INDIRECT(CONCATENATE("Field!i",A80)),"")</f>
        <v/>
      </c>
      <c r="I79" s="102" t="str">
        <f ca="1">IFERROR(INDIRECT(CONCATENATE("Field!k",A80)),"")</f>
        <v>Long Jump U13 Boys B</v>
      </c>
      <c r="T79" s="64" t="str">
        <f t="shared" si="4"/>
        <v/>
      </c>
      <c r="U79" s="64" t="str">
        <f t="shared" si="5"/>
        <v/>
      </c>
      <c r="V79" s="266" t="str">
        <f>IF(OR(D79=0,D79="",D79="Athlete"),"",COUNTIF($D$4:$D79,D79))</f>
        <v/>
      </c>
      <c r="W79" s="266" t="str">
        <f t="shared" si="6"/>
        <v/>
      </c>
      <c r="Z79" s="266" t="str">
        <f t="shared" ca="1" si="7"/>
        <v/>
      </c>
    </row>
    <row r="80" spans="1:26" x14ac:dyDescent="0.35">
      <c r="A80" s="66">
        <f>IFERROR(MATCH(A79,Field!C:C,0),"")</f>
        <v>134</v>
      </c>
      <c r="B80" s="45" t="str">
        <f ca="1">IFERROR(INDIRECT(CONCATENATE("Field!D",A80+1)),"")</f>
        <v>Posn</v>
      </c>
      <c r="C80" s="45" t="str">
        <f ca="1">IFERROR(INDIRECT(CONCATENATE("Field!e",A80+1)),"")</f>
        <v>Bib</v>
      </c>
      <c r="D80" s="139" t="str">
        <f ca="1">IFERROR(INDIRECT(CONCATENATE("Field!f",A80+1)),"")</f>
        <v>Athlete</v>
      </c>
      <c r="E80" s="139" t="str">
        <f ca="1">IFERROR(INDIRECT(CONCATENATE("Field!g",A80+1)),"")</f>
        <v>Club</v>
      </c>
      <c r="F80" s="133" t="str">
        <f ca="1">IFERROR(INDIRECT(CONCATENATE("Field!h",A80+1)),"")</f>
        <v>Perf</v>
      </c>
      <c r="G80" s="167" t="str">
        <f ca="1">IFERROR(INDIRECT(CONCATENATE("Field!i",A80+1)),"")</f>
        <v>EA</v>
      </c>
      <c r="H80" s="45"/>
      <c r="I80" s="45" t="str">
        <f ca="1">IFERROR(INDIRECT(CONCATENATE("Field!k",A80+1)),"")</f>
        <v>Posn</v>
      </c>
      <c r="J80" s="45" t="str">
        <f ca="1">IFERROR(INDIRECT(CONCATENATE("Field!l",A80+1)),"")</f>
        <v>Bib</v>
      </c>
      <c r="K80" s="139" t="str">
        <f ca="1">IFERROR(INDIRECT(CONCATENATE("Field!m",A80+1)),"")</f>
        <v>Athlete</v>
      </c>
      <c r="L80" s="139" t="str">
        <f ca="1">IFERROR(INDIRECT(CONCATENATE("Field!n",A80+1)),"")</f>
        <v>Club</v>
      </c>
      <c r="M80" s="133" t="str">
        <f ca="1">IFERROR(INDIRECT(CONCATENATE("Field!o",A80+1)),"")</f>
        <v>Perf</v>
      </c>
      <c r="N80" s="167" t="str">
        <f ca="1">IFERROR(INDIRECT(CONCATENATE("Field!p",A80+1)),"")</f>
        <v>EA</v>
      </c>
      <c r="T80" s="64" t="str">
        <f t="shared" ca="1" si="4"/>
        <v/>
      </c>
      <c r="U80" s="64" t="str">
        <f t="shared" ca="1" si="5"/>
        <v/>
      </c>
      <c r="V80" s="266" t="str">
        <f ca="1">IF(OR(D80=0,D80="",D80="Athlete"),"",COUNTIF($D$4:$D80,D80))</f>
        <v/>
      </c>
      <c r="W80" s="266" t="str">
        <f t="shared" ca="1" si="6"/>
        <v/>
      </c>
      <c r="Z80" s="266">
        <f t="shared" ca="1" si="7"/>
        <v>0</v>
      </c>
    </row>
    <row r="81" spans="1:26" x14ac:dyDescent="0.35">
      <c r="A81" s="66" t="str">
        <f>"_"&amp;A79</f>
        <v>_LFW01</v>
      </c>
      <c r="B81" s="66">
        <f ca="1">IFERROR(INDIRECT(CONCATENATE("Field!D",A80+2)),"")</f>
        <v>1</v>
      </c>
      <c r="C81" s="66">
        <f ca="1">IFERROR(INDIRECT(CONCATENATE("Field!e",A80+2)),"")</f>
        <v>4</v>
      </c>
      <c r="D81" s="85" t="str">
        <f ca="1">IFERROR(INDIRECT(CONCATENATE("Field!f",A80+2)),"")</f>
        <v>Tomas BEDOYA</v>
      </c>
      <c r="E81" s="85" t="str">
        <f ca="1">IFERROR(INDIRECT(CONCATENATE("Field!g",A80+2)),"")</f>
        <v>Macc</v>
      </c>
      <c r="F81" s="356" t="str">
        <f ca="1">IFERROR(TEXT(INDIRECT(CONCATENATE("Field!h",A80+2)),"#.#0")&amp;" "&amp;VLOOKUP(C81,INDIRECT($A81),5,FALSE),"")</f>
        <v xml:space="preserve">4.37 </v>
      </c>
      <c r="G81" s="108">
        <f ca="1">IFERROR(INDIRECT(CONCATENATE("Field!i",A80+2)),"")</f>
        <v>6</v>
      </c>
      <c r="H81" s="66"/>
      <c r="I81" s="66">
        <f ca="1">IFERROR(INDIRECT(CONCATENATE("Field!k",A80+2)),"")</f>
        <v>1</v>
      </c>
      <c r="J81" s="66">
        <f ca="1">IFERROR(INDIRECT(CONCATENATE("Field!l",A80+2)),"")</f>
        <v>44</v>
      </c>
      <c r="K81" s="85" t="str">
        <f ca="1">IFERROR(INDIRECT(CONCATENATE("Field!m",A80+2)),"")</f>
        <v>Dylan BAKER</v>
      </c>
      <c r="L81" s="85" t="str">
        <f ca="1">IFERROR(INDIRECT(CONCATENATE("Field!n",A80+2)),"")</f>
        <v>Macc</v>
      </c>
      <c r="M81" s="356" t="str">
        <f ca="1">IFERROR(TEXT(INDIRECT(CONCATENATE("Field!o",A80+2)),"#.#0")&amp;" "&amp;VLOOKUP(J81,INDIRECT($A81),5,FALSE),"")</f>
        <v xml:space="preserve">3.86 </v>
      </c>
      <c r="N81" s="108">
        <f ca="1">IFERROR(INDIRECT(CONCATENATE("Field!p",A80+2)),"")</f>
        <v>4</v>
      </c>
      <c r="R81" s="168">
        <f ca="1">IFERROR(INDIRECT(CONCATENATE("Field!r",A80+2)),"")</f>
        <v>10</v>
      </c>
      <c r="T81" s="64">
        <f t="shared" ca="1" si="4"/>
        <v>3</v>
      </c>
      <c r="U81" s="64">
        <f t="shared" ca="1" si="5"/>
        <v>2</v>
      </c>
      <c r="V81" s="266">
        <f ca="1">IF(OR(D81=0,D81="",D81="Athlete"),"",COUNTIF($D$4:$D81,D81))</f>
        <v>1</v>
      </c>
      <c r="W81" s="266" t="str">
        <f t="shared" ca="1" si="6"/>
        <v>Macc</v>
      </c>
      <c r="Z81" s="266">
        <f t="shared" ca="1" si="7"/>
        <v>0</v>
      </c>
    </row>
    <row r="82" spans="1:26" x14ac:dyDescent="0.35">
      <c r="B82" s="66">
        <f ca="1">IFERROR(INDIRECT(CONCATENATE("Field!D",A80+3)),"")</f>
        <v>2</v>
      </c>
      <c r="C82" s="66">
        <f ca="1">IFERROR(INDIRECT(CONCATENATE("Field!e",A80+3)),"")</f>
        <v>7</v>
      </c>
      <c r="D82" s="85" t="str">
        <f ca="1">IFERROR(INDIRECT(CONCATENATE("Field!f",A80+3)),"")</f>
        <v>Henry MORRIS</v>
      </c>
      <c r="E82" s="85" t="str">
        <f ca="1">IFERROR(INDIRECT(CONCATENATE("Field!g",A80+3)),"")</f>
        <v>Wigan</v>
      </c>
      <c r="F82" s="356" t="str">
        <f ca="1">IFERROR(TEXT(INDIRECT(CONCATENATE("Field!h",A80+3)),"#.#0")&amp;" "&amp;VLOOKUP(C82,INDIRECT($A81),5,FALSE),"")</f>
        <v xml:space="preserve">4.25 </v>
      </c>
      <c r="G82" s="108">
        <f ca="1">IFERROR(INDIRECT(CONCATENATE("Field!i",A80+3)),"")</f>
        <v>6</v>
      </c>
      <c r="H82" s="66"/>
      <c r="I82" s="66">
        <f ca="1">IFERROR(INDIRECT(CONCATENATE("Field!k",A80+3)),"")</f>
        <v>2</v>
      </c>
      <c r="J82" s="66">
        <f ca="1">IFERROR(INDIRECT(CONCATENATE("Field!l",A80+3)),"")</f>
        <v>33</v>
      </c>
      <c r="K82" s="85" t="str">
        <f ca="1">IFERROR(INDIRECT(CONCATENATE("Field!m",A80+3)),"")</f>
        <v>Jack FLETCHER</v>
      </c>
      <c r="L82" s="85" t="str">
        <f ca="1">IFERROR(INDIRECT(CONCATENATE("Field!n",A80+3)),"")</f>
        <v>Leigh</v>
      </c>
      <c r="M82" s="356" t="str">
        <f ca="1">IFERROR(TEXT(INDIRECT(CONCATENATE("Field!o",A80+3)),"#.#0")&amp;" "&amp;VLOOKUP(J82,INDIRECT($A81),5,FALSE),"")</f>
        <v xml:space="preserve">3.32 </v>
      </c>
      <c r="N82" s="108">
        <f ca="1">IFERROR(INDIRECT(CONCATENATE("Field!p",A80+3)),"")</f>
        <v>2</v>
      </c>
      <c r="T82" s="64">
        <f t="shared" ca="1" si="4"/>
        <v>3</v>
      </c>
      <c r="U82" s="64">
        <f t="shared" ca="1" si="5"/>
        <v>3</v>
      </c>
      <c r="V82" s="266">
        <f ca="1">IF(OR(D82=0,D82="",D82="Athlete"),"",COUNTIF($D$4:$D82,D82))</f>
        <v>3</v>
      </c>
      <c r="W82" s="266" t="str">
        <f t="shared" ca="1" si="6"/>
        <v>Wigan</v>
      </c>
      <c r="Z82" s="266">
        <f t="shared" ca="1" si="7"/>
        <v>0</v>
      </c>
    </row>
    <row r="83" spans="1:26" x14ac:dyDescent="0.35">
      <c r="B83" s="66">
        <f ca="1">IFERROR(INDIRECT(CONCATENATE("Field!D",A80+4)),"")</f>
        <v>3</v>
      </c>
      <c r="C83" s="66">
        <f ca="1">IFERROR(INDIRECT(CONCATENATE("Field!e",A80+4)),"")</f>
        <v>3</v>
      </c>
      <c r="D83" s="85" t="str">
        <f ca="1">IFERROR(INDIRECT(CONCATENATE("Field!f",A80+4)),"")</f>
        <v>Oscar FINCH</v>
      </c>
      <c r="E83" s="85" t="str">
        <f ca="1">IFERROR(INDIRECT(CONCATENATE("Field!g",A80+4)),"")</f>
        <v>Leigh</v>
      </c>
      <c r="F83" s="356" t="str">
        <f ca="1">IFERROR(TEXT(INDIRECT(CONCATENATE("Field!h",A80+4)),"#.#0")&amp;" "&amp;VLOOKUP(C83,INDIRECT($A81),5,FALSE),"")</f>
        <v xml:space="preserve">4.04 </v>
      </c>
      <c r="G83" s="108">
        <f ca="1">IFERROR(INDIRECT(CONCATENATE("Field!i",A80+4)),"")</f>
        <v>5</v>
      </c>
      <c r="H83" s="66"/>
      <c r="I83" s="66">
        <f ca="1">IFERROR(INDIRECT(CONCATENATE("Field!k",A80+4)),"")</f>
        <v>3</v>
      </c>
      <c r="J83" s="66">
        <f ca="1">IFERROR(INDIRECT(CONCATENATE("Field!l",A80+4)),"")</f>
        <v>66</v>
      </c>
      <c r="K83" s="85" t="str">
        <f ca="1">IFERROR(INDIRECT(CONCATENATE("Field!m",A80+4)),"")</f>
        <v>Alex KITCHEN</v>
      </c>
      <c r="L83" s="85" t="str">
        <f ca="1">IFERROR(INDIRECT(CONCATENATE("Field!n",A80+4)),"")</f>
        <v>Stock</v>
      </c>
      <c r="M83" s="356" t="str">
        <f ca="1">IFERROR(TEXT(INDIRECT(CONCATENATE("Field!o",A80+4)),"#.#0")&amp;" "&amp;VLOOKUP(J83,INDIRECT($A81),5,FALSE),"")</f>
        <v xml:space="preserve">3.28 </v>
      </c>
      <c r="N83" s="108">
        <f ca="1">IFERROR(INDIRECT(CONCATENATE("Field!p",A80+4)),"")</f>
        <v>2</v>
      </c>
      <c r="T83" s="64">
        <f t="shared" ca="1" si="4"/>
        <v>3</v>
      </c>
      <c r="U83" s="64">
        <f t="shared" ca="1" si="5"/>
        <v>3</v>
      </c>
      <c r="V83" s="266">
        <f ca="1">IF(OR(D83=0,D83="",D83="Athlete"),"",COUNTIF($D$4:$D83,D83))</f>
        <v>1</v>
      </c>
      <c r="W83" s="266" t="str">
        <f t="shared" ca="1" si="6"/>
        <v>Leigh</v>
      </c>
      <c r="Z83" s="266">
        <f t="shared" ca="1" si="7"/>
        <v>0</v>
      </c>
    </row>
    <row r="84" spans="1:26" x14ac:dyDescent="0.35">
      <c r="B84" s="66">
        <f ca="1">IFERROR(INDIRECT(CONCATENATE("Field!D",A80+5)),"")</f>
        <v>4</v>
      </c>
      <c r="C84" s="66">
        <f ca="1">IFERROR(INDIRECT(CONCATENATE("Field!e",A80+5)),"")</f>
        <v>6</v>
      </c>
      <c r="D84" s="85" t="str">
        <f ca="1">IFERROR(INDIRECT(CONCATENATE("Field!f",A80+5)),"")</f>
        <v>Arthur CAMPBELL</v>
      </c>
      <c r="E84" s="85" t="str">
        <f ca="1">IFERROR(INDIRECT(CONCATENATE("Field!g",A80+5)),"")</f>
        <v>Stock</v>
      </c>
      <c r="F84" s="356" t="str">
        <f ca="1">IFERROR(TEXT(INDIRECT(CONCATENATE("Field!h",A80+5)),"#.#0")&amp;" "&amp;VLOOKUP(C84,INDIRECT($A81),5,FALSE),"")</f>
        <v xml:space="preserve">4.0 </v>
      </c>
      <c r="G84" s="108">
        <f ca="1">IFERROR(INDIRECT(CONCATENATE("Field!i",A80+5)),"")</f>
        <v>5</v>
      </c>
      <c r="H84" s="66"/>
      <c r="I84" s="66">
        <f ca="1">IFERROR(INDIRECT(CONCATENATE("Field!k",A80+5)),"")</f>
        <v>4</v>
      </c>
      <c r="J84" s="66">
        <f ca="1">IFERROR(INDIRECT(CONCATENATE("Field!l",A80+5)),"")</f>
        <v>1</v>
      </c>
      <c r="K84" s="85" t="str">
        <f ca="1">IFERROR(INDIRECT(CONCATENATE("Field!m",A80+5)),"")</f>
        <v>Charlie SMITH</v>
      </c>
      <c r="L84" s="85" t="str">
        <f ca="1">IFERROR(INDIRECT(CONCATENATE("Field!n",A80+5)),"")</f>
        <v>C&amp;N</v>
      </c>
      <c r="M84" s="356" t="str">
        <f ca="1">IFERROR(TEXT(INDIRECT(CONCATENATE("Field!o",A80+5)),"#.#0")&amp;" "&amp;VLOOKUP(J84,INDIRECT($A81),5,FALSE),"")</f>
        <v xml:space="preserve">3.22 </v>
      </c>
      <c r="N84" s="108">
        <f ca="1">IFERROR(INDIRECT(CONCATENATE("Field!p",A80+5)),"")</f>
        <v>1</v>
      </c>
      <c r="T84" s="64">
        <f t="shared" ca="1" si="4"/>
        <v>2</v>
      </c>
      <c r="U84" s="64">
        <f t="shared" ca="1" si="5"/>
        <v>3</v>
      </c>
      <c r="V84" s="266">
        <f ca="1">IF(OR(D84=0,D84="",D84="Athlete"),"",COUNTIF($D$4:$D84,D84))</f>
        <v>1</v>
      </c>
      <c r="W84" s="266" t="str">
        <f t="shared" ca="1" si="6"/>
        <v>Stock</v>
      </c>
      <c r="Z84" s="266">
        <f t="shared" ca="1" si="7"/>
        <v>0</v>
      </c>
    </row>
    <row r="85" spans="1:26" x14ac:dyDescent="0.35">
      <c r="B85" s="66">
        <f ca="1">IFERROR(INDIRECT(CONCATENATE("Field!D",A80+6)),"")</f>
        <v>5</v>
      </c>
      <c r="C85" s="66">
        <f ca="1">IFERROR(INDIRECT(CONCATENATE("Field!e",A80+6)),"")</f>
        <v>11</v>
      </c>
      <c r="D85" s="85" t="str">
        <f ca="1">IFERROR(INDIRECT(CONCATENATE("Field!f",A80+6)),"")</f>
        <v>Kaidan DOS REIS</v>
      </c>
      <c r="E85" s="85" t="str">
        <f ca="1">IFERROR(INDIRECT(CONCATENATE("Field!g",A80+6)),"")</f>
        <v>C&amp;N</v>
      </c>
      <c r="F85" s="356" t="str">
        <f ca="1">IFERROR(TEXT(INDIRECT(CONCATENATE("Field!h",A80+6)),"#.#0")&amp;" "&amp;VLOOKUP(C85,INDIRECT($A81),5,FALSE),"")</f>
        <v xml:space="preserve">3.92 </v>
      </c>
      <c r="G85" s="108">
        <f ca="1">IFERROR(INDIRECT(CONCATENATE("Field!i",A80+6)),"")</f>
        <v>4</v>
      </c>
      <c r="H85" s="66"/>
      <c r="I85" s="66">
        <f ca="1">IFERROR(INDIRECT(CONCATENATE("Field!k",A80+6)),"")</f>
        <v>5</v>
      </c>
      <c r="J85" s="66">
        <f ca="1">IFERROR(INDIRECT(CONCATENATE("Field!l",A80+6)),"")</f>
        <v>22</v>
      </c>
      <c r="K85" s="85" t="str">
        <f ca="1">IFERROR(INDIRECT(CONCATENATE("Field!m",A80+6)),"")</f>
        <v>Sebastien GREGORY</v>
      </c>
      <c r="L85" s="85" t="str">
        <f ca="1">IFERROR(INDIRECT(CONCATENATE("Field!n",A80+6)),"")</f>
        <v>ECHT</v>
      </c>
      <c r="M85" s="356" t="str">
        <f ca="1">IFERROR(TEXT(INDIRECT(CONCATENATE("Field!o",A80+6)),"#.#0")&amp;" "&amp;VLOOKUP(J85,INDIRECT($A81),5,FALSE),"")</f>
        <v xml:space="preserve">2.51 </v>
      </c>
      <c r="N85" s="108" t="str">
        <f ca="1">IFERROR(INDIRECT(CONCATENATE("Field!p",A80+6)),"")</f>
        <v/>
      </c>
      <c r="T85" s="64">
        <f t="shared" ca="1" si="4"/>
        <v>3</v>
      </c>
      <c r="U85" s="64">
        <f t="shared" ca="1" si="5"/>
        <v>2</v>
      </c>
      <c r="V85" s="266">
        <f ca="1">IF(OR(D85=0,D85="",D85="Athlete"),"",COUNTIF($D$4:$D85,D85))</f>
        <v>1</v>
      </c>
      <c r="W85" s="266" t="str">
        <f t="shared" ca="1" si="6"/>
        <v>C&amp;N</v>
      </c>
      <c r="Z85" s="266">
        <f t="shared" ca="1" si="7"/>
        <v>0</v>
      </c>
    </row>
    <row r="86" spans="1:26" x14ac:dyDescent="0.35">
      <c r="B86" s="66">
        <f ca="1">IFERROR(INDIRECT(CONCATENATE("Field!D",A80+7)),"")</f>
        <v>6</v>
      </c>
      <c r="C86" s="66">
        <f ca="1">IFERROR(INDIRECT(CONCATENATE("Field!e",A80+7)),"")</f>
        <v>2</v>
      </c>
      <c r="D86" s="85" t="str">
        <f ca="1">IFERROR(INDIRECT(CONCATENATE("Field!f",A80+7)),"")</f>
        <v>Oliver MANNION</v>
      </c>
      <c r="E86" s="85" t="str">
        <f ca="1">IFERROR(INDIRECT(CONCATENATE("Field!g",A80+7)),"")</f>
        <v>ECHT</v>
      </c>
      <c r="F86" s="356" t="str">
        <f ca="1">IFERROR(TEXT(INDIRECT(CONCATENATE("Field!h",A80+7)),"#.#0")&amp;" "&amp;VLOOKUP(C86,INDIRECT($A81),5,FALSE),"")</f>
        <v xml:space="preserve">3.42 </v>
      </c>
      <c r="G86" s="108">
        <f ca="1">IFERROR(INDIRECT(CONCATENATE("Field!i",A80+7)),"")</f>
        <v>2</v>
      </c>
      <c r="H86" s="66"/>
      <c r="I86" s="66">
        <f ca="1">IFERROR(INDIRECT(CONCATENATE("Field!k",A80+7)),"")</f>
        <v>6</v>
      </c>
      <c r="J86" s="66">
        <f ca="1">IFERROR(INDIRECT(CONCATENATE("Field!l",A80+7)),"")</f>
        <v>77</v>
      </c>
      <c r="K86" s="85" t="str">
        <f ca="1">IFERROR(INDIRECT(CONCATENATE("Field!m",A80+7)),"")</f>
        <v>Evan BARNETT</v>
      </c>
      <c r="L86" s="85" t="str">
        <f ca="1">IFERROR(INDIRECT(CONCATENATE("Field!n",A80+7)),"")</f>
        <v>Wigan</v>
      </c>
      <c r="M86" s="356" t="str">
        <f ca="1">IFERROR(TEXT(INDIRECT(CONCATENATE("Field!o",A80+7)),"#.#0")&amp;" "&amp;VLOOKUP(J86,INDIRECT($A81),5,FALSE),"")</f>
        <v xml:space="preserve">2.37 </v>
      </c>
      <c r="N86" s="108" t="str">
        <f ca="1">IFERROR(INDIRECT(CONCATENATE("Field!p",A80+7)),"")</f>
        <v/>
      </c>
      <c r="T86" s="64">
        <f t="shared" ca="1" si="4"/>
        <v>3</v>
      </c>
      <c r="U86" s="64">
        <f t="shared" ca="1" si="5"/>
        <v>1</v>
      </c>
      <c r="V86" s="266">
        <f ca="1">IF(OR(D86=0,D86="",D86="Athlete"),"",COUNTIF($D$4:$D86,D86))</f>
        <v>2</v>
      </c>
      <c r="W86" s="266" t="str">
        <f t="shared" ca="1" si="6"/>
        <v>ECHT</v>
      </c>
      <c r="Z86" s="266">
        <f t="shared" ca="1" si="7"/>
        <v>0</v>
      </c>
    </row>
    <row r="87" spans="1:26" x14ac:dyDescent="0.35">
      <c r="B87" s="66">
        <f ca="1">IFERROR(INDIRECT(CONCATENATE("Field!D",A80+8)),"")</f>
        <v>7</v>
      </c>
      <c r="C87" s="66" t="str">
        <f ca="1">IFERROR(INDIRECT(CONCATENATE("Field!e",A80+8)),"")</f>
        <v/>
      </c>
      <c r="D87" s="85" t="str">
        <f ca="1">IFERROR(INDIRECT(CONCATENATE("Field!f",A80+8)),"")</f>
        <v/>
      </c>
      <c r="E87" s="85" t="str">
        <f ca="1">IFERROR(INDIRECT(CONCATENATE("Field!g",A80+8)),"")</f>
        <v/>
      </c>
      <c r="F87" s="356" t="str">
        <f ca="1">IFERROR(TEXT(INDIRECT(CONCATENATE("Field!h",A80+8)),"#.#0")&amp;" "&amp;VLOOKUP(C87,INDIRECT($A81),5,FALSE),"")</f>
        <v/>
      </c>
      <c r="G87" s="108" t="str">
        <f ca="1">IFERROR(INDIRECT(CONCATENATE("Field!i",A80+8)),"")</f>
        <v/>
      </c>
      <c r="H87" s="66"/>
      <c r="I87" s="66">
        <f ca="1">IFERROR(INDIRECT(CONCATENATE("Field!k",A80+8)),"")</f>
        <v>7</v>
      </c>
      <c r="J87" s="66" t="str">
        <f ca="1">IFERROR(INDIRECT(CONCATENATE("Field!l",A80+8)),"")</f>
        <v/>
      </c>
      <c r="K87" s="85" t="str">
        <f ca="1">IFERROR(INDIRECT(CONCATENATE("Field!m",A80+8)),"")</f>
        <v/>
      </c>
      <c r="L87" s="85" t="str">
        <f ca="1">IFERROR(INDIRECT(CONCATENATE("Field!n",A80+8)),"")</f>
        <v/>
      </c>
      <c r="M87" s="356" t="str">
        <f ca="1">IFERROR(TEXT(INDIRECT(CONCATENATE("Field!o",A80+8)),"#.#0")&amp;" "&amp;VLOOKUP(J87,INDIRECT($A81),5,FALSE),"")</f>
        <v/>
      </c>
      <c r="N87" s="108" t="str">
        <f ca="1">IFERROR(INDIRECT(CONCATENATE("Field!p",A80+8)),"")</f>
        <v/>
      </c>
      <c r="T87" s="64" t="str">
        <f t="shared" ca="1" si="4"/>
        <v/>
      </c>
      <c r="U87" s="64" t="str">
        <f t="shared" ca="1" si="5"/>
        <v/>
      </c>
      <c r="V87" s="266" t="str">
        <f ca="1">IF(OR(D87=0,D87="",D87="Athlete"),"",COUNTIF($D$4:$D87,D87))</f>
        <v/>
      </c>
      <c r="W87" s="266" t="str">
        <f t="shared" ca="1" si="6"/>
        <v/>
      </c>
      <c r="Z87" s="266" t="str">
        <f t="shared" ca="1" si="7"/>
        <v/>
      </c>
    </row>
    <row r="88" spans="1:26" x14ac:dyDescent="0.35">
      <c r="B88" s="66">
        <f ca="1">IFERROR(INDIRECT(CONCATENATE("Field!D",A80+9)),"")</f>
        <v>8</v>
      </c>
      <c r="C88" s="66" t="str">
        <f ca="1">IFERROR(INDIRECT(CONCATENATE("Field!e",A80+9)),"")</f>
        <v/>
      </c>
      <c r="D88" s="85" t="str">
        <f ca="1">IFERROR(INDIRECT(CONCATENATE("Field!f",A80+9)),"")</f>
        <v/>
      </c>
      <c r="E88" s="85" t="str">
        <f ca="1">IFERROR(INDIRECT(CONCATENATE("Field!g",A80+9)),"")</f>
        <v/>
      </c>
      <c r="F88" s="356" t="str">
        <f ca="1">IFERROR(TEXT(INDIRECT(CONCATENATE("Field!h",A80+9)),"#.#0")&amp;" "&amp;VLOOKUP(C88,INDIRECT($A81),5,FALSE),"")</f>
        <v/>
      </c>
      <c r="G88" s="108" t="str">
        <f ca="1">IFERROR(INDIRECT(CONCATENATE("Field!i",A80+9)),"")</f>
        <v/>
      </c>
      <c r="H88" s="66"/>
      <c r="I88" s="66">
        <f ca="1">IFERROR(INDIRECT(CONCATENATE("Field!k",A80+9)),"")</f>
        <v>8</v>
      </c>
      <c r="J88" s="66" t="str">
        <f ca="1">IFERROR(INDIRECT(CONCATENATE("Field!l",A80+9)),"")</f>
        <v/>
      </c>
      <c r="K88" s="85" t="str">
        <f ca="1">IFERROR(INDIRECT(CONCATENATE("Field!m",A80+9)),"")</f>
        <v/>
      </c>
      <c r="L88" s="85" t="str">
        <f ca="1">IFERROR(INDIRECT(CONCATENATE("Field!n",A80+9)),"")</f>
        <v/>
      </c>
      <c r="M88" s="356" t="str">
        <f ca="1">IFERROR(TEXT(INDIRECT(CONCATENATE("Field!o",A80+9)),"#.#0")&amp;" "&amp;VLOOKUP(J88,INDIRECT($A81),5,FALSE),"")</f>
        <v/>
      </c>
      <c r="N88" s="108" t="str">
        <f ca="1">IFERROR(INDIRECT(CONCATENATE("Field!p",A80+9)),"")</f>
        <v/>
      </c>
      <c r="T88" s="64" t="str">
        <f t="shared" ca="1" si="4"/>
        <v/>
      </c>
      <c r="U88" s="64" t="str">
        <f t="shared" ca="1" si="5"/>
        <v/>
      </c>
      <c r="V88" s="266" t="str">
        <f ca="1">IF(OR(D88=0,D88="",D88="Athlete"),"",COUNTIF($D$4:$D88,D88))</f>
        <v/>
      </c>
      <c r="W88" s="266" t="str">
        <f t="shared" ca="1" si="6"/>
        <v/>
      </c>
      <c r="Z88" s="266" t="str">
        <f t="shared" ca="1" si="7"/>
        <v/>
      </c>
    </row>
    <row r="89" spans="1:26" x14ac:dyDescent="0.35">
      <c r="T89" s="64" t="str">
        <f t="shared" si="4"/>
        <v/>
      </c>
      <c r="U89" s="64" t="str">
        <f t="shared" si="5"/>
        <v/>
      </c>
      <c r="V89" s="266" t="str">
        <f>IF(OR(D89=0,D89="",D89="Athlete"),"",COUNTIF($D$4:$D89,D89))</f>
        <v/>
      </c>
      <c r="W89" s="266" t="str">
        <f t="shared" si="6"/>
        <v/>
      </c>
      <c r="Z89" s="266" t="str">
        <f t="shared" si="7"/>
        <v/>
      </c>
    </row>
    <row r="90" spans="1:26" x14ac:dyDescent="0.35">
      <c r="A90" s="66" t="s">
        <v>181</v>
      </c>
      <c r="B90" s="102" t="str">
        <f ca="1">IFERROR(INDIRECT(CONCATENATE("Field!D",A91)),"")</f>
        <v>High Jump U13 Boys A</v>
      </c>
      <c r="G90" s="108" t="str">
        <f ca="1">IFERROR(INDIRECT(CONCATENATE("Field!i",A91)),"")</f>
        <v/>
      </c>
      <c r="I90" s="102" t="str">
        <f ca="1">IFERROR(INDIRECT(CONCATENATE("Field!k",A91)),"")</f>
        <v>High Jump U13 Boys B</v>
      </c>
      <c r="T90" s="64" t="str">
        <f t="shared" si="4"/>
        <v/>
      </c>
      <c r="U90" s="64" t="str">
        <f t="shared" si="5"/>
        <v/>
      </c>
      <c r="V90" s="266" t="str">
        <f>IF(OR(D90=0,D90="",D90="Athlete"),"",COUNTIF($D$4:$D90,D90))</f>
        <v/>
      </c>
      <c r="W90" s="266" t="str">
        <f t="shared" si="6"/>
        <v/>
      </c>
      <c r="Z90" s="266" t="str">
        <f t="shared" ca="1" si="7"/>
        <v/>
      </c>
    </row>
    <row r="91" spans="1:26" x14ac:dyDescent="0.35">
      <c r="A91" s="66">
        <f>IFERROR(MATCH(A90,Field!C:C,0),"")</f>
        <v>189</v>
      </c>
      <c r="B91" s="45" t="str">
        <f ca="1">IFERROR(INDIRECT(CONCATENATE("Field!D",A91+1)),"")</f>
        <v>Posn</v>
      </c>
      <c r="C91" s="45" t="str">
        <f ca="1">IFERROR(INDIRECT(CONCATENATE("Field!e",A91+1)),"")</f>
        <v>Bib</v>
      </c>
      <c r="D91" s="139" t="str">
        <f ca="1">IFERROR(INDIRECT(CONCATENATE("Field!f",A91+1)),"")</f>
        <v>Athlete</v>
      </c>
      <c r="E91" s="139" t="str">
        <f ca="1">IFERROR(INDIRECT(CONCATENATE("Field!g",A91+1)),"")</f>
        <v>Club</v>
      </c>
      <c r="F91" s="133" t="str">
        <f ca="1">IFERROR(INDIRECT(CONCATENATE("Field!h",A91+1)),"")</f>
        <v>Perf</v>
      </c>
      <c r="G91" s="167" t="str">
        <f ca="1">IFERROR(INDIRECT(CONCATENATE("Field!i",A91+1)),"")</f>
        <v>EA</v>
      </c>
      <c r="H91" s="45"/>
      <c r="I91" s="45" t="str">
        <f ca="1">IFERROR(INDIRECT(CONCATENATE("Field!k",A91+1)),"")</f>
        <v>Posn</v>
      </c>
      <c r="J91" s="45" t="str">
        <f ca="1">IFERROR(INDIRECT(CONCATENATE("Field!l",A91+1)),"")</f>
        <v>Bib</v>
      </c>
      <c r="K91" s="139" t="str">
        <f ca="1">IFERROR(INDIRECT(CONCATENATE("Field!m",A91+1)),"")</f>
        <v>Athlete</v>
      </c>
      <c r="L91" s="139" t="str">
        <f ca="1">IFERROR(INDIRECT(CONCATENATE("Field!n",A91+1)),"")</f>
        <v>Club</v>
      </c>
      <c r="M91" s="133" t="str">
        <f ca="1">IFERROR(INDIRECT(CONCATENATE("Field!o",A91+1)),"")</f>
        <v>Perf</v>
      </c>
      <c r="N91" s="167" t="str">
        <f ca="1">IFERROR(INDIRECT(CONCATENATE("Field!p",A91+1)),"")</f>
        <v>EA</v>
      </c>
      <c r="T91" s="64" t="str">
        <f t="shared" ca="1" si="4"/>
        <v/>
      </c>
      <c r="U91" s="64" t="str">
        <f t="shared" ca="1" si="5"/>
        <v/>
      </c>
      <c r="V91" s="266" t="str">
        <f ca="1">IF(OR(D91=0,D91="",D91="Athlete"),"",COUNTIF($D$4:$D91,D91))</f>
        <v/>
      </c>
      <c r="W91" s="266" t="str">
        <f t="shared" ca="1" si="6"/>
        <v/>
      </c>
      <c r="Z91" s="266">
        <f t="shared" ca="1" si="7"/>
        <v>0</v>
      </c>
    </row>
    <row r="92" spans="1:26" x14ac:dyDescent="0.35">
      <c r="B92" s="66">
        <f ca="1">IFERROR(INDIRECT(CONCATENATE("Field!D",A91+2)),"")</f>
        <v>1</v>
      </c>
      <c r="C92" s="66">
        <f ca="1">IFERROR(INDIRECT(CONCATENATE("Field!e",A91+2)),"")</f>
        <v>11</v>
      </c>
      <c r="D92" s="85" t="str">
        <f ca="1">IFERROR(INDIRECT(CONCATENATE("Field!f",A91+2)),"")</f>
        <v>Kaidan DOS REIS</v>
      </c>
      <c r="E92" s="85" t="str">
        <f ca="1">IFERROR(INDIRECT(CONCATENATE("Field!g",A91+2)),"")</f>
        <v>C&amp;N</v>
      </c>
      <c r="F92" s="65">
        <f ca="1">IFERROR(INDIRECT(CONCATENATE("Field!h",A91+2)),"")</f>
        <v>1.36</v>
      </c>
      <c r="G92" s="108">
        <f ca="1">IFERROR(INDIRECT(CONCATENATE("Field!i",A91+2)),"")</f>
        <v>6</v>
      </c>
      <c r="H92" s="66"/>
      <c r="I92" s="66">
        <f ca="1">IFERROR(INDIRECT(CONCATENATE("Field!k",A91+2)),"")</f>
        <v>1</v>
      </c>
      <c r="J92" s="66">
        <f ca="1">IFERROR(INDIRECT(CONCATENATE("Field!l",A91+2)),"")</f>
        <v>1</v>
      </c>
      <c r="K92" s="85" t="str">
        <f ca="1">IFERROR(INDIRECT(CONCATENATE("Field!m",A91+2)),"")</f>
        <v>Ewan DAVIES</v>
      </c>
      <c r="L92" s="85" t="str">
        <f ca="1">IFERROR(INDIRECT(CONCATENATE("Field!n",A91+2)),"")</f>
        <v>C&amp;N</v>
      </c>
      <c r="M92" s="65">
        <f ca="1">IFERROR(INDIRECT(CONCATENATE("Field!o",A91+2)),"")</f>
        <v>1.2</v>
      </c>
      <c r="N92" s="108">
        <f ca="1">IFERROR(INDIRECT(CONCATENATE("Field!p",A91+2)),"")</f>
        <v>3</v>
      </c>
      <c r="R92" s="168">
        <f ca="1">IFERROR(INDIRECT(CONCATENATE("Field!r",A91+2)),"")</f>
        <v>10</v>
      </c>
      <c r="T92" s="64">
        <f t="shared" ca="1" si="4"/>
        <v>3</v>
      </c>
      <c r="U92" s="64">
        <f t="shared" ca="1" si="5"/>
        <v>3</v>
      </c>
      <c r="V92" s="266">
        <f ca="1">IF(OR(D92=0,D92="",D92="Athlete"),"",COUNTIF($D$4:$D92,D92))</f>
        <v>2</v>
      </c>
      <c r="W92" s="266" t="str">
        <f t="shared" ca="1" si="6"/>
        <v>C&amp;N</v>
      </c>
      <c r="Z92" s="266">
        <f t="shared" ca="1" si="7"/>
        <v>0</v>
      </c>
    </row>
    <row r="93" spans="1:26" x14ac:dyDescent="0.35">
      <c r="B93" s="66">
        <f ca="1">IFERROR(INDIRECT(CONCATENATE("Field!D",A91+3)),"")</f>
        <v>2</v>
      </c>
      <c r="C93" s="66">
        <f ca="1">IFERROR(INDIRECT(CONCATENATE("Field!e",A91+3)),"")</f>
        <v>4</v>
      </c>
      <c r="D93" s="85" t="str">
        <f ca="1">IFERROR(INDIRECT(CONCATENATE("Field!f",A91+3)),"")</f>
        <v>Tomas BEDOYA</v>
      </c>
      <c r="E93" s="85" t="str">
        <f ca="1">IFERROR(INDIRECT(CONCATENATE("Field!g",A91+3)),"")</f>
        <v>Macc</v>
      </c>
      <c r="F93" s="65">
        <f ca="1">IFERROR(INDIRECT(CONCATENATE("Field!h",A91+3)),"")</f>
        <v>1.33</v>
      </c>
      <c r="G93" s="108">
        <f ca="1">IFERROR(INDIRECT(CONCATENATE("Field!i",A91+3)),"")</f>
        <v>5</v>
      </c>
      <c r="H93" s="66"/>
      <c r="I93" s="66" t="str">
        <f ca="1">IFERROR(INDIRECT(CONCATENATE("Field!k",A91+3)),"")</f>
        <v/>
      </c>
      <c r="J93" s="66" t="str">
        <f ca="1">IFERROR(INDIRECT(CONCATENATE("Field!l",A91+3)),"")</f>
        <v/>
      </c>
      <c r="K93" s="85" t="str">
        <f ca="1">IFERROR(INDIRECT(CONCATENATE("Field!m",A91+3)),"")</f>
        <v/>
      </c>
      <c r="L93" s="85" t="str">
        <f ca="1">IFERROR(INDIRECT(CONCATENATE("Field!n",A91+3)),"")</f>
        <v/>
      </c>
      <c r="M93" s="65">
        <f ca="1">IFERROR(INDIRECT(CONCATENATE("Field!o",A91+3)),"")</f>
        <v>0</v>
      </c>
      <c r="N93" s="108" t="str">
        <f ca="1">IFERROR(INDIRECT(CONCATENATE("Field!p",A91+3)),"")</f>
        <v/>
      </c>
      <c r="T93" s="64">
        <f t="shared" ca="1" si="4"/>
        <v>3</v>
      </c>
      <c r="U93" s="64" t="str">
        <f t="shared" ca="1" si="5"/>
        <v/>
      </c>
      <c r="V93" s="266">
        <f ca="1">IF(OR(D93=0,D93="",D93="Athlete"),"",COUNTIF($D$4:$D93,D93))</f>
        <v>2</v>
      </c>
      <c r="W93" s="266" t="str">
        <f t="shared" ca="1" si="6"/>
        <v>Macc</v>
      </c>
      <c r="Z93" s="266">
        <f t="shared" ca="1" si="7"/>
        <v>0</v>
      </c>
    </row>
    <row r="94" spans="1:26" x14ac:dyDescent="0.35">
      <c r="B94" s="66">
        <f ca="1">IFERROR(INDIRECT(CONCATENATE("Field!D",A91+4)),"")</f>
        <v>3</v>
      </c>
      <c r="C94" s="66">
        <f ca="1">IFERROR(INDIRECT(CONCATENATE("Field!e",A91+4)),"")</f>
        <v>2</v>
      </c>
      <c r="D94" s="85" t="str">
        <f ca="1">IFERROR(INDIRECT(CONCATENATE("Field!f",A91+4)),"")</f>
        <v>Ryan MCCARTHY</v>
      </c>
      <c r="E94" s="85" t="str">
        <f ca="1">IFERROR(INDIRECT(CONCATENATE("Field!g",A91+4)),"")</f>
        <v>ECHT</v>
      </c>
      <c r="F94" s="65">
        <f ca="1">IFERROR(INDIRECT(CONCATENATE("Field!h",A91+4)),"")</f>
        <v>1.25</v>
      </c>
      <c r="G94" s="108">
        <f ca="1">IFERROR(INDIRECT(CONCATENATE("Field!i",A91+4)),"")</f>
        <v>4</v>
      </c>
      <c r="H94" s="66"/>
      <c r="I94" s="66" t="str">
        <f ca="1">IFERROR(INDIRECT(CONCATENATE("Field!k",A91+4)),"")</f>
        <v/>
      </c>
      <c r="J94" s="66" t="str">
        <f ca="1">IFERROR(INDIRECT(CONCATENATE("Field!l",A91+4)),"")</f>
        <v/>
      </c>
      <c r="K94" s="85" t="str">
        <f ca="1">IFERROR(INDIRECT(CONCATENATE("Field!m",A91+4)),"")</f>
        <v/>
      </c>
      <c r="L94" s="85" t="str">
        <f ca="1">IFERROR(INDIRECT(CONCATENATE("Field!n",A91+4)),"")</f>
        <v/>
      </c>
      <c r="M94" s="65">
        <f ca="1">IFERROR(INDIRECT(CONCATENATE("Field!o",A91+4)),"")</f>
        <v>0</v>
      </c>
      <c r="N94" s="108" t="str">
        <f ca="1">IFERROR(INDIRECT(CONCATENATE("Field!p",A91+4)),"")</f>
        <v/>
      </c>
      <c r="T94" s="64">
        <f t="shared" ca="1" si="4"/>
        <v>3</v>
      </c>
      <c r="U94" s="64" t="str">
        <f t="shared" ca="1" si="5"/>
        <v/>
      </c>
      <c r="V94" s="266">
        <f ca="1">IF(OR(D94=0,D94="",D94="Athlete"),"",COUNTIF($D$4:$D94,D94))</f>
        <v>3</v>
      </c>
      <c r="W94" s="266" t="str">
        <f t="shared" ca="1" si="6"/>
        <v>ECHT</v>
      </c>
      <c r="Z94" s="266">
        <f t="shared" ca="1" si="7"/>
        <v>0</v>
      </c>
    </row>
    <row r="95" spans="1:26" x14ac:dyDescent="0.35">
      <c r="B95" s="66">
        <f ca="1">IFERROR(INDIRECT(CONCATENATE("Field!D",A91+5)),"")</f>
        <v>4</v>
      </c>
      <c r="C95" s="66">
        <f ca="1">IFERROR(INDIRECT(CONCATENATE("Field!e",A91+5)),"")</f>
        <v>7</v>
      </c>
      <c r="D95" s="85" t="str">
        <f ca="1">IFERROR(INDIRECT(CONCATENATE("Field!f",A91+5)),"")</f>
        <v>Samuel HODGKINSON</v>
      </c>
      <c r="E95" s="85" t="str">
        <f ca="1">IFERROR(INDIRECT(CONCATENATE("Field!g",A91+5)),"")</f>
        <v>Wigan</v>
      </c>
      <c r="F95" s="65">
        <f ca="1">IFERROR(INDIRECT(CONCATENATE("Field!h",A91+5)),"")</f>
        <v>1.25</v>
      </c>
      <c r="G95" s="108">
        <f ca="1">IFERROR(INDIRECT(CONCATENATE("Field!i",A91+5)),"")</f>
        <v>4</v>
      </c>
      <c r="H95" s="66"/>
      <c r="I95" s="66" t="str">
        <f ca="1">IFERROR(INDIRECT(CONCATENATE("Field!k",A91+5)),"")</f>
        <v/>
      </c>
      <c r="J95" s="66" t="str">
        <f ca="1">IFERROR(INDIRECT(CONCATENATE("Field!l",A91+5)),"")</f>
        <v/>
      </c>
      <c r="K95" s="85" t="str">
        <f ca="1">IFERROR(INDIRECT(CONCATENATE("Field!m",A91+5)),"")</f>
        <v/>
      </c>
      <c r="L95" s="85" t="str">
        <f ca="1">IFERROR(INDIRECT(CONCATENATE("Field!n",A91+5)),"")</f>
        <v/>
      </c>
      <c r="M95" s="65">
        <f ca="1">IFERROR(INDIRECT(CONCATENATE("Field!o",A91+5)),"")</f>
        <v>0</v>
      </c>
      <c r="N95" s="108" t="str">
        <f ca="1">IFERROR(INDIRECT(CONCATENATE("Field!p",A91+5)),"")</f>
        <v/>
      </c>
      <c r="T95" s="64">
        <f t="shared" ca="1" si="4"/>
        <v>3</v>
      </c>
      <c r="U95" s="64" t="str">
        <f t="shared" ca="1" si="5"/>
        <v/>
      </c>
      <c r="V95" s="266">
        <f ca="1">IF(OR(D95=0,D95="",D95="Athlete"),"",COUNTIF($D$4:$D95,D95))</f>
        <v>2</v>
      </c>
      <c r="W95" s="266" t="str">
        <f t="shared" ca="1" si="6"/>
        <v>Wigan</v>
      </c>
      <c r="Z95" s="266">
        <f t="shared" ca="1" si="7"/>
        <v>0</v>
      </c>
    </row>
    <row r="96" spans="1:26" x14ac:dyDescent="0.35">
      <c r="B96" s="66" t="str">
        <f ca="1">IFERROR(INDIRECT(CONCATENATE("Field!D",A91+6)),"")</f>
        <v/>
      </c>
      <c r="C96" s="66" t="str">
        <f ca="1">IFERROR(INDIRECT(CONCATENATE("Field!e",A91+6)),"")</f>
        <v/>
      </c>
      <c r="D96" s="85" t="str">
        <f ca="1">IFERROR(INDIRECT(CONCATENATE("Field!f",A91+6)),"")</f>
        <v/>
      </c>
      <c r="E96" s="85" t="str">
        <f ca="1">IFERROR(INDIRECT(CONCATENATE("Field!g",A91+6)),"")</f>
        <v/>
      </c>
      <c r="F96" s="65">
        <f ca="1">IFERROR(INDIRECT(CONCATENATE("Field!h",A91+6)),"")</f>
        <v>0</v>
      </c>
      <c r="G96" s="108" t="str">
        <f ca="1">IFERROR(INDIRECT(CONCATENATE("Field!i",A91+6)),"")</f>
        <v/>
      </c>
      <c r="H96" s="66"/>
      <c r="I96" s="66" t="str">
        <f ca="1">IFERROR(INDIRECT(CONCATENATE("Field!k",A91+6)),"")</f>
        <v/>
      </c>
      <c r="J96" s="66" t="str">
        <f ca="1">IFERROR(INDIRECT(CONCATENATE("Field!l",A91+6)),"")</f>
        <v/>
      </c>
      <c r="K96" s="85" t="str">
        <f ca="1">IFERROR(INDIRECT(CONCATENATE("Field!m",A91+6)),"")</f>
        <v/>
      </c>
      <c r="L96" s="85" t="str">
        <f ca="1">IFERROR(INDIRECT(CONCATENATE("Field!n",A91+6)),"")</f>
        <v/>
      </c>
      <c r="M96" s="65">
        <f ca="1">IFERROR(INDIRECT(CONCATENATE("Field!o",A91+6)),"")</f>
        <v>0</v>
      </c>
      <c r="N96" s="108" t="str">
        <f ca="1">IFERROR(INDIRECT(CONCATENATE("Field!p",A91+6)),"")</f>
        <v/>
      </c>
      <c r="T96" s="64" t="str">
        <f t="shared" ca="1" si="4"/>
        <v/>
      </c>
      <c r="U96" s="64" t="str">
        <f t="shared" ca="1" si="5"/>
        <v/>
      </c>
      <c r="V96" s="266" t="str">
        <f ca="1">IF(OR(D96=0,D96="",D96="Athlete"),"",COUNTIF($D$4:$D96,D96))</f>
        <v/>
      </c>
      <c r="W96" s="266" t="str">
        <f t="shared" ca="1" si="6"/>
        <v/>
      </c>
      <c r="Z96" s="266" t="str">
        <f t="shared" ca="1" si="7"/>
        <v/>
      </c>
    </row>
    <row r="97" spans="1:26" x14ac:dyDescent="0.35">
      <c r="B97" s="66" t="str">
        <f ca="1">IFERROR(INDIRECT(CONCATENATE("Field!D",A91+7)),"")</f>
        <v/>
      </c>
      <c r="C97" s="66" t="str">
        <f ca="1">IFERROR(INDIRECT(CONCATENATE("Field!e",A91+7)),"")</f>
        <v/>
      </c>
      <c r="D97" s="85" t="str">
        <f ca="1">IFERROR(INDIRECT(CONCATENATE("Field!f",A91+7)),"")</f>
        <v/>
      </c>
      <c r="E97" s="85" t="str">
        <f ca="1">IFERROR(INDIRECT(CONCATENATE("Field!g",A91+7)),"")</f>
        <v/>
      </c>
      <c r="F97" s="65">
        <f ca="1">IFERROR(INDIRECT(CONCATENATE("Field!h",A91+7)),"")</f>
        <v>0</v>
      </c>
      <c r="G97" s="108" t="str">
        <f ca="1">IFERROR(INDIRECT(CONCATENATE("Field!i",A91+7)),"")</f>
        <v/>
      </c>
      <c r="H97" s="66"/>
      <c r="I97" s="66" t="str">
        <f ca="1">IFERROR(INDIRECT(CONCATENATE("Field!k",A91+7)),"")</f>
        <v/>
      </c>
      <c r="J97" s="66" t="str">
        <f ca="1">IFERROR(INDIRECT(CONCATENATE("Field!l",A91+7)),"")</f>
        <v/>
      </c>
      <c r="K97" s="85" t="str">
        <f ca="1">IFERROR(INDIRECT(CONCATENATE("Field!m",A91+7)),"")</f>
        <v/>
      </c>
      <c r="L97" s="85" t="str">
        <f ca="1">IFERROR(INDIRECT(CONCATENATE("Field!n",A91+7)),"")</f>
        <v/>
      </c>
      <c r="M97" s="65">
        <f ca="1">IFERROR(INDIRECT(CONCATENATE("Field!o",A91+7)),"")</f>
        <v>0</v>
      </c>
      <c r="N97" s="108" t="str">
        <f ca="1">IFERROR(INDIRECT(CONCATENATE("Field!p",A91+7)),"")</f>
        <v/>
      </c>
      <c r="T97" s="64" t="str">
        <f t="shared" ca="1" si="4"/>
        <v/>
      </c>
      <c r="U97" s="64" t="str">
        <f t="shared" ca="1" si="5"/>
        <v/>
      </c>
      <c r="V97" s="266" t="str">
        <f ca="1">IF(OR(D97=0,D97="",D97="Athlete"),"",COUNTIF($D$4:$D97,D97))</f>
        <v/>
      </c>
      <c r="W97" s="266" t="str">
        <f t="shared" ca="1" si="6"/>
        <v/>
      </c>
      <c r="Z97" s="266" t="str">
        <f t="shared" ca="1" si="7"/>
        <v/>
      </c>
    </row>
    <row r="98" spans="1:26" x14ac:dyDescent="0.35">
      <c r="B98" s="66" t="str">
        <f ca="1">IFERROR(INDIRECT(CONCATENATE("Field!D",A91+8)),"")</f>
        <v/>
      </c>
      <c r="C98" s="66" t="str">
        <f ca="1">IFERROR(INDIRECT(CONCATENATE("Field!e",A91+8)),"")</f>
        <v/>
      </c>
      <c r="D98" s="85" t="str">
        <f ca="1">IFERROR(INDIRECT(CONCATENATE("Field!f",A91+8)),"")</f>
        <v/>
      </c>
      <c r="E98" s="85" t="str">
        <f ca="1">IFERROR(INDIRECT(CONCATENATE("Field!g",A91+8)),"")</f>
        <v/>
      </c>
      <c r="F98" s="65">
        <f ca="1">IFERROR(INDIRECT(CONCATENATE("Field!h",A91+8)),"")</f>
        <v>0</v>
      </c>
      <c r="G98" s="108" t="str">
        <f ca="1">IFERROR(INDIRECT(CONCATENATE("Field!i",A91+8)),"")</f>
        <v/>
      </c>
      <c r="H98" s="66"/>
      <c r="I98" s="66" t="str">
        <f ca="1">IFERROR(INDIRECT(CONCATENATE("Field!k",A91+8)),"")</f>
        <v/>
      </c>
      <c r="J98" s="66" t="str">
        <f ca="1">IFERROR(INDIRECT(CONCATENATE("Field!l",A91+8)),"")</f>
        <v/>
      </c>
      <c r="K98" s="85" t="str">
        <f ca="1">IFERROR(INDIRECT(CONCATENATE("Field!m",A91+8)),"")</f>
        <v/>
      </c>
      <c r="L98" s="85" t="str">
        <f ca="1">IFERROR(INDIRECT(CONCATENATE("Field!n",A91+8)),"")</f>
        <v/>
      </c>
      <c r="M98" s="65">
        <f ca="1">IFERROR(INDIRECT(CONCATENATE("Field!o",A91+8)),"")</f>
        <v>0</v>
      </c>
      <c r="N98" s="108" t="str">
        <f ca="1">IFERROR(INDIRECT(CONCATENATE("Field!p",A91+8)),"")</f>
        <v/>
      </c>
      <c r="T98" s="64" t="str">
        <f t="shared" ca="1" si="4"/>
        <v/>
      </c>
      <c r="U98" s="64" t="str">
        <f t="shared" ca="1" si="5"/>
        <v/>
      </c>
      <c r="V98" s="266" t="str">
        <f ca="1">IF(OR(D98=0,D98="",D98="Athlete"),"",COUNTIF($D$4:$D98,D98))</f>
        <v/>
      </c>
      <c r="W98" s="266" t="str">
        <f t="shared" ca="1" si="6"/>
        <v/>
      </c>
      <c r="Z98" s="266" t="str">
        <f t="shared" ca="1" si="7"/>
        <v/>
      </c>
    </row>
    <row r="99" spans="1:26" x14ac:dyDescent="0.35">
      <c r="B99" s="66" t="str">
        <f ca="1">IFERROR(INDIRECT(CONCATENATE("Field!D",A91+9)),"")</f>
        <v/>
      </c>
      <c r="C99" s="66" t="str">
        <f ca="1">IFERROR(INDIRECT(CONCATENATE("Field!e",A91+9)),"")</f>
        <v/>
      </c>
      <c r="D99" s="85" t="str">
        <f ca="1">IFERROR(INDIRECT(CONCATENATE("Field!f",A91+9)),"")</f>
        <v/>
      </c>
      <c r="E99" s="85" t="str">
        <f ca="1">IFERROR(INDIRECT(CONCATENATE("Field!g",A91+9)),"")</f>
        <v/>
      </c>
      <c r="F99" s="65">
        <f ca="1">IFERROR(INDIRECT(CONCATENATE("Field!h",A91+9)),"")</f>
        <v>0</v>
      </c>
      <c r="G99" s="108" t="str">
        <f ca="1">IFERROR(INDIRECT(CONCATENATE("Field!i",A91+9)),"")</f>
        <v/>
      </c>
      <c r="H99" s="66"/>
      <c r="I99" s="66" t="str">
        <f ca="1">IFERROR(INDIRECT(CONCATENATE("Field!k",A91+9)),"")</f>
        <v/>
      </c>
      <c r="J99" s="66" t="str">
        <f ca="1">IFERROR(INDIRECT(CONCATENATE("Field!l",A91+9)),"")</f>
        <v/>
      </c>
      <c r="K99" s="85" t="str">
        <f ca="1">IFERROR(INDIRECT(CONCATENATE("Field!m",A91+9)),"")</f>
        <v/>
      </c>
      <c r="L99" s="85" t="str">
        <f ca="1">IFERROR(INDIRECT(CONCATENATE("Field!n",A91+9)),"")</f>
        <v/>
      </c>
      <c r="M99" s="65">
        <f ca="1">IFERROR(INDIRECT(CONCATENATE("Field!o",A91+9)),"")</f>
        <v>0</v>
      </c>
      <c r="N99" s="108" t="str">
        <f ca="1">IFERROR(INDIRECT(CONCATENATE("Field!p",A91+9)),"")</f>
        <v/>
      </c>
      <c r="T99" s="64" t="str">
        <f t="shared" ca="1" si="4"/>
        <v/>
      </c>
      <c r="U99" s="64" t="str">
        <f t="shared" ca="1" si="5"/>
        <v/>
      </c>
      <c r="V99" s="266" t="str">
        <f ca="1">IF(OR(D99=0,D99="",D99="Athlete"),"",COUNTIF($D$4:$D99,D99))</f>
        <v/>
      </c>
      <c r="W99" s="266" t="str">
        <f t="shared" ca="1" si="6"/>
        <v/>
      </c>
      <c r="Z99" s="266" t="str">
        <f t="shared" ca="1" si="7"/>
        <v/>
      </c>
    </row>
    <row r="100" spans="1:26" x14ac:dyDescent="0.35">
      <c r="T100" s="64" t="str">
        <f t="shared" si="4"/>
        <v/>
      </c>
      <c r="U100" s="64" t="str">
        <f t="shared" si="5"/>
        <v/>
      </c>
      <c r="V100" s="266" t="str">
        <f>IF(OR(D100=0,D100="",D100="Athlete"),"",COUNTIF($D$4:$D100,D100))</f>
        <v/>
      </c>
      <c r="W100" s="266" t="str">
        <f t="shared" si="6"/>
        <v/>
      </c>
      <c r="Z100" s="266" t="str">
        <f t="shared" si="7"/>
        <v/>
      </c>
    </row>
    <row r="101" spans="1:26" x14ac:dyDescent="0.35">
      <c r="A101" s="66" t="s">
        <v>192</v>
      </c>
      <c r="B101" s="102" t="str">
        <f ca="1">IFERROR(INDIRECT(CONCATENATE("Field!D",A102)),"")</f>
        <v>Shot U13 Boys A</v>
      </c>
      <c r="G101" s="108" t="str">
        <f ca="1">IFERROR(INDIRECT(CONCATENATE("Field!i",A102)),"")</f>
        <v/>
      </c>
      <c r="I101" s="102" t="str">
        <f ca="1">IFERROR(INDIRECT(CONCATENATE("Field!k",A102)),"")</f>
        <v>Shot U13 Boys B</v>
      </c>
      <c r="T101" s="64" t="str">
        <f t="shared" si="4"/>
        <v/>
      </c>
      <c r="U101" s="64" t="str">
        <f t="shared" si="5"/>
        <v/>
      </c>
      <c r="V101" s="266" t="str">
        <f>IF(OR(D101=0,D101="",D101="Athlete"),"",COUNTIF($D$4:$D101,D101))</f>
        <v/>
      </c>
      <c r="W101" s="266" t="str">
        <f t="shared" si="6"/>
        <v/>
      </c>
      <c r="Z101" s="266" t="str">
        <f t="shared" ca="1" si="7"/>
        <v/>
      </c>
    </row>
    <row r="102" spans="1:26" x14ac:dyDescent="0.35">
      <c r="A102" s="66">
        <f>IFERROR(MATCH(A101,Field!C:C,0),"")</f>
        <v>90</v>
      </c>
      <c r="B102" s="45" t="str">
        <f ca="1">IFERROR(INDIRECT(CONCATENATE("Field!D",A102+1)),"")</f>
        <v>Posn</v>
      </c>
      <c r="C102" s="45" t="str">
        <f ca="1">IFERROR(INDIRECT(CONCATENATE("Field!e",A102+1)),"")</f>
        <v>Bib</v>
      </c>
      <c r="D102" s="139" t="str">
        <f ca="1">IFERROR(INDIRECT(CONCATENATE("Field!f",A102+1)),"")</f>
        <v>Athlete</v>
      </c>
      <c r="E102" s="139" t="str">
        <f ca="1">IFERROR(INDIRECT(CONCATENATE("Field!g",A102+1)),"")</f>
        <v>Club</v>
      </c>
      <c r="F102" s="133" t="str">
        <f ca="1">IFERROR(INDIRECT(CONCATENATE("Field!h",A102+1)),"")</f>
        <v>Perf</v>
      </c>
      <c r="G102" s="167" t="str">
        <f ca="1">IFERROR(INDIRECT(CONCATENATE("Field!i",A102+1)),"")</f>
        <v>EA</v>
      </c>
      <c r="H102" s="45"/>
      <c r="I102" s="45" t="str">
        <f ca="1">IFERROR(INDIRECT(CONCATENATE("Field!k",A102+1)),"")</f>
        <v>Posn</v>
      </c>
      <c r="J102" s="45" t="str">
        <f ca="1">IFERROR(INDIRECT(CONCATENATE("Field!l",A102+1)),"")</f>
        <v>Bib</v>
      </c>
      <c r="K102" s="139" t="str">
        <f ca="1">IFERROR(INDIRECT(CONCATENATE("Field!m",A102+1)),"")</f>
        <v>Athlete</v>
      </c>
      <c r="L102" s="139" t="str">
        <f ca="1">IFERROR(INDIRECT(CONCATENATE("Field!n",A102+1)),"")</f>
        <v>Club</v>
      </c>
      <c r="M102" s="133" t="str">
        <f ca="1">IFERROR(INDIRECT(CONCATENATE("Field!o",A102+1)),"")</f>
        <v>Perf</v>
      </c>
      <c r="N102" s="167" t="str">
        <f ca="1">IFERROR(INDIRECT(CONCATENATE("Field!p",A102+1)),"")</f>
        <v>EA</v>
      </c>
      <c r="T102" s="64" t="str">
        <f t="shared" ca="1" si="4"/>
        <v/>
      </c>
      <c r="U102" s="64" t="str">
        <f t="shared" ca="1" si="5"/>
        <v/>
      </c>
      <c r="V102" s="266" t="str">
        <f ca="1">IF(OR(D102=0,D102="",D102="Athlete"),"",COUNTIF($D$4:$D102,D102))</f>
        <v/>
      </c>
      <c r="W102" s="266" t="str">
        <f t="shared" ca="1" si="6"/>
        <v/>
      </c>
      <c r="Z102" s="266">
        <f t="shared" ca="1" si="7"/>
        <v>0</v>
      </c>
    </row>
    <row r="103" spans="1:26" x14ac:dyDescent="0.35">
      <c r="B103" s="66">
        <f ca="1">IFERROR(INDIRECT(CONCATENATE("Field!D",A102+2)),"")</f>
        <v>1</v>
      </c>
      <c r="C103" s="66">
        <f ca="1">IFERROR(INDIRECT(CONCATENATE("Field!e",A102+2)),"")</f>
        <v>4</v>
      </c>
      <c r="D103" s="85" t="str">
        <f ca="1">IFERROR(INDIRECT(CONCATENATE("Field!f",A102+2)),"")</f>
        <v>Samuel SAVAGE</v>
      </c>
      <c r="E103" s="85" t="str">
        <f ca="1">IFERROR(INDIRECT(CONCATENATE("Field!g",A102+2)),"")</f>
        <v>Macc</v>
      </c>
      <c r="F103" s="65">
        <f ca="1">IFERROR(INDIRECT(CONCATENATE("Field!h",A102+2)),"")</f>
        <v>9.2100000000000009</v>
      </c>
      <c r="G103" s="108">
        <f ca="1">IFERROR(INDIRECT(CONCATENATE("Field!i",A102+2)),"")</f>
        <v>7</v>
      </c>
      <c r="H103" s="66"/>
      <c r="I103" s="66">
        <f ca="1">IFERROR(INDIRECT(CONCATENATE("Field!k",A102+2)),"")</f>
        <v>1</v>
      </c>
      <c r="J103" s="66">
        <f ca="1">IFERROR(INDIRECT(CONCATENATE("Field!l",A102+2)),"")</f>
        <v>44</v>
      </c>
      <c r="K103" s="85" t="str">
        <f ca="1">IFERROR(INDIRECT(CONCATENATE("Field!m",A102+2)),"")</f>
        <v>Robert NWANKWO</v>
      </c>
      <c r="L103" s="85" t="str">
        <f ca="1">IFERROR(INDIRECT(CONCATENATE("Field!n",A102+2)),"")</f>
        <v>Macc</v>
      </c>
      <c r="M103" s="65">
        <f ca="1">IFERROR(INDIRECT(CONCATENATE("Field!o",A102+2)),"")</f>
        <v>7.04</v>
      </c>
      <c r="N103" s="108">
        <f ca="1">IFERROR(INDIRECT(CONCATENATE("Field!p",A102+2)),"")</f>
        <v>3</v>
      </c>
      <c r="R103" s="168">
        <f ca="1">IFERROR(INDIRECT(CONCATENATE("Field!r",A102+2)),"")</f>
        <v>10</v>
      </c>
      <c r="T103" s="64">
        <f t="shared" ca="1" si="4"/>
        <v>3</v>
      </c>
      <c r="U103" s="64">
        <f t="shared" ca="1" si="5"/>
        <v>2</v>
      </c>
      <c r="V103" s="266">
        <f ca="1">IF(OR(D103=0,D103="",D103="Athlete"),"",COUNTIF($D$4:$D103,D103))</f>
        <v>3</v>
      </c>
      <c r="W103" s="266" t="str">
        <f t="shared" ca="1" si="6"/>
        <v>Macc</v>
      </c>
      <c r="Z103" s="266">
        <f t="shared" ca="1" si="7"/>
        <v>0</v>
      </c>
    </row>
    <row r="104" spans="1:26" x14ac:dyDescent="0.35">
      <c r="B104" s="66">
        <f ca="1">IFERROR(INDIRECT(CONCATENATE("Field!D",A102+3)),"")</f>
        <v>2</v>
      </c>
      <c r="C104" s="66">
        <f ca="1">IFERROR(INDIRECT(CONCATENATE("Field!e",A102+3)),"")</f>
        <v>2</v>
      </c>
      <c r="D104" s="85" t="str">
        <f ca="1">IFERROR(INDIRECT(CONCATENATE("Field!f",A102+3)),"")</f>
        <v>Benjamin SYKES</v>
      </c>
      <c r="E104" s="85" t="str">
        <f ca="1">IFERROR(INDIRECT(CONCATENATE("Field!g",A102+3)),"")</f>
        <v>ECHT</v>
      </c>
      <c r="F104" s="65">
        <f ca="1">IFERROR(INDIRECT(CONCATENATE("Field!h",A102+3)),"")</f>
        <v>7.25</v>
      </c>
      <c r="G104" s="108">
        <f ca="1">IFERROR(INDIRECT(CONCATENATE("Field!i",A102+3)),"")</f>
        <v>3</v>
      </c>
      <c r="H104" s="66"/>
      <c r="I104" s="66">
        <f ca="1">IFERROR(INDIRECT(CONCATENATE("Field!k",A102+3)),"")</f>
        <v>2</v>
      </c>
      <c r="J104" s="66">
        <f ca="1">IFERROR(INDIRECT(CONCATENATE("Field!l",A102+3)),"")</f>
        <v>3</v>
      </c>
      <c r="K104" s="85" t="str">
        <f ca="1">IFERROR(INDIRECT(CONCATENATE("Field!m",A102+3)),"")</f>
        <v>Henri MANNION</v>
      </c>
      <c r="L104" s="85" t="str">
        <f ca="1">IFERROR(INDIRECT(CONCATENATE("Field!n",A102+3)),"")</f>
        <v>Leigh</v>
      </c>
      <c r="M104" s="65">
        <f ca="1">IFERROR(INDIRECT(CONCATENATE("Field!o",A102+3)),"")</f>
        <v>5.93</v>
      </c>
      <c r="N104" s="108" t="str">
        <f ca="1">IFERROR(INDIRECT(CONCATENATE("Field!p",A102+3)),"")</f>
        <v/>
      </c>
      <c r="T104" s="64">
        <f t="shared" ca="1" si="4"/>
        <v>2</v>
      </c>
      <c r="U104" s="64">
        <f t="shared" ca="1" si="5"/>
        <v>2</v>
      </c>
      <c r="V104" s="266">
        <f ca="1">IF(OR(D104=0,D104="",D104="Athlete"),"",COUNTIF($D$4:$D104,D104))</f>
        <v>1</v>
      </c>
      <c r="W104" s="266" t="str">
        <f t="shared" ca="1" si="6"/>
        <v>ECHT</v>
      </c>
      <c r="Z104" s="266">
        <f t="shared" ca="1" si="7"/>
        <v>0</v>
      </c>
    </row>
    <row r="105" spans="1:26" x14ac:dyDescent="0.35">
      <c r="B105" s="66">
        <f ca="1">IFERROR(INDIRECT(CONCATENATE("Field!D",A102+4)),"")</f>
        <v>3</v>
      </c>
      <c r="C105" s="66">
        <f ca="1">IFERROR(INDIRECT(CONCATENATE("Field!e",A102+4)),"")</f>
        <v>1</v>
      </c>
      <c r="D105" s="85" t="str">
        <f ca="1">IFERROR(INDIRECT(CONCATENATE("Field!f",A102+4)),"")</f>
        <v>Ben JEFFS</v>
      </c>
      <c r="E105" s="85" t="str">
        <f ca="1">IFERROR(INDIRECT(CONCATENATE("Field!g",A102+4)),"")</f>
        <v>C&amp;N</v>
      </c>
      <c r="F105" s="65">
        <f ca="1">IFERROR(INDIRECT(CONCATENATE("Field!h",A102+4)),"")</f>
        <v>7.23</v>
      </c>
      <c r="G105" s="108">
        <f ca="1">IFERROR(INDIRECT(CONCATENATE("Field!i",A102+4)),"")</f>
        <v>3</v>
      </c>
      <c r="H105" s="66"/>
      <c r="I105" s="66">
        <f ca="1">IFERROR(INDIRECT(CONCATENATE("Field!k",A102+4)),"")</f>
        <v>3</v>
      </c>
      <c r="J105" s="66">
        <f ca="1">IFERROR(INDIRECT(CONCATENATE("Field!l",A102+4)),"")</f>
        <v>11</v>
      </c>
      <c r="K105" s="85" t="str">
        <f ca="1">IFERROR(INDIRECT(CONCATENATE("Field!m",A102+4)),"")</f>
        <v>Ewan DAVIES</v>
      </c>
      <c r="L105" s="85" t="str">
        <f ca="1">IFERROR(INDIRECT(CONCATENATE("Field!n",A102+4)),"")</f>
        <v>C&amp;N</v>
      </c>
      <c r="M105" s="65">
        <f ca="1">IFERROR(INDIRECT(CONCATENATE("Field!o",A102+4)),"")</f>
        <v>5.7</v>
      </c>
      <c r="N105" s="108" t="str">
        <f ca="1">IFERROR(INDIRECT(CONCATENATE("Field!p",A102+4)),"")</f>
        <v/>
      </c>
      <c r="T105" s="64">
        <f t="shared" ca="1" si="4"/>
        <v>3</v>
      </c>
      <c r="U105" s="64">
        <f t="shared" ca="1" si="5"/>
        <v>3</v>
      </c>
      <c r="V105" s="266">
        <f ca="1">IF(OR(D105=0,D105="",D105="Athlete"),"",COUNTIF($D$4:$D105,D105))</f>
        <v>3</v>
      </c>
      <c r="W105" s="266" t="str">
        <f t="shared" ca="1" si="6"/>
        <v>C&amp;N</v>
      </c>
      <c r="Z105" s="266">
        <f t="shared" ca="1" si="7"/>
        <v>0</v>
      </c>
    </row>
    <row r="106" spans="1:26" x14ac:dyDescent="0.35">
      <c r="B106" s="66">
        <f ca="1">IFERROR(INDIRECT(CONCATENATE("Field!D",A102+5)),"")</f>
        <v>4</v>
      </c>
      <c r="C106" s="66">
        <f ca="1">IFERROR(INDIRECT(CONCATENATE("Field!e",A102+5)),"")</f>
        <v>77</v>
      </c>
      <c r="D106" s="85" t="str">
        <f ca="1">IFERROR(INDIRECT(CONCATENATE("Field!f",A102+5)),"")</f>
        <v>Theo MORGAN</v>
      </c>
      <c r="E106" s="85" t="str">
        <f ca="1">IFERROR(INDIRECT(CONCATENATE("Field!g",A102+5)),"")</f>
        <v>Wigan</v>
      </c>
      <c r="F106" s="65">
        <f ca="1">IFERROR(INDIRECT(CONCATENATE("Field!h",A102+5)),"")</f>
        <v>6.45</v>
      </c>
      <c r="G106" s="108">
        <f ca="1">IFERROR(INDIRECT(CONCATENATE("Field!i",A102+5)),"")</f>
        <v>1</v>
      </c>
      <c r="H106" s="66"/>
      <c r="I106" s="66">
        <f ca="1">IFERROR(INDIRECT(CONCATENATE("Field!k",A102+5)),"")</f>
        <v>4</v>
      </c>
      <c r="J106" s="66">
        <f ca="1">IFERROR(INDIRECT(CONCATENATE("Field!l",A102+5)),"")</f>
        <v>22</v>
      </c>
      <c r="K106" s="85" t="str">
        <f ca="1">IFERROR(INDIRECT(CONCATENATE("Field!m",A102+5)),"")</f>
        <v>Oliver MANNION</v>
      </c>
      <c r="L106" s="85" t="str">
        <f ca="1">IFERROR(INDIRECT(CONCATENATE("Field!n",A102+5)),"")</f>
        <v>ECHT</v>
      </c>
      <c r="M106" s="65">
        <f ca="1">IFERROR(INDIRECT(CONCATENATE("Field!o",A102+5)),"")</f>
        <v>5.15</v>
      </c>
      <c r="N106" s="108" t="str">
        <f ca="1">IFERROR(INDIRECT(CONCATENATE("Field!p",A102+5)),"")</f>
        <v/>
      </c>
      <c r="T106" s="64">
        <f t="shared" ca="1" si="4"/>
        <v>2</v>
      </c>
      <c r="U106" s="64">
        <f t="shared" ca="1" si="5"/>
        <v>3</v>
      </c>
      <c r="V106" s="266">
        <f ca="1">IF(OR(D106=0,D106="",D106="Athlete"),"",COUNTIF($D$4:$D106,D106))</f>
        <v>1</v>
      </c>
      <c r="W106" s="266" t="str">
        <f t="shared" ca="1" si="6"/>
        <v>Wigan</v>
      </c>
      <c r="Z106" s="266">
        <f t="shared" ca="1" si="7"/>
        <v>0</v>
      </c>
    </row>
    <row r="107" spans="1:26" x14ac:dyDescent="0.35">
      <c r="B107" s="66">
        <f ca="1">IFERROR(INDIRECT(CONCATENATE("Field!D",A102+6)),"")</f>
        <v>5</v>
      </c>
      <c r="C107" s="66">
        <f ca="1">IFERROR(INDIRECT(CONCATENATE("Field!e",A102+6)),"")</f>
        <v>33</v>
      </c>
      <c r="D107" s="85" t="str">
        <f ca="1">IFERROR(INDIRECT(CONCATENATE("Field!f",A102+6)),"")</f>
        <v>Jack FLETCHER</v>
      </c>
      <c r="E107" s="85" t="str">
        <f ca="1">IFERROR(INDIRECT(CONCATENATE("Field!g",A102+6)),"")</f>
        <v>Leigh</v>
      </c>
      <c r="F107" s="65">
        <f ca="1">IFERROR(INDIRECT(CONCATENATE("Field!h",A102+6)),"")</f>
        <v>6.01</v>
      </c>
      <c r="G107" s="108" t="str">
        <f ca="1">IFERROR(INDIRECT(CONCATENATE("Field!i",A102+6)),"")</f>
        <v/>
      </c>
      <c r="H107" s="66"/>
      <c r="I107" s="66">
        <f ca="1">IFERROR(INDIRECT(CONCATENATE("Field!k",A102+6)),"")</f>
        <v>5</v>
      </c>
      <c r="J107" s="66">
        <f ca="1">IFERROR(INDIRECT(CONCATENATE("Field!l",A102+6)),"")</f>
        <v>7</v>
      </c>
      <c r="K107" s="85" t="str">
        <f ca="1">IFERROR(INDIRECT(CONCATENATE("Field!m",A102+6)),"")</f>
        <v>Charlie STRETTON</v>
      </c>
      <c r="L107" s="85" t="str">
        <f ca="1">IFERROR(INDIRECT(CONCATENATE("Field!n",A102+6)),"")</f>
        <v>Wigan</v>
      </c>
      <c r="M107" s="65">
        <f ca="1">IFERROR(INDIRECT(CONCATENATE("Field!o",A102+6)),"")</f>
        <v>3.72</v>
      </c>
      <c r="N107" s="108" t="str">
        <f ca="1">IFERROR(INDIRECT(CONCATENATE("Field!p",A102+6)),"")</f>
        <v/>
      </c>
      <c r="T107" s="64">
        <f t="shared" ca="1" si="4"/>
        <v>3</v>
      </c>
      <c r="U107" s="64">
        <f t="shared" ca="1" si="5"/>
        <v>3</v>
      </c>
      <c r="V107" s="266">
        <f ca="1">IF(OR(D107=0,D107="",D107="Athlete"),"",COUNTIF($D$4:$D107,D107))</f>
        <v>1</v>
      </c>
      <c r="W107" s="266" t="str">
        <f t="shared" ca="1" si="6"/>
        <v>Leigh</v>
      </c>
      <c r="Z107" s="266" t="str">
        <f t="shared" ca="1" si="7"/>
        <v/>
      </c>
    </row>
    <row r="108" spans="1:26" x14ac:dyDescent="0.35">
      <c r="B108" s="66">
        <f ca="1">IFERROR(INDIRECT(CONCATENATE("Field!D",A102+7)),"")</f>
        <v>6</v>
      </c>
      <c r="C108" s="66" t="str">
        <f ca="1">IFERROR(INDIRECT(CONCATENATE("Field!e",A102+7)),"")</f>
        <v/>
      </c>
      <c r="D108" s="85" t="str">
        <f ca="1">IFERROR(INDIRECT(CONCATENATE("Field!f",A102+7)),"")</f>
        <v/>
      </c>
      <c r="E108" s="85" t="str">
        <f ca="1">IFERROR(INDIRECT(CONCATENATE("Field!g",A102+7)),"")</f>
        <v/>
      </c>
      <c r="F108" s="65" t="str">
        <f ca="1">IFERROR(INDIRECT(CONCATENATE("Field!h",A102+7)),"")</f>
        <v/>
      </c>
      <c r="G108" s="108" t="str">
        <f ca="1">IFERROR(INDIRECT(CONCATENATE("Field!i",A102+7)),"")</f>
        <v/>
      </c>
      <c r="H108" s="66"/>
      <c r="I108" s="66">
        <f ca="1">IFERROR(INDIRECT(CONCATENATE("Field!k",A102+7)),"")</f>
        <v>6</v>
      </c>
      <c r="J108" s="66" t="str">
        <f ca="1">IFERROR(INDIRECT(CONCATENATE("Field!l",A102+7)),"")</f>
        <v/>
      </c>
      <c r="K108" s="85" t="str">
        <f ca="1">IFERROR(INDIRECT(CONCATENATE("Field!m",A102+7)),"")</f>
        <v/>
      </c>
      <c r="L108" s="85" t="str">
        <f ca="1">IFERROR(INDIRECT(CONCATENATE("Field!n",A102+7)),"")</f>
        <v/>
      </c>
      <c r="M108" s="65" t="str">
        <f ca="1">IFERROR(INDIRECT(CONCATENATE("Field!o",A102+7)),"")</f>
        <v/>
      </c>
      <c r="N108" s="108" t="str">
        <f ca="1">IFERROR(INDIRECT(CONCATENATE("Field!p",A102+7)),"")</f>
        <v/>
      </c>
      <c r="T108" s="64" t="str">
        <f t="shared" ca="1" si="4"/>
        <v/>
      </c>
      <c r="U108" s="64" t="str">
        <f t="shared" ca="1" si="5"/>
        <v/>
      </c>
      <c r="V108" s="266" t="str">
        <f ca="1">IF(OR(D108=0,D108="",D108="Athlete"),"",COUNTIF($D$4:$D108,D108))</f>
        <v/>
      </c>
      <c r="W108" s="266" t="str">
        <f t="shared" ca="1" si="6"/>
        <v/>
      </c>
      <c r="Z108" s="266" t="str">
        <f t="shared" ca="1" si="7"/>
        <v/>
      </c>
    </row>
    <row r="109" spans="1:26" x14ac:dyDescent="0.35">
      <c r="B109" s="66">
        <f ca="1">IFERROR(INDIRECT(CONCATENATE("Field!D",A102+8)),"")</f>
        <v>7</v>
      </c>
      <c r="C109" s="66" t="str">
        <f ca="1">IFERROR(INDIRECT(CONCATENATE("Field!e",A102+8)),"")</f>
        <v/>
      </c>
      <c r="D109" s="85" t="str">
        <f ca="1">IFERROR(INDIRECT(CONCATENATE("Field!f",A102+8)),"")</f>
        <v/>
      </c>
      <c r="E109" s="85" t="str">
        <f ca="1">IFERROR(INDIRECT(CONCATENATE("Field!g",A102+8)),"")</f>
        <v/>
      </c>
      <c r="F109" s="65" t="str">
        <f ca="1">IFERROR(INDIRECT(CONCATENATE("Field!h",A102+8)),"")</f>
        <v/>
      </c>
      <c r="G109" s="108" t="str">
        <f ca="1">IFERROR(INDIRECT(CONCATENATE("Field!i",A102+8)),"")</f>
        <v/>
      </c>
      <c r="H109" s="66"/>
      <c r="I109" s="66">
        <f ca="1">IFERROR(INDIRECT(CONCATENATE("Field!k",A102+8)),"")</f>
        <v>7</v>
      </c>
      <c r="J109" s="66" t="str">
        <f ca="1">IFERROR(INDIRECT(CONCATENATE("Field!l",A102+8)),"")</f>
        <v/>
      </c>
      <c r="K109" s="85" t="str">
        <f ca="1">IFERROR(INDIRECT(CONCATENATE("Field!m",A102+8)),"")</f>
        <v/>
      </c>
      <c r="L109" s="85" t="str">
        <f ca="1">IFERROR(INDIRECT(CONCATENATE("Field!n",A102+8)),"")</f>
        <v/>
      </c>
      <c r="M109" s="65" t="str">
        <f ca="1">IFERROR(INDIRECT(CONCATENATE("Field!o",A102+8)),"")</f>
        <v/>
      </c>
      <c r="N109" s="108" t="str">
        <f ca="1">IFERROR(INDIRECT(CONCATENATE("Field!p",A102+8)),"")</f>
        <v/>
      </c>
      <c r="T109" s="64" t="str">
        <f t="shared" ca="1" si="4"/>
        <v/>
      </c>
      <c r="U109" s="64" t="str">
        <f t="shared" ca="1" si="5"/>
        <v/>
      </c>
      <c r="V109" s="266" t="str">
        <f ca="1">IF(OR(D109=0,D109="",D109="Athlete"),"",COUNTIF($D$4:$D109,D109))</f>
        <v/>
      </c>
      <c r="W109" s="266" t="str">
        <f t="shared" ca="1" si="6"/>
        <v/>
      </c>
      <c r="Z109" s="266" t="str">
        <f t="shared" ca="1" si="7"/>
        <v/>
      </c>
    </row>
    <row r="110" spans="1:26" x14ac:dyDescent="0.35">
      <c r="B110" s="66">
        <f ca="1">IFERROR(INDIRECT(CONCATENATE("Field!D",A102+9)),"")</f>
        <v>8</v>
      </c>
      <c r="C110" s="66" t="str">
        <f ca="1">IFERROR(INDIRECT(CONCATENATE("Field!e",A102+9)),"")</f>
        <v/>
      </c>
      <c r="D110" s="85" t="str">
        <f ca="1">IFERROR(INDIRECT(CONCATENATE("Field!f",A102+9)),"")</f>
        <v/>
      </c>
      <c r="E110" s="85" t="str">
        <f ca="1">IFERROR(INDIRECT(CONCATENATE("Field!g",A102+9)),"")</f>
        <v/>
      </c>
      <c r="F110" s="65" t="str">
        <f ca="1">IFERROR(INDIRECT(CONCATENATE("Field!h",A102+9)),"")</f>
        <v/>
      </c>
      <c r="G110" s="108" t="str">
        <f ca="1">IFERROR(INDIRECT(CONCATENATE("Field!i",A102+9)),"")</f>
        <v/>
      </c>
      <c r="H110" s="66"/>
      <c r="I110" s="66">
        <f ca="1">IFERROR(INDIRECT(CONCATENATE("Field!k",A102+9)),"")</f>
        <v>8</v>
      </c>
      <c r="J110" s="66" t="str">
        <f ca="1">IFERROR(INDIRECT(CONCATENATE("Field!l",A102+9)),"")</f>
        <v/>
      </c>
      <c r="K110" s="85" t="str">
        <f ca="1">IFERROR(INDIRECT(CONCATENATE("Field!m",A102+9)),"")</f>
        <v/>
      </c>
      <c r="L110" s="85" t="str">
        <f ca="1">IFERROR(INDIRECT(CONCATENATE("Field!n",A102+9)),"")</f>
        <v/>
      </c>
      <c r="M110" s="65" t="str">
        <f ca="1">IFERROR(INDIRECT(CONCATENATE("Field!o",A102+9)),"")</f>
        <v/>
      </c>
      <c r="N110" s="108" t="str">
        <f ca="1">IFERROR(INDIRECT(CONCATENATE("Field!p",A102+9)),"")</f>
        <v/>
      </c>
      <c r="T110" s="64" t="str">
        <f t="shared" ca="1" si="4"/>
        <v/>
      </c>
      <c r="U110" s="64" t="str">
        <f t="shared" ca="1" si="5"/>
        <v/>
      </c>
      <c r="V110" s="266" t="str">
        <f ca="1">IF(OR(D110=0,D110="",D110="Athlete"),"",COUNTIF($D$4:$D110,D110))</f>
        <v/>
      </c>
      <c r="W110" s="266" t="str">
        <f t="shared" ca="1" si="6"/>
        <v/>
      </c>
      <c r="Z110" s="266" t="str">
        <f t="shared" ca="1" si="7"/>
        <v/>
      </c>
    </row>
    <row r="111" spans="1:26" x14ac:dyDescent="0.35">
      <c r="T111" s="64" t="str">
        <f t="shared" si="4"/>
        <v/>
      </c>
      <c r="U111" s="64" t="str">
        <f t="shared" si="5"/>
        <v/>
      </c>
      <c r="V111" s="266" t="str">
        <f>IF(OR(D111=0,D111="",D111="Athlete"),"",COUNTIF($D$4:$D111,D111))</f>
        <v/>
      </c>
      <c r="W111" s="266" t="str">
        <f t="shared" si="6"/>
        <v/>
      </c>
      <c r="Z111" s="266" t="str">
        <f t="shared" si="7"/>
        <v/>
      </c>
    </row>
    <row r="112" spans="1:26" x14ac:dyDescent="0.35">
      <c r="A112" s="66" t="s">
        <v>193</v>
      </c>
      <c r="B112" s="102" t="str">
        <f ca="1">IFERROR(INDIRECT(CONCATENATE("Field!D",A113)),"")</f>
        <v>Javelin U13 Boys A</v>
      </c>
      <c r="G112" s="108" t="str">
        <f ca="1">IFERROR(INDIRECT(CONCATENATE("Field!i",A113)),"")</f>
        <v/>
      </c>
      <c r="I112" s="102" t="str">
        <f ca="1">IFERROR(INDIRECT(CONCATENATE("Field!k",A113)),"")</f>
        <v>Javelin U13 Boys B</v>
      </c>
      <c r="T112" s="64" t="str">
        <f t="shared" si="4"/>
        <v/>
      </c>
      <c r="U112" s="64" t="str">
        <f t="shared" si="5"/>
        <v/>
      </c>
      <c r="V112" s="266" t="str">
        <f>IF(OR(D112=0,D112="",D112="Athlete"),"",COUNTIF($D$4:$D112,D112))</f>
        <v/>
      </c>
      <c r="W112" s="266" t="str">
        <f t="shared" si="6"/>
        <v/>
      </c>
      <c r="Z112" s="266" t="str">
        <f t="shared" ca="1" si="7"/>
        <v/>
      </c>
    </row>
    <row r="113" spans="1:26" x14ac:dyDescent="0.35">
      <c r="A113" s="66">
        <f>IFERROR(MATCH(A112,Field!C:C,0),"")</f>
        <v>101</v>
      </c>
      <c r="B113" s="45" t="str">
        <f ca="1">IFERROR(INDIRECT(CONCATENATE("Field!D",A113+1)),"")</f>
        <v>Posn</v>
      </c>
      <c r="C113" s="45" t="str">
        <f ca="1">IFERROR(INDIRECT(CONCATENATE("Field!e",A113+1)),"")</f>
        <v>Bib</v>
      </c>
      <c r="D113" s="139" t="str">
        <f ca="1">IFERROR(INDIRECT(CONCATENATE("Field!f",A113+1)),"")</f>
        <v>Athlete</v>
      </c>
      <c r="E113" s="139" t="str">
        <f ca="1">IFERROR(INDIRECT(CONCATENATE("Field!g",A113+1)),"")</f>
        <v>Club</v>
      </c>
      <c r="F113" s="133" t="str">
        <f ca="1">IFERROR(INDIRECT(CONCATENATE("Field!h",A113+1)),"")</f>
        <v>Perf</v>
      </c>
      <c r="G113" s="167" t="str">
        <f ca="1">IFERROR(INDIRECT(CONCATENATE("Field!i",A113+1)),"")</f>
        <v>EA</v>
      </c>
      <c r="H113" s="45"/>
      <c r="I113" s="45" t="str">
        <f ca="1">IFERROR(INDIRECT(CONCATENATE("Field!k",A113+1)),"")</f>
        <v>Posn</v>
      </c>
      <c r="J113" s="45" t="str">
        <f ca="1">IFERROR(INDIRECT(CONCATENATE("Field!l",A113+1)),"")</f>
        <v>Bib</v>
      </c>
      <c r="K113" s="139" t="str">
        <f ca="1">IFERROR(INDIRECT(CONCATENATE("Field!m",A113+1)),"")</f>
        <v>Athlete</v>
      </c>
      <c r="L113" s="139" t="str">
        <f ca="1">IFERROR(INDIRECT(CONCATENATE("Field!n",A113+1)),"")</f>
        <v>Club</v>
      </c>
      <c r="M113" s="133" t="str">
        <f ca="1">IFERROR(INDIRECT(CONCATENATE("Field!o",A113+1)),"")</f>
        <v>Perf</v>
      </c>
      <c r="N113" s="167" t="str">
        <f ca="1">IFERROR(INDIRECT(CONCATENATE("Field!p",A113+1)),"")</f>
        <v>EA</v>
      </c>
      <c r="T113" s="64" t="str">
        <f t="shared" ca="1" si="4"/>
        <v/>
      </c>
      <c r="U113" s="64" t="str">
        <f t="shared" ca="1" si="5"/>
        <v/>
      </c>
      <c r="V113" s="266" t="str">
        <f ca="1">IF(OR(D113=0,D113="",D113="Athlete"),"",COUNTIF($D$4:$D113,D113))</f>
        <v/>
      </c>
      <c r="W113" s="266" t="str">
        <f t="shared" ca="1" si="6"/>
        <v/>
      </c>
      <c r="Z113" s="266">
        <f t="shared" ca="1" si="7"/>
        <v>0</v>
      </c>
    </row>
    <row r="114" spans="1:26" x14ac:dyDescent="0.35">
      <c r="B114" s="66">
        <f ca="1">IFERROR(INDIRECT(CONCATENATE("Field!D",A113+2)),"")</f>
        <v>1</v>
      </c>
      <c r="C114" s="66">
        <f ca="1">IFERROR(INDIRECT(CONCATENATE("Field!e",A113+2)),"")</f>
        <v>3</v>
      </c>
      <c r="D114" s="85" t="str">
        <f ca="1">IFERROR(INDIRECT(CONCATENATE("Field!f",A113+2)),"")</f>
        <v>Oscar FINCH</v>
      </c>
      <c r="E114" s="85" t="str">
        <f ca="1">IFERROR(INDIRECT(CONCATENATE("Field!g",A113+2)),"")</f>
        <v>Leigh</v>
      </c>
      <c r="F114" s="65">
        <f ca="1">IFERROR(INDIRECT(CONCATENATE("Field!h",A113+2)),"")</f>
        <v>31.74</v>
      </c>
      <c r="G114" s="108">
        <f ca="1">IFERROR(INDIRECT(CONCATENATE("Field!i",A113+2)),"")</f>
        <v>7</v>
      </c>
      <c r="H114" s="66"/>
      <c r="I114" s="66">
        <f ca="1">IFERROR(INDIRECT(CONCATENATE("Field!k",A113+2)),"")</f>
        <v>1</v>
      </c>
      <c r="J114" s="66">
        <f ca="1">IFERROR(INDIRECT(CONCATENATE("Field!l",A113+2)),"")</f>
        <v>33</v>
      </c>
      <c r="K114" s="85" t="str">
        <f ca="1">IFERROR(INDIRECT(CONCATENATE("Field!m",A113+2)),"")</f>
        <v>James HOWARTH-LINTON</v>
      </c>
      <c r="L114" s="85" t="str">
        <f ca="1">IFERROR(INDIRECT(CONCATENATE("Field!n",A113+2)),"")</f>
        <v>Leigh</v>
      </c>
      <c r="M114" s="65">
        <f ca="1">IFERROR(INDIRECT(CONCATENATE("Field!o",A113+2)),"")</f>
        <v>25.74</v>
      </c>
      <c r="N114" s="108">
        <f ca="1">IFERROR(INDIRECT(CONCATENATE("Field!p",A113+2)),"")</f>
        <v>5</v>
      </c>
      <c r="R114" s="168">
        <f ca="1">IFERROR(INDIRECT(CONCATENATE("Field!r",A113+2)),"")</f>
        <v>10</v>
      </c>
      <c r="T114" s="64">
        <f t="shared" ca="1" si="4"/>
        <v>3</v>
      </c>
      <c r="U114" s="64">
        <f t="shared" ca="1" si="5"/>
        <v>2</v>
      </c>
      <c r="V114" s="266">
        <f ca="1">IF(OR(D114=0,D114="",D114="Athlete"),"",COUNTIF($D$4:$D114,D114))</f>
        <v>2</v>
      </c>
      <c r="W114" s="266" t="str">
        <f t="shared" ca="1" si="6"/>
        <v>Leigh</v>
      </c>
      <c r="Z114" s="266">
        <f t="shared" ca="1" si="7"/>
        <v>0</v>
      </c>
    </row>
    <row r="115" spans="1:26" x14ac:dyDescent="0.35">
      <c r="B115" s="66">
        <f ca="1">IFERROR(INDIRECT(CONCATENATE("Field!D",A113+3)),"")</f>
        <v>2</v>
      </c>
      <c r="C115" s="66">
        <f ca="1">IFERROR(INDIRECT(CONCATENATE("Field!e",A113+3)),"")</f>
        <v>2</v>
      </c>
      <c r="D115" s="85" t="str">
        <f ca="1">IFERROR(INDIRECT(CONCATENATE("Field!f",A113+3)),"")</f>
        <v>Benjamin SYKES</v>
      </c>
      <c r="E115" s="85" t="str">
        <f ca="1">IFERROR(INDIRECT(CONCATENATE("Field!g",A113+3)),"")</f>
        <v>ECHT</v>
      </c>
      <c r="F115" s="65">
        <f ca="1">IFERROR(INDIRECT(CONCATENATE("Field!h",A113+3)),"")</f>
        <v>29.44</v>
      </c>
      <c r="G115" s="108">
        <f ca="1">IFERROR(INDIRECT(CONCATENATE("Field!i",A113+3)),"")</f>
        <v>7</v>
      </c>
      <c r="H115" s="66"/>
      <c r="I115" s="66">
        <f ca="1">IFERROR(INDIRECT(CONCATENATE("Field!k",A113+3)),"")</f>
        <v>2</v>
      </c>
      <c r="J115" s="66">
        <f ca="1">IFERROR(INDIRECT(CONCATENATE("Field!l",A113+3)),"")</f>
        <v>44</v>
      </c>
      <c r="K115" s="85" t="str">
        <f ca="1">IFERROR(INDIRECT(CONCATENATE("Field!m",A113+3)),"")</f>
        <v>Isaac BAKER</v>
      </c>
      <c r="L115" s="85" t="str">
        <f ca="1">IFERROR(INDIRECT(CONCATENATE("Field!n",A113+3)),"")</f>
        <v>Macc</v>
      </c>
      <c r="M115" s="65">
        <f ca="1">IFERROR(INDIRECT(CONCATENATE("Field!o",A113+3)),"")</f>
        <v>14.64</v>
      </c>
      <c r="N115" s="108">
        <f ca="1">IFERROR(INDIRECT(CONCATENATE("Field!p",A113+3)),"")</f>
        <v>2</v>
      </c>
      <c r="T115" s="64">
        <f t="shared" ca="1" si="4"/>
        <v>2</v>
      </c>
      <c r="U115" s="64">
        <f t="shared" ca="1" si="5"/>
        <v>2</v>
      </c>
      <c r="V115" s="266">
        <f ca="1">IF(OR(D115=0,D115="",D115="Athlete"),"",COUNTIF($D$4:$D115,D115))</f>
        <v>2</v>
      </c>
      <c r="W115" s="266" t="str">
        <f t="shared" ca="1" si="6"/>
        <v>ECHT</v>
      </c>
      <c r="Z115" s="266">
        <f t="shared" ca="1" si="7"/>
        <v>0</v>
      </c>
    </row>
    <row r="116" spans="1:26" x14ac:dyDescent="0.35">
      <c r="B116" s="66">
        <f ca="1">IFERROR(INDIRECT(CONCATENATE("Field!D",A113+4)),"")</f>
        <v>3</v>
      </c>
      <c r="C116" s="66">
        <f ca="1">IFERROR(INDIRECT(CONCATENATE("Field!e",A113+4)),"")</f>
        <v>7</v>
      </c>
      <c r="D116" s="85" t="str">
        <f ca="1">IFERROR(INDIRECT(CONCATENATE("Field!f",A113+4)),"")</f>
        <v>Samuel HODGKINSON</v>
      </c>
      <c r="E116" s="85" t="str">
        <f ca="1">IFERROR(INDIRECT(CONCATENATE("Field!g",A113+4)),"")</f>
        <v>Wigan</v>
      </c>
      <c r="F116" s="65">
        <f ca="1">IFERROR(INDIRECT(CONCATENATE("Field!h",A113+4)),"")</f>
        <v>22.45</v>
      </c>
      <c r="G116" s="108">
        <f ca="1">IFERROR(INDIRECT(CONCATENATE("Field!i",A113+4)),"")</f>
        <v>4</v>
      </c>
      <c r="H116" s="66"/>
      <c r="I116" s="66">
        <f ca="1">IFERROR(INDIRECT(CONCATENATE("Field!k",A113+4)),"")</f>
        <v>3</v>
      </c>
      <c r="J116" s="66">
        <f ca="1">IFERROR(INDIRECT(CONCATENATE("Field!l",A113+4)),"")</f>
        <v>22</v>
      </c>
      <c r="K116" s="85" t="str">
        <f ca="1">IFERROR(INDIRECT(CONCATENATE("Field!m",A113+4)),"")</f>
        <v>James NELSON</v>
      </c>
      <c r="L116" s="85" t="str">
        <f ca="1">IFERROR(INDIRECT(CONCATENATE("Field!n",A113+4)),"")</f>
        <v>ECHT</v>
      </c>
      <c r="M116" s="65">
        <f ca="1">IFERROR(INDIRECT(CONCATENATE("Field!o",A113+4)),"")</f>
        <v>14.58</v>
      </c>
      <c r="N116" s="108">
        <f ca="1">IFERROR(INDIRECT(CONCATENATE("Field!p",A113+4)),"")</f>
        <v>2</v>
      </c>
      <c r="T116" s="64">
        <f t="shared" ca="1" si="4"/>
        <v>3</v>
      </c>
      <c r="U116" s="64">
        <f t="shared" ca="1" si="5"/>
        <v>3</v>
      </c>
      <c r="V116" s="266">
        <f ca="1">IF(OR(D116=0,D116="",D116="Athlete"),"",COUNTIF($D$4:$D116,D116))</f>
        <v>3</v>
      </c>
      <c r="W116" s="266" t="str">
        <f t="shared" ca="1" si="6"/>
        <v>Wigan</v>
      </c>
      <c r="Z116" s="266">
        <f t="shared" ca="1" si="7"/>
        <v>0</v>
      </c>
    </row>
    <row r="117" spans="1:26" x14ac:dyDescent="0.35">
      <c r="B117" s="66">
        <f ca="1">IFERROR(INDIRECT(CONCATENATE("Field!D",A113+5)),"")</f>
        <v>4</v>
      </c>
      <c r="C117" s="66">
        <f ca="1">IFERROR(INDIRECT(CONCATENATE("Field!e",A113+5)),"")</f>
        <v>4</v>
      </c>
      <c r="D117" s="85" t="str">
        <f ca="1">IFERROR(INDIRECT(CONCATENATE("Field!f",A113+5)),"")</f>
        <v>Robert NWANKWO</v>
      </c>
      <c r="E117" s="85" t="str">
        <f ca="1">IFERROR(INDIRECT(CONCATENATE("Field!g",A113+5)),"")</f>
        <v>Macc</v>
      </c>
      <c r="F117" s="65">
        <f ca="1">IFERROR(INDIRECT(CONCATENATE("Field!h",A113+5)),"")</f>
        <v>19.25</v>
      </c>
      <c r="G117" s="108">
        <f ca="1">IFERROR(INDIRECT(CONCATENATE("Field!i",A113+5)),"")</f>
        <v>3</v>
      </c>
      <c r="H117" s="66"/>
      <c r="I117" s="66">
        <f ca="1">IFERROR(INDIRECT(CONCATENATE("Field!k",A113+5)),"")</f>
        <v>4</v>
      </c>
      <c r="J117" s="66">
        <f ca="1">IFERROR(INDIRECT(CONCATENATE("Field!l",A113+5)),"")</f>
        <v>11</v>
      </c>
      <c r="K117" s="85" t="str">
        <f ca="1">IFERROR(INDIRECT(CONCATENATE("Field!m",A113+5)),"")</f>
        <v>Gabriel BRZEZINSKI</v>
      </c>
      <c r="L117" s="85" t="str">
        <f ca="1">IFERROR(INDIRECT(CONCATENATE("Field!n",A113+5)),"")</f>
        <v>C&amp;N</v>
      </c>
      <c r="M117" s="65">
        <f ca="1">IFERROR(INDIRECT(CONCATENATE("Field!o",A113+5)),"")</f>
        <v>12.41</v>
      </c>
      <c r="N117" s="108">
        <f ca="1">IFERROR(INDIRECT(CONCATENATE("Field!p",A113+5)),"")</f>
        <v>1</v>
      </c>
      <c r="T117" s="64">
        <f t="shared" ca="1" si="4"/>
        <v>2</v>
      </c>
      <c r="U117" s="64">
        <f t="shared" ca="1" si="5"/>
        <v>3</v>
      </c>
      <c r="V117" s="266">
        <f ca="1">IF(OR(D117=0,D117="",D117="Athlete"),"",COUNTIF($D$4:$D117,D117))</f>
        <v>1</v>
      </c>
      <c r="W117" s="266" t="str">
        <f t="shared" ca="1" si="6"/>
        <v>Macc</v>
      </c>
      <c r="Z117" s="266">
        <f t="shared" ca="1" si="7"/>
        <v>0</v>
      </c>
    </row>
    <row r="118" spans="1:26" x14ac:dyDescent="0.35">
      <c r="B118" s="66">
        <f ca="1">IFERROR(INDIRECT(CONCATENATE("Field!D",A113+6)),"")</f>
        <v>5</v>
      </c>
      <c r="C118" s="66">
        <f ca="1">IFERROR(INDIRECT(CONCATENATE("Field!e",A113+6)),"")</f>
        <v>1</v>
      </c>
      <c r="D118" s="85" t="str">
        <f ca="1">IFERROR(INDIRECT(CONCATENATE("Field!f",A113+6)),"")</f>
        <v>Kaidan DOS REIS</v>
      </c>
      <c r="E118" s="85" t="str">
        <f ca="1">IFERROR(INDIRECT(CONCATENATE("Field!g",A113+6)),"")</f>
        <v>C&amp;N</v>
      </c>
      <c r="F118" s="65">
        <f ca="1">IFERROR(INDIRECT(CONCATENATE("Field!h",A113+6)),"")</f>
        <v>17.399999999999999</v>
      </c>
      <c r="G118" s="108">
        <f ca="1">IFERROR(INDIRECT(CONCATENATE("Field!i",A113+6)),"")</f>
        <v>3</v>
      </c>
      <c r="H118" s="66"/>
      <c r="I118" s="66">
        <f ca="1">IFERROR(INDIRECT(CONCATENATE("Field!k",A113+6)),"")</f>
        <v>5</v>
      </c>
      <c r="J118" s="66">
        <f ca="1">IFERROR(INDIRECT(CONCATENATE("Field!l",A113+6)),"")</f>
        <v>77</v>
      </c>
      <c r="K118" s="85" t="str">
        <f ca="1">IFERROR(INDIRECT(CONCATENATE("Field!m",A113+6)),"")</f>
        <v>Charlie STRETTON</v>
      </c>
      <c r="L118" s="85" t="str">
        <f ca="1">IFERROR(INDIRECT(CONCATENATE("Field!n",A113+6)),"")</f>
        <v>Wigan</v>
      </c>
      <c r="M118" s="65">
        <f ca="1">IFERROR(INDIRECT(CONCATENATE("Field!o",A113+6)),"")</f>
        <v>10.91</v>
      </c>
      <c r="N118" s="108" t="str">
        <f ca="1">IFERROR(INDIRECT(CONCATENATE("Field!p",A113+6)),"")</f>
        <v/>
      </c>
      <c r="T118" s="64">
        <f t="shared" ca="1" si="4"/>
        <v>3</v>
      </c>
      <c r="U118" s="64">
        <f t="shared" ca="1" si="5"/>
        <v>3</v>
      </c>
      <c r="V118" s="266">
        <f ca="1">IF(OR(D118=0,D118="",D118="Athlete"),"",COUNTIF($D$4:$D118,D118))</f>
        <v>3</v>
      </c>
      <c r="W118" s="266" t="str">
        <f t="shared" ca="1" si="6"/>
        <v>C&amp;N</v>
      </c>
      <c r="Z118" s="266">
        <f t="shared" ca="1" si="7"/>
        <v>0</v>
      </c>
    </row>
    <row r="119" spans="1:26" x14ac:dyDescent="0.35">
      <c r="B119" s="66">
        <f ca="1">IFERROR(INDIRECT(CONCATENATE("Field!D",A113+7)),"")</f>
        <v>6</v>
      </c>
      <c r="C119" s="66" t="str">
        <f ca="1">IFERROR(INDIRECT(CONCATENATE("Field!e",A113+7)),"")</f>
        <v/>
      </c>
      <c r="D119" s="85" t="str">
        <f ca="1">IFERROR(INDIRECT(CONCATENATE("Field!f",A113+7)),"")</f>
        <v/>
      </c>
      <c r="E119" s="85" t="str">
        <f ca="1">IFERROR(INDIRECT(CONCATENATE("Field!g",A113+7)),"")</f>
        <v/>
      </c>
      <c r="F119" s="65" t="str">
        <f ca="1">IFERROR(INDIRECT(CONCATENATE("Field!h",A113+7)),"")</f>
        <v/>
      </c>
      <c r="G119" s="108" t="str">
        <f ca="1">IFERROR(INDIRECT(CONCATENATE("Field!i",A113+7)),"")</f>
        <v/>
      </c>
      <c r="H119" s="66"/>
      <c r="I119" s="66">
        <f ca="1">IFERROR(INDIRECT(CONCATENATE("Field!k",A113+7)),"")</f>
        <v>6</v>
      </c>
      <c r="J119" s="66" t="str">
        <f ca="1">IFERROR(INDIRECT(CONCATENATE("Field!l",A113+7)),"")</f>
        <v/>
      </c>
      <c r="K119" s="85" t="str">
        <f ca="1">IFERROR(INDIRECT(CONCATENATE("Field!m",A113+7)),"")</f>
        <v/>
      </c>
      <c r="L119" s="85" t="str">
        <f ca="1">IFERROR(INDIRECT(CONCATENATE("Field!n",A113+7)),"")</f>
        <v/>
      </c>
      <c r="M119" s="65" t="str">
        <f ca="1">IFERROR(INDIRECT(CONCATENATE("Field!o",A113+7)),"")</f>
        <v/>
      </c>
      <c r="N119" s="108" t="str">
        <f ca="1">IFERROR(INDIRECT(CONCATENATE("Field!p",A113+7)),"")</f>
        <v/>
      </c>
      <c r="T119" s="64" t="str">
        <f t="shared" ca="1" si="4"/>
        <v/>
      </c>
      <c r="U119" s="64" t="str">
        <f t="shared" ca="1" si="5"/>
        <v/>
      </c>
      <c r="V119" s="266" t="str">
        <f ca="1">IF(OR(D119=0,D119="",D119="Athlete"),"",COUNTIF($D$4:$D119,D119))</f>
        <v/>
      </c>
      <c r="W119" s="266" t="str">
        <f t="shared" ca="1" si="6"/>
        <v/>
      </c>
      <c r="Z119" s="266" t="str">
        <f t="shared" ca="1" si="7"/>
        <v/>
      </c>
    </row>
    <row r="120" spans="1:26" x14ac:dyDescent="0.35">
      <c r="B120" s="66">
        <f ca="1">IFERROR(INDIRECT(CONCATENATE("Field!D",A113+8)),"")</f>
        <v>7</v>
      </c>
      <c r="C120" s="66" t="str">
        <f ca="1">IFERROR(INDIRECT(CONCATENATE("Field!e",A113+8)),"")</f>
        <v/>
      </c>
      <c r="D120" s="85" t="str">
        <f ca="1">IFERROR(INDIRECT(CONCATENATE("Field!f",A113+8)),"")</f>
        <v/>
      </c>
      <c r="E120" s="85" t="str">
        <f ca="1">IFERROR(INDIRECT(CONCATENATE("Field!g",A113+8)),"")</f>
        <v/>
      </c>
      <c r="F120" s="65" t="str">
        <f ca="1">IFERROR(INDIRECT(CONCATENATE("Field!h",A113+8)),"")</f>
        <v/>
      </c>
      <c r="G120" s="108" t="str">
        <f ca="1">IFERROR(INDIRECT(CONCATENATE("Field!i",A113+8)),"")</f>
        <v/>
      </c>
      <c r="H120" s="66"/>
      <c r="I120" s="66">
        <f ca="1">IFERROR(INDIRECT(CONCATENATE("Field!k",A113+8)),"")</f>
        <v>7</v>
      </c>
      <c r="J120" s="66" t="str">
        <f ca="1">IFERROR(INDIRECT(CONCATENATE("Field!l",A113+8)),"")</f>
        <v/>
      </c>
      <c r="K120" s="85" t="str">
        <f ca="1">IFERROR(INDIRECT(CONCATENATE("Field!m",A113+8)),"")</f>
        <v/>
      </c>
      <c r="L120" s="85" t="str">
        <f ca="1">IFERROR(INDIRECT(CONCATENATE("Field!n",A113+8)),"")</f>
        <v/>
      </c>
      <c r="M120" s="65" t="str">
        <f ca="1">IFERROR(INDIRECT(CONCATENATE("Field!o",A113+8)),"")</f>
        <v/>
      </c>
      <c r="N120" s="108" t="str">
        <f ca="1">IFERROR(INDIRECT(CONCATENATE("Field!p",A113+8)),"")</f>
        <v/>
      </c>
      <c r="T120" s="64" t="str">
        <f t="shared" ca="1" si="4"/>
        <v/>
      </c>
      <c r="U120" s="64" t="str">
        <f t="shared" ca="1" si="5"/>
        <v/>
      </c>
      <c r="V120" s="266" t="str">
        <f ca="1">IF(OR(D120=0,D120="",D120="Athlete"),"",COUNTIF($D$4:$D120,D120))</f>
        <v/>
      </c>
      <c r="W120" s="266" t="str">
        <f t="shared" ca="1" si="6"/>
        <v/>
      </c>
      <c r="Z120" s="266" t="str">
        <f t="shared" ca="1" si="7"/>
        <v/>
      </c>
    </row>
    <row r="121" spans="1:26" x14ac:dyDescent="0.35">
      <c r="B121" s="66">
        <f ca="1">IFERROR(INDIRECT(CONCATENATE("Field!D",A113+9)),"")</f>
        <v>8</v>
      </c>
      <c r="C121" s="66" t="str">
        <f ca="1">IFERROR(INDIRECT(CONCATENATE("Field!e",A113+9)),"")</f>
        <v/>
      </c>
      <c r="D121" s="85" t="str">
        <f ca="1">IFERROR(INDIRECT(CONCATENATE("Field!f",A113+9)),"")</f>
        <v/>
      </c>
      <c r="E121" s="85" t="str">
        <f ca="1">IFERROR(INDIRECT(CONCATENATE("Field!g",A113+9)),"")</f>
        <v/>
      </c>
      <c r="F121" s="65" t="str">
        <f ca="1">IFERROR(INDIRECT(CONCATENATE("Field!h",A113+9)),"")</f>
        <v/>
      </c>
      <c r="G121" s="108" t="str">
        <f ca="1">IFERROR(INDIRECT(CONCATENATE("Field!i",A113+9)),"")</f>
        <v/>
      </c>
      <c r="H121" s="66"/>
      <c r="I121" s="66">
        <f ca="1">IFERROR(INDIRECT(CONCATENATE("Field!k",A113+9)),"")</f>
        <v>8</v>
      </c>
      <c r="J121" s="66" t="str">
        <f ca="1">IFERROR(INDIRECT(CONCATENATE("Field!l",A113+9)),"")</f>
        <v/>
      </c>
      <c r="K121" s="85" t="str">
        <f ca="1">IFERROR(INDIRECT(CONCATENATE("Field!m",A113+9)),"")</f>
        <v/>
      </c>
      <c r="L121" s="85" t="str">
        <f ca="1">IFERROR(INDIRECT(CONCATENATE("Field!n",A113+9)),"")</f>
        <v/>
      </c>
      <c r="M121" s="65" t="str">
        <f ca="1">IFERROR(INDIRECT(CONCATENATE("Field!o",A113+9)),"")</f>
        <v/>
      </c>
      <c r="N121" s="108" t="str">
        <f ca="1">IFERROR(INDIRECT(CONCATENATE("Field!p",A113+9)),"")</f>
        <v/>
      </c>
      <c r="T121" s="64" t="str">
        <f t="shared" ca="1" si="4"/>
        <v/>
      </c>
      <c r="U121" s="64" t="str">
        <f t="shared" ca="1" si="5"/>
        <v/>
      </c>
      <c r="V121" s="266" t="str">
        <f ca="1">IF(OR(D121=0,D121="",D121="Athlete"),"",COUNTIF($D$4:$D121,D121))</f>
        <v/>
      </c>
      <c r="W121" s="266" t="str">
        <f t="shared" ca="1" si="6"/>
        <v/>
      </c>
      <c r="Z121" s="266" t="str">
        <f t="shared" ca="1" si="7"/>
        <v/>
      </c>
    </row>
    <row r="122" spans="1:26" x14ac:dyDescent="0.35">
      <c r="T122" s="64" t="str">
        <f t="shared" si="4"/>
        <v/>
      </c>
      <c r="U122" s="64" t="str">
        <f t="shared" si="5"/>
        <v/>
      </c>
      <c r="V122" s="266" t="str">
        <f>IF(OR(D122=0,D122="",D122="Athlete"),"",COUNTIF($D$4:$D122,D122))</f>
        <v/>
      </c>
      <c r="W122" s="266" t="str">
        <f t="shared" si="6"/>
        <v/>
      </c>
      <c r="Z122" s="266" t="str">
        <f t="shared" si="7"/>
        <v/>
      </c>
    </row>
    <row r="123" spans="1:26" x14ac:dyDescent="0.35">
      <c r="A123" s="66" t="s">
        <v>263</v>
      </c>
      <c r="B123" s="102" t="str">
        <f ca="1">IFERROR(INDIRECT(CONCATENATE("Relays!b",A124)),"")</f>
        <v xml:space="preserve"> 4 x 100m U13 Boys A</v>
      </c>
      <c r="M123" s="133" t="str">
        <f ca="1">IFERROR(INDIRECT(CONCATENATE("Relays!i",A124)),"")</f>
        <v/>
      </c>
      <c r="T123" s="64" t="str">
        <f t="shared" si="4"/>
        <v/>
      </c>
      <c r="U123" s="64" t="str">
        <f t="shared" si="5"/>
        <v/>
      </c>
      <c r="V123" s="266" t="str">
        <f>IF(OR(D123=0,D123="",D123="Athlete"),"",COUNTIF($D$4:$D123,D123))</f>
        <v/>
      </c>
      <c r="W123" s="266" t="str">
        <f t="shared" si="6"/>
        <v/>
      </c>
      <c r="Z123" s="266" t="str">
        <f t="shared" si="7"/>
        <v/>
      </c>
    </row>
    <row r="124" spans="1:26" x14ac:dyDescent="0.35">
      <c r="A124" s="66">
        <f>IFERROR(MATCH(A123,Relays!A:A,0),"")</f>
        <v>13</v>
      </c>
      <c r="B124" s="45" t="str">
        <f ca="1">IFERROR(INDIRECT(CONCATENATE("Relays!b",A124+1)),"")</f>
        <v>Posn</v>
      </c>
      <c r="C124" s="45" t="str">
        <f ca="1">IFERROR(INDIRECT(CONCATENATE("Relays!c",A124+1)),"")</f>
        <v>No.</v>
      </c>
      <c r="D124" s="139" t="s">
        <v>539</v>
      </c>
      <c r="G124" s="45"/>
      <c r="K124" s="45"/>
      <c r="L124" s="139" t="str">
        <f ca="1">IFERROR(INDIRECT(CONCATENATE("Relays!D",A124+1)),"")</f>
        <v>Club</v>
      </c>
      <c r="M124" s="133" t="str">
        <f ca="1">IFERROR(INDIRECT(CONCATENATE("Relays!i",A124+1)),"")</f>
        <v>Perf</v>
      </c>
      <c r="T124" s="64">
        <f t="shared" ref="T124:T132" ca="1" si="8">IF(OR(L124=0,L124="",L124="Athlete"),"",COUNTIF($D$4:$D$352,L124))</f>
        <v>0</v>
      </c>
      <c r="U124" s="64" t="str">
        <f t="shared" si="5"/>
        <v/>
      </c>
      <c r="V124" s="266">
        <f ca="1">IF(OR(L124=0,L124="",L124="Athlete"),"",COUNTIF($D$4:$D123,L124))</f>
        <v>0</v>
      </c>
      <c r="W124" s="266" t="str">
        <f t="shared" ref="W124:W132" ca="1" si="9">IF(OR(L124=0,L124="",L124="Athlete"),"",D124)</f>
        <v>Runners</v>
      </c>
      <c r="Z124" s="266" t="str">
        <f t="shared" si="7"/>
        <v/>
      </c>
    </row>
    <row r="125" spans="1:26" x14ac:dyDescent="0.35">
      <c r="B125" s="66">
        <f ca="1">IFERROR(INDIRECT(CONCATENATE("Relays!b",A124+2)),"")</f>
        <v>1</v>
      </c>
      <c r="C125" s="66">
        <f ca="1">IFERROR(INDIRECT(CONCATENATE("Relays!c",A124+2)),"")</f>
        <v>3</v>
      </c>
      <c r="D125" s="85" t="str">
        <f ca="1">IFERROR(IF(INDIRECT(CONCATENATE("Relays!e",A124+2))="","",INDIRECT(CONCATENATE("Relays!e",A124+2))),"")</f>
        <v>Jack FLETCHER, Jesse WAI IP CHAN, Oscar FINCH, Thierry KERR</v>
      </c>
      <c r="G125" s="66"/>
      <c r="K125" s="66"/>
      <c r="L125" s="85" t="str">
        <f ca="1">IFERROR(INDIRECT(CONCATENATE("Relays!D",A124+2)),"")</f>
        <v>Leigh</v>
      </c>
      <c r="M125" s="395">
        <f ca="1">IFERROR(INDIRECT(CONCATENATE("Relays!i",A124+2)),"")</f>
        <v>53.9</v>
      </c>
      <c r="R125" s="66">
        <f ca="1">IFERROR(INDIRECT(CONCATENATE("Relays!M",A124+2)),"")</f>
        <v>1</v>
      </c>
      <c r="T125" s="64">
        <f t="shared" ca="1" si="8"/>
        <v>0</v>
      </c>
      <c r="U125" s="64" t="str">
        <f t="shared" si="5"/>
        <v/>
      </c>
      <c r="V125" s="266">
        <f ca="1">IF(OR(L125=0,L125="",L125="Athlete"),"",COUNTIF($D$4:$D123,L125))</f>
        <v>0</v>
      </c>
      <c r="W125" s="266" t="str">
        <f t="shared" ca="1" si="9"/>
        <v>Jack FLETCHER, Jesse WAI IP CHAN, Oscar FINCH, Thierry KERR</v>
      </c>
      <c r="Z125" s="266" t="str">
        <f t="shared" si="7"/>
        <v/>
      </c>
    </row>
    <row r="126" spans="1:26" x14ac:dyDescent="0.35">
      <c r="B126" s="66">
        <f ca="1">IFERROR(INDIRECT(CONCATENATE("Relays!b",A124+3)),"")</f>
        <v>2</v>
      </c>
      <c r="C126" s="66">
        <f ca="1">IFERROR(INDIRECT(CONCATENATE("Relays!c",A124+3)),"")</f>
        <v>1</v>
      </c>
      <c r="D126" s="85" t="str">
        <f ca="1">IFERROR(IF(INDIRECT(CONCATENATE("Relays!e",A124+3))="","",INDIRECT(CONCATENATE("Relays!e",A124+3))),"")</f>
        <v>Gabriel BRZEZINSKI, Kaidan DOS REIS, Charlie SMITH, Ben JEFFS</v>
      </c>
      <c r="G126" s="66"/>
      <c r="K126" s="66"/>
      <c r="L126" s="85" t="str">
        <f ca="1">IFERROR(INDIRECT(CONCATENATE("Relays!D",A124+3)),"")</f>
        <v>C&amp;N</v>
      </c>
      <c r="M126" s="395">
        <f ca="1">IFERROR(INDIRECT(CONCATENATE("Relays!i",A124+3)),"")</f>
        <v>57.5</v>
      </c>
      <c r="T126" s="64">
        <f t="shared" ca="1" si="8"/>
        <v>0</v>
      </c>
      <c r="U126" s="64" t="str">
        <f t="shared" si="5"/>
        <v/>
      </c>
      <c r="V126" s="266">
        <f ca="1">IF(OR(L126=0,L126="",L126="Athlete"),"",COUNTIF($D$4:$D123,L126))</f>
        <v>0</v>
      </c>
      <c r="W126" s="266" t="str">
        <f t="shared" ca="1" si="9"/>
        <v>Gabriel BRZEZINSKI, Kaidan DOS REIS, Charlie SMITH, Ben JEFFS</v>
      </c>
      <c r="Z126" s="266" t="str">
        <f t="shared" si="7"/>
        <v/>
      </c>
    </row>
    <row r="127" spans="1:26" x14ac:dyDescent="0.35">
      <c r="B127" s="66">
        <f ca="1">IFERROR(INDIRECT(CONCATENATE("Relays!b",A124+4)),"")</f>
        <v>3</v>
      </c>
      <c r="C127" s="66">
        <f ca="1">IFERROR(INDIRECT(CONCATENATE("Relays!c",A124+4)),"")</f>
        <v>7</v>
      </c>
      <c r="D127" s="85" t="str">
        <f ca="1">IFERROR(IF(INDIRECT(CONCATENATE("Relays!e",A124+4))="","",INDIRECT(CONCATENATE("Relays!e",A124+4))),"")</f>
        <v>Evan BARNETT, James DARBY, Theo MORGAN, Henry MORRIS</v>
      </c>
      <c r="G127" s="66"/>
      <c r="K127" s="66"/>
      <c r="L127" s="85" t="str">
        <f ca="1">IFERROR(INDIRECT(CONCATENATE("Relays!D",A124+4)),"")</f>
        <v>Wigan</v>
      </c>
      <c r="M127" s="395">
        <f ca="1">IFERROR(INDIRECT(CONCATENATE("Relays!i",A124+4)),"")</f>
        <v>59.7</v>
      </c>
      <c r="T127" s="64">
        <f t="shared" ca="1" si="8"/>
        <v>0</v>
      </c>
      <c r="U127" s="64" t="str">
        <f t="shared" si="5"/>
        <v/>
      </c>
      <c r="V127" s="266">
        <f ca="1">IF(OR(L127=0,L127="",L127="Athlete"),"",COUNTIF($D$4:$D123,L127))</f>
        <v>0</v>
      </c>
      <c r="W127" s="266" t="str">
        <f t="shared" ca="1" si="9"/>
        <v>Evan BARNETT, James DARBY, Theo MORGAN, Henry MORRIS</v>
      </c>
      <c r="Z127" s="266" t="str">
        <f t="shared" si="7"/>
        <v/>
      </c>
    </row>
    <row r="128" spans="1:26" x14ac:dyDescent="0.35">
      <c r="B128" s="66">
        <f ca="1">IFERROR(INDIRECT(CONCATENATE("Relays!b",A124+5)),"")</f>
        <v>4</v>
      </c>
      <c r="C128" s="66">
        <f ca="1">IFERROR(INDIRECT(CONCATENATE("Relays!c",A124+5)),"")</f>
        <v>4</v>
      </c>
      <c r="D128" s="85" t="str">
        <f ca="1">IFERROR(IF(INDIRECT(CONCATENATE("Relays!e",A124+5))="","",INDIRECT(CONCATENATE("Relays!e",A124+5))),"")</f>
        <v>Alexander MCLAREN, Samuel SAVAGE, Dylan BAKER, Tomas BEDOYA</v>
      </c>
      <c r="G128" s="66"/>
      <c r="K128" s="66"/>
      <c r="L128" s="85" t="str">
        <f ca="1">IFERROR(INDIRECT(CONCATENATE("Relays!D",A124+5)),"")</f>
        <v>Macc</v>
      </c>
      <c r="M128" s="395">
        <f ca="1">IFERROR(INDIRECT(CONCATENATE("Relays!i",A124+5)),"")</f>
        <v>60.1</v>
      </c>
      <c r="T128" s="64">
        <f t="shared" ca="1" si="8"/>
        <v>0</v>
      </c>
      <c r="U128" s="64" t="str">
        <f t="shared" si="5"/>
        <v/>
      </c>
      <c r="V128" s="266">
        <f ca="1">IF(OR(L128=0,L128="",L128="Athlete"),"",COUNTIF($D$4:$D123,L128))</f>
        <v>0</v>
      </c>
      <c r="W128" s="266" t="str">
        <f t="shared" ca="1" si="9"/>
        <v>Alexander MCLAREN, Samuel SAVAGE, Dylan BAKER, Tomas BEDOYA</v>
      </c>
      <c r="Z128" s="266" t="str">
        <f t="shared" si="7"/>
        <v/>
      </c>
    </row>
    <row r="129" spans="2:26" x14ac:dyDescent="0.35">
      <c r="B129" s="66">
        <f ca="1">IFERROR(INDIRECT(CONCATENATE("Relays!b",A124+6)),"")</f>
        <v>5</v>
      </c>
      <c r="C129" s="66">
        <f ca="1">IFERROR(INDIRECT(CONCATENATE("Relays!c",A124+6)),"")</f>
        <v>2</v>
      </c>
      <c r="D129" s="85" t="str">
        <f ca="1">IFERROR(IF(INDIRECT(CONCATENATE("Relays!e",A124+6))="","",INDIRECT(CONCATENATE("Relays!e",A124+6))&amp;", "&amp;INDIRECT(CONCATENATE("Relays!f",A124+6))&amp;", "&amp;INDIRECT(CONCATENATE("Relays!g",A124+6))&amp;", "&amp;INDIRECT(CONCATENATE("Relays!h",A124+6))),"")</f>
        <v xml:space="preserve">Ryan MCCARTHY, James NELSON, Jake REANEY, Oliver MANNION, , , </v>
      </c>
      <c r="G129" s="66"/>
      <c r="K129" s="66"/>
      <c r="L129" s="85" t="str">
        <f ca="1">IFERROR(INDIRECT(CONCATENATE("Relays!D",A124+6)),"")</f>
        <v>ECHT</v>
      </c>
      <c r="M129" s="395">
        <f ca="1">IFERROR(INDIRECT(CONCATENATE("Relays!i",A124+6)),"")</f>
        <v>63.7</v>
      </c>
      <c r="T129" s="64">
        <f t="shared" ca="1" si="8"/>
        <v>0</v>
      </c>
      <c r="U129" s="64" t="str">
        <f t="shared" si="5"/>
        <v/>
      </c>
      <c r="V129" s="266">
        <f ca="1">IF(OR(L129=0,L129="",L129="Athlete"),"",COUNTIF($D$4:$D123,L129))</f>
        <v>0</v>
      </c>
      <c r="W129" s="266" t="str">
        <f t="shared" ca="1" si="9"/>
        <v xml:space="preserve">Ryan MCCARTHY, James NELSON, Jake REANEY, Oliver MANNION, , , </v>
      </c>
      <c r="Z129" s="266" t="str">
        <f t="shared" si="7"/>
        <v/>
      </c>
    </row>
    <row r="130" spans="2:26" x14ac:dyDescent="0.35">
      <c r="B130" s="66">
        <f ca="1">IFERROR(INDIRECT(CONCATENATE("Relays!b",A124+7)),"")</f>
        <v>6</v>
      </c>
      <c r="C130" s="66">
        <f ca="1">IFERROR(INDIRECT(CONCATENATE("Relays!c",A124+7)),"")</f>
        <v>0</v>
      </c>
      <c r="D130" s="85" t="str">
        <f ca="1">IFERROR(IF(INDIRECT(CONCATENATE("Relays!e",A124+7))="","",INDIRECT(CONCATENATE("Relays!e",A124+7))&amp;", "&amp;INDIRECT(CONCATENATE("Relays!f",A124+7))&amp;", "&amp;INDIRECT(CONCATENATE("Relays!g",A124+7))&amp;", "&amp;INDIRECT(CONCATENATE("Relays!h",A124+7))),"")</f>
        <v/>
      </c>
      <c r="G130" s="66"/>
      <c r="K130" s="66"/>
      <c r="L130" s="85" t="str">
        <f ca="1">IFERROR(INDIRECT(CONCATENATE("Relays!D",A124+7)),"")</f>
        <v/>
      </c>
      <c r="M130" s="395">
        <f ca="1">IFERROR(INDIRECT(CONCATENATE("Relays!i",A124+7)),"")</f>
        <v>0</v>
      </c>
      <c r="T130" s="64" t="str">
        <f t="shared" ca="1" si="8"/>
        <v/>
      </c>
      <c r="U130" s="64" t="str">
        <f t="shared" si="5"/>
        <v/>
      </c>
      <c r="V130" s="266" t="str">
        <f ca="1">IF(OR(L130=0,L130="",L130="Athlete"),"",COUNTIF($D$4:$D123,L130))</f>
        <v/>
      </c>
      <c r="W130" s="266" t="str">
        <f t="shared" ca="1" si="9"/>
        <v/>
      </c>
      <c r="Z130" s="266" t="str">
        <f t="shared" si="7"/>
        <v/>
      </c>
    </row>
    <row r="131" spans="2:26" x14ac:dyDescent="0.35">
      <c r="B131" s="66">
        <f ca="1">IFERROR(INDIRECT(CONCATENATE("Relays!b",A124+8)),"")</f>
        <v>7</v>
      </c>
      <c r="C131" s="66">
        <f ca="1">IFERROR(INDIRECT(CONCATENATE("Relays!c",A124+8)),"")</f>
        <v>0</v>
      </c>
      <c r="D131" s="85" t="str">
        <f ca="1">IFERROR(IF(INDIRECT(CONCATENATE("Relays!e",A124+8))="","",INDIRECT(CONCATENATE("Relays!e",A124+8))&amp;", "&amp;INDIRECT(CONCATENATE("Relays!f",A124+8))&amp;", "&amp;INDIRECT(CONCATENATE("Relays!g",A124+8))&amp;", "&amp;INDIRECT(CONCATENATE("Relays!h",A124+8))),"")</f>
        <v/>
      </c>
      <c r="G131" s="66"/>
      <c r="K131" s="66"/>
      <c r="L131" s="85" t="str">
        <f ca="1">IFERROR(INDIRECT(CONCATENATE("Relays!D",A124+8)),"")</f>
        <v/>
      </c>
      <c r="M131" s="395">
        <f ca="1">IFERROR(INDIRECT(CONCATENATE("Relays!i",A124+8)),"")</f>
        <v>0</v>
      </c>
      <c r="T131" s="64" t="str">
        <f t="shared" ca="1" si="8"/>
        <v/>
      </c>
      <c r="U131" s="64" t="str">
        <f t="shared" si="5"/>
        <v/>
      </c>
      <c r="V131" s="266" t="str">
        <f ca="1">IF(OR(L131=0,L131="",L131="Athlete"),"",COUNTIF($D$4:$D123,L131))</f>
        <v/>
      </c>
      <c r="W131" s="266" t="str">
        <f t="shared" ca="1" si="9"/>
        <v/>
      </c>
      <c r="Z131" s="266" t="str">
        <f t="shared" si="7"/>
        <v/>
      </c>
    </row>
    <row r="132" spans="2:26" x14ac:dyDescent="0.35">
      <c r="B132" s="66">
        <f ca="1">IFERROR(INDIRECT(CONCATENATE("Relays!b",A124+9)),"")</f>
        <v>8</v>
      </c>
      <c r="C132" s="66">
        <f ca="1">IFERROR(INDIRECT(CONCATENATE("Relays!c",A124+9)),"")</f>
        <v>0</v>
      </c>
      <c r="D132" s="85" t="str">
        <f ca="1">IFERROR(IF(INDIRECT(CONCATENATE("Relays!e",A124+9))="","",INDIRECT(CONCATENATE("Relays!e",A124+9))&amp;", "&amp;INDIRECT(CONCATENATE("Relays!f",A124+9))&amp;", "&amp;INDIRECT(CONCATENATE("Relays!g",A124+9))&amp;", "&amp;INDIRECT(CONCATENATE("Relays!h",A124+9))),"")</f>
        <v/>
      </c>
      <c r="G132" s="66"/>
      <c r="K132" s="66"/>
      <c r="L132" s="85" t="str">
        <f ca="1">IFERROR(INDIRECT(CONCATENATE("Relays!D",A124+9)),"")</f>
        <v/>
      </c>
      <c r="M132" s="395">
        <f ca="1">IFERROR(INDIRECT(CONCATENATE("Relays!i",A124+9)),"")</f>
        <v>0</v>
      </c>
      <c r="T132" s="64" t="str">
        <f t="shared" ca="1" si="8"/>
        <v/>
      </c>
      <c r="U132" s="64" t="str">
        <f t="shared" si="5"/>
        <v/>
      </c>
      <c r="V132" s="266" t="str">
        <f ca="1">IF(OR(L132=0,L132="",L132="Athlete"),"",COUNTIF($D$4:$D132,L132))</f>
        <v/>
      </c>
      <c r="W132" s="266" t="str">
        <f t="shared" ca="1" si="9"/>
        <v/>
      </c>
      <c r="Z132" s="266" t="str">
        <f t="shared" si="7"/>
        <v/>
      </c>
    </row>
    <row r="133" spans="2:26" x14ac:dyDescent="0.35">
      <c r="T133" s="64" t="str">
        <f t="shared" ref="T133:T196" si="10">IF(OR(D133=0,D133="",D133="Athlete"),"",COUNTIF($D$4:$D$352,D133))</f>
        <v/>
      </c>
      <c r="U133" s="64" t="str">
        <f t="shared" ref="U133:U196" si="11">IF(OR(K133=0,K133="",K133="Athlete"),"",COUNTIF($D$4:$D$352,K133))</f>
        <v/>
      </c>
      <c r="V133" s="266" t="str">
        <f>IF(OR(D133=0,D133="",D133="Athlete"),"",COUNTIF($D$4:$D133,D133))</f>
        <v/>
      </c>
      <c r="W133" s="266" t="str">
        <f t="shared" ref="W133:W165" si="12">IF(OR(D133=0,D133="",D133="Athlete"),"",E133)</f>
        <v/>
      </c>
      <c r="Z133" s="266" t="str">
        <f t="shared" ref="Z133:Z165" si="13">IF(OR(G133=0,G133="",G133="Athlete"),"",H133)</f>
        <v/>
      </c>
    </row>
    <row r="134" spans="2:26" x14ac:dyDescent="0.35">
      <c r="T134" s="64" t="str">
        <f t="shared" si="10"/>
        <v/>
      </c>
      <c r="U134" s="64" t="str">
        <f t="shared" si="11"/>
        <v/>
      </c>
      <c r="V134" s="266" t="str">
        <f>IF(OR(D134=0,D134="",D134="Athlete"),"",COUNTIF($D$4:$D134,D134))</f>
        <v/>
      </c>
      <c r="W134" s="266" t="str">
        <f t="shared" si="12"/>
        <v/>
      </c>
      <c r="Z134" s="266" t="str">
        <f t="shared" si="13"/>
        <v/>
      </c>
    </row>
    <row r="135" spans="2:26" x14ac:dyDescent="0.35">
      <c r="T135" s="64" t="str">
        <f t="shared" si="10"/>
        <v/>
      </c>
      <c r="U135" s="64" t="str">
        <f t="shared" si="11"/>
        <v/>
      </c>
      <c r="V135" s="266" t="str">
        <f>IF(OR(D135=0,D135="",D135="Athlete"),"",COUNTIF($D$4:$D135,D135))</f>
        <v/>
      </c>
      <c r="W135" s="266" t="str">
        <f t="shared" si="12"/>
        <v/>
      </c>
      <c r="Z135" s="266" t="str">
        <f t="shared" si="13"/>
        <v/>
      </c>
    </row>
    <row r="136" spans="2:26" x14ac:dyDescent="0.35">
      <c r="T136" s="64" t="str">
        <f t="shared" si="10"/>
        <v/>
      </c>
      <c r="U136" s="64" t="str">
        <f t="shared" si="11"/>
        <v/>
      </c>
      <c r="V136" s="266" t="str">
        <f>IF(OR(D136=0,D136="",D136="Athlete"),"",COUNTIF($D$4:$D136,D136))</f>
        <v/>
      </c>
      <c r="W136" s="266" t="str">
        <f t="shared" si="12"/>
        <v/>
      </c>
      <c r="Z136" s="266" t="str">
        <f t="shared" si="13"/>
        <v/>
      </c>
    </row>
    <row r="137" spans="2:26" x14ac:dyDescent="0.35">
      <c r="T137" s="64" t="str">
        <f t="shared" si="10"/>
        <v/>
      </c>
      <c r="U137" s="64" t="str">
        <f t="shared" si="11"/>
        <v/>
      </c>
      <c r="V137" s="266" t="str">
        <f>IF(OR(D137=0,D137="",D137="Athlete"),"",COUNTIF($D$4:$D137,D137))</f>
        <v/>
      </c>
      <c r="W137" s="266" t="str">
        <f t="shared" si="12"/>
        <v/>
      </c>
      <c r="Z137" s="266" t="str">
        <f t="shared" si="13"/>
        <v/>
      </c>
    </row>
    <row r="138" spans="2:26" x14ac:dyDescent="0.35">
      <c r="T138" s="64" t="str">
        <f t="shared" si="10"/>
        <v/>
      </c>
      <c r="U138" s="64" t="str">
        <f t="shared" si="11"/>
        <v/>
      </c>
      <c r="V138" s="266" t="str">
        <f>IF(OR(D138=0,D138="",D138="Athlete"),"",COUNTIF($D$4:$D138,D138))</f>
        <v/>
      </c>
      <c r="W138" s="266" t="str">
        <f t="shared" si="12"/>
        <v/>
      </c>
      <c r="Z138" s="266" t="str">
        <f t="shared" si="13"/>
        <v/>
      </c>
    </row>
    <row r="139" spans="2:26" x14ac:dyDescent="0.35">
      <c r="T139" s="64" t="str">
        <f t="shared" si="10"/>
        <v/>
      </c>
      <c r="U139" s="64" t="str">
        <f t="shared" si="11"/>
        <v/>
      </c>
      <c r="V139" s="266" t="str">
        <f>IF(OR(D139=0,D139="",D139="Athlete"),"",COUNTIF($D$4:$D139,D139))</f>
        <v/>
      </c>
      <c r="W139" s="266" t="str">
        <f t="shared" si="12"/>
        <v/>
      </c>
      <c r="Z139" s="266" t="str">
        <f t="shared" si="13"/>
        <v/>
      </c>
    </row>
    <row r="140" spans="2:26" x14ac:dyDescent="0.35">
      <c r="T140" s="64" t="str">
        <f t="shared" si="10"/>
        <v/>
      </c>
      <c r="U140" s="64" t="str">
        <f t="shared" si="11"/>
        <v/>
      </c>
      <c r="V140" s="266" t="str">
        <f>IF(OR(D140=0,D140="",D140="Athlete"),"",COUNTIF($D$4:$D140,D140))</f>
        <v/>
      </c>
      <c r="W140" s="266" t="str">
        <f t="shared" si="12"/>
        <v/>
      </c>
      <c r="Z140" s="266" t="str">
        <f t="shared" si="13"/>
        <v/>
      </c>
    </row>
    <row r="141" spans="2:26" x14ac:dyDescent="0.35">
      <c r="T141" s="64" t="str">
        <f t="shared" si="10"/>
        <v/>
      </c>
      <c r="U141" s="64" t="str">
        <f t="shared" si="11"/>
        <v/>
      </c>
      <c r="V141" s="266" t="str">
        <f>IF(OR(D141=0,D141="",D141="Athlete"),"",COUNTIF($D$4:$D141,D141))</f>
        <v/>
      </c>
      <c r="W141" s="266" t="str">
        <f t="shared" si="12"/>
        <v/>
      </c>
      <c r="Z141" s="266" t="str">
        <f t="shared" si="13"/>
        <v/>
      </c>
    </row>
    <row r="142" spans="2:26" x14ac:dyDescent="0.35">
      <c r="T142" s="64" t="str">
        <f t="shared" si="10"/>
        <v/>
      </c>
      <c r="U142" s="64" t="str">
        <f t="shared" si="11"/>
        <v/>
      </c>
      <c r="V142" s="266" t="str">
        <f>IF(OR(D142=0,D142="",D142="Athlete"),"",COUNTIF($D$4:$D142,D142))</f>
        <v/>
      </c>
      <c r="W142" s="266" t="str">
        <f t="shared" si="12"/>
        <v/>
      </c>
      <c r="Z142" s="266" t="str">
        <f t="shared" si="13"/>
        <v/>
      </c>
    </row>
    <row r="143" spans="2:26" x14ac:dyDescent="0.35">
      <c r="T143" s="64" t="str">
        <f t="shared" si="10"/>
        <v/>
      </c>
      <c r="U143" s="64" t="str">
        <f t="shared" si="11"/>
        <v/>
      </c>
      <c r="V143" s="266" t="str">
        <f>IF(OR(D143=0,D143="",D143="Athlete"),"",COUNTIF($D$4:$D143,D143))</f>
        <v/>
      </c>
      <c r="W143" s="266" t="str">
        <f t="shared" si="12"/>
        <v/>
      </c>
      <c r="Z143" s="266" t="str">
        <f t="shared" si="13"/>
        <v/>
      </c>
    </row>
    <row r="144" spans="2:26" x14ac:dyDescent="0.35">
      <c r="T144" s="64" t="str">
        <f t="shared" si="10"/>
        <v/>
      </c>
      <c r="U144" s="64" t="str">
        <f t="shared" si="11"/>
        <v/>
      </c>
      <c r="V144" s="266" t="str">
        <f>IF(OR(D144=0,D144="",D144="Athlete"),"",COUNTIF($D$4:$D144,D144))</f>
        <v/>
      </c>
      <c r="W144" s="266" t="str">
        <f t="shared" si="12"/>
        <v/>
      </c>
      <c r="Z144" s="266" t="str">
        <f t="shared" si="13"/>
        <v/>
      </c>
    </row>
    <row r="145" spans="20:26" x14ac:dyDescent="0.35">
      <c r="T145" s="64" t="str">
        <f t="shared" si="10"/>
        <v/>
      </c>
      <c r="U145" s="64" t="str">
        <f t="shared" si="11"/>
        <v/>
      </c>
      <c r="V145" s="266" t="str">
        <f>IF(OR(D145=0,D145="",D145="Athlete"),"",COUNTIF($D$4:$D145,D145))</f>
        <v/>
      </c>
      <c r="W145" s="266" t="str">
        <f t="shared" si="12"/>
        <v/>
      </c>
      <c r="Z145" s="266" t="str">
        <f t="shared" si="13"/>
        <v/>
      </c>
    </row>
    <row r="146" spans="20:26" x14ac:dyDescent="0.35">
      <c r="T146" s="64" t="str">
        <f t="shared" si="10"/>
        <v/>
      </c>
      <c r="U146" s="64" t="str">
        <f t="shared" si="11"/>
        <v/>
      </c>
      <c r="V146" s="266" t="str">
        <f>IF(OR(D146=0,D146="",D146="Athlete"),"",COUNTIF($D$4:$D146,D146))</f>
        <v/>
      </c>
      <c r="W146" s="266" t="str">
        <f t="shared" si="12"/>
        <v/>
      </c>
      <c r="Z146" s="266" t="str">
        <f t="shared" si="13"/>
        <v/>
      </c>
    </row>
    <row r="147" spans="20:26" x14ac:dyDescent="0.35">
      <c r="T147" s="64" t="str">
        <f t="shared" si="10"/>
        <v/>
      </c>
      <c r="U147" s="64" t="str">
        <f t="shared" si="11"/>
        <v/>
      </c>
      <c r="V147" s="266" t="str">
        <f>IF(OR(D147=0,D147="",D147="Athlete"),"",COUNTIF($D$4:$D147,D147))</f>
        <v/>
      </c>
      <c r="W147" s="266" t="str">
        <f t="shared" si="12"/>
        <v/>
      </c>
      <c r="Z147" s="266" t="str">
        <f t="shared" si="13"/>
        <v/>
      </c>
    </row>
    <row r="148" spans="20:26" x14ac:dyDescent="0.35">
      <c r="T148" s="64" t="str">
        <f t="shared" si="10"/>
        <v/>
      </c>
      <c r="U148" s="64" t="str">
        <f t="shared" si="11"/>
        <v/>
      </c>
      <c r="V148" s="266" t="str">
        <f>IF(OR(D148=0,D148="",D148="Athlete"),"",COUNTIF($D$4:$D148,D148))</f>
        <v/>
      </c>
      <c r="W148" s="266" t="str">
        <f t="shared" si="12"/>
        <v/>
      </c>
      <c r="Z148" s="266" t="str">
        <f t="shared" si="13"/>
        <v/>
      </c>
    </row>
    <row r="149" spans="20:26" x14ac:dyDescent="0.35">
      <c r="T149" s="64" t="str">
        <f t="shared" si="10"/>
        <v/>
      </c>
      <c r="U149" s="64" t="str">
        <f t="shared" si="11"/>
        <v/>
      </c>
      <c r="V149" s="266" t="str">
        <f>IF(OR(D149=0,D149="",D149="Athlete"),"",COUNTIF($D$4:$D149,D149))</f>
        <v/>
      </c>
      <c r="W149" s="266" t="str">
        <f t="shared" si="12"/>
        <v/>
      </c>
      <c r="Z149" s="266" t="str">
        <f t="shared" si="13"/>
        <v/>
      </c>
    </row>
    <row r="150" spans="20:26" x14ac:dyDescent="0.35">
      <c r="T150" s="64" t="str">
        <f t="shared" si="10"/>
        <v/>
      </c>
      <c r="U150" s="64" t="str">
        <f t="shared" si="11"/>
        <v/>
      </c>
      <c r="V150" s="266" t="str">
        <f>IF(OR(D150=0,D150="",D150="Athlete"),"",COUNTIF($D$4:$D150,D150))</f>
        <v/>
      </c>
      <c r="W150" s="266" t="str">
        <f t="shared" si="12"/>
        <v/>
      </c>
      <c r="Z150" s="266" t="str">
        <f t="shared" si="13"/>
        <v/>
      </c>
    </row>
    <row r="151" spans="20:26" x14ac:dyDescent="0.35">
      <c r="T151" s="64" t="str">
        <f t="shared" si="10"/>
        <v/>
      </c>
      <c r="U151" s="64" t="str">
        <f t="shared" si="11"/>
        <v/>
      </c>
      <c r="V151" s="266" t="str">
        <f>IF(OR(D151=0,D151="",D151="Athlete"),"",COUNTIF($D$4:$D151,D151))</f>
        <v/>
      </c>
      <c r="W151" s="266" t="str">
        <f t="shared" si="12"/>
        <v/>
      </c>
      <c r="Z151" s="266" t="str">
        <f t="shared" si="13"/>
        <v/>
      </c>
    </row>
    <row r="152" spans="20:26" x14ac:dyDescent="0.35">
      <c r="T152" s="64" t="str">
        <f t="shared" si="10"/>
        <v/>
      </c>
      <c r="U152" s="64" t="str">
        <f t="shared" si="11"/>
        <v/>
      </c>
      <c r="V152" s="266" t="str">
        <f>IF(OR(D152=0,D152="",D152="Athlete"),"",COUNTIF($D$4:$D152,D152))</f>
        <v/>
      </c>
      <c r="W152" s="266" t="str">
        <f t="shared" si="12"/>
        <v/>
      </c>
      <c r="Z152" s="266" t="str">
        <f t="shared" si="13"/>
        <v/>
      </c>
    </row>
    <row r="153" spans="20:26" x14ac:dyDescent="0.35">
      <c r="T153" s="64" t="str">
        <f t="shared" si="10"/>
        <v/>
      </c>
      <c r="U153" s="64" t="str">
        <f t="shared" si="11"/>
        <v/>
      </c>
      <c r="V153" s="266" t="str">
        <f>IF(OR(D153=0,D153="",D153="Athlete"),"",COUNTIF($D$4:$D153,D153))</f>
        <v/>
      </c>
      <c r="W153" s="266" t="str">
        <f t="shared" si="12"/>
        <v/>
      </c>
      <c r="Z153" s="266" t="str">
        <f t="shared" si="13"/>
        <v/>
      </c>
    </row>
    <row r="154" spans="20:26" x14ac:dyDescent="0.35">
      <c r="T154" s="64" t="str">
        <f t="shared" si="10"/>
        <v/>
      </c>
      <c r="U154" s="64" t="str">
        <f t="shared" si="11"/>
        <v/>
      </c>
      <c r="V154" s="266" t="str">
        <f>IF(OR(D154=0,D154="",D154="Athlete"),"",COUNTIF($D$4:$D154,D154))</f>
        <v/>
      </c>
      <c r="W154" s="266" t="str">
        <f t="shared" si="12"/>
        <v/>
      </c>
      <c r="Z154" s="266" t="str">
        <f t="shared" si="13"/>
        <v/>
      </c>
    </row>
    <row r="155" spans="20:26" x14ac:dyDescent="0.35">
      <c r="T155" s="64" t="str">
        <f t="shared" si="10"/>
        <v/>
      </c>
      <c r="U155" s="64" t="str">
        <f t="shared" si="11"/>
        <v/>
      </c>
      <c r="V155" s="266" t="str">
        <f>IF(OR(D155=0,D155="",D155="Athlete"),"",COUNTIF($D$4:$D155,D155))</f>
        <v/>
      </c>
      <c r="W155" s="266" t="str">
        <f t="shared" si="12"/>
        <v/>
      </c>
      <c r="Z155" s="266" t="str">
        <f t="shared" si="13"/>
        <v/>
      </c>
    </row>
    <row r="156" spans="20:26" x14ac:dyDescent="0.35">
      <c r="T156" s="64" t="str">
        <f t="shared" si="10"/>
        <v/>
      </c>
      <c r="U156" s="64" t="str">
        <f t="shared" si="11"/>
        <v/>
      </c>
      <c r="V156" s="266" t="str">
        <f>IF(OR(D156=0,D156="",D156="Athlete"),"",COUNTIF($D$4:$D156,D156))</f>
        <v/>
      </c>
      <c r="W156" s="266" t="str">
        <f t="shared" si="12"/>
        <v/>
      </c>
      <c r="Z156" s="266" t="str">
        <f t="shared" si="13"/>
        <v/>
      </c>
    </row>
    <row r="157" spans="20:26" x14ac:dyDescent="0.35">
      <c r="T157" s="64" t="str">
        <f t="shared" si="10"/>
        <v/>
      </c>
      <c r="U157" s="64" t="str">
        <f t="shared" si="11"/>
        <v/>
      </c>
      <c r="V157" s="266" t="str">
        <f>IF(OR(D157=0,D157="",D157="Athlete"),"",COUNTIF($D$4:$D157,D157))</f>
        <v/>
      </c>
      <c r="W157" s="266" t="str">
        <f t="shared" si="12"/>
        <v/>
      </c>
      <c r="Z157" s="266" t="str">
        <f t="shared" si="13"/>
        <v/>
      </c>
    </row>
    <row r="158" spans="20:26" x14ac:dyDescent="0.35">
      <c r="T158" s="64" t="str">
        <f t="shared" si="10"/>
        <v/>
      </c>
      <c r="U158" s="64" t="str">
        <f t="shared" si="11"/>
        <v/>
      </c>
      <c r="V158" s="266" t="str">
        <f>IF(OR(D158=0,D158="",D158="Athlete"),"",COUNTIF($D$4:$D158,D158))</f>
        <v/>
      </c>
      <c r="W158" s="266" t="str">
        <f t="shared" si="12"/>
        <v/>
      </c>
      <c r="Z158" s="266" t="str">
        <f t="shared" si="13"/>
        <v/>
      </c>
    </row>
    <row r="159" spans="20:26" x14ac:dyDescent="0.35">
      <c r="T159" s="64" t="str">
        <f t="shared" si="10"/>
        <v/>
      </c>
      <c r="U159" s="64" t="str">
        <f t="shared" si="11"/>
        <v/>
      </c>
      <c r="V159" s="266" t="str">
        <f>IF(OR(D159=0,D159="",D159="Athlete"),"",COUNTIF($D$4:$D159,D159))</f>
        <v/>
      </c>
      <c r="W159" s="266" t="str">
        <f t="shared" si="12"/>
        <v/>
      </c>
      <c r="Z159" s="266" t="str">
        <f t="shared" si="13"/>
        <v/>
      </c>
    </row>
    <row r="160" spans="20:26" x14ac:dyDescent="0.35">
      <c r="T160" s="64" t="str">
        <f t="shared" si="10"/>
        <v/>
      </c>
      <c r="U160" s="64" t="str">
        <f t="shared" si="11"/>
        <v/>
      </c>
      <c r="V160" s="266" t="str">
        <f>IF(OR(D160=0,D160="",D160="Athlete"),"",COUNTIF($D$4:$D160,D160))</f>
        <v/>
      </c>
      <c r="W160" s="266" t="str">
        <f t="shared" si="12"/>
        <v/>
      </c>
      <c r="Z160" s="266" t="str">
        <f t="shared" si="13"/>
        <v/>
      </c>
    </row>
    <row r="161" spans="20:26" x14ac:dyDescent="0.35">
      <c r="T161" s="64" t="str">
        <f t="shared" si="10"/>
        <v/>
      </c>
      <c r="U161" s="64" t="str">
        <f t="shared" si="11"/>
        <v/>
      </c>
      <c r="V161" s="266" t="str">
        <f>IF(OR(D161=0,D161="",D161="Athlete"),"",COUNTIF($D$4:$D161,D161))</f>
        <v/>
      </c>
      <c r="W161" s="266" t="str">
        <f t="shared" si="12"/>
        <v/>
      </c>
      <c r="Z161" s="266" t="str">
        <f t="shared" si="13"/>
        <v/>
      </c>
    </row>
    <row r="162" spans="20:26" x14ac:dyDescent="0.35">
      <c r="T162" s="64" t="str">
        <f t="shared" si="10"/>
        <v/>
      </c>
      <c r="U162" s="64" t="str">
        <f t="shared" si="11"/>
        <v/>
      </c>
      <c r="V162" s="266" t="str">
        <f>IF(OR(D162=0,D162="",D162="Athlete"),"",COUNTIF($D$4:$D162,D162))</f>
        <v/>
      </c>
      <c r="W162" s="266" t="str">
        <f t="shared" si="12"/>
        <v/>
      </c>
      <c r="Z162" s="266" t="str">
        <f t="shared" si="13"/>
        <v/>
      </c>
    </row>
    <row r="163" spans="20:26" x14ac:dyDescent="0.35">
      <c r="T163" s="64" t="str">
        <f t="shared" si="10"/>
        <v/>
      </c>
      <c r="U163" s="64" t="str">
        <f t="shared" si="11"/>
        <v/>
      </c>
      <c r="V163" s="266" t="str">
        <f>IF(OR(D163=0,D163="",D163="Athlete"),"",COUNTIF($D$4:$D163,D163))</f>
        <v/>
      </c>
      <c r="W163" s="266" t="str">
        <f t="shared" si="12"/>
        <v/>
      </c>
      <c r="Z163" s="266" t="str">
        <f t="shared" si="13"/>
        <v/>
      </c>
    </row>
    <row r="164" spans="20:26" x14ac:dyDescent="0.35">
      <c r="T164" s="64" t="str">
        <f t="shared" si="10"/>
        <v/>
      </c>
      <c r="U164" s="64" t="str">
        <f t="shared" si="11"/>
        <v/>
      </c>
      <c r="V164" s="266" t="str">
        <f>IF(OR(D164=0,D164="",D164="Athlete"),"",COUNTIF($D$4:$D164,D164))</f>
        <v/>
      </c>
      <c r="W164" s="266" t="str">
        <f t="shared" si="12"/>
        <v/>
      </c>
      <c r="Z164" s="266" t="str">
        <f t="shared" si="13"/>
        <v/>
      </c>
    </row>
    <row r="165" spans="20:26" x14ac:dyDescent="0.35">
      <c r="T165" s="64" t="str">
        <f t="shared" si="10"/>
        <v/>
      </c>
      <c r="U165" s="64" t="str">
        <f t="shared" si="11"/>
        <v/>
      </c>
      <c r="V165" s="266" t="str">
        <f>IF(OR(D165=0,D165="",D165="Athlete"),"",COUNTIF($D$4:$D165,D165))</f>
        <v/>
      </c>
      <c r="W165" s="266" t="str">
        <f t="shared" si="12"/>
        <v/>
      </c>
      <c r="Z165" s="266" t="str">
        <f t="shared" si="13"/>
        <v/>
      </c>
    </row>
    <row r="166" spans="20:26" x14ac:dyDescent="0.35">
      <c r="T166" s="64" t="str">
        <f t="shared" si="10"/>
        <v/>
      </c>
      <c r="U166" s="64" t="str">
        <f t="shared" si="11"/>
        <v/>
      </c>
      <c r="V166" s="266" t="str">
        <f>IF(OR(D166=0,D166="",D166="Athlete"),"",COUNTIF($D$4:$D166,D166))</f>
        <v/>
      </c>
    </row>
    <row r="167" spans="20:26" x14ac:dyDescent="0.35">
      <c r="T167" s="64" t="str">
        <f t="shared" si="10"/>
        <v/>
      </c>
      <c r="U167" s="64" t="str">
        <f t="shared" si="11"/>
        <v/>
      </c>
      <c r="V167" s="266" t="str">
        <f>IF(OR(D167=0,D167="",D167="Athlete"),"",COUNTIF($D$4:$D167,D167))</f>
        <v/>
      </c>
    </row>
    <row r="168" spans="20:26" x14ac:dyDescent="0.35">
      <c r="T168" s="64" t="str">
        <f t="shared" si="10"/>
        <v/>
      </c>
      <c r="U168" s="64" t="str">
        <f t="shared" si="11"/>
        <v/>
      </c>
    </row>
    <row r="169" spans="20:26" x14ac:dyDescent="0.35">
      <c r="T169" s="64" t="str">
        <f t="shared" si="10"/>
        <v/>
      </c>
      <c r="U169" s="64" t="str">
        <f t="shared" si="11"/>
        <v/>
      </c>
    </row>
    <row r="170" spans="20:26" x14ac:dyDescent="0.35">
      <c r="T170" s="64" t="str">
        <f t="shared" si="10"/>
        <v/>
      </c>
      <c r="U170" s="64" t="str">
        <f t="shared" si="11"/>
        <v/>
      </c>
    </row>
    <row r="171" spans="20:26" x14ac:dyDescent="0.35">
      <c r="T171" s="64" t="str">
        <f t="shared" si="10"/>
        <v/>
      </c>
      <c r="U171" s="64" t="str">
        <f t="shared" si="11"/>
        <v/>
      </c>
    </row>
    <row r="172" spans="20:26" x14ac:dyDescent="0.35">
      <c r="T172" s="64" t="str">
        <f t="shared" si="10"/>
        <v/>
      </c>
      <c r="U172" s="64" t="str">
        <f t="shared" si="11"/>
        <v/>
      </c>
    </row>
    <row r="173" spans="20:26" x14ac:dyDescent="0.35">
      <c r="T173" s="64" t="str">
        <f t="shared" si="10"/>
        <v/>
      </c>
      <c r="U173" s="64" t="str">
        <f t="shared" si="11"/>
        <v/>
      </c>
    </row>
    <row r="174" spans="20:26" x14ac:dyDescent="0.35">
      <c r="T174" s="64" t="str">
        <f t="shared" si="10"/>
        <v/>
      </c>
      <c r="U174" s="64" t="str">
        <f t="shared" si="11"/>
        <v/>
      </c>
    </row>
    <row r="175" spans="20:26" x14ac:dyDescent="0.35">
      <c r="T175" s="64" t="str">
        <f t="shared" si="10"/>
        <v/>
      </c>
      <c r="U175" s="64" t="str">
        <f t="shared" si="11"/>
        <v/>
      </c>
    </row>
    <row r="176" spans="20:26" x14ac:dyDescent="0.35">
      <c r="T176" s="64" t="str">
        <f t="shared" si="10"/>
        <v/>
      </c>
      <c r="U176" s="64" t="str">
        <f t="shared" si="11"/>
        <v/>
      </c>
    </row>
    <row r="177" spans="4:22" x14ac:dyDescent="0.35">
      <c r="T177" s="64" t="str">
        <f t="shared" si="10"/>
        <v/>
      </c>
      <c r="U177" s="64" t="str">
        <f t="shared" si="11"/>
        <v/>
      </c>
    </row>
    <row r="178" spans="4:22" x14ac:dyDescent="0.35">
      <c r="T178" s="64" t="str">
        <f t="shared" si="10"/>
        <v/>
      </c>
      <c r="U178" s="64" t="str">
        <f t="shared" si="11"/>
        <v/>
      </c>
    </row>
    <row r="179" spans="4:22" x14ac:dyDescent="0.35">
      <c r="T179" s="64" t="str">
        <f t="shared" si="10"/>
        <v/>
      </c>
      <c r="U179" s="64" t="str">
        <f t="shared" si="11"/>
        <v/>
      </c>
    </row>
    <row r="180" spans="4:22" x14ac:dyDescent="0.35">
      <c r="T180" s="64" t="str">
        <f t="shared" si="10"/>
        <v/>
      </c>
      <c r="U180" s="64" t="str">
        <f t="shared" si="11"/>
        <v/>
      </c>
    </row>
    <row r="181" spans="4:22" x14ac:dyDescent="0.35">
      <c r="T181" s="64" t="str">
        <f t="shared" si="10"/>
        <v/>
      </c>
      <c r="U181" s="64" t="str">
        <f t="shared" si="11"/>
        <v/>
      </c>
    </row>
    <row r="182" spans="4:22" x14ac:dyDescent="0.35">
      <c r="T182" s="64" t="str">
        <f t="shared" si="10"/>
        <v/>
      </c>
      <c r="U182" s="64" t="str">
        <f t="shared" si="11"/>
        <v/>
      </c>
    </row>
    <row r="183" spans="4:22" x14ac:dyDescent="0.35">
      <c r="T183" s="64" t="str">
        <f t="shared" si="10"/>
        <v/>
      </c>
      <c r="U183" s="64" t="str">
        <f t="shared" si="11"/>
        <v/>
      </c>
    </row>
    <row r="184" spans="4:22" x14ac:dyDescent="0.35">
      <c r="T184" s="64" t="str">
        <f t="shared" si="10"/>
        <v/>
      </c>
      <c r="U184" s="64" t="str">
        <f t="shared" si="11"/>
        <v/>
      </c>
    </row>
    <row r="185" spans="4:22" x14ac:dyDescent="0.35">
      <c r="T185" s="64" t="str">
        <f t="shared" si="10"/>
        <v/>
      </c>
      <c r="U185" s="64" t="str">
        <f t="shared" si="11"/>
        <v/>
      </c>
    </row>
    <row r="186" spans="4:22" x14ac:dyDescent="0.35">
      <c r="T186" s="64" t="str">
        <f t="shared" si="10"/>
        <v/>
      </c>
      <c r="U186" s="64" t="str">
        <f t="shared" si="11"/>
        <v/>
      </c>
    </row>
    <row r="187" spans="4:22" x14ac:dyDescent="0.35">
      <c r="T187" s="64" t="str">
        <f t="shared" si="10"/>
        <v/>
      </c>
      <c r="U187" s="64" t="str">
        <f t="shared" si="11"/>
        <v/>
      </c>
    </row>
    <row r="188" spans="4:22" x14ac:dyDescent="0.35">
      <c r="T188" s="64" t="str">
        <f t="shared" si="10"/>
        <v/>
      </c>
      <c r="U188" s="64" t="str">
        <f t="shared" si="11"/>
        <v/>
      </c>
      <c r="V188" s="266" t="str">
        <f>IF(OR(D188=0,D188="",D188="Athlete"),"",COUNTIF($D$4:$D188,D188))</f>
        <v/>
      </c>
    </row>
    <row r="189" spans="4:22" x14ac:dyDescent="0.35">
      <c r="T189" s="64" t="str">
        <f t="shared" si="10"/>
        <v/>
      </c>
      <c r="U189" s="64" t="str">
        <f t="shared" si="11"/>
        <v/>
      </c>
      <c r="V189" s="266" t="str">
        <f>IF(OR(D189=0,D189="",D189="Athlete"),"",COUNTIF($D$4:$D189,D189))</f>
        <v/>
      </c>
    </row>
    <row r="190" spans="4:22" x14ac:dyDescent="0.35">
      <c r="T190" s="64" t="str">
        <f t="shared" si="10"/>
        <v/>
      </c>
      <c r="U190" s="64" t="str">
        <f t="shared" si="11"/>
        <v/>
      </c>
      <c r="V190" s="266" t="str">
        <f>IF(OR(D190=0,D190="",D190="Athlete"),"",COUNTIF($D$4:$D190,D190))</f>
        <v/>
      </c>
    </row>
    <row r="191" spans="4:22" hidden="1" x14ac:dyDescent="0.35">
      <c r="D191" s="85" t="str">
        <f ca="1">K4</f>
        <v>Oscar FINCH</v>
      </c>
      <c r="E191" s="85" t="str">
        <f ca="1">L4</f>
        <v>Leigh</v>
      </c>
      <c r="T191" s="64">
        <f t="shared" ca="1" si="10"/>
        <v>3</v>
      </c>
      <c r="U191" s="64" t="str">
        <f t="shared" si="11"/>
        <v/>
      </c>
      <c r="V191" s="266">
        <f ca="1">IF(OR(D191=0,D191="",D191="Athlete"),"",COUNTIF($D$4:$D191,D191))</f>
        <v>3</v>
      </c>
    </row>
    <row r="192" spans="4:22" hidden="1" x14ac:dyDescent="0.35">
      <c r="D192" s="85" t="str">
        <f t="shared" ref="D192:E192" ca="1" si="14">K5</f>
        <v>Theo MORGAN</v>
      </c>
      <c r="E192" s="85" t="str">
        <f t="shared" ca="1" si="14"/>
        <v>Wigan</v>
      </c>
      <c r="T192" s="64">
        <f t="shared" ca="1" si="10"/>
        <v>2</v>
      </c>
      <c r="U192" s="64" t="str">
        <f t="shared" si="11"/>
        <v/>
      </c>
      <c r="V192" s="266">
        <f ca="1">IF(OR(D192=0,D192="",D192="Athlete"),"",COUNTIF($D$4:$D192,D192))</f>
        <v>2</v>
      </c>
    </row>
    <row r="193" spans="4:22" hidden="1" x14ac:dyDescent="0.35">
      <c r="D193" s="85" t="str">
        <f t="shared" ref="D193:E193" ca="1" si="15">K6</f>
        <v>Ewan DAVIES</v>
      </c>
      <c r="E193" s="85" t="str">
        <f t="shared" ca="1" si="15"/>
        <v>C&amp;N</v>
      </c>
      <c r="T193" s="64">
        <f t="shared" ca="1" si="10"/>
        <v>3</v>
      </c>
      <c r="U193" s="64" t="str">
        <f t="shared" si="11"/>
        <v/>
      </c>
      <c r="V193" s="266">
        <f ca="1">IF(OR(D193=0,D193="",D193="Athlete"),"",COUNTIF($D$4:$D193,D193))</f>
        <v>1</v>
      </c>
    </row>
    <row r="194" spans="4:22" hidden="1" x14ac:dyDescent="0.35">
      <c r="D194" s="85" t="str">
        <f t="shared" ref="D194:E194" ca="1" si="16">K7</f>
        <v>James NELSON</v>
      </c>
      <c r="E194" s="85" t="str">
        <f t="shared" ca="1" si="16"/>
        <v>ECHT</v>
      </c>
      <c r="T194" s="64">
        <f t="shared" ca="1" si="10"/>
        <v>3</v>
      </c>
      <c r="U194" s="64" t="str">
        <f t="shared" si="11"/>
        <v/>
      </c>
      <c r="V194" s="266">
        <f ca="1">IF(OR(D194=0,D194="",D194="Athlete"),"",COUNTIF($D$4:$D194,D194))</f>
        <v>1</v>
      </c>
    </row>
    <row r="195" spans="4:22" hidden="1" x14ac:dyDescent="0.35">
      <c r="D195" s="85" t="str">
        <f t="shared" ref="D195:E195" ca="1" si="17">K8</f>
        <v/>
      </c>
      <c r="E195" s="85" t="str">
        <f t="shared" ca="1" si="17"/>
        <v/>
      </c>
      <c r="T195" s="64" t="str">
        <f t="shared" ca="1" si="10"/>
        <v/>
      </c>
      <c r="U195" s="64" t="str">
        <f t="shared" si="11"/>
        <v/>
      </c>
      <c r="V195" s="266" t="str">
        <f ca="1">IF(OR(D195=0,D195="",D195="Athlete"),"",COUNTIF($D$4:$D195,D195))</f>
        <v/>
      </c>
    </row>
    <row r="196" spans="4:22" hidden="1" x14ac:dyDescent="0.35">
      <c r="D196" s="85" t="str">
        <f t="shared" ref="D196:E196" ca="1" si="18">K9</f>
        <v/>
      </c>
      <c r="E196" s="85" t="str">
        <f t="shared" ca="1" si="18"/>
        <v/>
      </c>
      <c r="T196" s="64" t="str">
        <f t="shared" ca="1" si="10"/>
        <v/>
      </c>
      <c r="U196" s="64" t="str">
        <f t="shared" si="11"/>
        <v/>
      </c>
      <c r="V196" s="266" t="str">
        <f ca="1">IF(OR(D196=0,D196="",D196="Athlete"),"",COUNTIF($D$4:$D196,D196))</f>
        <v/>
      </c>
    </row>
    <row r="197" spans="4:22" hidden="1" x14ac:dyDescent="0.35">
      <c r="D197" s="85" t="str">
        <f t="shared" ref="D197:E197" ca="1" si="19">K10</f>
        <v/>
      </c>
      <c r="E197" s="85" t="str">
        <f t="shared" ca="1" si="19"/>
        <v/>
      </c>
      <c r="T197" s="64" t="str">
        <f t="shared" ref="T197:T260" ca="1" si="20">IF(OR(D197=0,D197="",D197="Athlete"),"",COUNTIF($D$4:$D$352,D197))</f>
        <v/>
      </c>
      <c r="U197" s="64" t="str">
        <f t="shared" ref="U197:U260" si="21">IF(OR(K197=0,K197="",K197="Athlete"),"",COUNTIF($D$4:$D$352,K197))</f>
        <v/>
      </c>
      <c r="V197" s="266" t="str">
        <f ca="1">IF(OR(D197=0,D197="",D197="Athlete"),"",COUNTIF($D$4:$D197,D197))</f>
        <v/>
      </c>
    </row>
    <row r="198" spans="4:22" hidden="1" x14ac:dyDescent="0.35">
      <c r="D198" s="85" t="str">
        <f t="shared" ref="D198:E198" ca="1" si="22">K11</f>
        <v/>
      </c>
      <c r="E198" s="85" t="str">
        <f t="shared" ca="1" si="22"/>
        <v/>
      </c>
      <c r="T198" s="64" t="str">
        <f t="shared" ca="1" si="20"/>
        <v/>
      </c>
      <c r="U198" s="64" t="str">
        <f t="shared" si="21"/>
        <v/>
      </c>
      <c r="V198" s="266" t="str">
        <f ca="1">IF(OR(D198=0,D198="",D198="Athlete"),"",COUNTIF($D$4:$D198,D198))</f>
        <v/>
      </c>
    </row>
    <row r="199" spans="4:22" hidden="1" x14ac:dyDescent="0.35">
      <c r="D199" s="85">
        <f t="shared" ref="D199:E199" si="23">K12</f>
        <v>0</v>
      </c>
      <c r="E199" s="85">
        <f t="shared" si="23"/>
        <v>0</v>
      </c>
      <c r="T199" s="64" t="str">
        <f t="shared" si="20"/>
        <v/>
      </c>
      <c r="U199" s="64" t="str">
        <f t="shared" si="21"/>
        <v/>
      </c>
      <c r="V199" s="266" t="str">
        <f>IF(OR(D199=0,D199="",D199="Athlete"),"",COUNTIF($D$4:$D199,D199))</f>
        <v/>
      </c>
    </row>
    <row r="200" spans="4:22" hidden="1" x14ac:dyDescent="0.35">
      <c r="D200" s="85">
        <f t="shared" ref="D200:E200" si="24">K13</f>
        <v>0</v>
      </c>
      <c r="E200" s="85" t="str">
        <f t="shared" si="24"/>
        <v>Wind</v>
      </c>
      <c r="T200" s="64" t="str">
        <f t="shared" si="20"/>
        <v/>
      </c>
      <c r="U200" s="64" t="str">
        <f t="shared" si="21"/>
        <v/>
      </c>
      <c r="V200" s="266" t="str">
        <f>IF(OR(D200=0,D200="",D200="Athlete"),"",COUNTIF($D$4:$D200,D200))</f>
        <v/>
      </c>
    </row>
    <row r="201" spans="4:22" hidden="1" x14ac:dyDescent="0.35">
      <c r="D201" s="85" t="str">
        <f t="shared" ref="D201:E201" ca="1" si="25">K14</f>
        <v>Athlete</v>
      </c>
      <c r="E201" s="85" t="str">
        <f t="shared" ca="1" si="25"/>
        <v>Club</v>
      </c>
      <c r="T201" s="64" t="str">
        <f t="shared" ca="1" si="20"/>
        <v/>
      </c>
      <c r="U201" s="64" t="str">
        <f t="shared" si="21"/>
        <v/>
      </c>
      <c r="V201" s="266" t="str">
        <f ca="1">IF(OR(D201=0,D201="",D201="Athlete"),"",COUNTIF($D$4:$D201,D201))</f>
        <v/>
      </c>
    </row>
    <row r="202" spans="4:22" hidden="1" x14ac:dyDescent="0.35">
      <c r="D202" s="85" t="str">
        <f t="shared" ref="D202:E202" ca="1" si="26">K15</f>
        <v/>
      </c>
      <c r="E202" s="85" t="str">
        <f t="shared" ca="1" si="26"/>
        <v/>
      </c>
      <c r="T202" s="64" t="str">
        <f t="shared" ca="1" si="20"/>
        <v/>
      </c>
      <c r="U202" s="64" t="str">
        <f t="shared" si="21"/>
        <v/>
      </c>
      <c r="V202" s="266" t="str">
        <f ca="1">IF(OR(D202=0,D202="",D202="Athlete"),"",COUNTIF($D$4:$D202,D202))</f>
        <v/>
      </c>
    </row>
    <row r="203" spans="4:22" hidden="1" x14ac:dyDescent="0.35">
      <c r="D203" s="85" t="str">
        <f t="shared" ref="D203:E203" ca="1" si="27">K16</f>
        <v/>
      </c>
      <c r="E203" s="85" t="str">
        <f t="shared" ca="1" si="27"/>
        <v/>
      </c>
      <c r="T203" s="64" t="str">
        <f t="shared" ca="1" si="20"/>
        <v/>
      </c>
      <c r="U203" s="64" t="str">
        <f t="shared" si="21"/>
        <v/>
      </c>
      <c r="V203" s="266" t="str">
        <f ca="1">IF(OR(D203=0,D203="",D203="Athlete"),"",COUNTIF($D$4:$D203,D203))</f>
        <v/>
      </c>
    </row>
    <row r="204" spans="4:22" hidden="1" x14ac:dyDescent="0.35">
      <c r="D204" s="85" t="str">
        <f t="shared" ref="D204:E204" ca="1" si="28">K17</f>
        <v/>
      </c>
      <c r="E204" s="85" t="str">
        <f t="shared" ca="1" si="28"/>
        <v/>
      </c>
      <c r="T204" s="64" t="str">
        <f t="shared" ca="1" si="20"/>
        <v/>
      </c>
      <c r="U204" s="64" t="str">
        <f t="shared" si="21"/>
        <v/>
      </c>
      <c r="V204" s="266" t="str">
        <f ca="1">IF(OR(D204=0,D204="",D204="Athlete"),"",COUNTIF($D$4:$D204,D204))</f>
        <v/>
      </c>
    </row>
    <row r="205" spans="4:22" hidden="1" x14ac:dyDescent="0.35">
      <c r="D205" s="85" t="str">
        <f t="shared" ref="D205:E205" ca="1" si="29">K18</f>
        <v/>
      </c>
      <c r="E205" s="85" t="str">
        <f t="shared" ca="1" si="29"/>
        <v/>
      </c>
      <c r="T205" s="64" t="str">
        <f t="shared" ca="1" si="20"/>
        <v/>
      </c>
      <c r="U205" s="64" t="str">
        <f t="shared" si="21"/>
        <v/>
      </c>
      <c r="V205" s="266" t="str">
        <f ca="1">IF(OR(D205=0,D205="",D205="Athlete"),"",COUNTIF($D$4:$D205,D205))</f>
        <v/>
      </c>
    </row>
    <row r="206" spans="4:22" hidden="1" x14ac:dyDescent="0.35">
      <c r="D206" s="85" t="str">
        <f t="shared" ref="D206:E206" ca="1" si="30">K19</f>
        <v/>
      </c>
      <c r="E206" s="85" t="str">
        <f t="shared" ca="1" si="30"/>
        <v/>
      </c>
      <c r="T206" s="64" t="str">
        <f t="shared" ca="1" si="20"/>
        <v/>
      </c>
      <c r="U206" s="64" t="str">
        <f t="shared" si="21"/>
        <v/>
      </c>
      <c r="V206" s="266" t="str">
        <f ca="1">IF(OR(D206=0,D206="",D206="Athlete"),"",COUNTIF($D$4:$D206,D206))</f>
        <v/>
      </c>
    </row>
    <row r="207" spans="4:22" hidden="1" x14ac:dyDescent="0.35">
      <c r="D207" s="85" t="str">
        <f t="shared" ref="D207:E207" ca="1" si="31">K20</f>
        <v/>
      </c>
      <c r="E207" s="85" t="str">
        <f t="shared" ca="1" si="31"/>
        <v/>
      </c>
      <c r="T207" s="64" t="str">
        <f t="shared" ca="1" si="20"/>
        <v/>
      </c>
      <c r="U207" s="64" t="str">
        <f t="shared" si="21"/>
        <v/>
      </c>
      <c r="V207" s="266" t="str">
        <f ca="1">IF(OR(D207=0,D207="",D207="Athlete"),"",COUNTIF($D$4:$D207,D207))</f>
        <v/>
      </c>
    </row>
    <row r="208" spans="4:22" hidden="1" x14ac:dyDescent="0.35">
      <c r="D208" s="85" t="str">
        <f t="shared" ref="D208:E208" ca="1" si="32">K21</f>
        <v/>
      </c>
      <c r="E208" s="85" t="str">
        <f t="shared" ca="1" si="32"/>
        <v/>
      </c>
      <c r="T208" s="64" t="str">
        <f t="shared" ca="1" si="20"/>
        <v/>
      </c>
      <c r="U208" s="64" t="str">
        <f t="shared" si="21"/>
        <v/>
      </c>
      <c r="V208" s="266" t="str">
        <f ca="1">IF(OR(D208=0,D208="",D208="Athlete"),"",COUNTIF($D$4:$D208,D208))</f>
        <v/>
      </c>
    </row>
    <row r="209" spans="4:22" hidden="1" x14ac:dyDescent="0.35">
      <c r="D209" s="85" t="str">
        <f t="shared" ref="D209:E209" ca="1" si="33">K22</f>
        <v/>
      </c>
      <c r="E209" s="85" t="str">
        <f t="shared" ca="1" si="33"/>
        <v/>
      </c>
      <c r="T209" s="64" t="str">
        <f t="shared" ca="1" si="20"/>
        <v/>
      </c>
      <c r="U209" s="64" t="str">
        <f t="shared" si="21"/>
        <v/>
      </c>
      <c r="V209" s="266" t="str">
        <f ca="1">IF(OR(D209=0,D209="",D209="Athlete"),"",COUNTIF($D$4:$D209,D209))</f>
        <v/>
      </c>
    </row>
    <row r="210" spans="4:22" hidden="1" x14ac:dyDescent="0.35">
      <c r="D210" s="85">
        <f t="shared" ref="D210:E210" si="34">K23</f>
        <v>0</v>
      </c>
      <c r="E210" s="85">
        <f t="shared" si="34"/>
        <v>0</v>
      </c>
      <c r="T210" s="64" t="str">
        <f t="shared" si="20"/>
        <v/>
      </c>
      <c r="U210" s="64" t="str">
        <f t="shared" si="21"/>
        <v/>
      </c>
      <c r="V210" s="266" t="str">
        <f>IF(OR(D210=0,D210="",D210="Athlete"),"",COUNTIF($D$4:$D210,D210))</f>
        <v/>
      </c>
    </row>
    <row r="211" spans="4:22" hidden="1" x14ac:dyDescent="0.35">
      <c r="D211" s="85">
        <f t="shared" ref="D211:E211" si="35">K24</f>
        <v>0</v>
      </c>
      <c r="E211" s="85" t="str">
        <f t="shared" si="35"/>
        <v>Wind</v>
      </c>
      <c r="T211" s="64" t="str">
        <f t="shared" si="20"/>
        <v/>
      </c>
      <c r="U211" s="64" t="str">
        <f t="shared" si="21"/>
        <v/>
      </c>
      <c r="V211" s="266" t="str">
        <f>IF(OR(D211=0,D211="",D211="Athlete"),"",COUNTIF($D$4:$D211,D211))</f>
        <v/>
      </c>
    </row>
    <row r="212" spans="4:22" hidden="1" x14ac:dyDescent="0.35">
      <c r="D212" s="85" t="str">
        <f t="shared" ref="D212:E212" ca="1" si="36">K25</f>
        <v>Athlete</v>
      </c>
      <c r="E212" s="85" t="str">
        <f t="shared" ca="1" si="36"/>
        <v>Club</v>
      </c>
      <c r="T212" s="64" t="str">
        <f t="shared" ca="1" si="20"/>
        <v/>
      </c>
      <c r="U212" s="64" t="str">
        <f t="shared" si="21"/>
        <v/>
      </c>
      <c r="V212" s="266" t="str">
        <f ca="1">IF(OR(D212=0,D212="",D212="Athlete"),"",COUNTIF($D$4:$D212,D212))</f>
        <v/>
      </c>
    </row>
    <row r="213" spans="4:22" hidden="1" x14ac:dyDescent="0.35">
      <c r="D213" s="85" t="str">
        <f t="shared" ref="D213:E213" ca="1" si="37">K26</f>
        <v>Jesse WAI IP CHAN</v>
      </c>
      <c r="E213" s="85" t="str">
        <f t="shared" ca="1" si="37"/>
        <v>Leigh</v>
      </c>
      <c r="T213" s="64">
        <f t="shared" ca="1" si="20"/>
        <v>1</v>
      </c>
      <c r="U213" s="64" t="str">
        <f t="shared" si="21"/>
        <v/>
      </c>
      <c r="V213" s="266">
        <f ca="1">IF(OR(D213=0,D213="",D213="Athlete"),"",COUNTIF($D$4:$D213,D213))</f>
        <v>1</v>
      </c>
    </row>
    <row r="214" spans="4:22" hidden="1" x14ac:dyDescent="0.35">
      <c r="D214" s="85" t="str">
        <f t="shared" ref="D214:E214" ca="1" si="38">K27</f>
        <v>James DARBY</v>
      </c>
      <c r="E214" s="85" t="str">
        <f t="shared" ca="1" si="38"/>
        <v>Wigan</v>
      </c>
      <c r="T214" s="64">
        <f t="shared" ca="1" si="20"/>
        <v>2</v>
      </c>
      <c r="U214" s="64" t="str">
        <f t="shared" si="21"/>
        <v/>
      </c>
      <c r="V214" s="266">
        <f ca="1">IF(OR(D214=0,D214="",D214="Athlete"),"",COUNTIF($D$4:$D214,D214))</f>
        <v>1</v>
      </c>
    </row>
    <row r="215" spans="4:22" hidden="1" x14ac:dyDescent="0.35">
      <c r="D215" s="85" t="str">
        <f t="shared" ref="D215:E215" ca="1" si="39">K28</f>
        <v>Gabriel BRZEZINSKI</v>
      </c>
      <c r="E215" s="85" t="str">
        <f t="shared" ca="1" si="39"/>
        <v>C&amp;N</v>
      </c>
      <c r="T215" s="64">
        <f t="shared" ca="1" si="20"/>
        <v>3</v>
      </c>
      <c r="U215" s="64" t="str">
        <f t="shared" si="21"/>
        <v/>
      </c>
      <c r="V215" s="266">
        <f ca="1">IF(OR(D215=0,D215="",D215="Athlete"),"",COUNTIF($D$4:$D215,D215))</f>
        <v>1</v>
      </c>
    </row>
    <row r="216" spans="4:22" hidden="1" x14ac:dyDescent="0.35">
      <c r="D216" s="85" t="str">
        <f t="shared" ref="D216:E216" ca="1" si="40">K29</f>
        <v>Arthur CAMPBELL</v>
      </c>
      <c r="E216" s="85" t="str">
        <f t="shared" ca="1" si="40"/>
        <v>Stock</v>
      </c>
      <c r="T216" s="64">
        <f t="shared" ca="1" si="20"/>
        <v>2</v>
      </c>
      <c r="U216" s="64" t="str">
        <f t="shared" si="21"/>
        <v/>
      </c>
      <c r="V216" s="266">
        <f ca="1">IF(OR(D216=0,D216="",D216="Athlete"),"",COUNTIF($D$4:$D216,D216))</f>
        <v>2</v>
      </c>
    </row>
    <row r="217" spans="4:22" hidden="1" x14ac:dyDescent="0.35">
      <c r="D217" s="85" t="str">
        <f t="shared" ref="D217:E217" ca="1" si="41">K30</f>
        <v>Jake REANEY</v>
      </c>
      <c r="E217" s="85" t="str">
        <f t="shared" ca="1" si="41"/>
        <v>ECHT</v>
      </c>
      <c r="T217" s="64">
        <f t="shared" ca="1" si="20"/>
        <v>2</v>
      </c>
      <c r="U217" s="64" t="str">
        <f t="shared" si="21"/>
        <v/>
      </c>
      <c r="V217" s="266">
        <f ca="1">IF(OR(D217=0,D217="",D217="Athlete"),"",COUNTIF($D$4:$D217,D217))</f>
        <v>1</v>
      </c>
    </row>
    <row r="218" spans="4:22" hidden="1" x14ac:dyDescent="0.35">
      <c r="D218" s="85" t="str">
        <f t="shared" ref="D218:E218" ca="1" si="42">K31</f>
        <v>Alexander MCLAREN</v>
      </c>
      <c r="E218" s="85" t="str">
        <f t="shared" ca="1" si="42"/>
        <v>Macc</v>
      </c>
      <c r="T218" s="64">
        <f t="shared" ca="1" si="20"/>
        <v>2</v>
      </c>
      <c r="U218" s="64" t="str">
        <f t="shared" si="21"/>
        <v/>
      </c>
      <c r="V218" s="266">
        <f ca="1">IF(OR(D218=0,D218="",D218="Athlete"),"",COUNTIF($D$4:$D218,D218))</f>
        <v>2</v>
      </c>
    </row>
    <row r="219" spans="4:22" hidden="1" x14ac:dyDescent="0.35">
      <c r="D219" s="85" t="str">
        <f t="shared" ref="D219:E219" ca="1" si="43">K32</f>
        <v/>
      </c>
      <c r="E219" s="85" t="str">
        <f t="shared" ca="1" si="43"/>
        <v/>
      </c>
      <c r="T219" s="64" t="str">
        <f t="shared" ca="1" si="20"/>
        <v/>
      </c>
      <c r="U219" s="64" t="str">
        <f t="shared" si="21"/>
        <v/>
      </c>
      <c r="V219" s="266" t="str">
        <f ca="1">IF(OR(D219=0,D219="",D219="Athlete"),"",COUNTIF($D$4:$D219,D219))</f>
        <v/>
      </c>
    </row>
    <row r="220" spans="4:22" hidden="1" x14ac:dyDescent="0.35">
      <c r="D220" s="85" t="str">
        <f t="shared" ref="D220:E220" ca="1" si="44">K33</f>
        <v/>
      </c>
      <c r="E220" s="85" t="str">
        <f t="shared" ca="1" si="44"/>
        <v/>
      </c>
      <c r="T220" s="64" t="str">
        <f t="shared" ca="1" si="20"/>
        <v/>
      </c>
      <c r="U220" s="64" t="str">
        <f t="shared" si="21"/>
        <v/>
      </c>
      <c r="V220" s="266" t="str">
        <f ca="1">IF(OR(D220=0,D220="",D220="Athlete"),"",COUNTIF($D$4:$D220,D220))</f>
        <v/>
      </c>
    </row>
    <row r="221" spans="4:22" hidden="1" x14ac:dyDescent="0.35">
      <c r="D221" s="85">
        <f t="shared" ref="D221:E221" si="45">K34</f>
        <v>0</v>
      </c>
      <c r="E221" s="85">
        <f t="shared" si="45"/>
        <v>0</v>
      </c>
      <c r="T221" s="64" t="str">
        <f t="shared" si="20"/>
        <v/>
      </c>
      <c r="U221" s="64" t="str">
        <f t="shared" si="21"/>
        <v/>
      </c>
      <c r="V221" s="266" t="str">
        <f>IF(OR(D221=0,D221="",D221="Athlete"),"",COUNTIF($D$4:$D221,D221))</f>
        <v/>
      </c>
    </row>
    <row r="222" spans="4:22" hidden="1" x14ac:dyDescent="0.35">
      <c r="D222" s="85">
        <f t="shared" ref="D222:E222" si="46">K35</f>
        <v>0</v>
      </c>
      <c r="E222" s="85">
        <f t="shared" si="46"/>
        <v>0</v>
      </c>
      <c r="T222" s="64" t="str">
        <f t="shared" si="20"/>
        <v/>
      </c>
      <c r="U222" s="64" t="str">
        <f t="shared" si="21"/>
        <v/>
      </c>
      <c r="V222" s="266" t="str">
        <f>IF(OR(D222=0,D222="",D222="Athlete"),"",COUNTIF($D$4:$D222,D222))</f>
        <v/>
      </c>
    </row>
    <row r="223" spans="4:22" hidden="1" x14ac:dyDescent="0.35">
      <c r="D223" s="85" t="str">
        <f t="shared" ref="D223:E223" ca="1" si="47">K36</f>
        <v>Athlete</v>
      </c>
      <c r="E223" s="85" t="str">
        <f t="shared" ca="1" si="47"/>
        <v>Club</v>
      </c>
      <c r="T223" s="64" t="str">
        <f t="shared" ca="1" si="20"/>
        <v/>
      </c>
      <c r="U223" s="64" t="str">
        <f t="shared" si="21"/>
        <v/>
      </c>
      <c r="V223" s="266" t="str">
        <f ca="1">IF(OR(D223=0,D223="",D223="Athlete"),"",COUNTIF($D$4:$D223,D223))</f>
        <v/>
      </c>
    </row>
    <row r="224" spans="4:22" hidden="1" x14ac:dyDescent="0.35">
      <c r="D224" s="85" t="str">
        <f t="shared" ref="D224:E224" ca="1" si="48">K37</f>
        <v>James DARBY</v>
      </c>
      <c r="E224" s="85" t="str">
        <f t="shared" ca="1" si="48"/>
        <v>Wigan</v>
      </c>
      <c r="T224" s="64">
        <f t="shared" ca="1" si="20"/>
        <v>2</v>
      </c>
      <c r="U224" s="64" t="str">
        <f t="shared" si="21"/>
        <v/>
      </c>
      <c r="V224" s="266">
        <f ca="1">IF(OR(D224=0,D224="",D224="Athlete"),"",COUNTIF($D$4:$D224,D224))</f>
        <v>2</v>
      </c>
    </row>
    <row r="225" spans="4:22" hidden="1" x14ac:dyDescent="0.35">
      <c r="D225" s="85" t="str">
        <f t="shared" ref="D225:E225" ca="1" si="49">K38</f>
        <v>Henri MANNION</v>
      </c>
      <c r="E225" s="85" t="str">
        <f t="shared" ca="1" si="49"/>
        <v>Leigh</v>
      </c>
      <c r="T225" s="64">
        <f t="shared" ca="1" si="20"/>
        <v>2</v>
      </c>
      <c r="U225" s="64" t="str">
        <f t="shared" si="21"/>
        <v/>
      </c>
      <c r="V225" s="266">
        <f ca="1">IF(OR(D225=0,D225="",D225="Athlete"),"",COUNTIF($D$4:$D225,D225))</f>
        <v>1</v>
      </c>
    </row>
    <row r="226" spans="4:22" hidden="1" x14ac:dyDescent="0.35">
      <c r="D226" s="85" t="str">
        <f t="shared" ref="D226:E226" ca="1" si="50">K39</f>
        <v>Tomas BEDOYA</v>
      </c>
      <c r="E226" s="85" t="str">
        <f t="shared" ca="1" si="50"/>
        <v>Macc</v>
      </c>
      <c r="T226" s="64">
        <f t="shared" ca="1" si="20"/>
        <v>3</v>
      </c>
      <c r="U226" s="64" t="str">
        <f t="shared" si="21"/>
        <v/>
      </c>
      <c r="V226" s="266">
        <f ca="1">IF(OR(D226=0,D226="",D226="Athlete"),"",COUNTIF($D$4:$D226,D226))</f>
        <v>3</v>
      </c>
    </row>
    <row r="227" spans="4:22" hidden="1" x14ac:dyDescent="0.35">
      <c r="D227" s="85" t="str">
        <f t="shared" ref="D227:E227" ca="1" si="51">K40</f>
        <v>Gabriel BRZEZINSKI</v>
      </c>
      <c r="E227" s="85" t="str">
        <f t="shared" ca="1" si="51"/>
        <v>C&amp;N</v>
      </c>
      <c r="T227" s="64">
        <f t="shared" ca="1" si="20"/>
        <v>3</v>
      </c>
      <c r="U227" s="64" t="str">
        <f t="shared" si="21"/>
        <v/>
      </c>
      <c r="V227" s="266">
        <f ca="1">IF(OR(D227=0,D227="",D227="Athlete"),"",COUNTIF($D$4:$D227,D227))</f>
        <v>2</v>
      </c>
    </row>
    <row r="228" spans="4:22" hidden="1" x14ac:dyDescent="0.35">
      <c r="D228" s="85" t="str">
        <f t="shared" ref="D228:E228" ca="1" si="52">K41</f>
        <v>Jake REANEY</v>
      </c>
      <c r="E228" s="85" t="str">
        <f t="shared" ca="1" si="52"/>
        <v>ECHT</v>
      </c>
      <c r="T228" s="64">
        <f t="shared" ca="1" si="20"/>
        <v>2</v>
      </c>
      <c r="U228" s="64" t="str">
        <f t="shared" si="21"/>
        <v/>
      </c>
      <c r="V228" s="266">
        <f ca="1">IF(OR(D228=0,D228="",D228="Athlete"),"",COUNTIF($D$4:$D228,D228))</f>
        <v>2</v>
      </c>
    </row>
    <row r="229" spans="4:22" hidden="1" x14ac:dyDescent="0.35">
      <c r="D229" s="85" t="str">
        <f t="shared" ref="D229:E229" ca="1" si="53">K42</f>
        <v/>
      </c>
      <c r="E229" s="85" t="str">
        <f t="shared" ca="1" si="53"/>
        <v/>
      </c>
      <c r="T229" s="64" t="str">
        <f t="shared" ca="1" si="20"/>
        <v/>
      </c>
      <c r="U229" s="64" t="str">
        <f t="shared" si="21"/>
        <v/>
      </c>
      <c r="V229" s="266" t="str">
        <f ca="1">IF(OR(D229=0,D229="",D229="Athlete"),"",COUNTIF($D$4:$D229,D229))</f>
        <v/>
      </c>
    </row>
    <row r="230" spans="4:22" hidden="1" x14ac:dyDescent="0.35">
      <c r="D230" s="85" t="str">
        <f t="shared" ref="D230:E230" ca="1" si="54">K43</f>
        <v/>
      </c>
      <c r="E230" s="85" t="str">
        <f t="shared" ca="1" si="54"/>
        <v/>
      </c>
      <c r="T230" s="64" t="str">
        <f t="shared" ca="1" si="20"/>
        <v/>
      </c>
      <c r="U230" s="64" t="str">
        <f t="shared" si="21"/>
        <v/>
      </c>
      <c r="V230" s="266" t="str">
        <f ca="1">IF(OR(D230=0,D230="",D230="Athlete"),"",COUNTIF($D$4:$D230,D230))</f>
        <v/>
      </c>
    </row>
    <row r="231" spans="4:22" hidden="1" x14ac:dyDescent="0.35">
      <c r="D231" s="85" t="str">
        <f t="shared" ref="D231:E231" ca="1" si="55">K44</f>
        <v/>
      </c>
      <c r="E231" s="85" t="str">
        <f t="shared" ca="1" si="55"/>
        <v/>
      </c>
      <c r="T231" s="64" t="str">
        <f t="shared" ca="1" si="20"/>
        <v/>
      </c>
      <c r="U231" s="64" t="str">
        <f t="shared" si="21"/>
        <v/>
      </c>
      <c r="V231" s="266" t="str">
        <f ca="1">IF(OR(D231=0,D231="",D231="Athlete"),"",COUNTIF($D$4:$D231,D231))</f>
        <v/>
      </c>
    </row>
    <row r="232" spans="4:22" hidden="1" x14ac:dyDescent="0.35">
      <c r="D232" s="85">
        <f t="shared" ref="D232:E232" si="56">K45</f>
        <v>0</v>
      </c>
      <c r="E232" s="85">
        <f t="shared" si="56"/>
        <v>0</v>
      </c>
      <c r="T232" s="64" t="str">
        <f t="shared" si="20"/>
        <v/>
      </c>
      <c r="U232" s="64" t="str">
        <f t="shared" si="21"/>
        <v/>
      </c>
      <c r="V232" s="266" t="str">
        <f>IF(OR(D232=0,D232="",D232="Athlete"),"",COUNTIF($D$4:$D232,D232))</f>
        <v/>
      </c>
    </row>
    <row r="233" spans="4:22" hidden="1" x14ac:dyDescent="0.35">
      <c r="D233" s="85">
        <f t="shared" ref="D233:E233" si="57">K46</f>
        <v>0</v>
      </c>
      <c r="E233" s="85">
        <f t="shared" si="57"/>
        <v>0</v>
      </c>
      <c r="T233" s="64" t="str">
        <f t="shared" si="20"/>
        <v/>
      </c>
      <c r="U233" s="64" t="str">
        <f t="shared" si="21"/>
        <v/>
      </c>
      <c r="V233" s="266" t="str">
        <f>IF(OR(D233=0,D233="",D233="Athlete"),"",COUNTIF($D$4:$D233,D233))</f>
        <v/>
      </c>
    </row>
    <row r="234" spans="4:22" hidden="1" x14ac:dyDescent="0.35">
      <c r="D234" s="85" t="str">
        <f t="shared" ref="D234:E234" ca="1" si="58">K47</f>
        <v>Athlete</v>
      </c>
      <c r="E234" s="85" t="str">
        <f t="shared" ca="1" si="58"/>
        <v>Club</v>
      </c>
      <c r="T234" s="64" t="str">
        <f t="shared" ca="1" si="20"/>
        <v/>
      </c>
      <c r="U234" s="64" t="str">
        <f t="shared" si="21"/>
        <v/>
      </c>
      <c r="V234" s="266" t="str">
        <f ca="1">IF(OR(D234=0,D234="",D234="Athlete"),"",COUNTIF($D$4:$D234,D234))</f>
        <v/>
      </c>
    </row>
    <row r="235" spans="4:22" hidden="1" x14ac:dyDescent="0.35">
      <c r="D235" s="85" t="str">
        <f t="shared" ref="D235:E235" ca="1" si="59">K48</f>
        <v/>
      </c>
      <c r="E235" s="85" t="str">
        <f t="shared" ca="1" si="59"/>
        <v>No Competitors</v>
      </c>
      <c r="T235" s="64" t="str">
        <f t="shared" ca="1" si="20"/>
        <v/>
      </c>
      <c r="U235" s="64" t="str">
        <f t="shared" si="21"/>
        <v/>
      </c>
      <c r="V235" s="266" t="str">
        <f ca="1">IF(OR(D235=0,D235="",D235="Athlete"),"",COUNTIF($D$4:$D235,D235))</f>
        <v/>
      </c>
    </row>
    <row r="236" spans="4:22" hidden="1" x14ac:dyDescent="0.35">
      <c r="D236" s="85" t="str">
        <f t="shared" ref="D236:E236" ca="1" si="60">K49</f>
        <v/>
      </c>
      <c r="E236" s="85" t="str">
        <f t="shared" ca="1" si="60"/>
        <v/>
      </c>
      <c r="T236" s="64" t="str">
        <f t="shared" ca="1" si="20"/>
        <v/>
      </c>
      <c r="U236" s="64" t="str">
        <f t="shared" si="21"/>
        <v/>
      </c>
      <c r="V236" s="266" t="str">
        <f ca="1">IF(OR(D236=0,D236="",D236="Athlete"),"",COUNTIF($D$4:$D236,D236))</f>
        <v/>
      </c>
    </row>
    <row r="237" spans="4:22" hidden="1" x14ac:dyDescent="0.35">
      <c r="D237" s="85" t="str">
        <f t="shared" ref="D237:E237" ca="1" si="61">K50</f>
        <v/>
      </c>
      <c r="E237" s="85" t="str">
        <f t="shared" ca="1" si="61"/>
        <v/>
      </c>
      <c r="T237" s="64" t="str">
        <f t="shared" ca="1" si="20"/>
        <v/>
      </c>
      <c r="U237" s="64" t="str">
        <f t="shared" si="21"/>
        <v/>
      </c>
      <c r="V237" s="266" t="str">
        <f ca="1">IF(OR(D237=0,D237="",D237="Athlete"),"",COUNTIF($D$4:$D237,D237))</f>
        <v/>
      </c>
    </row>
    <row r="238" spans="4:22" hidden="1" x14ac:dyDescent="0.35">
      <c r="D238" s="85" t="str">
        <f t="shared" ref="D238:E238" ca="1" si="62">K51</f>
        <v/>
      </c>
      <c r="E238" s="85" t="str">
        <f t="shared" ca="1" si="62"/>
        <v/>
      </c>
      <c r="T238" s="64" t="str">
        <f t="shared" ca="1" si="20"/>
        <v/>
      </c>
      <c r="U238" s="64" t="str">
        <f t="shared" si="21"/>
        <v/>
      </c>
      <c r="V238" s="266" t="str">
        <f ca="1">IF(OR(D238=0,D238="",D238="Athlete"),"",COUNTIF($D$4:$D238,D238))</f>
        <v/>
      </c>
    </row>
    <row r="239" spans="4:22" hidden="1" x14ac:dyDescent="0.35">
      <c r="D239" s="85" t="str">
        <f t="shared" ref="D239:E239" ca="1" si="63">K52</f>
        <v/>
      </c>
      <c r="E239" s="85" t="str">
        <f t="shared" ca="1" si="63"/>
        <v/>
      </c>
      <c r="T239" s="64" t="str">
        <f t="shared" ca="1" si="20"/>
        <v/>
      </c>
      <c r="U239" s="64" t="str">
        <f t="shared" si="21"/>
        <v/>
      </c>
      <c r="V239" s="266" t="str">
        <f ca="1">IF(OR(D239=0,D239="",D239="Athlete"),"",COUNTIF($D$4:$D239,D239))</f>
        <v/>
      </c>
    </row>
    <row r="240" spans="4:22" hidden="1" x14ac:dyDescent="0.35">
      <c r="D240" s="85" t="str">
        <f t="shared" ref="D240:E240" ca="1" si="64">K53</f>
        <v/>
      </c>
      <c r="E240" s="85" t="str">
        <f t="shared" ca="1" si="64"/>
        <v/>
      </c>
      <c r="T240" s="64" t="str">
        <f t="shared" ca="1" si="20"/>
        <v/>
      </c>
      <c r="U240" s="64" t="str">
        <f t="shared" si="21"/>
        <v/>
      </c>
      <c r="V240" s="266" t="str">
        <f ca="1">IF(OR(D240=0,D240="",D240="Athlete"),"",COUNTIF($D$4:$D240,D240))</f>
        <v/>
      </c>
    </row>
    <row r="241" spans="4:22" hidden="1" x14ac:dyDescent="0.35">
      <c r="D241" s="85" t="str">
        <f t="shared" ref="D241:E241" ca="1" si="65">K54</f>
        <v/>
      </c>
      <c r="E241" s="85" t="str">
        <f t="shared" ca="1" si="65"/>
        <v/>
      </c>
      <c r="T241" s="64" t="str">
        <f t="shared" ca="1" si="20"/>
        <v/>
      </c>
      <c r="U241" s="64" t="str">
        <f t="shared" si="21"/>
        <v/>
      </c>
      <c r="V241" s="266" t="str">
        <f ca="1">IF(OR(D241=0,D241="",D241="Athlete"),"",COUNTIF($D$4:$D241,D241))</f>
        <v/>
      </c>
    </row>
    <row r="242" spans="4:22" hidden="1" x14ac:dyDescent="0.35">
      <c r="D242" s="85" t="str">
        <f t="shared" ref="D242:E242" ca="1" si="66">K55</f>
        <v/>
      </c>
      <c r="E242" s="85" t="str">
        <f t="shared" ca="1" si="66"/>
        <v/>
      </c>
      <c r="T242" s="64" t="str">
        <f t="shared" ca="1" si="20"/>
        <v/>
      </c>
      <c r="U242" s="64" t="str">
        <f t="shared" si="21"/>
        <v/>
      </c>
      <c r="V242" s="266" t="str">
        <f ca="1">IF(OR(D242=0,D242="",D242="Athlete"),"",COUNTIF($D$4:$D242,D242))</f>
        <v/>
      </c>
    </row>
    <row r="243" spans="4:22" hidden="1" x14ac:dyDescent="0.35">
      <c r="D243" s="85">
        <f t="shared" ref="D243:E243" si="67">K56</f>
        <v>0</v>
      </c>
      <c r="E243" s="85">
        <f t="shared" si="67"/>
        <v>0</v>
      </c>
      <c r="T243" s="64" t="str">
        <f t="shared" si="20"/>
        <v/>
      </c>
      <c r="U243" s="64" t="str">
        <f t="shared" si="21"/>
        <v/>
      </c>
      <c r="V243" s="266" t="str">
        <f>IF(OR(D243=0,D243="",D243="Athlete"),"",COUNTIF($D$4:$D243,D243))</f>
        <v/>
      </c>
    </row>
    <row r="244" spans="4:22" hidden="1" x14ac:dyDescent="0.35">
      <c r="D244" s="85">
        <f t="shared" ref="D244:E244" si="68">K57</f>
        <v>0</v>
      </c>
      <c r="E244" s="85">
        <f t="shared" si="68"/>
        <v>0</v>
      </c>
      <c r="T244" s="64" t="str">
        <f t="shared" si="20"/>
        <v/>
      </c>
      <c r="U244" s="64" t="str">
        <f t="shared" si="21"/>
        <v/>
      </c>
      <c r="V244" s="266" t="str">
        <f>IF(OR(D244=0,D244="",D244="Athlete"),"",COUNTIF($D$4:$D244,D244))</f>
        <v/>
      </c>
    </row>
    <row r="245" spans="4:22" hidden="1" x14ac:dyDescent="0.35">
      <c r="D245" s="85" t="str">
        <f t="shared" ref="D245:E245" ca="1" si="69">K58</f>
        <v>Athlete</v>
      </c>
      <c r="E245" s="85" t="str">
        <f t="shared" ca="1" si="69"/>
        <v>Club</v>
      </c>
      <c r="T245" s="64" t="str">
        <f t="shared" ca="1" si="20"/>
        <v/>
      </c>
      <c r="U245" s="64" t="str">
        <f t="shared" si="21"/>
        <v/>
      </c>
      <c r="V245" s="266" t="str">
        <f ca="1">IF(OR(D245=0,D245="",D245="Athlete"),"",COUNTIF($D$4:$D245,D245))</f>
        <v/>
      </c>
    </row>
    <row r="246" spans="4:22" hidden="1" x14ac:dyDescent="0.35">
      <c r="D246" s="85" t="str">
        <f t="shared" ref="D246:E246" ca="1" si="70">K59</f>
        <v>James NELSON</v>
      </c>
      <c r="E246" s="85" t="str">
        <f t="shared" ca="1" si="70"/>
        <v>ECHT</v>
      </c>
      <c r="T246" s="64">
        <f t="shared" ca="1" si="20"/>
        <v>3</v>
      </c>
      <c r="U246" s="64" t="str">
        <f t="shared" si="21"/>
        <v/>
      </c>
      <c r="V246" s="266">
        <f ca="1">IF(OR(D246=0,D246="",D246="Athlete"),"",COUNTIF($D$4:$D246,D246))</f>
        <v>2</v>
      </c>
    </row>
    <row r="247" spans="4:22" hidden="1" x14ac:dyDescent="0.35">
      <c r="D247" s="85" t="str">
        <f t="shared" ref="D247:E247" ca="1" si="71">K60</f>
        <v>Samuel WILLIAMS</v>
      </c>
      <c r="E247" s="85" t="str">
        <f t="shared" ca="1" si="71"/>
        <v>Leigh</v>
      </c>
      <c r="T247" s="64">
        <f t="shared" ca="1" si="20"/>
        <v>1</v>
      </c>
      <c r="U247" s="64" t="str">
        <f t="shared" si="21"/>
        <v/>
      </c>
      <c r="V247" s="266">
        <f ca="1">IF(OR(D247=0,D247="",D247="Athlete"),"",COUNTIF($D$4:$D247,D247))</f>
        <v>1</v>
      </c>
    </row>
    <row r="248" spans="4:22" hidden="1" x14ac:dyDescent="0.35">
      <c r="D248" s="85" t="str">
        <f t="shared" ref="D248:E248" ca="1" si="72">K61</f>
        <v/>
      </c>
      <c r="E248" s="85" t="str">
        <f t="shared" ca="1" si="72"/>
        <v/>
      </c>
      <c r="T248" s="64" t="str">
        <f t="shared" ca="1" si="20"/>
        <v/>
      </c>
      <c r="U248" s="64" t="str">
        <f t="shared" si="21"/>
        <v/>
      </c>
      <c r="V248" s="266" t="str">
        <f ca="1">IF(OR(D248=0,D248="",D248="Athlete"),"",COUNTIF($D$4:$D248,D248))</f>
        <v/>
      </c>
    </row>
    <row r="249" spans="4:22" hidden="1" x14ac:dyDescent="0.35">
      <c r="D249" s="85" t="str">
        <f t="shared" ref="D249:E249" ca="1" si="73">K62</f>
        <v/>
      </c>
      <c r="E249" s="85" t="str">
        <f t="shared" ca="1" si="73"/>
        <v/>
      </c>
      <c r="T249" s="64" t="str">
        <f t="shared" ca="1" si="20"/>
        <v/>
      </c>
      <c r="U249" s="64" t="str">
        <f t="shared" si="21"/>
        <v/>
      </c>
      <c r="V249" s="266" t="str">
        <f ca="1">IF(OR(D249=0,D249="",D249="Athlete"),"",COUNTIF($D$4:$D249,D249))</f>
        <v/>
      </c>
    </row>
    <row r="250" spans="4:22" hidden="1" x14ac:dyDescent="0.35">
      <c r="D250" s="85" t="str">
        <f t="shared" ref="D250:E250" ca="1" si="74">K63</f>
        <v/>
      </c>
      <c r="E250" s="85" t="str">
        <f t="shared" ca="1" si="74"/>
        <v/>
      </c>
      <c r="T250" s="64" t="str">
        <f t="shared" ca="1" si="20"/>
        <v/>
      </c>
      <c r="U250" s="64" t="str">
        <f t="shared" si="21"/>
        <v/>
      </c>
      <c r="V250" s="266" t="str">
        <f ca="1">IF(OR(D250=0,D250="",D250="Athlete"),"",COUNTIF($D$4:$D250,D250))</f>
        <v/>
      </c>
    </row>
    <row r="251" spans="4:22" hidden="1" x14ac:dyDescent="0.35">
      <c r="D251" s="85" t="str">
        <f t="shared" ref="D251:E251" ca="1" si="75">K64</f>
        <v/>
      </c>
      <c r="E251" s="85" t="str">
        <f t="shared" ca="1" si="75"/>
        <v/>
      </c>
      <c r="T251" s="64" t="str">
        <f t="shared" ca="1" si="20"/>
        <v/>
      </c>
      <c r="U251" s="64" t="str">
        <f t="shared" si="21"/>
        <v/>
      </c>
      <c r="V251" s="266" t="str">
        <f ca="1">IF(OR(D251=0,D251="",D251="Athlete"),"",COUNTIF($D$4:$D251,D251))</f>
        <v/>
      </c>
    </row>
    <row r="252" spans="4:22" hidden="1" x14ac:dyDescent="0.35">
      <c r="D252" s="85" t="str">
        <f t="shared" ref="D252:E252" ca="1" si="76">K65</f>
        <v/>
      </c>
      <c r="E252" s="85" t="str">
        <f t="shared" ca="1" si="76"/>
        <v/>
      </c>
      <c r="T252" s="64" t="str">
        <f t="shared" ca="1" si="20"/>
        <v/>
      </c>
      <c r="U252" s="64" t="str">
        <f t="shared" si="21"/>
        <v/>
      </c>
      <c r="V252" s="266" t="str">
        <f ca="1">IF(OR(D252=0,D252="",D252="Athlete"),"",COUNTIF($D$4:$D252,D252))</f>
        <v/>
      </c>
    </row>
    <row r="253" spans="4:22" hidden="1" x14ac:dyDescent="0.35">
      <c r="D253" s="85" t="str">
        <f t="shared" ref="D253:E253" ca="1" si="77">K66</f>
        <v/>
      </c>
      <c r="E253" s="85" t="str">
        <f t="shared" ca="1" si="77"/>
        <v/>
      </c>
      <c r="T253" s="64" t="str">
        <f t="shared" ca="1" si="20"/>
        <v/>
      </c>
      <c r="U253" s="64" t="str">
        <f t="shared" si="21"/>
        <v/>
      </c>
      <c r="V253" s="266" t="str">
        <f ca="1">IF(OR(D253=0,D253="",D253="Athlete"),"",COUNTIF($D$4:$D253,D253))</f>
        <v/>
      </c>
    </row>
    <row r="254" spans="4:22" hidden="1" x14ac:dyDescent="0.35">
      <c r="D254" s="85">
        <f t="shared" ref="D254:E254" si="78">K67</f>
        <v>0</v>
      </c>
      <c r="E254" s="85">
        <f t="shared" si="78"/>
        <v>0</v>
      </c>
      <c r="T254" s="64" t="str">
        <f t="shared" si="20"/>
        <v/>
      </c>
      <c r="U254" s="64" t="str">
        <f t="shared" si="21"/>
        <v/>
      </c>
      <c r="V254" s="266" t="str">
        <f>IF(OR(D254=0,D254="",D254="Athlete"),"",COUNTIF($D$4:$D254,D254))</f>
        <v/>
      </c>
    </row>
    <row r="255" spans="4:22" hidden="1" x14ac:dyDescent="0.35">
      <c r="D255" s="85">
        <f t="shared" ref="D255:E255" si="79">K68</f>
        <v>0</v>
      </c>
      <c r="E255" s="85" t="str">
        <f t="shared" si="79"/>
        <v>Wind</v>
      </c>
      <c r="T255" s="64" t="str">
        <f t="shared" si="20"/>
        <v/>
      </c>
      <c r="U255" s="64" t="str">
        <f t="shared" si="21"/>
        <v/>
      </c>
      <c r="V255" s="266" t="str">
        <f>IF(OR(D255=0,D255="",D255="Athlete"),"",COUNTIF($D$4:$D255,D255))</f>
        <v/>
      </c>
    </row>
    <row r="256" spans="4:22" hidden="1" x14ac:dyDescent="0.35">
      <c r="D256" s="85" t="str">
        <f t="shared" ref="D256:E256" ca="1" si="80">K69</f>
        <v>Athlete</v>
      </c>
      <c r="E256" s="85" t="str">
        <f t="shared" ca="1" si="80"/>
        <v>Club</v>
      </c>
      <c r="T256" s="64" t="str">
        <f t="shared" ca="1" si="20"/>
        <v/>
      </c>
      <c r="U256" s="64" t="str">
        <f t="shared" si="21"/>
        <v/>
      </c>
      <c r="V256" s="266" t="str">
        <f ca="1">IF(OR(D256=0,D256="",D256="Athlete"),"",COUNTIF($D$4:$D256,D256))</f>
        <v/>
      </c>
    </row>
    <row r="257" spans="4:22" hidden="1" x14ac:dyDescent="0.35">
      <c r="D257" s="85" t="str">
        <f t="shared" ref="D257:E257" ca="1" si="81">K70</f>
        <v>Jack FLETCHER</v>
      </c>
      <c r="E257" s="85" t="str">
        <f t="shared" ca="1" si="81"/>
        <v>Leigh</v>
      </c>
      <c r="T257" s="64">
        <f t="shared" ca="1" si="20"/>
        <v>3</v>
      </c>
      <c r="U257" s="64" t="str">
        <f t="shared" si="21"/>
        <v/>
      </c>
      <c r="V257" s="266">
        <f ca="1">IF(OR(D257=0,D257="",D257="Athlete"),"",COUNTIF($D$4:$D257,D257))</f>
        <v>2</v>
      </c>
    </row>
    <row r="258" spans="4:22" hidden="1" x14ac:dyDescent="0.35">
      <c r="D258" s="85" t="str">
        <f t="shared" ref="D258:E258" ca="1" si="82">K71</f>
        <v/>
      </c>
      <c r="E258" s="85" t="str">
        <f t="shared" ca="1" si="82"/>
        <v/>
      </c>
      <c r="T258" s="64" t="str">
        <f t="shared" ca="1" si="20"/>
        <v/>
      </c>
      <c r="U258" s="64" t="str">
        <f t="shared" si="21"/>
        <v/>
      </c>
      <c r="V258" s="266" t="str">
        <f ca="1">IF(OR(D258=0,D258="",D258="Athlete"),"",COUNTIF($D$4:$D258,D258))</f>
        <v/>
      </c>
    </row>
    <row r="259" spans="4:22" hidden="1" x14ac:dyDescent="0.35">
      <c r="D259" s="85" t="str">
        <f t="shared" ref="D259:E259" ca="1" si="83">K72</f>
        <v/>
      </c>
      <c r="E259" s="85" t="str">
        <f t="shared" ca="1" si="83"/>
        <v/>
      </c>
      <c r="T259" s="64" t="str">
        <f t="shared" ca="1" si="20"/>
        <v/>
      </c>
      <c r="U259" s="64" t="str">
        <f t="shared" si="21"/>
        <v/>
      </c>
      <c r="V259" s="266" t="str">
        <f ca="1">IF(OR(D259=0,D259="",D259="Athlete"),"",COUNTIF($D$4:$D259,D259))</f>
        <v/>
      </c>
    </row>
    <row r="260" spans="4:22" hidden="1" x14ac:dyDescent="0.35">
      <c r="D260" s="85" t="str">
        <f t="shared" ref="D260:E260" ca="1" si="84">K73</f>
        <v/>
      </c>
      <c r="E260" s="85" t="str">
        <f t="shared" ca="1" si="84"/>
        <v/>
      </c>
      <c r="T260" s="64" t="str">
        <f t="shared" ca="1" si="20"/>
        <v/>
      </c>
      <c r="U260" s="64" t="str">
        <f t="shared" si="21"/>
        <v/>
      </c>
      <c r="V260" s="266" t="str">
        <f ca="1">IF(OR(D260=0,D260="",D260="Athlete"),"",COUNTIF($D$4:$D260,D260))</f>
        <v/>
      </c>
    </row>
    <row r="261" spans="4:22" hidden="1" x14ac:dyDescent="0.35">
      <c r="D261" s="85" t="str">
        <f t="shared" ref="D261:E261" ca="1" si="85">K74</f>
        <v/>
      </c>
      <c r="E261" s="85" t="str">
        <f t="shared" ca="1" si="85"/>
        <v/>
      </c>
      <c r="T261" s="64" t="str">
        <f t="shared" ref="T261:T324" ca="1" si="86">IF(OR(D261=0,D261="",D261="Athlete"),"",COUNTIF($D$4:$D$352,D261))</f>
        <v/>
      </c>
      <c r="U261" s="64" t="str">
        <f t="shared" ref="U261:U324" si="87">IF(OR(K261=0,K261="",K261="Athlete"),"",COUNTIF($D$4:$D$352,K261))</f>
        <v/>
      </c>
      <c r="V261" s="266" t="str">
        <f ca="1">IF(OR(D261=0,D261="",D261="Athlete"),"",COUNTIF($D$4:$D261,D261))</f>
        <v/>
      </c>
    </row>
    <row r="262" spans="4:22" hidden="1" x14ac:dyDescent="0.35">
      <c r="D262" s="85" t="str">
        <f t="shared" ref="D262:E262" ca="1" si="88">K75</f>
        <v/>
      </c>
      <c r="E262" s="85" t="str">
        <f t="shared" ca="1" si="88"/>
        <v/>
      </c>
      <c r="T262" s="64" t="str">
        <f t="shared" ca="1" si="86"/>
        <v/>
      </c>
      <c r="U262" s="64" t="str">
        <f t="shared" si="87"/>
        <v/>
      </c>
      <c r="V262" s="266" t="str">
        <f ca="1">IF(OR(D262=0,D262="",D262="Athlete"),"",COUNTIF($D$4:$D262,D262))</f>
        <v/>
      </c>
    </row>
    <row r="263" spans="4:22" hidden="1" x14ac:dyDescent="0.35">
      <c r="D263" s="85" t="str">
        <f t="shared" ref="D263:E263" ca="1" si="89">K76</f>
        <v/>
      </c>
      <c r="E263" s="85" t="str">
        <f t="shared" ca="1" si="89"/>
        <v/>
      </c>
      <c r="T263" s="64" t="str">
        <f t="shared" ca="1" si="86"/>
        <v/>
      </c>
      <c r="U263" s="64" t="str">
        <f t="shared" si="87"/>
        <v/>
      </c>
      <c r="V263" s="266" t="str">
        <f ca="1">IF(OR(D263=0,D263="",D263="Athlete"),"",COUNTIF($D$4:$D263,D263))</f>
        <v/>
      </c>
    </row>
    <row r="264" spans="4:22" hidden="1" x14ac:dyDescent="0.35">
      <c r="D264" s="85" t="str">
        <f t="shared" ref="D264:E264" ca="1" si="90">K77</f>
        <v/>
      </c>
      <c r="E264" s="85" t="str">
        <f t="shared" ca="1" si="90"/>
        <v/>
      </c>
      <c r="T264" s="64" t="str">
        <f t="shared" ca="1" si="86"/>
        <v/>
      </c>
      <c r="U264" s="64" t="str">
        <f t="shared" si="87"/>
        <v/>
      </c>
      <c r="V264" s="266" t="str">
        <f ca="1">IF(OR(D264=0,D264="",D264="Athlete"),"",COUNTIF($D$4:$D264,D264))</f>
        <v/>
      </c>
    </row>
    <row r="265" spans="4:22" hidden="1" x14ac:dyDescent="0.35">
      <c r="D265" s="85">
        <f t="shared" ref="D265:E265" si="91">K78</f>
        <v>0</v>
      </c>
      <c r="E265" s="85">
        <f t="shared" si="91"/>
        <v>0</v>
      </c>
      <c r="T265" s="64" t="str">
        <f t="shared" si="86"/>
        <v/>
      </c>
      <c r="U265" s="64" t="str">
        <f t="shared" si="87"/>
        <v/>
      </c>
      <c r="V265" s="266" t="str">
        <f>IF(OR(D265=0,D265="",D265="Athlete"),"",COUNTIF($D$4:$D265,D265))</f>
        <v/>
      </c>
    </row>
    <row r="266" spans="4:22" hidden="1" x14ac:dyDescent="0.35">
      <c r="D266" s="85">
        <f t="shared" ref="D266:E266" si="92">K79</f>
        <v>0</v>
      </c>
      <c r="E266" s="85">
        <f t="shared" si="92"/>
        <v>0</v>
      </c>
      <c r="T266" s="64" t="str">
        <f t="shared" si="86"/>
        <v/>
      </c>
      <c r="U266" s="64" t="str">
        <f t="shared" si="87"/>
        <v/>
      </c>
      <c r="V266" s="266" t="str">
        <f>IF(OR(D266=0,D266="",D266="Athlete"),"",COUNTIF($D$4:$D266,D266))</f>
        <v/>
      </c>
    </row>
    <row r="267" spans="4:22" hidden="1" x14ac:dyDescent="0.35">
      <c r="D267" s="85" t="str">
        <f t="shared" ref="D267:E267" ca="1" si="93">K80</f>
        <v>Athlete</v>
      </c>
      <c r="E267" s="85" t="str">
        <f t="shared" ca="1" si="93"/>
        <v>Club</v>
      </c>
      <c r="T267" s="64" t="str">
        <f t="shared" ca="1" si="86"/>
        <v/>
      </c>
      <c r="U267" s="64" t="str">
        <f t="shared" si="87"/>
        <v/>
      </c>
      <c r="V267" s="266" t="str">
        <f ca="1">IF(OR(D267=0,D267="",D267="Athlete"),"",COUNTIF($D$4:$D267,D267))</f>
        <v/>
      </c>
    </row>
    <row r="268" spans="4:22" hidden="1" x14ac:dyDescent="0.35">
      <c r="D268" s="85" t="str">
        <f t="shared" ref="D268:E268" ca="1" si="94">K81</f>
        <v>Dylan BAKER</v>
      </c>
      <c r="E268" s="85" t="str">
        <f t="shared" ca="1" si="94"/>
        <v>Macc</v>
      </c>
      <c r="T268" s="64">
        <f t="shared" ca="1" si="86"/>
        <v>2</v>
      </c>
      <c r="U268" s="64" t="str">
        <f t="shared" si="87"/>
        <v/>
      </c>
      <c r="V268" s="266">
        <f ca="1">IF(OR(D268=0,D268="",D268="Athlete"),"",COUNTIF($D$4:$D268,D268))</f>
        <v>2</v>
      </c>
    </row>
    <row r="269" spans="4:22" hidden="1" x14ac:dyDescent="0.35">
      <c r="D269" s="85" t="str">
        <f t="shared" ref="D269:E269" ca="1" si="95">K82</f>
        <v>Jack FLETCHER</v>
      </c>
      <c r="E269" s="85" t="str">
        <f t="shared" ca="1" si="95"/>
        <v>Leigh</v>
      </c>
      <c r="T269" s="64">
        <f t="shared" ca="1" si="86"/>
        <v>3</v>
      </c>
      <c r="U269" s="64" t="str">
        <f t="shared" si="87"/>
        <v/>
      </c>
      <c r="V269" s="266">
        <f ca="1">IF(OR(D269=0,D269="",D269="Athlete"),"",COUNTIF($D$4:$D269,D269))</f>
        <v>3</v>
      </c>
    </row>
    <row r="270" spans="4:22" hidden="1" x14ac:dyDescent="0.35">
      <c r="D270" s="85" t="str">
        <f t="shared" ref="D270:E270" ca="1" si="96">K83</f>
        <v>Alex KITCHEN</v>
      </c>
      <c r="E270" s="85" t="str">
        <f t="shared" ca="1" si="96"/>
        <v>Stock</v>
      </c>
      <c r="T270" s="64">
        <f t="shared" ca="1" si="86"/>
        <v>3</v>
      </c>
      <c r="U270" s="64" t="str">
        <f t="shared" si="87"/>
        <v/>
      </c>
      <c r="V270" s="266">
        <f ca="1">IF(OR(D270=0,D270="",D270="Athlete"),"",COUNTIF($D$4:$D270,D270))</f>
        <v>3</v>
      </c>
    </row>
    <row r="271" spans="4:22" hidden="1" x14ac:dyDescent="0.35">
      <c r="D271" s="85" t="str">
        <f t="shared" ref="D271:E271" ca="1" si="97">K84</f>
        <v>Charlie SMITH</v>
      </c>
      <c r="E271" s="85" t="str">
        <f t="shared" ca="1" si="97"/>
        <v>C&amp;N</v>
      </c>
      <c r="T271" s="64">
        <f t="shared" ca="1" si="86"/>
        <v>3</v>
      </c>
      <c r="U271" s="64" t="str">
        <f t="shared" si="87"/>
        <v/>
      </c>
      <c r="V271" s="266">
        <f ca="1">IF(OR(D271=0,D271="",D271="Athlete"),"",COUNTIF($D$4:$D271,D271))</f>
        <v>3</v>
      </c>
    </row>
    <row r="272" spans="4:22" hidden="1" x14ac:dyDescent="0.35">
      <c r="D272" s="85" t="str">
        <f t="shared" ref="D272:E272" ca="1" si="98">K85</f>
        <v>Sebastien GREGORY</v>
      </c>
      <c r="E272" s="85" t="str">
        <f t="shared" ca="1" si="98"/>
        <v>ECHT</v>
      </c>
      <c r="T272" s="64">
        <f t="shared" ca="1" si="86"/>
        <v>2</v>
      </c>
      <c r="U272" s="64" t="str">
        <f t="shared" si="87"/>
        <v/>
      </c>
      <c r="V272" s="266">
        <f ca="1">IF(OR(D272=0,D272="",D272="Athlete"),"",COUNTIF($D$4:$D272,D272))</f>
        <v>2</v>
      </c>
    </row>
    <row r="273" spans="4:22" hidden="1" x14ac:dyDescent="0.35">
      <c r="D273" s="85" t="str">
        <f t="shared" ref="D273:E273" ca="1" si="99">K86</f>
        <v>Evan BARNETT</v>
      </c>
      <c r="E273" s="85" t="str">
        <f t="shared" ca="1" si="99"/>
        <v>Wigan</v>
      </c>
      <c r="T273" s="64">
        <f t="shared" ca="1" si="86"/>
        <v>1</v>
      </c>
      <c r="U273" s="64" t="str">
        <f t="shared" si="87"/>
        <v/>
      </c>
      <c r="V273" s="266">
        <f ca="1">IF(OR(D273=0,D273="",D273="Athlete"),"",COUNTIF($D$4:$D273,D273))</f>
        <v>1</v>
      </c>
    </row>
    <row r="274" spans="4:22" hidden="1" x14ac:dyDescent="0.35">
      <c r="D274" s="85" t="str">
        <f t="shared" ref="D274:E274" ca="1" si="100">K87</f>
        <v/>
      </c>
      <c r="E274" s="85" t="str">
        <f t="shared" ca="1" si="100"/>
        <v/>
      </c>
      <c r="T274" s="64" t="str">
        <f t="shared" ca="1" si="86"/>
        <v/>
      </c>
      <c r="U274" s="64" t="str">
        <f t="shared" si="87"/>
        <v/>
      </c>
      <c r="V274" s="266" t="str">
        <f ca="1">IF(OR(D274=0,D274="",D274="Athlete"),"",COUNTIF($D$4:$D274,D274))</f>
        <v/>
      </c>
    </row>
    <row r="275" spans="4:22" hidden="1" x14ac:dyDescent="0.35">
      <c r="D275" s="85" t="str">
        <f t="shared" ref="D275:E275" ca="1" si="101">K88</f>
        <v/>
      </c>
      <c r="E275" s="85" t="str">
        <f t="shared" ca="1" si="101"/>
        <v/>
      </c>
      <c r="T275" s="64" t="str">
        <f t="shared" ca="1" si="86"/>
        <v/>
      </c>
      <c r="U275" s="64" t="str">
        <f t="shared" si="87"/>
        <v/>
      </c>
      <c r="V275" s="266" t="str">
        <f ca="1">IF(OR(D275=0,D275="",D275="Athlete"),"",COUNTIF($D$4:$D275,D275))</f>
        <v/>
      </c>
    </row>
    <row r="276" spans="4:22" hidden="1" x14ac:dyDescent="0.35">
      <c r="D276" s="85">
        <f t="shared" ref="D276:E276" si="102">K89</f>
        <v>0</v>
      </c>
      <c r="E276" s="85">
        <f t="shared" si="102"/>
        <v>0</v>
      </c>
      <c r="T276" s="64" t="str">
        <f t="shared" si="86"/>
        <v/>
      </c>
      <c r="U276" s="64" t="str">
        <f t="shared" si="87"/>
        <v/>
      </c>
      <c r="V276" s="266" t="str">
        <f>IF(OR(D276=0,D276="",D276="Athlete"),"",COUNTIF($D$4:$D276,D276))</f>
        <v/>
      </c>
    </row>
    <row r="277" spans="4:22" hidden="1" x14ac:dyDescent="0.35">
      <c r="D277" s="85">
        <f t="shared" ref="D277:E277" si="103">K90</f>
        <v>0</v>
      </c>
      <c r="E277" s="85">
        <f t="shared" si="103"/>
        <v>0</v>
      </c>
      <c r="T277" s="64" t="str">
        <f t="shared" si="86"/>
        <v/>
      </c>
      <c r="U277" s="64" t="str">
        <f t="shared" si="87"/>
        <v/>
      </c>
      <c r="V277" s="266" t="str">
        <f>IF(OR(D277=0,D277="",D277="Athlete"),"",COUNTIF($D$4:$D277,D277))</f>
        <v/>
      </c>
    </row>
    <row r="278" spans="4:22" hidden="1" x14ac:dyDescent="0.35">
      <c r="D278" s="85" t="str">
        <f t="shared" ref="D278:E278" ca="1" si="104">K91</f>
        <v>Athlete</v>
      </c>
      <c r="E278" s="85" t="str">
        <f t="shared" ca="1" si="104"/>
        <v>Club</v>
      </c>
      <c r="T278" s="64" t="str">
        <f t="shared" ca="1" si="86"/>
        <v/>
      </c>
      <c r="U278" s="64" t="str">
        <f t="shared" si="87"/>
        <v/>
      </c>
      <c r="V278" s="266" t="str">
        <f ca="1">IF(OR(D278=0,D278="",D278="Athlete"),"",COUNTIF($D$4:$D278,D278))</f>
        <v/>
      </c>
    </row>
    <row r="279" spans="4:22" hidden="1" x14ac:dyDescent="0.35">
      <c r="D279" s="85" t="str">
        <f t="shared" ref="D279:E279" ca="1" si="105">K92</f>
        <v>Ewan DAVIES</v>
      </c>
      <c r="E279" s="85" t="str">
        <f t="shared" ca="1" si="105"/>
        <v>C&amp;N</v>
      </c>
      <c r="T279" s="64">
        <f t="shared" ca="1" si="86"/>
        <v>3</v>
      </c>
      <c r="U279" s="64" t="str">
        <f t="shared" si="87"/>
        <v/>
      </c>
      <c r="V279" s="266">
        <f ca="1">IF(OR(D279=0,D279="",D279="Athlete"),"",COUNTIF($D$4:$D279,D279))</f>
        <v>2</v>
      </c>
    </row>
    <row r="280" spans="4:22" hidden="1" x14ac:dyDescent="0.35">
      <c r="D280" s="85" t="str">
        <f t="shared" ref="D280:E280" ca="1" si="106">K93</f>
        <v/>
      </c>
      <c r="E280" s="85" t="str">
        <f t="shared" ca="1" si="106"/>
        <v/>
      </c>
      <c r="T280" s="64" t="str">
        <f t="shared" ca="1" si="86"/>
        <v/>
      </c>
      <c r="U280" s="64" t="str">
        <f t="shared" si="87"/>
        <v/>
      </c>
      <c r="V280" s="266" t="str">
        <f ca="1">IF(OR(D280=0,D280="",D280="Athlete"),"",COUNTIF($D$4:$D280,D280))</f>
        <v/>
      </c>
    </row>
    <row r="281" spans="4:22" hidden="1" x14ac:dyDescent="0.35">
      <c r="D281" s="85" t="str">
        <f t="shared" ref="D281:E281" ca="1" si="107">K94</f>
        <v/>
      </c>
      <c r="E281" s="85" t="str">
        <f t="shared" ca="1" si="107"/>
        <v/>
      </c>
      <c r="T281" s="64" t="str">
        <f t="shared" ca="1" si="86"/>
        <v/>
      </c>
      <c r="U281" s="64" t="str">
        <f t="shared" si="87"/>
        <v/>
      </c>
      <c r="V281" s="266" t="str">
        <f ca="1">IF(OR(D281=0,D281="",D281="Athlete"),"",COUNTIF($D$4:$D281,D281))</f>
        <v/>
      </c>
    </row>
    <row r="282" spans="4:22" hidden="1" x14ac:dyDescent="0.35">
      <c r="D282" s="85" t="str">
        <f t="shared" ref="D282:E282" ca="1" si="108">K95</f>
        <v/>
      </c>
      <c r="E282" s="85" t="str">
        <f t="shared" ca="1" si="108"/>
        <v/>
      </c>
      <c r="T282" s="64" t="str">
        <f t="shared" ca="1" si="86"/>
        <v/>
      </c>
      <c r="U282" s="64" t="str">
        <f t="shared" si="87"/>
        <v/>
      </c>
      <c r="V282" s="266" t="str">
        <f ca="1">IF(OR(D282=0,D282="",D282="Athlete"),"",COUNTIF($D$4:$D282,D282))</f>
        <v/>
      </c>
    </row>
    <row r="283" spans="4:22" hidden="1" x14ac:dyDescent="0.35">
      <c r="D283" s="85" t="str">
        <f t="shared" ref="D283:E283" ca="1" si="109">K96</f>
        <v/>
      </c>
      <c r="E283" s="85" t="str">
        <f t="shared" ca="1" si="109"/>
        <v/>
      </c>
      <c r="T283" s="64" t="str">
        <f t="shared" ca="1" si="86"/>
        <v/>
      </c>
      <c r="U283" s="64" t="str">
        <f t="shared" si="87"/>
        <v/>
      </c>
      <c r="V283" s="266" t="str">
        <f ca="1">IF(OR(D283=0,D283="",D283="Athlete"),"",COUNTIF($D$4:$D283,D283))</f>
        <v/>
      </c>
    </row>
    <row r="284" spans="4:22" hidden="1" x14ac:dyDescent="0.35">
      <c r="D284" s="85" t="str">
        <f t="shared" ref="D284:E284" ca="1" si="110">K97</f>
        <v/>
      </c>
      <c r="E284" s="85" t="str">
        <f t="shared" ca="1" si="110"/>
        <v/>
      </c>
      <c r="T284" s="64" t="str">
        <f t="shared" ca="1" si="86"/>
        <v/>
      </c>
      <c r="U284" s="64" t="str">
        <f t="shared" si="87"/>
        <v/>
      </c>
      <c r="V284" s="266" t="str">
        <f ca="1">IF(OR(D284=0,D284="",D284="Athlete"),"",COUNTIF($D$4:$D284,D284))</f>
        <v/>
      </c>
    </row>
    <row r="285" spans="4:22" hidden="1" x14ac:dyDescent="0.35">
      <c r="D285" s="85" t="str">
        <f t="shared" ref="D285:E285" ca="1" si="111">K98</f>
        <v/>
      </c>
      <c r="E285" s="85" t="str">
        <f t="shared" ca="1" si="111"/>
        <v/>
      </c>
      <c r="T285" s="64" t="str">
        <f t="shared" ca="1" si="86"/>
        <v/>
      </c>
      <c r="U285" s="64" t="str">
        <f t="shared" si="87"/>
        <v/>
      </c>
      <c r="V285" s="266" t="str">
        <f ca="1">IF(OR(D285=0,D285="",D285="Athlete"),"",COUNTIF($D$4:$D285,D285))</f>
        <v/>
      </c>
    </row>
    <row r="286" spans="4:22" hidden="1" x14ac:dyDescent="0.35">
      <c r="D286" s="85" t="str">
        <f t="shared" ref="D286:E286" ca="1" si="112">K99</f>
        <v/>
      </c>
      <c r="E286" s="85" t="str">
        <f t="shared" ca="1" si="112"/>
        <v/>
      </c>
      <c r="T286" s="64" t="str">
        <f t="shared" ca="1" si="86"/>
        <v/>
      </c>
      <c r="U286" s="64" t="str">
        <f t="shared" si="87"/>
        <v/>
      </c>
      <c r="V286" s="266" t="str">
        <f ca="1">IF(OR(D286=0,D286="",D286="Athlete"),"",COUNTIF($D$4:$D286,D286))</f>
        <v/>
      </c>
    </row>
    <row r="287" spans="4:22" hidden="1" x14ac:dyDescent="0.35">
      <c r="D287" s="85">
        <f t="shared" ref="D287:E287" si="113">K100</f>
        <v>0</v>
      </c>
      <c r="E287" s="85">
        <f t="shared" si="113"/>
        <v>0</v>
      </c>
      <c r="T287" s="64" t="str">
        <f t="shared" si="86"/>
        <v/>
      </c>
      <c r="U287" s="64" t="str">
        <f t="shared" si="87"/>
        <v/>
      </c>
      <c r="V287" s="266" t="str">
        <f>IF(OR(D287=0,D287="",D287="Athlete"),"",COUNTIF($D$4:$D287,D287))</f>
        <v/>
      </c>
    </row>
    <row r="288" spans="4:22" hidden="1" x14ac:dyDescent="0.35">
      <c r="D288" s="85">
        <f t="shared" ref="D288:E288" si="114">K101</f>
        <v>0</v>
      </c>
      <c r="E288" s="85">
        <f t="shared" si="114"/>
        <v>0</v>
      </c>
      <c r="T288" s="64" t="str">
        <f t="shared" si="86"/>
        <v/>
      </c>
      <c r="U288" s="64" t="str">
        <f t="shared" si="87"/>
        <v/>
      </c>
      <c r="V288" s="266" t="str">
        <f>IF(OR(D288=0,D288="",D288="Athlete"),"",COUNTIF($D$4:$D288,D288))</f>
        <v/>
      </c>
    </row>
    <row r="289" spans="4:22" hidden="1" x14ac:dyDescent="0.35">
      <c r="D289" s="85" t="str">
        <f t="shared" ref="D289:E289" ca="1" si="115">K102</f>
        <v>Athlete</v>
      </c>
      <c r="E289" s="85" t="str">
        <f t="shared" ca="1" si="115"/>
        <v>Club</v>
      </c>
      <c r="T289" s="64" t="str">
        <f t="shared" ca="1" si="86"/>
        <v/>
      </c>
      <c r="U289" s="64" t="str">
        <f t="shared" si="87"/>
        <v/>
      </c>
      <c r="V289" s="266" t="str">
        <f ca="1">IF(OR(D289=0,D289="",D289="Athlete"),"",COUNTIF($D$4:$D289,D289))</f>
        <v/>
      </c>
    </row>
    <row r="290" spans="4:22" hidden="1" x14ac:dyDescent="0.35">
      <c r="D290" s="85" t="str">
        <f t="shared" ref="D290:E290" ca="1" si="116">K103</f>
        <v>Robert NWANKWO</v>
      </c>
      <c r="E290" s="85" t="str">
        <f t="shared" ca="1" si="116"/>
        <v>Macc</v>
      </c>
      <c r="T290" s="64">
        <f t="shared" ca="1" si="86"/>
        <v>2</v>
      </c>
      <c r="U290" s="64" t="str">
        <f t="shared" si="87"/>
        <v/>
      </c>
      <c r="V290" s="266">
        <f ca="1">IF(OR(D290=0,D290="",D290="Athlete"),"",COUNTIF($D$4:$D290,D290))</f>
        <v>2</v>
      </c>
    </row>
    <row r="291" spans="4:22" hidden="1" x14ac:dyDescent="0.35">
      <c r="D291" s="85" t="str">
        <f t="shared" ref="D291:E291" ca="1" si="117">K104</f>
        <v>Henri MANNION</v>
      </c>
      <c r="E291" s="85" t="str">
        <f t="shared" ca="1" si="117"/>
        <v>Leigh</v>
      </c>
      <c r="T291" s="64">
        <f t="shared" ca="1" si="86"/>
        <v>2</v>
      </c>
      <c r="U291" s="64" t="str">
        <f t="shared" si="87"/>
        <v/>
      </c>
      <c r="V291" s="266">
        <f ca="1">IF(OR(D291=0,D291="",D291="Athlete"),"",COUNTIF($D$4:$D291,D291))</f>
        <v>2</v>
      </c>
    </row>
    <row r="292" spans="4:22" hidden="1" x14ac:dyDescent="0.35">
      <c r="D292" s="85" t="str">
        <f t="shared" ref="D292:E292" ca="1" si="118">K105</f>
        <v>Ewan DAVIES</v>
      </c>
      <c r="E292" s="85" t="str">
        <f t="shared" ca="1" si="118"/>
        <v>C&amp;N</v>
      </c>
      <c r="T292" s="64">
        <f t="shared" ca="1" si="86"/>
        <v>3</v>
      </c>
      <c r="U292" s="64" t="str">
        <f t="shared" si="87"/>
        <v/>
      </c>
      <c r="V292" s="266">
        <f ca="1">IF(OR(D292=0,D292="",D292="Athlete"),"",COUNTIF($D$4:$D292,D292))</f>
        <v>3</v>
      </c>
    </row>
    <row r="293" spans="4:22" hidden="1" x14ac:dyDescent="0.35">
      <c r="D293" s="85" t="str">
        <f t="shared" ref="D293:E293" ca="1" si="119">K106</f>
        <v>Oliver MANNION</v>
      </c>
      <c r="E293" s="85" t="str">
        <f t="shared" ca="1" si="119"/>
        <v>ECHT</v>
      </c>
      <c r="T293" s="64">
        <f t="shared" ca="1" si="86"/>
        <v>3</v>
      </c>
      <c r="U293" s="64" t="str">
        <f t="shared" si="87"/>
        <v/>
      </c>
      <c r="V293" s="266">
        <f ca="1">IF(OR(D293=0,D293="",D293="Athlete"),"",COUNTIF($D$4:$D293,D293))</f>
        <v>3</v>
      </c>
    </row>
    <row r="294" spans="4:22" hidden="1" x14ac:dyDescent="0.35">
      <c r="D294" s="85" t="str">
        <f t="shared" ref="D294:E294" ca="1" si="120">K107</f>
        <v>Charlie STRETTON</v>
      </c>
      <c r="E294" s="85" t="str">
        <f t="shared" ca="1" si="120"/>
        <v>Wigan</v>
      </c>
      <c r="T294" s="64">
        <f t="shared" ca="1" si="86"/>
        <v>3</v>
      </c>
      <c r="U294" s="64" t="str">
        <f t="shared" si="87"/>
        <v/>
      </c>
      <c r="V294" s="266">
        <f ca="1">IF(OR(D294=0,D294="",D294="Athlete"),"",COUNTIF($D$4:$D294,D294))</f>
        <v>2</v>
      </c>
    </row>
    <row r="295" spans="4:22" hidden="1" x14ac:dyDescent="0.35">
      <c r="D295" s="85" t="str">
        <f t="shared" ref="D295:E295" ca="1" si="121">K108</f>
        <v/>
      </c>
      <c r="E295" s="85" t="str">
        <f t="shared" ca="1" si="121"/>
        <v/>
      </c>
      <c r="T295" s="64" t="str">
        <f t="shared" ca="1" si="86"/>
        <v/>
      </c>
      <c r="U295" s="64" t="str">
        <f t="shared" si="87"/>
        <v/>
      </c>
      <c r="V295" s="266" t="str">
        <f ca="1">IF(OR(D295=0,D295="",D295="Athlete"),"",COUNTIF($D$4:$D295,D295))</f>
        <v/>
      </c>
    </row>
    <row r="296" spans="4:22" hidden="1" x14ac:dyDescent="0.35">
      <c r="D296" s="85" t="str">
        <f t="shared" ref="D296:E296" ca="1" si="122">K109</f>
        <v/>
      </c>
      <c r="E296" s="85" t="str">
        <f t="shared" ca="1" si="122"/>
        <v/>
      </c>
      <c r="T296" s="64" t="str">
        <f t="shared" ca="1" si="86"/>
        <v/>
      </c>
      <c r="U296" s="64" t="str">
        <f t="shared" si="87"/>
        <v/>
      </c>
      <c r="V296" s="266" t="str">
        <f ca="1">IF(OR(D296=0,D296="",D296="Athlete"),"",COUNTIF($D$4:$D296,D296))</f>
        <v/>
      </c>
    </row>
    <row r="297" spans="4:22" hidden="1" x14ac:dyDescent="0.35">
      <c r="D297" s="85" t="str">
        <f t="shared" ref="D297:E297" ca="1" si="123">K110</f>
        <v/>
      </c>
      <c r="E297" s="85" t="str">
        <f t="shared" ca="1" si="123"/>
        <v/>
      </c>
      <c r="T297" s="64" t="str">
        <f t="shared" ca="1" si="86"/>
        <v/>
      </c>
      <c r="U297" s="64" t="str">
        <f t="shared" si="87"/>
        <v/>
      </c>
      <c r="V297" s="266" t="str">
        <f ca="1">IF(OR(D297=0,D297="",D297="Athlete"),"",COUNTIF($D$4:$D297,D297))</f>
        <v/>
      </c>
    </row>
    <row r="298" spans="4:22" hidden="1" x14ac:dyDescent="0.35">
      <c r="D298" s="85">
        <f t="shared" ref="D298:E298" si="124">K111</f>
        <v>0</v>
      </c>
      <c r="E298" s="85">
        <f t="shared" si="124"/>
        <v>0</v>
      </c>
      <c r="T298" s="64" t="str">
        <f t="shared" si="86"/>
        <v/>
      </c>
      <c r="U298" s="64" t="str">
        <f t="shared" si="87"/>
        <v/>
      </c>
      <c r="V298" s="266" t="str">
        <f>IF(OR(D298=0,D298="",D298="Athlete"),"",COUNTIF($D$4:$D298,D298))</f>
        <v/>
      </c>
    </row>
    <row r="299" spans="4:22" hidden="1" x14ac:dyDescent="0.35">
      <c r="D299" s="85">
        <f t="shared" ref="D299:E299" si="125">K112</f>
        <v>0</v>
      </c>
      <c r="E299" s="85">
        <f t="shared" si="125"/>
        <v>0</v>
      </c>
      <c r="T299" s="64" t="str">
        <f t="shared" si="86"/>
        <v/>
      </c>
      <c r="U299" s="64" t="str">
        <f t="shared" si="87"/>
        <v/>
      </c>
      <c r="V299" s="266" t="str">
        <f>IF(OR(D299=0,D299="",D299="Athlete"),"",COUNTIF($D$4:$D299,D299))</f>
        <v/>
      </c>
    </row>
    <row r="300" spans="4:22" hidden="1" x14ac:dyDescent="0.35">
      <c r="D300" s="85" t="str">
        <f t="shared" ref="D300:E300" ca="1" si="126">K113</f>
        <v>Athlete</v>
      </c>
      <c r="E300" s="85" t="str">
        <f t="shared" ca="1" si="126"/>
        <v>Club</v>
      </c>
      <c r="T300" s="64" t="str">
        <f t="shared" ca="1" si="86"/>
        <v/>
      </c>
      <c r="U300" s="64" t="str">
        <f t="shared" si="87"/>
        <v/>
      </c>
      <c r="V300" s="266" t="str">
        <f ca="1">IF(OR(D300=0,D300="",D300="Athlete"),"",COUNTIF($D$4:$D300,D300))</f>
        <v/>
      </c>
    </row>
    <row r="301" spans="4:22" hidden="1" x14ac:dyDescent="0.35">
      <c r="D301" s="85" t="str">
        <f t="shared" ref="D301:E301" ca="1" si="127">K114</f>
        <v>James HOWARTH-LINTON</v>
      </c>
      <c r="E301" s="85" t="str">
        <f t="shared" ca="1" si="127"/>
        <v>Leigh</v>
      </c>
      <c r="T301" s="64">
        <f t="shared" ca="1" si="86"/>
        <v>2</v>
      </c>
      <c r="U301" s="64" t="str">
        <f t="shared" si="87"/>
        <v/>
      </c>
      <c r="V301" s="266">
        <f ca="1">IF(OR(D301=0,D301="",D301="Athlete"),"",COUNTIF($D$4:$D301,D301))</f>
        <v>2</v>
      </c>
    </row>
    <row r="302" spans="4:22" hidden="1" x14ac:dyDescent="0.35">
      <c r="D302" s="85" t="str">
        <f t="shared" ref="D302:E302" ca="1" si="128">K115</f>
        <v>Isaac BAKER</v>
      </c>
      <c r="E302" s="85" t="str">
        <f t="shared" ca="1" si="128"/>
        <v>Macc</v>
      </c>
      <c r="T302" s="64">
        <f t="shared" ca="1" si="86"/>
        <v>2</v>
      </c>
      <c r="U302" s="64" t="str">
        <f t="shared" si="87"/>
        <v/>
      </c>
      <c r="V302" s="266">
        <f ca="1">IF(OR(D302=0,D302="",D302="Athlete"),"",COUNTIF($D$4:$D302,D302))</f>
        <v>2</v>
      </c>
    </row>
    <row r="303" spans="4:22" hidden="1" x14ac:dyDescent="0.35">
      <c r="D303" s="85" t="str">
        <f t="shared" ref="D303:E303" ca="1" si="129">K116</f>
        <v>James NELSON</v>
      </c>
      <c r="E303" s="85" t="str">
        <f t="shared" ca="1" si="129"/>
        <v>ECHT</v>
      </c>
      <c r="T303" s="64">
        <f t="shared" ca="1" si="86"/>
        <v>3</v>
      </c>
      <c r="U303" s="64" t="str">
        <f t="shared" si="87"/>
        <v/>
      </c>
      <c r="V303" s="266">
        <f ca="1">IF(OR(D303=0,D303="",D303="Athlete"),"",COUNTIF($D$4:$D303,D303))</f>
        <v>3</v>
      </c>
    </row>
    <row r="304" spans="4:22" hidden="1" x14ac:dyDescent="0.35">
      <c r="D304" s="85" t="str">
        <f t="shared" ref="D304:E304" ca="1" si="130">K117</f>
        <v>Gabriel BRZEZINSKI</v>
      </c>
      <c r="E304" s="85" t="str">
        <f t="shared" ca="1" si="130"/>
        <v>C&amp;N</v>
      </c>
      <c r="T304" s="64">
        <f t="shared" ca="1" si="86"/>
        <v>3</v>
      </c>
      <c r="U304" s="64" t="str">
        <f t="shared" si="87"/>
        <v/>
      </c>
      <c r="V304" s="266">
        <f ca="1">IF(OR(D304=0,D304="",D304="Athlete"),"",COUNTIF($D$4:$D304,D304))</f>
        <v>3</v>
      </c>
    </row>
    <row r="305" spans="4:22" hidden="1" x14ac:dyDescent="0.35">
      <c r="D305" s="85" t="str">
        <f t="shared" ref="D305:E305" ca="1" si="131">K118</f>
        <v>Charlie STRETTON</v>
      </c>
      <c r="E305" s="85" t="str">
        <f t="shared" ca="1" si="131"/>
        <v>Wigan</v>
      </c>
      <c r="T305" s="64">
        <f t="shared" ca="1" si="86"/>
        <v>3</v>
      </c>
      <c r="U305" s="64" t="str">
        <f t="shared" si="87"/>
        <v/>
      </c>
      <c r="V305" s="266">
        <f ca="1">IF(OR(D305=0,D305="",D305="Athlete"),"",COUNTIF($D$4:$D305,D305))</f>
        <v>3</v>
      </c>
    </row>
    <row r="306" spans="4:22" hidden="1" x14ac:dyDescent="0.35">
      <c r="D306" s="85" t="str">
        <f t="shared" ref="D306:E306" ca="1" si="132">K119</f>
        <v/>
      </c>
      <c r="E306" s="85" t="str">
        <f t="shared" ca="1" si="132"/>
        <v/>
      </c>
      <c r="T306" s="64" t="str">
        <f t="shared" ca="1" si="86"/>
        <v/>
      </c>
      <c r="U306" s="64" t="str">
        <f t="shared" si="87"/>
        <v/>
      </c>
      <c r="V306" s="266" t="str">
        <f ca="1">IF(OR(D306=0,D306="",D306="Athlete"),"",COUNTIF($D$4:$D306,D306))</f>
        <v/>
      </c>
    </row>
    <row r="307" spans="4:22" hidden="1" x14ac:dyDescent="0.35">
      <c r="D307" s="85" t="str">
        <f t="shared" ref="D307:E307" ca="1" si="133">K120</f>
        <v/>
      </c>
      <c r="E307" s="85" t="str">
        <f t="shared" ca="1" si="133"/>
        <v/>
      </c>
      <c r="T307" s="64" t="str">
        <f t="shared" ca="1" si="86"/>
        <v/>
      </c>
      <c r="U307" s="64" t="str">
        <f t="shared" si="87"/>
        <v/>
      </c>
      <c r="V307" s="266" t="str">
        <f ca="1">IF(OR(D307=0,D307="",D307="Athlete"),"",COUNTIF($D$4:$D307,D307))</f>
        <v/>
      </c>
    </row>
    <row r="308" spans="4:22" hidden="1" x14ac:dyDescent="0.35">
      <c r="D308" s="85" t="str">
        <f t="shared" ref="D308:E308" ca="1" si="134">K121</f>
        <v/>
      </c>
      <c r="E308" s="85" t="str">
        <f t="shared" ca="1" si="134"/>
        <v/>
      </c>
      <c r="T308" s="64" t="str">
        <f t="shared" ca="1" si="86"/>
        <v/>
      </c>
      <c r="U308" s="64" t="str">
        <f t="shared" si="87"/>
        <v/>
      </c>
      <c r="V308" s="266" t="str">
        <f ca="1">IF(OR(D308=0,D308="",D308="Athlete"),"",COUNTIF($D$4:$D308,D308))</f>
        <v/>
      </c>
    </row>
    <row r="309" spans="4:22" hidden="1" x14ac:dyDescent="0.35">
      <c r="D309" s="85">
        <f t="shared" ref="D309:E309" si="135">K122</f>
        <v>0</v>
      </c>
      <c r="E309" s="85">
        <f t="shared" si="135"/>
        <v>0</v>
      </c>
      <c r="T309" s="64" t="str">
        <f t="shared" si="86"/>
        <v/>
      </c>
      <c r="U309" s="64" t="str">
        <f t="shared" si="87"/>
        <v/>
      </c>
      <c r="V309" s="266" t="str">
        <f>IF(OR(D309=0,D309="",D309="Athlete"),"",COUNTIF($D$4:$D309,D309))</f>
        <v/>
      </c>
    </row>
    <row r="310" spans="4:22" hidden="1" x14ac:dyDescent="0.35">
      <c r="D310" s="85">
        <f t="shared" ref="D310:E310" si="136">K123</f>
        <v>0</v>
      </c>
      <c r="E310" s="85">
        <f t="shared" si="136"/>
        <v>0</v>
      </c>
      <c r="T310" s="64" t="str">
        <f t="shared" si="86"/>
        <v/>
      </c>
      <c r="U310" s="64" t="str">
        <f t="shared" si="87"/>
        <v/>
      </c>
      <c r="V310" s="266" t="str">
        <f>IF(OR(D310=0,D310="",D310="Athlete"),"",COUNTIF($D$4:$D310,D310))</f>
        <v/>
      </c>
    </row>
    <row r="311" spans="4:22" hidden="1" x14ac:dyDescent="0.35">
      <c r="D311" s="85">
        <f t="shared" ref="D311" si="137">K124</f>
        <v>0</v>
      </c>
      <c r="E311" s="85" t="e">
        <f>#REF!</f>
        <v>#REF!</v>
      </c>
      <c r="T311" s="64" t="str">
        <f t="shared" si="86"/>
        <v/>
      </c>
      <c r="U311" s="64" t="str">
        <f t="shared" si="87"/>
        <v/>
      </c>
      <c r="V311" s="266" t="str">
        <f>IF(OR(D311=0,D311="",D311="Athlete"),"",COUNTIF($D$4:$D311,D311))</f>
        <v/>
      </c>
    </row>
    <row r="312" spans="4:22" hidden="1" x14ac:dyDescent="0.35">
      <c r="D312" s="85">
        <f t="shared" ref="D312" si="138">K125</f>
        <v>0</v>
      </c>
      <c r="E312" s="85" t="e">
        <f>#REF!</f>
        <v>#REF!</v>
      </c>
      <c r="T312" s="64" t="str">
        <f t="shared" si="86"/>
        <v/>
      </c>
      <c r="U312" s="64" t="str">
        <f t="shared" si="87"/>
        <v/>
      </c>
      <c r="V312" s="266" t="str">
        <f>IF(OR(D312=0,D312="",D312="Athlete"),"",COUNTIF($D$4:$D312,D312))</f>
        <v/>
      </c>
    </row>
    <row r="313" spans="4:22" hidden="1" x14ac:dyDescent="0.35">
      <c r="D313" s="85">
        <f t="shared" ref="D313" si="139">K126</f>
        <v>0</v>
      </c>
      <c r="E313" s="85" t="e">
        <f>#REF!</f>
        <v>#REF!</v>
      </c>
      <c r="T313" s="64" t="str">
        <f t="shared" si="86"/>
        <v/>
      </c>
      <c r="U313" s="64" t="str">
        <f t="shared" si="87"/>
        <v/>
      </c>
      <c r="V313" s="266" t="str">
        <f>IF(OR(D313=0,D313="",D313="Athlete"),"",COUNTIF($D$4:$D313,D313))</f>
        <v/>
      </c>
    </row>
    <row r="314" spans="4:22" hidden="1" x14ac:dyDescent="0.35">
      <c r="D314" s="85">
        <f t="shared" ref="D314" si="140">K127</f>
        <v>0</v>
      </c>
      <c r="E314" s="85" t="e">
        <f>#REF!</f>
        <v>#REF!</v>
      </c>
      <c r="T314" s="64" t="str">
        <f t="shared" si="86"/>
        <v/>
      </c>
      <c r="U314" s="64" t="str">
        <f t="shared" si="87"/>
        <v/>
      </c>
      <c r="V314" s="266" t="str">
        <f>IF(OR(D314=0,D314="",D314="Athlete"),"",COUNTIF($D$4:$D314,D314))</f>
        <v/>
      </c>
    </row>
    <row r="315" spans="4:22" hidden="1" x14ac:dyDescent="0.35">
      <c r="D315" s="85">
        <f t="shared" ref="D315" si="141">K128</f>
        <v>0</v>
      </c>
      <c r="E315" s="85" t="e">
        <f>#REF!</f>
        <v>#REF!</v>
      </c>
      <c r="T315" s="64" t="str">
        <f t="shared" si="86"/>
        <v/>
      </c>
      <c r="U315" s="64" t="str">
        <f t="shared" si="87"/>
        <v/>
      </c>
      <c r="V315" s="266" t="str">
        <f>IF(OR(D315=0,D315="",D315="Athlete"),"",COUNTIF($D$4:$D315,D315))</f>
        <v/>
      </c>
    </row>
    <row r="316" spans="4:22" hidden="1" x14ac:dyDescent="0.35">
      <c r="D316" s="85">
        <f t="shared" ref="D316" si="142">K129</f>
        <v>0</v>
      </c>
      <c r="E316" s="85" t="e">
        <f>#REF!</f>
        <v>#REF!</v>
      </c>
      <c r="T316" s="64" t="str">
        <f t="shared" si="86"/>
        <v/>
      </c>
      <c r="U316" s="64" t="str">
        <f t="shared" si="87"/>
        <v/>
      </c>
      <c r="V316" s="266" t="str">
        <f>IF(OR(D316=0,D316="",D316="Athlete"),"",COUNTIF($D$4:$D316,D316))</f>
        <v/>
      </c>
    </row>
    <row r="317" spans="4:22" hidden="1" x14ac:dyDescent="0.35">
      <c r="D317" s="85">
        <f t="shared" ref="D317" si="143">K130</f>
        <v>0</v>
      </c>
      <c r="E317" s="85" t="e">
        <f>#REF!</f>
        <v>#REF!</v>
      </c>
      <c r="T317" s="64" t="str">
        <f t="shared" si="86"/>
        <v/>
      </c>
      <c r="U317" s="64" t="str">
        <f t="shared" si="87"/>
        <v/>
      </c>
      <c r="V317" s="266" t="str">
        <f>IF(OR(D317=0,D317="",D317="Athlete"),"",COUNTIF($D$4:$D317,D317))</f>
        <v/>
      </c>
    </row>
    <row r="318" spans="4:22" hidden="1" x14ac:dyDescent="0.35">
      <c r="D318" s="85">
        <f t="shared" ref="D318" si="144">K131</f>
        <v>0</v>
      </c>
      <c r="E318" s="85" t="e">
        <f>#REF!</f>
        <v>#REF!</v>
      </c>
      <c r="T318" s="64" t="str">
        <f t="shared" si="86"/>
        <v/>
      </c>
      <c r="U318" s="64" t="str">
        <f t="shared" si="87"/>
        <v/>
      </c>
      <c r="V318" s="266" t="str">
        <f>IF(OR(D318=0,D318="",D318="Athlete"),"",COUNTIF($D$4:$D318,D318))</f>
        <v/>
      </c>
    </row>
    <row r="319" spans="4:22" hidden="1" x14ac:dyDescent="0.35">
      <c r="D319" s="85">
        <f t="shared" ref="D319" si="145">K132</f>
        <v>0</v>
      </c>
      <c r="E319" s="85" t="e">
        <f>#REF!</f>
        <v>#REF!</v>
      </c>
      <c r="T319" s="64" t="str">
        <f t="shared" si="86"/>
        <v/>
      </c>
      <c r="U319" s="64" t="str">
        <f t="shared" si="87"/>
        <v/>
      </c>
      <c r="V319" s="266" t="str">
        <f>IF(OR(D319=0,D319="",D319="Athlete"),"",COUNTIF($D$4:$D319,D319))</f>
        <v/>
      </c>
    </row>
    <row r="320" spans="4:22" hidden="1" x14ac:dyDescent="0.35">
      <c r="D320" s="85">
        <f t="shared" ref="D320:E320" si="146">K133</f>
        <v>0</v>
      </c>
      <c r="E320" s="85">
        <f t="shared" si="146"/>
        <v>0</v>
      </c>
      <c r="T320" s="64" t="str">
        <f t="shared" si="86"/>
        <v/>
      </c>
      <c r="U320" s="64" t="str">
        <f t="shared" si="87"/>
        <v/>
      </c>
      <c r="V320" s="266" t="str">
        <f>IF(OR(D320=0,D320="",D320="Athlete"),"",COUNTIF($D$4:$D320,D320))</f>
        <v/>
      </c>
    </row>
    <row r="321" spans="4:22" hidden="1" x14ac:dyDescent="0.35">
      <c r="D321" s="85">
        <f t="shared" ref="D321:E321" si="147">K134</f>
        <v>0</v>
      </c>
      <c r="E321" s="85">
        <f t="shared" si="147"/>
        <v>0</v>
      </c>
      <c r="T321" s="64" t="str">
        <f t="shared" si="86"/>
        <v/>
      </c>
      <c r="U321" s="64" t="str">
        <f t="shared" si="87"/>
        <v/>
      </c>
      <c r="V321" s="266" t="str">
        <f>IF(OR(D321=0,D321="",D321="Athlete"),"",COUNTIF($D$4:$D321,D321))</f>
        <v/>
      </c>
    </row>
    <row r="322" spans="4:22" hidden="1" x14ac:dyDescent="0.35">
      <c r="D322" s="85">
        <f t="shared" ref="D322:E322" si="148">K135</f>
        <v>0</v>
      </c>
      <c r="E322" s="85">
        <f t="shared" si="148"/>
        <v>0</v>
      </c>
      <c r="T322" s="64" t="str">
        <f t="shared" si="86"/>
        <v/>
      </c>
      <c r="U322" s="64" t="str">
        <f t="shared" si="87"/>
        <v/>
      </c>
      <c r="V322" s="266" t="str">
        <f>IF(OR(D322=0,D322="",D322="Athlete"),"",COUNTIF($D$4:$D322,D322))</f>
        <v/>
      </c>
    </row>
    <row r="323" spans="4:22" hidden="1" x14ac:dyDescent="0.35">
      <c r="D323" s="85">
        <f t="shared" ref="D323:E323" si="149">K136</f>
        <v>0</v>
      </c>
      <c r="E323" s="85">
        <f t="shared" si="149"/>
        <v>0</v>
      </c>
      <c r="T323" s="64" t="str">
        <f t="shared" si="86"/>
        <v/>
      </c>
      <c r="U323" s="64" t="str">
        <f t="shared" si="87"/>
        <v/>
      </c>
      <c r="V323" s="266" t="str">
        <f>IF(OR(D323=0,D323="",D323="Athlete"),"",COUNTIF($D$4:$D323,D323))</f>
        <v/>
      </c>
    </row>
    <row r="324" spans="4:22" hidden="1" x14ac:dyDescent="0.35">
      <c r="D324" s="85">
        <f t="shared" ref="D324:E324" si="150">K137</f>
        <v>0</v>
      </c>
      <c r="E324" s="85">
        <f t="shared" si="150"/>
        <v>0</v>
      </c>
      <c r="T324" s="64" t="str">
        <f t="shared" si="86"/>
        <v/>
      </c>
      <c r="U324" s="64" t="str">
        <f t="shared" si="87"/>
        <v/>
      </c>
      <c r="V324" s="266" t="str">
        <f>IF(OR(D324=0,D324="",D324="Athlete"),"",COUNTIF($D$4:$D324,D324))</f>
        <v/>
      </c>
    </row>
    <row r="325" spans="4:22" hidden="1" x14ac:dyDescent="0.35">
      <c r="D325" s="85">
        <f t="shared" ref="D325:E325" si="151">K138</f>
        <v>0</v>
      </c>
      <c r="E325" s="85">
        <f t="shared" si="151"/>
        <v>0</v>
      </c>
      <c r="T325" s="64" t="str">
        <f t="shared" ref="T325:T352" si="152">IF(OR(D325=0,D325="",D325="Athlete"),"",COUNTIF($D$4:$D$352,D325))</f>
        <v/>
      </c>
      <c r="U325" s="64" t="str">
        <f t="shared" ref="U325:U352" si="153">IF(OR(K325=0,K325="",K325="Athlete"),"",COUNTIF($D$4:$D$352,K325))</f>
        <v/>
      </c>
      <c r="V325" s="266" t="str">
        <f>IF(OR(D325=0,D325="",D325="Athlete"),"",COUNTIF($D$4:$D325,D325))</f>
        <v/>
      </c>
    </row>
    <row r="326" spans="4:22" hidden="1" x14ac:dyDescent="0.35">
      <c r="D326" s="85">
        <f t="shared" ref="D326:E326" si="154">K139</f>
        <v>0</v>
      </c>
      <c r="E326" s="85">
        <f t="shared" si="154"/>
        <v>0</v>
      </c>
      <c r="T326" s="64" t="str">
        <f t="shared" si="152"/>
        <v/>
      </c>
      <c r="U326" s="64" t="str">
        <f t="shared" si="153"/>
        <v/>
      </c>
      <c r="V326" s="266" t="str">
        <f>IF(OR(D326=0,D326="",D326="Athlete"),"",COUNTIF($D$4:$D326,D326))</f>
        <v/>
      </c>
    </row>
    <row r="327" spans="4:22" hidden="1" x14ac:dyDescent="0.35">
      <c r="D327" s="85">
        <f t="shared" ref="D327:E327" si="155">K140</f>
        <v>0</v>
      </c>
      <c r="E327" s="85">
        <f t="shared" si="155"/>
        <v>0</v>
      </c>
      <c r="T327" s="64" t="str">
        <f t="shared" si="152"/>
        <v/>
      </c>
      <c r="U327" s="64" t="str">
        <f t="shared" si="153"/>
        <v/>
      </c>
      <c r="V327" s="266" t="str">
        <f>IF(OR(D327=0,D327="",D327="Athlete"),"",COUNTIF($D$4:$D327,D327))</f>
        <v/>
      </c>
    </row>
    <row r="328" spans="4:22" hidden="1" x14ac:dyDescent="0.35">
      <c r="D328" s="85">
        <f t="shared" ref="D328:E328" si="156">K141</f>
        <v>0</v>
      </c>
      <c r="E328" s="85">
        <f t="shared" si="156"/>
        <v>0</v>
      </c>
      <c r="T328" s="64" t="str">
        <f t="shared" si="152"/>
        <v/>
      </c>
      <c r="U328" s="64" t="str">
        <f t="shared" si="153"/>
        <v/>
      </c>
      <c r="V328" s="266" t="str">
        <f>IF(OR(D328=0,D328="",D328="Athlete"),"",COUNTIF($D$4:$D328,D328))</f>
        <v/>
      </c>
    </row>
    <row r="329" spans="4:22" hidden="1" x14ac:dyDescent="0.35">
      <c r="D329" s="85">
        <f t="shared" ref="D329:E329" si="157">K142</f>
        <v>0</v>
      </c>
      <c r="E329" s="85">
        <f t="shared" si="157"/>
        <v>0</v>
      </c>
      <c r="T329" s="64" t="str">
        <f t="shared" si="152"/>
        <v/>
      </c>
      <c r="U329" s="64" t="str">
        <f t="shared" si="153"/>
        <v/>
      </c>
      <c r="V329" s="266" t="str">
        <f>IF(OR(D329=0,D329="",D329="Athlete"),"",COUNTIF($D$4:$D329,D329))</f>
        <v/>
      </c>
    </row>
    <row r="330" spans="4:22" hidden="1" x14ac:dyDescent="0.35">
      <c r="D330" s="85">
        <f t="shared" ref="D330:E330" si="158">K143</f>
        <v>0</v>
      </c>
      <c r="E330" s="85">
        <f t="shared" si="158"/>
        <v>0</v>
      </c>
      <c r="T330" s="64" t="str">
        <f t="shared" si="152"/>
        <v/>
      </c>
      <c r="U330" s="64" t="str">
        <f t="shared" si="153"/>
        <v/>
      </c>
      <c r="V330" s="266" t="str">
        <f>IF(OR(D330=0,D330="",D330="Athlete"),"",COUNTIF($D$4:$D330,D330))</f>
        <v/>
      </c>
    </row>
    <row r="331" spans="4:22" hidden="1" x14ac:dyDescent="0.35">
      <c r="D331" s="85">
        <f t="shared" ref="D331:E331" si="159">K144</f>
        <v>0</v>
      </c>
      <c r="E331" s="85">
        <f t="shared" si="159"/>
        <v>0</v>
      </c>
      <c r="T331" s="64" t="str">
        <f t="shared" si="152"/>
        <v/>
      </c>
      <c r="U331" s="64" t="str">
        <f t="shared" si="153"/>
        <v/>
      </c>
      <c r="V331" s="266" t="str">
        <f>IF(OR(D331=0,D331="",D331="Athlete"),"",COUNTIF($D$4:$D331,D331))</f>
        <v/>
      </c>
    </row>
    <row r="332" spans="4:22" hidden="1" x14ac:dyDescent="0.35">
      <c r="D332" s="85">
        <f t="shared" ref="D332:E332" si="160">K145</f>
        <v>0</v>
      </c>
      <c r="E332" s="85">
        <f t="shared" si="160"/>
        <v>0</v>
      </c>
      <c r="T332" s="64" t="str">
        <f t="shared" si="152"/>
        <v/>
      </c>
      <c r="U332" s="64" t="str">
        <f t="shared" si="153"/>
        <v/>
      </c>
      <c r="V332" s="266" t="str">
        <f>IF(OR(D332=0,D332="",D332="Athlete"),"",COUNTIF($D$4:$D332,D332))</f>
        <v/>
      </c>
    </row>
    <row r="333" spans="4:22" hidden="1" x14ac:dyDescent="0.35">
      <c r="D333" s="85">
        <f t="shared" ref="D333:E333" si="161">K146</f>
        <v>0</v>
      </c>
      <c r="E333" s="85">
        <f t="shared" si="161"/>
        <v>0</v>
      </c>
      <c r="T333" s="64" t="str">
        <f t="shared" si="152"/>
        <v/>
      </c>
      <c r="U333" s="64" t="str">
        <f t="shared" si="153"/>
        <v/>
      </c>
      <c r="V333" s="266" t="str">
        <f>IF(OR(D333=0,D333="",D333="Athlete"),"",COUNTIF($D$4:$D333,D333))</f>
        <v/>
      </c>
    </row>
    <row r="334" spans="4:22" hidden="1" x14ac:dyDescent="0.35">
      <c r="D334" s="85">
        <f t="shared" ref="D334:E334" si="162">K147</f>
        <v>0</v>
      </c>
      <c r="E334" s="85">
        <f t="shared" si="162"/>
        <v>0</v>
      </c>
      <c r="T334" s="64" t="str">
        <f t="shared" si="152"/>
        <v/>
      </c>
      <c r="U334" s="64" t="str">
        <f t="shared" si="153"/>
        <v/>
      </c>
      <c r="V334" s="266" t="str">
        <f>IF(OR(D334=0,D334="",D334="Athlete"),"",COUNTIF($D$4:$D334,D334))</f>
        <v/>
      </c>
    </row>
    <row r="335" spans="4:22" hidden="1" x14ac:dyDescent="0.35">
      <c r="D335" s="85">
        <f t="shared" ref="D335:E335" si="163">K148</f>
        <v>0</v>
      </c>
      <c r="E335" s="85">
        <f t="shared" si="163"/>
        <v>0</v>
      </c>
      <c r="T335" s="64" t="str">
        <f t="shared" si="152"/>
        <v/>
      </c>
      <c r="U335" s="64" t="str">
        <f t="shared" si="153"/>
        <v/>
      </c>
      <c r="V335" s="266" t="str">
        <f>IF(OR(D335=0,D335="",D335="Athlete"),"",COUNTIF($D$4:$D335,D335))</f>
        <v/>
      </c>
    </row>
    <row r="336" spans="4:22" hidden="1" x14ac:dyDescent="0.35">
      <c r="D336" s="85">
        <f t="shared" ref="D336:E336" si="164">K149</f>
        <v>0</v>
      </c>
      <c r="E336" s="85">
        <f t="shared" si="164"/>
        <v>0</v>
      </c>
      <c r="T336" s="64" t="str">
        <f t="shared" si="152"/>
        <v/>
      </c>
      <c r="U336" s="64" t="str">
        <f t="shared" si="153"/>
        <v/>
      </c>
      <c r="V336" s="266" t="str">
        <f>IF(OR(D336=0,D336="",D336="Athlete"),"",COUNTIF($D$4:$D336,D336))</f>
        <v/>
      </c>
    </row>
    <row r="337" spans="4:22" hidden="1" x14ac:dyDescent="0.35">
      <c r="D337" s="85">
        <f t="shared" ref="D337:E337" si="165">K150</f>
        <v>0</v>
      </c>
      <c r="E337" s="85">
        <f t="shared" si="165"/>
        <v>0</v>
      </c>
      <c r="T337" s="64" t="str">
        <f t="shared" si="152"/>
        <v/>
      </c>
      <c r="U337" s="64" t="str">
        <f t="shared" si="153"/>
        <v/>
      </c>
      <c r="V337" s="266" t="str">
        <f>IF(OR(D337=0,D337="",D337="Athlete"),"",COUNTIF($D$4:$D337,D337))</f>
        <v/>
      </c>
    </row>
    <row r="338" spans="4:22" hidden="1" x14ac:dyDescent="0.35">
      <c r="D338" s="85">
        <f t="shared" ref="D338:E338" si="166">K151</f>
        <v>0</v>
      </c>
      <c r="E338" s="85">
        <f t="shared" si="166"/>
        <v>0</v>
      </c>
      <c r="T338" s="64" t="str">
        <f t="shared" si="152"/>
        <v/>
      </c>
      <c r="U338" s="64" t="str">
        <f t="shared" si="153"/>
        <v/>
      </c>
      <c r="V338" s="266" t="str">
        <f>IF(OR(D338=0,D338="",D338="Athlete"),"",COUNTIF($D$4:$D338,D338))</f>
        <v/>
      </c>
    </row>
    <row r="339" spans="4:22" hidden="1" x14ac:dyDescent="0.35">
      <c r="D339" s="85">
        <f t="shared" ref="D339:E339" si="167">K152</f>
        <v>0</v>
      </c>
      <c r="E339" s="85">
        <f t="shared" si="167"/>
        <v>0</v>
      </c>
      <c r="T339" s="64" t="str">
        <f t="shared" si="152"/>
        <v/>
      </c>
      <c r="U339" s="64" t="str">
        <f t="shared" si="153"/>
        <v/>
      </c>
      <c r="V339" s="266" t="str">
        <f>IF(OR(D339=0,D339="",D339="Athlete"),"",COUNTIF($D$4:$D339,D339))</f>
        <v/>
      </c>
    </row>
    <row r="340" spans="4:22" hidden="1" x14ac:dyDescent="0.35">
      <c r="D340" s="85">
        <f t="shared" ref="D340:E340" si="168">K153</f>
        <v>0</v>
      </c>
      <c r="E340" s="85">
        <f t="shared" si="168"/>
        <v>0</v>
      </c>
      <c r="T340" s="64" t="str">
        <f t="shared" si="152"/>
        <v/>
      </c>
      <c r="U340" s="64" t="str">
        <f t="shared" si="153"/>
        <v/>
      </c>
      <c r="V340" s="266" t="str">
        <f>IF(OR(D340=0,D340="",D340="Athlete"),"",COUNTIF($D$4:$D340,D340))</f>
        <v/>
      </c>
    </row>
    <row r="341" spans="4:22" hidden="1" x14ac:dyDescent="0.35">
      <c r="D341" s="85">
        <f t="shared" ref="D341:E341" si="169">K154</f>
        <v>0</v>
      </c>
      <c r="E341" s="85">
        <f t="shared" si="169"/>
        <v>0</v>
      </c>
      <c r="T341" s="64" t="str">
        <f t="shared" si="152"/>
        <v/>
      </c>
      <c r="U341" s="64" t="str">
        <f t="shared" si="153"/>
        <v/>
      </c>
      <c r="V341" s="266" t="str">
        <f>IF(OR(D341=0,D341="",D341="Athlete"),"",COUNTIF($D$4:$D341,D341))</f>
        <v/>
      </c>
    </row>
    <row r="342" spans="4:22" hidden="1" x14ac:dyDescent="0.35">
      <c r="D342" s="85">
        <f t="shared" ref="D342:E342" si="170">K155</f>
        <v>0</v>
      </c>
      <c r="E342" s="85">
        <f t="shared" si="170"/>
        <v>0</v>
      </c>
      <c r="T342" s="64" t="str">
        <f t="shared" si="152"/>
        <v/>
      </c>
      <c r="U342" s="64" t="str">
        <f t="shared" si="153"/>
        <v/>
      </c>
      <c r="V342" s="266" t="str">
        <f>IF(OR(D342=0,D342="",D342="Athlete"),"",COUNTIF($D$4:$D342,D342))</f>
        <v/>
      </c>
    </row>
    <row r="343" spans="4:22" hidden="1" x14ac:dyDescent="0.35">
      <c r="D343" s="85">
        <f t="shared" ref="D343:E343" si="171">K156</f>
        <v>0</v>
      </c>
      <c r="E343" s="85">
        <f t="shared" si="171"/>
        <v>0</v>
      </c>
      <c r="T343" s="64" t="str">
        <f t="shared" si="152"/>
        <v/>
      </c>
      <c r="U343" s="64" t="str">
        <f t="shared" si="153"/>
        <v/>
      </c>
      <c r="V343" s="266" t="str">
        <f>IF(OR(D343=0,D343="",D343="Athlete"),"",COUNTIF($D$4:$D343,D343))</f>
        <v/>
      </c>
    </row>
    <row r="344" spans="4:22" hidden="1" x14ac:dyDescent="0.35">
      <c r="D344" s="85">
        <f t="shared" ref="D344:E344" si="172">K157</f>
        <v>0</v>
      </c>
      <c r="E344" s="85">
        <f t="shared" si="172"/>
        <v>0</v>
      </c>
      <c r="T344" s="64" t="str">
        <f t="shared" si="152"/>
        <v/>
      </c>
      <c r="U344" s="64" t="str">
        <f t="shared" si="153"/>
        <v/>
      </c>
      <c r="V344" s="266" t="str">
        <f>IF(OR(D344=0,D344="",D344="Athlete"),"",COUNTIF($D$4:$D344,D344))</f>
        <v/>
      </c>
    </row>
    <row r="345" spans="4:22" hidden="1" x14ac:dyDescent="0.35">
      <c r="D345" s="85">
        <f t="shared" ref="D345:E345" si="173">K158</f>
        <v>0</v>
      </c>
      <c r="E345" s="85">
        <f t="shared" si="173"/>
        <v>0</v>
      </c>
      <c r="T345" s="64" t="str">
        <f t="shared" si="152"/>
        <v/>
      </c>
      <c r="U345" s="64" t="str">
        <f t="shared" si="153"/>
        <v/>
      </c>
      <c r="V345" s="266" t="str">
        <f>IF(OR(D345=0,D345="",D345="Athlete"),"",COUNTIF($D$4:$D345,D345))</f>
        <v/>
      </c>
    </row>
    <row r="346" spans="4:22" hidden="1" x14ac:dyDescent="0.35">
      <c r="D346" s="85">
        <f t="shared" ref="D346:E346" si="174">K159</f>
        <v>0</v>
      </c>
      <c r="E346" s="85">
        <f t="shared" si="174"/>
        <v>0</v>
      </c>
      <c r="T346" s="64" t="str">
        <f t="shared" si="152"/>
        <v/>
      </c>
      <c r="U346" s="64" t="str">
        <f t="shared" si="153"/>
        <v/>
      </c>
      <c r="V346" s="266" t="str">
        <f>IF(OR(D346=0,D346="",D346="Athlete"),"",COUNTIF($D$4:$D346,D346))</f>
        <v/>
      </c>
    </row>
    <row r="347" spans="4:22" hidden="1" x14ac:dyDescent="0.35">
      <c r="D347" s="85">
        <f t="shared" ref="D347:E347" si="175">K160</f>
        <v>0</v>
      </c>
      <c r="E347" s="85">
        <f t="shared" si="175"/>
        <v>0</v>
      </c>
      <c r="T347" s="64" t="str">
        <f t="shared" si="152"/>
        <v/>
      </c>
      <c r="U347" s="64" t="str">
        <f t="shared" si="153"/>
        <v/>
      </c>
      <c r="V347" s="266" t="str">
        <f>IF(OR(D347=0,D347="",D347="Athlete"),"",COUNTIF($D$4:$D347,D347))</f>
        <v/>
      </c>
    </row>
    <row r="348" spans="4:22" hidden="1" x14ac:dyDescent="0.35">
      <c r="D348" s="85">
        <f t="shared" ref="D348:E348" si="176">K161</f>
        <v>0</v>
      </c>
      <c r="E348" s="85">
        <f t="shared" si="176"/>
        <v>0</v>
      </c>
      <c r="T348" s="64" t="str">
        <f t="shared" si="152"/>
        <v/>
      </c>
      <c r="U348" s="64" t="str">
        <f t="shared" si="153"/>
        <v/>
      </c>
      <c r="V348" s="266" t="str">
        <f>IF(OR(D348=0,D348="",D348="Athlete"),"",COUNTIF($D$4:$D348,D348))</f>
        <v/>
      </c>
    </row>
    <row r="349" spans="4:22" hidden="1" x14ac:dyDescent="0.35">
      <c r="D349" s="85">
        <f t="shared" ref="D349:E349" si="177">K162</f>
        <v>0</v>
      </c>
      <c r="E349" s="85">
        <f t="shared" si="177"/>
        <v>0</v>
      </c>
      <c r="T349" s="64" t="str">
        <f t="shared" si="152"/>
        <v/>
      </c>
      <c r="U349" s="64" t="str">
        <f t="shared" si="153"/>
        <v/>
      </c>
      <c r="V349" s="266" t="str">
        <f>IF(OR(D349=0,D349="",D349="Athlete"),"",COUNTIF($D$4:$D349,D349))</f>
        <v/>
      </c>
    </row>
    <row r="350" spans="4:22" hidden="1" x14ac:dyDescent="0.35">
      <c r="D350" s="85">
        <f t="shared" ref="D350:E350" si="178">K163</f>
        <v>0</v>
      </c>
      <c r="E350" s="85">
        <f t="shared" si="178"/>
        <v>0</v>
      </c>
      <c r="T350" s="64" t="str">
        <f t="shared" si="152"/>
        <v/>
      </c>
      <c r="U350" s="64" t="str">
        <f t="shared" si="153"/>
        <v/>
      </c>
      <c r="V350" s="266" t="str">
        <f>IF(OR(D350=0,D350="",D350="Athlete"),"",COUNTIF($D$4:$D350,D350))</f>
        <v/>
      </c>
    </row>
    <row r="351" spans="4:22" hidden="1" x14ac:dyDescent="0.35">
      <c r="D351" s="85">
        <f t="shared" ref="D351:E351" si="179">K164</f>
        <v>0</v>
      </c>
      <c r="E351" s="85">
        <f t="shared" si="179"/>
        <v>0</v>
      </c>
      <c r="T351" s="64" t="str">
        <f t="shared" si="152"/>
        <v/>
      </c>
      <c r="U351" s="64" t="str">
        <f t="shared" si="153"/>
        <v/>
      </c>
      <c r="V351" s="266" t="str">
        <f>IF(OR(D351=0,D351="",D351="Athlete"),"",COUNTIF($D$4:$D351,D351))</f>
        <v/>
      </c>
    </row>
    <row r="352" spans="4:22" hidden="1" x14ac:dyDescent="0.35">
      <c r="D352" s="85">
        <f t="shared" ref="D352:E352" si="180">K165</f>
        <v>0</v>
      </c>
      <c r="E352" s="85">
        <f t="shared" si="180"/>
        <v>0</v>
      </c>
      <c r="T352" s="64" t="str">
        <f t="shared" si="152"/>
        <v/>
      </c>
      <c r="U352" s="64" t="str">
        <f t="shared" si="153"/>
        <v/>
      </c>
      <c r="V352" s="266" t="str">
        <f>IF(OR(D352=0,D352="",D352="Athlete"),"",COUNTIF($D$4:$D352,D352))</f>
        <v/>
      </c>
    </row>
  </sheetData>
  <sheetProtection algorithmName="SHA-512" hashValue="CHQTaUUlq8exEB6BcIiHZj+zl4dhJgikNacAm19f8ufU2t/0aZkytKIqUAz09oaUwBXeDereGFFOTCSgYkGtyQ==" saltValue="wKT+FUqLDuld/BpMe71RbA==" spinCount="100000" sheet="1" objects="1" scenarios="1" formatCells="0" formatColumns="0" formatRows="0" sort="0" autoFilter="0"/>
  <mergeCells count="1">
    <mergeCell ref="L1:M1"/>
  </mergeCells>
  <printOptions horizontalCentered="1"/>
  <pageMargins left="0.31496062992125984" right="0.31496062992125984" top="0.98425196850393704" bottom="0.74803149606299213" header="0.31496062992125984" footer="0.31496062992125984"/>
  <pageSetup paperSize="9" scale="99" orientation="portrait" r:id="rId1"/>
  <headerFooter>
    <oddHeader>&amp;L&amp;G&amp;CUK ATHLETICS :: YOUTH DEVELOPMENT LEAGUE 2023&amp;R&amp;"+,Regular"&amp;U&amp;A</oddHeader>
    <oddFooter>&amp;L&amp;9&amp;D &amp;T&amp;C&amp;G&amp;R&amp;9Page &amp;P of &amp;N</oddFooter>
  </headerFooter>
  <rowBreaks count="2" manualBreakCount="2">
    <brk id="45" min="1" max="13" man="1"/>
    <brk id="89" min="1" max="13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5">
    <tabColor rgb="FFFFFF00"/>
  </sheetPr>
  <dimension ref="A1:AB352"/>
  <sheetViews>
    <sheetView showZeros="0" topLeftCell="B1" zoomScaleNormal="100" workbookViewId="0">
      <pane ySplit="1" topLeftCell="A41" activePane="bottomLeft" state="frozen"/>
      <selection activeCell="F7" sqref="F7"/>
      <selection pane="bottomLeft" activeCell="C48" sqref="C48"/>
    </sheetView>
  </sheetViews>
  <sheetFormatPr defaultColWidth="8.7109375" defaultRowHeight="15" x14ac:dyDescent="0.35"/>
  <cols>
    <col min="1" max="1" width="8.7109375" style="66" hidden="1" customWidth="1"/>
    <col min="2" max="3" width="3.7109375" style="66" customWidth="1"/>
    <col min="4" max="4" width="20.7109375" style="85" customWidth="1"/>
    <col min="5" max="5" width="7.7109375" style="85" customWidth="1"/>
    <col min="6" max="6" width="7.42578125" style="67" bestFit="1" customWidth="1"/>
    <col min="7" max="7" width="4" style="108" customWidth="1"/>
    <col min="8" max="8" width="1.7109375" style="64" customWidth="1"/>
    <col min="9" max="10" width="3.7109375" style="66" customWidth="1"/>
    <col min="11" max="11" width="20.7109375" style="64" customWidth="1"/>
    <col min="12" max="12" width="7.7109375" style="85" customWidth="1"/>
    <col min="13" max="13" width="7.42578125" style="67" bestFit="1" customWidth="1"/>
    <col min="14" max="14" width="4" style="108" customWidth="1"/>
    <col min="15" max="17" width="8.7109375" style="64"/>
    <col min="18" max="18" width="0" style="64" hidden="1" customWidth="1"/>
    <col min="19" max="19" width="8.7109375" style="64"/>
    <col min="20" max="21" width="0" style="64" hidden="1" customWidth="1"/>
    <col min="22" max="23" width="0" style="266" hidden="1" customWidth="1"/>
    <col min="24" max="28" width="8.7109375" style="266"/>
    <col min="29" max="16384" width="8.7109375" style="64"/>
  </cols>
  <sheetData>
    <row r="1" spans="1:26" ht="45" customHeight="1" x14ac:dyDescent="0.35">
      <c r="A1" s="150" t="s">
        <v>540</v>
      </c>
      <c r="B1" s="193" t="str">
        <f>Dashboard!E1</f>
        <v>LOWER NORTH West 2 Macclesfield Leisure Centre</v>
      </c>
      <c r="G1" s="147"/>
      <c r="I1" s="64"/>
      <c r="J1" s="64"/>
      <c r="K1" s="151"/>
      <c r="L1" s="455">
        <f>Dashboard!E2</f>
        <v>45053</v>
      </c>
      <c r="M1" s="455"/>
      <c r="N1" s="149"/>
      <c r="P1" s="79"/>
      <c r="Q1" s="70"/>
      <c r="R1" s="79">
        <f ca="1">SUM(R2:R300)</f>
        <v>91</v>
      </c>
    </row>
    <row r="2" spans="1:26" x14ac:dyDescent="0.35">
      <c r="A2" s="66" t="s">
        <v>40</v>
      </c>
      <c r="B2" s="102" t="str">
        <f ca="1">IFERROR(INDIRECT(CONCATENATE("Track1!D",A3)),"")</f>
        <v>75m U13 Girls A</v>
      </c>
      <c r="E2" s="85" t="s">
        <v>206</v>
      </c>
      <c r="F2" s="253">
        <f ca="1">IFERROR(INDIRECT(CONCATENATE("Track1!h",A3)),"")</f>
        <v>0</v>
      </c>
      <c r="G2" s="108" t="str">
        <f ca="1">IFERROR(INDIRECT(CONCATENATE("Track1!i",A3)),"")</f>
        <v/>
      </c>
      <c r="I2" s="102" t="str">
        <f ca="1">IFERROR(INDIRECT(CONCATENATE("Track1!k",A3)),"")</f>
        <v>75m U13 Girls B</v>
      </c>
      <c r="L2" s="85" t="s">
        <v>206</v>
      </c>
      <c r="M2" s="195">
        <f ca="1">IFERROR(INDIRECT(CONCATENATE("Track1!o",A3)),"")</f>
        <v>0</v>
      </c>
    </row>
    <row r="3" spans="1:26" x14ac:dyDescent="0.35">
      <c r="A3" s="66">
        <f>IFERROR(MATCH(A2,Track1!C:C,0),"")</f>
        <v>90</v>
      </c>
      <c r="B3" s="45" t="str">
        <f ca="1">IFERROR(INDIRECT(CONCATENATE("Track1!D",A3+1)),"")</f>
        <v>Posn</v>
      </c>
      <c r="C3" s="45" t="str">
        <f ca="1">IFERROR(INDIRECT(CONCATENATE("Track1!e",A3+1)),"")</f>
        <v>No.</v>
      </c>
      <c r="D3" s="139" t="str">
        <f ca="1">IFERROR(INDIRECT(CONCATENATE("Track1!f",A3+1)),"")</f>
        <v>Athlete</v>
      </c>
      <c r="E3" s="139" t="str">
        <f ca="1">IFERROR(INDIRECT(CONCATENATE("Track1!g",A3+1)),"")</f>
        <v>Club</v>
      </c>
      <c r="F3" s="133" t="str">
        <f ca="1">IFERROR(INDIRECT(CONCATENATE("Track1!h",A3+1)),"")</f>
        <v>Perf</v>
      </c>
      <c r="G3" s="167" t="str">
        <f ca="1">IFERROR(INDIRECT(CONCATENATE("Track1!i",A3+1)),"")</f>
        <v>EA</v>
      </c>
      <c r="H3" s="45"/>
      <c r="I3" s="45" t="str">
        <f ca="1">IFERROR(INDIRECT(CONCATENATE("Track1!k",A3+1)),"")</f>
        <v>Posn</v>
      </c>
      <c r="J3" s="45" t="str">
        <f ca="1">IFERROR(INDIRECT(CONCATENATE("Track1!l",A3+1)),"")</f>
        <v>No.</v>
      </c>
      <c r="K3" s="139" t="str">
        <f ca="1">IFERROR(INDIRECT(CONCATENATE("Track1!m",A3+1)),"")</f>
        <v>Athlete</v>
      </c>
      <c r="L3" s="139" t="str">
        <f ca="1">IFERROR(INDIRECT(CONCATENATE("Track1!n",A3+1)),"")</f>
        <v>Club</v>
      </c>
      <c r="M3" s="133" t="str">
        <f ca="1">IFERROR(INDIRECT(CONCATENATE("Track1!o",A3+1)),"")</f>
        <v>Perf</v>
      </c>
      <c r="N3" s="167" t="str">
        <f ca="1">IFERROR(INDIRECT(CONCATENATE("Track1!p",A3+1)),"")</f>
        <v>EA</v>
      </c>
    </row>
    <row r="4" spans="1:26" x14ac:dyDescent="0.35">
      <c r="B4" s="66">
        <f ca="1">IFERROR(INDIRECT(CONCATENATE("Track1!D",A3+2)),"")</f>
        <v>1</v>
      </c>
      <c r="C4" s="66">
        <f ca="1">IFERROR(INDIRECT(CONCATENATE("Track1!e",A3+2)),"")</f>
        <v>2</v>
      </c>
      <c r="D4" s="85" t="str">
        <f ca="1">IFERROR(INDIRECT(CONCATENATE("Track1!f",A3+2)),"")</f>
        <v>Olivia JONES</v>
      </c>
      <c r="E4" s="85" t="str">
        <f ca="1">IFERROR(INDIRECT(CONCATENATE("Track1!g",A3+2)),"")</f>
        <v>ECHT</v>
      </c>
      <c r="F4" s="395">
        <f ca="1">IFERROR(INDIRECT(CONCATENATE("Track1!h",A3+2)),"")</f>
        <v>10.7</v>
      </c>
      <c r="G4" s="108">
        <f ca="1">IFERROR(INDIRECT(CONCATENATE("Track1!i",A3+2)),"")</f>
        <v>8</v>
      </c>
      <c r="H4" s="66"/>
      <c r="I4" s="66">
        <f ca="1">IFERROR(INDIRECT(CONCATENATE("Track1!k",A3+2)),"")</f>
        <v>1</v>
      </c>
      <c r="J4" s="66">
        <f ca="1">IFERROR(INDIRECT(CONCATENATE("Track1!l",A3+2)),"")</f>
        <v>77</v>
      </c>
      <c r="K4" s="85" t="str">
        <f ca="1">IFERROR(INDIRECT(CONCATENATE("Track1!m",A3+2)),"")</f>
        <v>Elody HILL</v>
      </c>
      <c r="L4" s="85" t="str">
        <f ca="1">IFERROR(INDIRECT(CONCATENATE("Track1!n",A3+2)),"")</f>
        <v>Wigan</v>
      </c>
      <c r="M4" s="395">
        <f ca="1">IFERROR(INDIRECT(CONCATENATE("Track1!o",A3+2)),"")</f>
        <v>10.8</v>
      </c>
      <c r="N4" s="108">
        <f ca="1">IFERROR(INDIRECT(CONCATENATE("Track1!p",A3+2)),"")</f>
        <v>7</v>
      </c>
      <c r="R4" s="168">
        <f ca="1">IFERROR(INDIRECT(CONCATENATE("Track1!r",A3+2)),"")</f>
        <v>10</v>
      </c>
      <c r="T4" s="64">
        <f ca="1">IF(OR(D4=0,D4="",D4="Athlete"),"",COUNTIF($D$4:$D$352,D4))</f>
        <v>3</v>
      </c>
      <c r="U4" s="64">
        <f ca="1">IF(OR(K4=0,K4="",K4="Athlete"),"",COUNTIF($D$4:$D$352,K4))</f>
        <v>2</v>
      </c>
      <c r="V4" s="266">
        <f ca="1">IF(OR(D4=0,D4="",D4="Athlete"),"",COUNTIF($D$4:$D4,D4))</f>
        <v>1</v>
      </c>
      <c r="W4" s="266" t="str">
        <f ca="1">IF(OR(D4=0,D4="",D4="Athlete"),"",E4)</f>
        <v>ECHT</v>
      </c>
      <c r="Z4" s="266">
        <f ca="1">IF(OR(G4=0,G4="",G4="Athlete"),"",H4)</f>
        <v>0</v>
      </c>
    </row>
    <row r="5" spans="1:26" x14ac:dyDescent="0.35">
      <c r="B5" s="66">
        <f ca="1">IFERROR(INDIRECT(CONCATENATE("Track1!D",A3+3)),"")</f>
        <v>2</v>
      </c>
      <c r="C5" s="66">
        <f ca="1">IFERROR(INDIRECT(CONCATENATE("Track1!e",A3+3)),"")</f>
        <v>3</v>
      </c>
      <c r="D5" s="85" t="str">
        <f ca="1">IFERROR(INDIRECT(CONCATENATE("Track1!f",A3+3)),"")</f>
        <v>Ava BROOMES</v>
      </c>
      <c r="E5" s="85" t="str">
        <f ca="1">IFERROR(INDIRECT(CONCATENATE("Track1!g",A3+3)),"")</f>
        <v>Leigh</v>
      </c>
      <c r="F5" s="395">
        <f ca="1">IFERROR(INDIRECT(CONCATENATE("Track1!h",A3+3)),"")</f>
        <v>10.9</v>
      </c>
      <c r="G5" s="108">
        <f ca="1">IFERROR(INDIRECT(CONCATENATE("Track1!i",A3+3)),"")</f>
        <v>7</v>
      </c>
      <c r="H5" s="66"/>
      <c r="I5" s="66">
        <f ca="1">IFERROR(INDIRECT(CONCATENATE("Track1!k",A3+3)),"")</f>
        <v>2</v>
      </c>
      <c r="J5" s="66">
        <f ca="1">IFERROR(INDIRECT(CONCATENATE("Track1!l",A3+3)),"")</f>
        <v>55</v>
      </c>
      <c r="K5" s="85" t="str">
        <f ca="1">IFERROR(INDIRECT(CONCATENATE("Track1!m",A3+3)),"")</f>
        <v>Holly WORTH</v>
      </c>
      <c r="L5" s="85" t="str">
        <f ca="1">IFERROR(INDIRECT(CONCATENATE("Track1!n",A3+3)),"")</f>
        <v>Menai</v>
      </c>
      <c r="M5" s="395">
        <f ca="1">IFERROR(INDIRECT(CONCATENATE("Track1!o",A3+3)),"")</f>
        <v>11.2</v>
      </c>
      <c r="N5" s="108">
        <f ca="1">IFERROR(INDIRECT(CONCATENATE("Track1!p",A3+3)),"")</f>
        <v>6</v>
      </c>
      <c r="T5" s="64">
        <f t="shared" ref="T5:T68" ca="1" si="0">IF(OR(D5=0,D5="",D5="Athlete"),"",COUNTIF($D$4:$D$352,D5))</f>
        <v>3</v>
      </c>
      <c r="U5" s="64">
        <f t="shared" ref="U5:U68" ca="1" si="1">IF(OR(K5=0,K5="",K5="Athlete"),"",COUNTIF($D$4:$D$352,K5))</f>
        <v>3</v>
      </c>
      <c r="V5" s="266">
        <f ca="1">IF(OR(D5=0,D5="",D5="Athlete"),"",COUNTIF($D$4:$D5,D5))</f>
        <v>1</v>
      </c>
      <c r="W5" s="266" t="str">
        <f t="shared" ref="W5:W68" ca="1" si="2">IF(OR(D5=0,D5="",D5="Athlete"),"",E5)</f>
        <v>Leigh</v>
      </c>
      <c r="Z5" s="266">
        <f t="shared" ref="Z5:Z68" ca="1" si="3">IF(OR(G5=0,G5="",G5="Athlete"),"",H5)</f>
        <v>0</v>
      </c>
    </row>
    <row r="6" spans="1:26" x14ac:dyDescent="0.35">
      <c r="B6" s="66">
        <f ca="1">IFERROR(INDIRECT(CONCATENATE("Track1!D",A3+4)),"")</f>
        <v>3</v>
      </c>
      <c r="C6" s="66">
        <f ca="1">IFERROR(INDIRECT(CONCATENATE("Track1!e",A3+4)),"")</f>
        <v>5</v>
      </c>
      <c r="D6" s="85" t="str">
        <f ca="1">IFERROR(INDIRECT(CONCATENATE("Track1!f",A3+4)),"")</f>
        <v>Ela EDWARDS</v>
      </c>
      <c r="E6" s="85" t="str">
        <f ca="1">IFERROR(INDIRECT(CONCATENATE("Track1!g",A3+4)),"")</f>
        <v>Menai</v>
      </c>
      <c r="F6" s="395">
        <f ca="1">IFERROR(INDIRECT(CONCATENATE("Track1!h",A3+4)),"")</f>
        <v>11</v>
      </c>
      <c r="G6" s="108">
        <f ca="1">IFERROR(INDIRECT(CONCATENATE("Track1!i",A3+4)),"")</f>
        <v>6</v>
      </c>
      <c r="H6" s="66"/>
      <c r="I6" s="66">
        <f ca="1">IFERROR(INDIRECT(CONCATENATE("Track1!k",A3+4)),"")</f>
        <v>3</v>
      </c>
      <c r="J6" s="66">
        <f ca="1">IFERROR(INDIRECT(CONCATENATE("Track1!l",A3+4)),"")</f>
        <v>33</v>
      </c>
      <c r="K6" s="85" t="str">
        <f ca="1">IFERROR(INDIRECT(CONCATENATE("Track1!m",A3+4)),"")</f>
        <v>Isabella GORMAN</v>
      </c>
      <c r="L6" s="85" t="str">
        <f ca="1">IFERROR(INDIRECT(CONCATENATE("Track1!n",A3+4)),"")</f>
        <v>Leigh</v>
      </c>
      <c r="M6" s="395">
        <f ca="1">IFERROR(INDIRECT(CONCATENATE("Track1!o",A3+4)),"")</f>
        <v>11.5</v>
      </c>
      <c r="N6" s="108">
        <f ca="1">IFERROR(INDIRECT(CONCATENATE("Track1!p",A3+4)),"")</f>
        <v>5</v>
      </c>
      <c r="T6" s="64">
        <f t="shared" ca="1" si="0"/>
        <v>2</v>
      </c>
      <c r="U6" s="64">
        <f t="shared" ca="1" si="1"/>
        <v>2</v>
      </c>
      <c r="V6" s="266">
        <f ca="1">IF(OR(D6=0,D6="",D6="Athlete"),"",COUNTIF($D$4:$D6,D6))</f>
        <v>1</v>
      </c>
      <c r="W6" s="266" t="str">
        <f t="shared" ca="1" si="2"/>
        <v>Menai</v>
      </c>
      <c r="Z6" s="266">
        <f t="shared" ca="1" si="3"/>
        <v>0</v>
      </c>
    </row>
    <row r="7" spans="1:26" x14ac:dyDescent="0.35">
      <c r="B7" s="66">
        <f ca="1">IFERROR(INDIRECT(CONCATENATE("Track1!D",A3+5)),"")</f>
        <v>4</v>
      </c>
      <c r="C7" s="66">
        <f ca="1">IFERROR(INDIRECT(CONCATENATE("Track1!e",A3+5)),"")</f>
        <v>1</v>
      </c>
      <c r="D7" s="85" t="str">
        <f ca="1">IFERROR(INDIRECT(CONCATENATE("Track1!f",A3+5)),"")</f>
        <v>Sofiya HARE</v>
      </c>
      <c r="E7" s="85" t="str">
        <f ca="1">IFERROR(INDIRECT(CONCATENATE("Track1!g",A3+5)),"")</f>
        <v>C&amp;N</v>
      </c>
      <c r="F7" s="395">
        <f ca="1">IFERROR(INDIRECT(CONCATENATE("Track1!h",A3+5)),"")</f>
        <v>11.2</v>
      </c>
      <c r="G7" s="108">
        <f ca="1">IFERROR(INDIRECT(CONCATENATE("Track1!i",A3+5)),"")</f>
        <v>6</v>
      </c>
      <c r="H7" s="66"/>
      <c r="I7" s="66">
        <f ca="1">IFERROR(INDIRECT(CONCATENATE("Track1!k",A3+5)),"")</f>
        <v>4</v>
      </c>
      <c r="J7" s="66">
        <f ca="1">IFERROR(INDIRECT(CONCATENATE("Track1!l",A3+5)),"")</f>
        <v>22</v>
      </c>
      <c r="K7" s="85" t="str">
        <f ca="1">IFERROR(INDIRECT(CONCATENATE("Track1!m",A3+5)),"")</f>
        <v>Madaline BURKE</v>
      </c>
      <c r="L7" s="85" t="str">
        <f ca="1">IFERROR(INDIRECT(CONCATENATE("Track1!n",A3+5)),"")</f>
        <v>ECHT</v>
      </c>
      <c r="M7" s="395">
        <f ca="1">IFERROR(INDIRECT(CONCATENATE("Track1!o",A3+5)),"")</f>
        <v>11.6</v>
      </c>
      <c r="N7" s="108">
        <f ca="1">IFERROR(INDIRECT(CONCATENATE("Track1!p",A3+5)),"")</f>
        <v>5</v>
      </c>
      <c r="T7" s="64">
        <f t="shared" ca="1" si="0"/>
        <v>2</v>
      </c>
      <c r="U7" s="64">
        <f t="shared" ca="1" si="1"/>
        <v>3</v>
      </c>
      <c r="V7" s="266">
        <f ca="1">IF(OR(D7=0,D7="",D7="Athlete"),"",COUNTIF($D$4:$D7,D7))</f>
        <v>1</v>
      </c>
      <c r="W7" s="266" t="str">
        <f t="shared" ca="1" si="2"/>
        <v>C&amp;N</v>
      </c>
      <c r="Z7" s="266">
        <f t="shared" ca="1" si="3"/>
        <v>0</v>
      </c>
    </row>
    <row r="8" spans="1:26" x14ac:dyDescent="0.35">
      <c r="B8" s="66">
        <f ca="1">IFERROR(INDIRECT(CONCATENATE("Track1!D",A3+6)),"")</f>
        <v>5</v>
      </c>
      <c r="C8" s="66">
        <f ca="1">IFERROR(INDIRECT(CONCATENATE("Track1!e",A3+6)),"")</f>
        <v>6</v>
      </c>
      <c r="D8" s="85" t="str">
        <f ca="1">IFERROR(INDIRECT(CONCATENATE("Track1!f",A3+6)),"")</f>
        <v>Emily FOX</v>
      </c>
      <c r="E8" s="85" t="str">
        <f ca="1">IFERROR(INDIRECT(CONCATENATE("Track1!g",A3+6)),"")</f>
        <v>Stock</v>
      </c>
      <c r="F8" s="395">
        <f ca="1">IFERROR(INDIRECT(CONCATENATE("Track1!h",A3+6)),"")</f>
        <v>11.4</v>
      </c>
      <c r="G8" s="108">
        <f ca="1">IFERROR(INDIRECT(CONCATENATE("Track1!i",A3+6)),"")</f>
        <v>5</v>
      </c>
      <c r="H8" s="66"/>
      <c r="I8" s="66">
        <f ca="1">IFERROR(INDIRECT(CONCATENATE("Track1!k",A3+6)),"")</f>
        <v>5</v>
      </c>
      <c r="J8" s="66">
        <f ca="1">IFERROR(INDIRECT(CONCATENATE("Track1!l",A3+6)),"")</f>
        <v>66</v>
      </c>
      <c r="K8" s="85" t="str">
        <f ca="1">IFERROR(INDIRECT(CONCATENATE("Track1!m",A3+6)),"")</f>
        <v>Sophie LOW</v>
      </c>
      <c r="L8" s="85" t="str">
        <f ca="1">IFERROR(INDIRECT(CONCATENATE("Track1!n",A3+6)),"")</f>
        <v>Stock</v>
      </c>
      <c r="M8" s="395">
        <f ca="1">IFERROR(INDIRECT(CONCATENATE("Track1!o",A3+6)),"")</f>
        <v>12</v>
      </c>
      <c r="N8" s="108">
        <f ca="1">IFERROR(INDIRECT(CONCATENATE("Track1!p",A3+6)),"")</f>
        <v>4</v>
      </c>
      <c r="T8" s="64">
        <f t="shared" ca="1" si="0"/>
        <v>2</v>
      </c>
      <c r="U8" s="64">
        <f t="shared" ca="1" si="1"/>
        <v>3</v>
      </c>
      <c r="V8" s="266">
        <f ca="1">IF(OR(D8=0,D8="",D8="Athlete"),"",COUNTIF($D$4:$D8,D8))</f>
        <v>1</v>
      </c>
      <c r="W8" s="266" t="str">
        <f t="shared" ca="1" si="2"/>
        <v>Stock</v>
      </c>
      <c r="Z8" s="266">
        <f t="shared" ca="1" si="3"/>
        <v>0</v>
      </c>
    </row>
    <row r="9" spans="1:26" x14ac:dyDescent="0.35">
      <c r="B9" s="66">
        <f ca="1">IFERROR(INDIRECT(CONCATENATE("Track1!D",A3+7)),"")</f>
        <v>6</v>
      </c>
      <c r="C9" s="66">
        <f ca="1">IFERROR(INDIRECT(CONCATENATE("Track1!e",A3+7)),"")</f>
        <v>4</v>
      </c>
      <c r="D9" s="85" t="str">
        <f ca="1">IFERROR(INDIRECT(CONCATENATE("Track1!f",A3+7)),"")</f>
        <v>Lara ADU-GYAMFI</v>
      </c>
      <c r="E9" s="85" t="str">
        <f ca="1">IFERROR(INDIRECT(CONCATENATE("Track1!g",A3+7)),"")</f>
        <v>Macc</v>
      </c>
      <c r="F9" s="395">
        <f ca="1">IFERROR(INDIRECT(CONCATENATE("Track1!h",A3+7)),"")</f>
        <v>11.5</v>
      </c>
      <c r="G9" s="108">
        <f ca="1">IFERROR(INDIRECT(CONCATENATE("Track1!i",A3+7)),"")</f>
        <v>5</v>
      </c>
      <c r="H9" s="66"/>
      <c r="I9" s="66">
        <f ca="1">IFERROR(INDIRECT(CONCATENATE("Track1!k",A3+7)),"")</f>
        <v>6</v>
      </c>
      <c r="J9" s="66">
        <f ca="1">IFERROR(INDIRECT(CONCATENATE("Track1!l",A3+7)),"")</f>
        <v>44</v>
      </c>
      <c r="K9" s="85" t="str">
        <f ca="1">IFERROR(INDIRECT(CONCATENATE("Track1!m",A3+7)),"")</f>
        <v>Molly KENT</v>
      </c>
      <c r="L9" s="85" t="str">
        <f ca="1">IFERROR(INDIRECT(CONCATENATE("Track1!n",A3+7)),"")</f>
        <v>Macc</v>
      </c>
      <c r="M9" s="395">
        <f ca="1">IFERROR(INDIRECT(CONCATENATE("Track1!o",A3+7)),"")</f>
        <v>12.1</v>
      </c>
      <c r="N9" s="108">
        <f ca="1">IFERROR(INDIRECT(CONCATENATE("Track1!p",A3+7)),"")</f>
        <v>3</v>
      </c>
      <c r="T9" s="64">
        <f t="shared" ca="1" si="0"/>
        <v>3</v>
      </c>
      <c r="U9" s="64">
        <f t="shared" ca="1" si="1"/>
        <v>2</v>
      </c>
      <c r="V9" s="266">
        <f ca="1">IF(OR(D9=0,D9="",D9="Athlete"),"",COUNTIF($D$4:$D9,D9))</f>
        <v>1</v>
      </c>
      <c r="W9" s="266" t="str">
        <f t="shared" ca="1" si="2"/>
        <v>Macc</v>
      </c>
      <c r="Z9" s="266">
        <f t="shared" ca="1" si="3"/>
        <v>0</v>
      </c>
    </row>
    <row r="10" spans="1:26" x14ac:dyDescent="0.35">
      <c r="B10" s="66">
        <f ca="1">IFERROR(INDIRECT(CONCATENATE("Track1!D",A3+8)),"")</f>
        <v>7</v>
      </c>
      <c r="C10" s="66">
        <f ca="1">IFERROR(INDIRECT(CONCATENATE("Track1!e",A3+8)),"")</f>
        <v>7</v>
      </c>
      <c r="D10" s="85" t="str">
        <f ca="1">IFERROR(INDIRECT(CONCATENATE("Track1!f",A3+8)),"")</f>
        <v>Mia LACEY</v>
      </c>
      <c r="E10" s="85" t="str">
        <f ca="1">IFERROR(INDIRECT(CONCATENATE("Track1!g",A3+8)),"")</f>
        <v>Wigan</v>
      </c>
      <c r="F10" s="395">
        <f ca="1">IFERROR(INDIRECT(CONCATENATE("Track1!h",A3+8)),"")</f>
        <v>12</v>
      </c>
      <c r="G10" s="108">
        <f ca="1">IFERROR(INDIRECT(CONCATENATE("Track1!i",A3+8)),"")</f>
        <v>4</v>
      </c>
      <c r="H10" s="66"/>
      <c r="I10" s="66">
        <f ca="1">IFERROR(INDIRECT(CONCATENATE("Track1!k",A3+8)),"")</f>
        <v>7</v>
      </c>
      <c r="J10" s="66">
        <f ca="1">IFERROR(INDIRECT(CONCATENATE("Track1!l",A3+8)),"")</f>
        <v>11</v>
      </c>
      <c r="K10" s="85" t="str">
        <f ca="1">IFERROR(INDIRECT(CONCATENATE("Track1!m",A3+8)),"")</f>
        <v>Malkia HENRY</v>
      </c>
      <c r="L10" s="85" t="str">
        <f ca="1">IFERROR(INDIRECT(CONCATENATE("Track1!n",A3+8)),"")</f>
        <v>C&amp;N</v>
      </c>
      <c r="M10" s="395">
        <f ca="1">IFERROR(INDIRECT(CONCATENATE("Track1!o",A3+8)),"")</f>
        <v>12.9</v>
      </c>
      <c r="N10" s="108">
        <f ca="1">IFERROR(INDIRECT(CONCATENATE("Track1!p",A3+8)),"")</f>
        <v>2</v>
      </c>
      <c r="T10" s="64">
        <f t="shared" ca="1" si="0"/>
        <v>2</v>
      </c>
      <c r="U10" s="64">
        <f t="shared" ca="1" si="1"/>
        <v>3</v>
      </c>
      <c r="V10" s="266">
        <f ca="1">IF(OR(D10=0,D10="",D10="Athlete"),"",COUNTIF($D$4:$D10,D10))</f>
        <v>1</v>
      </c>
      <c r="W10" s="266" t="str">
        <f t="shared" ca="1" si="2"/>
        <v>Wigan</v>
      </c>
      <c r="Z10" s="266">
        <f t="shared" ca="1" si="3"/>
        <v>0</v>
      </c>
    </row>
    <row r="11" spans="1:26" x14ac:dyDescent="0.35">
      <c r="B11" s="66">
        <f ca="1">IFERROR(INDIRECT(CONCATENATE("Track1!D",A3+9)),"")</f>
        <v>8</v>
      </c>
      <c r="C11" s="66">
        <f ca="1">IFERROR(INDIRECT(CONCATENATE("Track1!e",A3+9)),"")</f>
        <v>0</v>
      </c>
      <c r="D11" s="85" t="str">
        <f ca="1">IFERROR(INDIRECT(CONCATENATE("Track1!f",A3+9)),"")</f>
        <v/>
      </c>
      <c r="E11" s="85" t="str">
        <f ca="1">IFERROR(INDIRECT(CONCATENATE("Track1!g",A3+9)),"")</f>
        <v/>
      </c>
      <c r="F11" s="395">
        <f ca="1">IFERROR(INDIRECT(CONCATENATE("Track1!h",A3+9)),"")</f>
        <v>0</v>
      </c>
      <c r="G11" s="108" t="str">
        <f ca="1">IFERROR(INDIRECT(CONCATENATE("Track1!i",A3+9)),"")</f>
        <v/>
      </c>
      <c r="H11" s="66"/>
      <c r="I11" s="66">
        <f ca="1">IFERROR(INDIRECT(CONCATENATE("Track1!k",A3+9)),"")</f>
        <v>8</v>
      </c>
      <c r="J11" s="66">
        <f ca="1">IFERROR(INDIRECT(CONCATENATE("Track1!l",A3+9)),"")</f>
        <v>0</v>
      </c>
      <c r="K11" s="85" t="str">
        <f ca="1">IFERROR(INDIRECT(CONCATENATE("Track1!m",A3+9)),"")</f>
        <v/>
      </c>
      <c r="L11" s="85" t="str">
        <f ca="1">IFERROR(INDIRECT(CONCATENATE("Track1!n",A3+9)),"")</f>
        <v/>
      </c>
      <c r="M11" s="395">
        <f ca="1">IFERROR(INDIRECT(CONCATENATE("Track1!o",A3+9)),"")</f>
        <v>0</v>
      </c>
      <c r="N11" s="108" t="str">
        <f ca="1">IFERROR(INDIRECT(CONCATENATE("Track1!p",A3+9)),"")</f>
        <v/>
      </c>
      <c r="T11" s="64" t="str">
        <f t="shared" ca="1" si="0"/>
        <v/>
      </c>
      <c r="U11" s="64" t="str">
        <f t="shared" ca="1" si="1"/>
        <v/>
      </c>
      <c r="V11" s="266" t="str">
        <f ca="1">IF(OR(D11=0,D11="",D11="Athlete"),"",COUNTIF($D$4:$D11,D11))</f>
        <v/>
      </c>
      <c r="W11" s="266" t="str">
        <f t="shared" ca="1" si="2"/>
        <v/>
      </c>
      <c r="Z11" s="266" t="str">
        <f t="shared" ca="1" si="3"/>
        <v/>
      </c>
    </row>
    <row r="12" spans="1:26" x14ac:dyDescent="0.35">
      <c r="F12" s="407"/>
      <c r="M12" s="407"/>
      <c r="T12" s="64" t="str">
        <f t="shared" si="0"/>
        <v/>
      </c>
      <c r="U12" s="64" t="str">
        <f t="shared" si="1"/>
        <v/>
      </c>
      <c r="V12" s="266" t="str">
        <f>IF(OR(D12=0,D12="",D12="Athlete"),"",COUNTIF($D$4:$D12,D12))</f>
        <v/>
      </c>
      <c r="W12" s="266" t="str">
        <f t="shared" si="2"/>
        <v/>
      </c>
      <c r="Z12" s="266" t="str">
        <f t="shared" si="3"/>
        <v/>
      </c>
    </row>
    <row r="13" spans="1:26" x14ac:dyDescent="0.35">
      <c r="A13" s="66" t="s">
        <v>41</v>
      </c>
      <c r="B13" s="102" t="str">
        <f ca="1">IFERROR(INDIRECT(CONCATENATE("Track1!D",A14)),"")</f>
        <v>75m NS U13 Girls A</v>
      </c>
      <c r="E13" s="85" t="s">
        <v>206</v>
      </c>
      <c r="F13" s="415">
        <f ca="1">IFERROR(INDIRECT(CONCATENATE("Track1!h",A14)),"")</f>
        <v>0</v>
      </c>
      <c r="G13" s="108" t="str">
        <f ca="1">IFERROR(INDIRECT(CONCATENATE("Track1!i",A14)),"")</f>
        <v/>
      </c>
      <c r="I13" s="102" t="str">
        <f ca="1">IFERROR(INDIRECT(CONCATENATE("Track1!k",A14)),"")</f>
        <v>75m NS U13 Girls B</v>
      </c>
      <c r="L13" s="85" t="s">
        <v>206</v>
      </c>
      <c r="M13" s="395">
        <f ca="1">IFERROR(INDIRECT(CONCATENATE("Track1!o",A14)),"")</f>
        <v>0</v>
      </c>
      <c r="T13" s="64" t="str">
        <f t="shared" si="0"/>
        <v/>
      </c>
      <c r="U13" s="64" t="str">
        <f t="shared" si="1"/>
        <v/>
      </c>
      <c r="V13" s="266" t="str">
        <f>IF(OR(D13=0,D13="",D13="Athlete"),"",COUNTIF($D$4:$D13,D13))</f>
        <v/>
      </c>
      <c r="W13" s="266" t="str">
        <f t="shared" si="2"/>
        <v/>
      </c>
      <c r="Z13" s="266" t="str">
        <f t="shared" ca="1" si="3"/>
        <v/>
      </c>
    </row>
    <row r="14" spans="1:26" x14ac:dyDescent="0.35">
      <c r="A14" s="66">
        <f>IFERROR(MATCH(A13,Track1!C:C,0),"")</f>
        <v>134</v>
      </c>
      <c r="B14" s="45" t="str">
        <f ca="1">IFERROR(INDIRECT(CONCATENATE("Track1!D",A14+1)),"")</f>
        <v>Posn</v>
      </c>
      <c r="C14" s="45" t="str">
        <f ca="1">IFERROR(INDIRECT(CONCATENATE("Track1!e",A14+1)),"")</f>
        <v>No.</v>
      </c>
      <c r="D14" s="139" t="str">
        <f ca="1">IFERROR(INDIRECT(CONCATENATE("Track1!f",A14+1)),"")</f>
        <v>Athlete</v>
      </c>
      <c r="E14" s="139" t="str">
        <f ca="1">IFERROR(INDIRECT(CONCATENATE("Track1!g",A14+1)),"")</f>
        <v>Club</v>
      </c>
      <c r="F14" s="392" t="str">
        <f ca="1">IFERROR(INDIRECT(CONCATENATE("Track1!h",A14+1)),"")</f>
        <v>Perf</v>
      </c>
      <c r="G14" s="167" t="str">
        <f ca="1">IFERROR(INDIRECT(CONCATENATE("Track1!i",A14+1)),"")</f>
        <v>EA</v>
      </c>
      <c r="H14" s="45"/>
      <c r="I14" s="45" t="str">
        <f ca="1">IFERROR(INDIRECT(CONCATENATE("Track1!k",A14+1)),"")</f>
        <v>Posn</v>
      </c>
      <c r="J14" s="45" t="str">
        <f ca="1">IFERROR(INDIRECT(CONCATENATE("Track1!l",A14+1)),"")</f>
        <v>No.</v>
      </c>
      <c r="K14" s="139" t="str">
        <f ca="1">IFERROR(INDIRECT(CONCATENATE("Track1!m",A14+1)),"")</f>
        <v>Athlete</v>
      </c>
      <c r="L14" s="139" t="str">
        <f ca="1">IFERROR(INDIRECT(CONCATENATE("Track1!n",A14+1)),"")</f>
        <v>Club</v>
      </c>
      <c r="M14" s="392" t="str">
        <f ca="1">IFERROR(INDIRECT(CONCATENATE("Track1!o",A14+1)),"")</f>
        <v>Perf</v>
      </c>
      <c r="N14" s="167" t="str">
        <f ca="1">IFERROR(INDIRECT(CONCATENATE("Track1!p",A14+1)),"")</f>
        <v>EA</v>
      </c>
      <c r="T14" s="64" t="str">
        <f t="shared" ca="1" si="0"/>
        <v/>
      </c>
      <c r="U14" s="64" t="str">
        <f t="shared" ca="1" si="1"/>
        <v/>
      </c>
      <c r="V14" s="266" t="str">
        <f ca="1">IF(OR(D14=0,D14="",D14="Athlete"),"",COUNTIF($D$4:$D14,D14))</f>
        <v/>
      </c>
      <c r="W14" s="266" t="str">
        <f t="shared" ca="1" si="2"/>
        <v/>
      </c>
      <c r="Z14" s="266">
        <f t="shared" ca="1" si="3"/>
        <v>0</v>
      </c>
    </row>
    <row r="15" spans="1:26" x14ac:dyDescent="0.35">
      <c r="B15" s="66">
        <f ca="1">IFERROR(INDIRECT(CONCATENATE("Track1!D",A14+2)),"")</f>
        <v>1</v>
      </c>
      <c r="C15" s="66">
        <f ca="1">IFERROR(INDIRECT(CONCATENATE("Track1!e",A14+2)),"")</f>
        <v>7</v>
      </c>
      <c r="D15" s="85" t="str">
        <f ca="1">IFERROR(INDIRECT(CONCATENATE("Track1!f",A14+2)),"")</f>
        <v>Chloe SKETT</v>
      </c>
      <c r="E15" s="85" t="str">
        <f ca="1">IFERROR(INDIRECT(CONCATENATE("Track1!g",A14+2)),"")</f>
        <v>Wigan</v>
      </c>
      <c r="F15" s="395">
        <f ca="1">IFERROR(INDIRECT(CONCATENATE("Track1!h",A14+2)),"")</f>
        <v>11.7</v>
      </c>
      <c r="G15" s="108">
        <f ca="1">IFERROR(INDIRECT(CONCATENATE("Track1!i",A14+2)),"")</f>
        <v>4</v>
      </c>
      <c r="H15" s="66"/>
      <c r="I15" s="66">
        <f ca="1">IFERROR(INDIRECT(CONCATENATE("Track1!k",A14+2)),"")</f>
        <v>1</v>
      </c>
      <c r="J15" s="66">
        <f ca="1">IFERROR(INDIRECT(CONCATENATE("Track1!l",A14+2)),"")</f>
        <v>11</v>
      </c>
      <c r="K15" s="85" t="str">
        <f ca="1">IFERROR(INDIRECT(CONCATENATE("Track1!m",A14+2)),"")</f>
        <v>Jasmine COOPER</v>
      </c>
      <c r="L15" s="85" t="str">
        <f ca="1">IFERROR(INDIRECT(CONCATENATE("Track1!n",A14+2)),"")</f>
        <v>C&amp;N</v>
      </c>
      <c r="M15" s="395">
        <f ca="1">IFERROR(INDIRECT(CONCATENATE("Track1!o",A14+2)),"")</f>
        <v>11.4</v>
      </c>
      <c r="N15" s="108">
        <f ca="1">IFERROR(INDIRECT(CONCATENATE("Track1!p",A14+2)),"")</f>
        <v>5</v>
      </c>
      <c r="R15" s="168">
        <f ca="1">IFERROR(INDIRECT(CONCATENATE("Track1!r",A14+2)),"")</f>
        <v>0</v>
      </c>
      <c r="T15" s="64">
        <f t="shared" ca="1" si="0"/>
        <v>1</v>
      </c>
      <c r="U15" s="64">
        <f t="shared" ca="1" si="1"/>
        <v>3</v>
      </c>
      <c r="V15" s="266">
        <f ca="1">IF(OR(D15=0,D15="",D15="Athlete"),"",COUNTIF($D$4:$D15,D15))</f>
        <v>1</v>
      </c>
      <c r="W15" s="266" t="str">
        <f t="shared" ca="1" si="2"/>
        <v>Wigan</v>
      </c>
      <c r="Z15" s="266">
        <f t="shared" ca="1" si="3"/>
        <v>0</v>
      </c>
    </row>
    <row r="16" spans="1:26" x14ac:dyDescent="0.35">
      <c r="B16" s="66">
        <f ca="1">IFERROR(INDIRECT(CONCATENATE("Track1!D",A14+3)),"")</f>
        <v>2</v>
      </c>
      <c r="C16" s="66">
        <f ca="1">IFERROR(INDIRECT(CONCATENATE("Track1!e",A14+3)),"")</f>
        <v>3</v>
      </c>
      <c r="D16" s="85" t="str">
        <f ca="1">IFERROR(INDIRECT(CONCATENATE("Track1!f",A14+3)),"")</f>
        <v>Ella WATSON</v>
      </c>
      <c r="E16" s="85" t="str">
        <f ca="1">IFERROR(INDIRECT(CONCATENATE("Track1!g",A14+3)),"")</f>
        <v>Leigh</v>
      </c>
      <c r="F16" s="395">
        <f ca="1">IFERROR(INDIRECT(CONCATENATE("Track1!h",A14+3)),"")</f>
        <v>12</v>
      </c>
      <c r="G16" s="108">
        <f ca="1">IFERROR(INDIRECT(CONCATENATE("Track1!i",A14+3)),"")</f>
        <v>4</v>
      </c>
      <c r="H16" s="66"/>
      <c r="I16" s="66">
        <f ca="1">IFERROR(INDIRECT(CONCATENATE("Track1!k",A14+3)),"")</f>
        <v>2</v>
      </c>
      <c r="J16" s="66">
        <f ca="1">IFERROR(INDIRECT(CONCATENATE("Track1!l",A14+3)),"")</f>
        <v>5</v>
      </c>
      <c r="K16" s="85" t="str">
        <f ca="1">IFERROR(INDIRECT(CONCATENATE("Track1!m",A14+3)),"")</f>
        <v>Martha BOWN</v>
      </c>
      <c r="L16" s="85" t="str">
        <f ca="1">IFERROR(INDIRECT(CONCATENATE("Track1!n",A14+3)),"")</f>
        <v>Menai</v>
      </c>
      <c r="M16" s="395">
        <f ca="1">IFERROR(INDIRECT(CONCATENATE("Track1!o",A14+3)),"")</f>
        <v>11.9</v>
      </c>
      <c r="N16" s="108">
        <f ca="1">IFERROR(INDIRECT(CONCATENATE("Track1!p",A14+3)),"")</f>
        <v>4</v>
      </c>
      <c r="T16" s="64">
        <f t="shared" ca="1" si="0"/>
        <v>1</v>
      </c>
      <c r="U16" s="64">
        <f t="shared" ca="1" si="1"/>
        <v>3</v>
      </c>
      <c r="V16" s="266">
        <f ca="1">IF(OR(D16=0,D16="",D16="Athlete"),"",COUNTIF($D$4:$D16,D16))</f>
        <v>1</v>
      </c>
      <c r="W16" s="266" t="str">
        <f t="shared" ca="1" si="2"/>
        <v>Leigh</v>
      </c>
      <c r="Z16" s="266">
        <f t="shared" ca="1" si="3"/>
        <v>0</v>
      </c>
    </row>
    <row r="17" spans="1:26" x14ac:dyDescent="0.35">
      <c r="B17" s="66">
        <f ca="1">IFERROR(INDIRECT(CONCATENATE("Track1!D",A14+4)),"")</f>
        <v>3</v>
      </c>
      <c r="C17" s="66">
        <f ca="1">IFERROR(INDIRECT(CONCATENATE("Track1!e",A14+4)),"")</f>
        <v>2</v>
      </c>
      <c r="D17" s="85" t="str">
        <f ca="1">IFERROR(INDIRECT(CONCATENATE("Track1!f",A14+4)),"")</f>
        <v>Olivia GOFF</v>
      </c>
      <c r="E17" s="85" t="str">
        <f ca="1">IFERROR(INDIRECT(CONCATENATE("Track1!g",A14+4)),"")</f>
        <v>ECHT</v>
      </c>
      <c r="F17" s="395">
        <f ca="1">IFERROR(INDIRECT(CONCATENATE("Track1!h",A14+4)),"")</f>
        <v>12.2</v>
      </c>
      <c r="G17" s="108">
        <f ca="1">IFERROR(INDIRECT(CONCATENATE("Track1!i",A14+4)),"")</f>
        <v>3</v>
      </c>
      <c r="H17" s="66"/>
      <c r="I17" s="66">
        <f ca="1">IFERROR(INDIRECT(CONCATENATE("Track1!k",A14+4)),"")</f>
        <v>3</v>
      </c>
      <c r="J17" s="66">
        <f ca="1">IFERROR(INDIRECT(CONCATENATE("Track1!l",A14+4)),"")</f>
        <v>22</v>
      </c>
      <c r="K17" s="85" t="str">
        <f ca="1">IFERROR(INDIRECT(CONCATENATE("Track1!m",A14+4)),"")</f>
        <v>Scarlett LYNE</v>
      </c>
      <c r="L17" s="85" t="str">
        <f ca="1">IFERROR(INDIRECT(CONCATENATE("Track1!n",A14+4)),"")</f>
        <v>ECHT</v>
      </c>
      <c r="M17" s="395">
        <f ca="1">IFERROR(INDIRECT(CONCATENATE("Track1!o",A14+4)),"")</f>
        <v>12.4</v>
      </c>
      <c r="N17" s="108">
        <f ca="1">IFERROR(INDIRECT(CONCATENATE("Track1!p",A14+4)),"")</f>
        <v>3</v>
      </c>
      <c r="T17" s="64">
        <f t="shared" ca="1" si="0"/>
        <v>2</v>
      </c>
      <c r="U17" s="64">
        <f t="shared" ca="1" si="1"/>
        <v>3</v>
      </c>
      <c r="V17" s="266">
        <f ca="1">IF(OR(D17=0,D17="",D17="Athlete"),"",COUNTIF($D$4:$D17,D17))</f>
        <v>1</v>
      </c>
      <c r="W17" s="266" t="str">
        <f t="shared" ca="1" si="2"/>
        <v>ECHT</v>
      </c>
      <c r="Z17" s="266">
        <f t="shared" ca="1" si="3"/>
        <v>0</v>
      </c>
    </row>
    <row r="18" spans="1:26" x14ac:dyDescent="0.35">
      <c r="B18" s="66">
        <f ca="1">IFERROR(INDIRECT(CONCATENATE("Track1!D",A14+5)),"")</f>
        <v>4</v>
      </c>
      <c r="C18" s="66">
        <f ca="1">IFERROR(INDIRECT(CONCATENATE("Track1!e",A14+5)),"")</f>
        <v>1</v>
      </c>
      <c r="D18" s="85" t="str">
        <f ca="1">IFERROR(INDIRECT(CONCATENATE("Track1!f",A14+5)),"")</f>
        <v>Katerina GLOVER</v>
      </c>
      <c r="E18" s="85" t="str">
        <f ca="1">IFERROR(INDIRECT(CONCATENATE("Track1!g",A14+5)),"")</f>
        <v>C&amp;N</v>
      </c>
      <c r="F18" s="395">
        <f ca="1">IFERROR(INDIRECT(CONCATENATE("Track1!h",A14+5)),"")</f>
        <v>12.8</v>
      </c>
      <c r="G18" s="108">
        <f ca="1">IFERROR(INDIRECT(CONCATENATE("Track1!i",A14+5)),"")</f>
        <v>2</v>
      </c>
      <c r="H18" s="66"/>
      <c r="I18" s="66">
        <f ca="1">IFERROR(INDIRECT(CONCATENATE("Track1!k",A14+5)),"")</f>
        <v>4</v>
      </c>
      <c r="J18" s="66">
        <f ca="1">IFERROR(INDIRECT(CONCATENATE("Track1!l",A14+5)),"")</f>
        <v>44</v>
      </c>
      <c r="K18" s="85" t="str">
        <f ca="1">IFERROR(INDIRECT(CONCATENATE("Track1!m",A14+5)),"")</f>
        <v>Charlotte RHODES</v>
      </c>
      <c r="L18" s="85" t="str">
        <f ca="1">IFERROR(INDIRECT(CONCATENATE("Track1!n",A14+5)),"")</f>
        <v>Macc</v>
      </c>
      <c r="M18" s="395">
        <f ca="1">IFERROR(INDIRECT(CONCATENATE("Track1!o",A14+5)),"")</f>
        <v>13.3</v>
      </c>
      <c r="N18" s="108" t="str">
        <f ca="1">IFERROR(INDIRECT(CONCATENATE("Track1!p",A14+5)),"")</f>
        <v/>
      </c>
      <c r="T18" s="64">
        <f t="shared" ca="1" si="0"/>
        <v>1</v>
      </c>
      <c r="U18" s="64">
        <f t="shared" ca="1" si="1"/>
        <v>2</v>
      </c>
      <c r="V18" s="266">
        <f ca="1">IF(OR(D18=0,D18="",D18="Athlete"),"",COUNTIF($D$4:$D18,D18))</f>
        <v>1</v>
      </c>
      <c r="W18" s="266" t="str">
        <f t="shared" ca="1" si="2"/>
        <v>C&amp;N</v>
      </c>
      <c r="Z18" s="266">
        <f t="shared" ca="1" si="3"/>
        <v>0</v>
      </c>
    </row>
    <row r="19" spans="1:26" x14ac:dyDescent="0.35">
      <c r="B19" s="66">
        <f ca="1">IFERROR(INDIRECT(CONCATENATE("Track1!D",A14+6)),"")</f>
        <v>5</v>
      </c>
      <c r="C19" s="66">
        <f ca="1">IFERROR(INDIRECT(CONCATENATE("Track1!e",A14+6)),"")</f>
        <v>4</v>
      </c>
      <c r="D19" s="85" t="str">
        <f ca="1">IFERROR(INDIRECT(CONCATENATE("Track1!f",A14+6)),"")</f>
        <v>Lauren HARPER</v>
      </c>
      <c r="E19" s="85" t="str">
        <f ca="1">IFERROR(INDIRECT(CONCATENATE("Track1!g",A14+6)),"")</f>
        <v>Macc</v>
      </c>
      <c r="F19" s="395">
        <f ca="1">IFERROR(INDIRECT(CONCATENATE("Track1!h",A14+6)),"")</f>
        <v>13.8</v>
      </c>
      <c r="G19" s="108" t="str">
        <f ca="1">IFERROR(INDIRECT(CONCATENATE("Track1!i",A14+6)),"")</f>
        <v/>
      </c>
      <c r="H19" s="66"/>
      <c r="I19" s="66">
        <f ca="1">IFERROR(INDIRECT(CONCATENATE("Track1!k",A14+6)),"")</f>
        <v>5</v>
      </c>
      <c r="J19" s="66">
        <f ca="1">IFERROR(INDIRECT(CONCATENATE("Track1!l",A14+6)),"")</f>
        <v>0</v>
      </c>
      <c r="K19" s="85" t="str">
        <f ca="1">IFERROR(INDIRECT(CONCATENATE("Track1!m",A14+6)),"")</f>
        <v/>
      </c>
      <c r="L19" s="85" t="str">
        <f ca="1">IFERROR(INDIRECT(CONCATENATE("Track1!n",A14+6)),"")</f>
        <v/>
      </c>
      <c r="M19" s="395">
        <f ca="1">IFERROR(INDIRECT(CONCATENATE("Track1!o",A14+6)),"")</f>
        <v>0</v>
      </c>
      <c r="N19" s="108" t="str">
        <f ca="1">IFERROR(INDIRECT(CONCATENATE("Track1!p",A14+6)),"")</f>
        <v/>
      </c>
      <c r="T19" s="64">
        <f t="shared" ca="1" si="0"/>
        <v>3</v>
      </c>
      <c r="U19" s="64" t="str">
        <f t="shared" ca="1" si="1"/>
        <v/>
      </c>
      <c r="V19" s="266">
        <f ca="1">IF(OR(D19=0,D19="",D19="Athlete"),"",COUNTIF($D$4:$D19,D19))</f>
        <v>1</v>
      </c>
      <c r="W19" s="266" t="str">
        <f t="shared" ca="1" si="2"/>
        <v>Macc</v>
      </c>
      <c r="Z19" s="266" t="str">
        <f t="shared" ca="1" si="3"/>
        <v/>
      </c>
    </row>
    <row r="20" spans="1:26" x14ac:dyDescent="0.35">
      <c r="B20" s="66">
        <f ca="1">IFERROR(INDIRECT(CONCATENATE("Track1!D",A14+7)),"")</f>
        <v>6</v>
      </c>
      <c r="C20" s="66">
        <f ca="1">IFERROR(INDIRECT(CONCATENATE("Track1!e",A14+7)),"")</f>
        <v>0</v>
      </c>
      <c r="D20" s="85" t="str">
        <f ca="1">IFERROR(INDIRECT(CONCATENATE("Track1!f",A14+7)),"")</f>
        <v/>
      </c>
      <c r="E20" s="85" t="str">
        <f ca="1">IFERROR(INDIRECT(CONCATENATE("Track1!g",A14+7)),"")</f>
        <v/>
      </c>
      <c r="F20" s="395">
        <f ca="1">IFERROR(INDIRECT(CONCATENATE("Track1!h",A14+7)),"")</f>
        <v>0</v>
      </c>
      <c r="G20" s="108" t="str">
        <f ca="1">IFERROR(INDIRECT(CONCATENATE("Track1!i",A14+7)),"")</f>
        <v/>
      </c>
      <c r="H20" s="66"/>
      <c r="I20" s="66">
        <f ca="1">IFERROR(INDIRECT(CONCATENATE("Track1!k",A14+7)),"")</f>
        <v>6</v>
      </c>
      <c r="J20" s="66">
        <f ca="1">IFERROR(INDIRECT(CONCATENATE("Track1!l",A14+7)),"")</f>
        <v>0</v>
      </c>
      <c r="K20" s="85" t="str">
        <f ca="1">IFERROR(INDIRECT(CONCATENATE("Track1!m",A14+7)),"")</f>
        <v/>
      </c>
      <c r="L20" s="85" t="str">
        <f ca="1">IFERROR(INDIRECT(CONCATENATE("Track1!n",A14+7)),"")</f>
        <v/>
      </c>
      <c r="M20" s="395">
        <f ca="1">IFERROR(INDIRECT(CONCATENATE("Track1!o",A14+7)),"")</f>
        <v>0</v>
      </c>
      <c r="N20" s="108" t="str">
        <f ca="1">IFERROR(INDIRECT(CONCATENATE("Track1!p",A14+7)),"")</f>
        <v/>
      </c>
      <c r="T20" s="64" t="str">
        <f t="shared" ca="1" si="0"/>
        <v/>
      </c>
      <c r="U20" s="64" t="str">
        <f t="shared" ca="1" si="1"/>
        <v/>
      </c>
      <c r="V20" s="266" t="str">
        <f ca="1">IF(OR(D20=0,D20="",D20="Athlete"),"",COUNTIF($D$4:$D20,D20))</f>
        <v/>
      </c>
      <c r="W20" s="266" t="str">
        <f t="shared" ca="1" si="2"/>
        <v/>
      </c>
      <c r="Z20" s="266" t="str">
        <f t="shared" ca="1" si="3"/>
        <v/>
      </c>
    </row>
    <row r="21" spans="1:26" x14ac:dyDescent="0.35">
      <c r="B21" s="66">
        <f ca="1">IFERROR(INDIRECT(CONCATENATE("Track1!D",A14+8)),"")</f>
        <v>7</v>
      </c>
      <c r="C21" s="66">
        <f ca="1">IFERROR(INDIRECT(CONCATENATE("Track1!e",A14+8)),"")</f>
        <v>0</v>
      </c>
      <c r="D21" s="85" t="str">
        <f ca="1">IFERROR(INDIRECT(CONCATENATE("Track1!f",A14+8)),"")</f>
        <v/>
      </c>
      <c r="E21" s="85" t="str">
        <f ca="1">IFERROR(INDIRECT(CONCATENATE("Track1!g",A14+8)),"")</f>
        <v/>
      </c>
      <c r="F21" s="395">
        <f ca="1">IFERROR(INDIRECT(CONCATENATE("Track1!h",A14+8)),"")</f>
        <v>0</v>
      </c>
      <c r="G21" s="108" t="str">
        <f ca="1">IFERROR(INDIRECT(CONCATENATE("Track1!i",A14+8)),"")</f>
        <v/>
      </c>
      <c r="H21" s="66"/>
      <c r="I21" s="66">
        <f ca="1">IFERROR(INDIRECT(CONCATENATE("Track1!k",A14+8)),"")</f>
        <v>7</v>
      </c>
      <c r="J21" s="66">
        <f ca="1">IFERROR(INDIRECT(CONCATENATE("Track1!l",A14+8)),"")</f>
        <v>0</v>
      </c>
      <c r="K21" s="85" t="str">
        <f ca="1">IFERROR(INDIRECT(CONCATENATE("Track1!m",A14+8)),"")</f>
        <v/>
      </c>
      <c r="L21" s="85" t="str">
        <f ca="1">IFERROR(INDIRECT(CONCATENATE("Track1!n",A14+8)),"")</f>
        <v/>
      </c>
      <c r="M21" s="395">
        <f ca="1">IFERROR(INDIRECT(CONCATENATE("Track1!o",A14+8)),"")</f>
        <v>0</v>
      </c>
      <c r="N21" s="108" t="str">
        <f ca="1">IFERROR(INDIRECT(CONCATENATE("Track1!p",A14+8)),"")</f>
        <v/>
      </c>
      <c r="T21" s="64" t="str">
        <f t="shared" ca="1" si="0"/>
        <v/>
      </c>
      <c r="U21" s="64" t="str">
        <f t="shared" ca="1" si="1"/>
        <v/>
      </c>
      <c r="V21" s="266" t="str">
        <f ca="1">IF(OR(D21=0,D21="",D21="Athlete"),"",COUNTIF($D$4:$D21,D21))</f>
        <v/>
      </c>
      <c r="W21" s="266" t="str">
        <f t="shared" ca="1" si="2"/>
        <v/>
      </c>
      <c r="Z21" s="266" t="str">
        <f t="shared" ca="1" si="3"/>
        <v/>
      </c>
    </row>
    <row r="22" spans="1:26" x14ac:dyDescent="0.35">
      <c r="B22" s="66">
        <f ca="1">IFERROR(INDIRECT(CONCATENATE("Track1!D",A14+9)),"")</f>
        <v>8</v>
      </c>
      <c r="C22" s="66">
        <f ca="1">IFERROR(INDIRECT(CONCATENATE("Track1!e",A14+9)),"")</f>
        <v>0</v>
      </c>
      <c r="D22" s="85" t="str">
        <f ca="1">IFERROR(INDIRECT(CONCATENATE("Track1!f",A14+9)),"")</f>
        <v/>
      </c>
      <c r="E22" s="85" t="str">
        <f ca="1">IFERROR(INDIRECT(CONCATENATE("Track1!g",A14+9)),"")</f>
        <v/>
      </c>
      <c r="F22" s="395">
        <f ca="1">IFERROR(INDIRECT(CONCATENATE("Track1!h",A14+9)),"")</f>
        <v>0</v>
      </c>
      <c r="G22" s="108" t="str">
        <f ca="1">IFERROR(INDIRECT(CONCATENATE("Track1!i",A14+9)),"")</f>
        <v/>
      </c>
      <c r="H22" s="66"/>
      <c r="I22" s="66">
        <f ca="1">IFERROR(INDIRECT(CONCATENATE("Track1!k",A14+9)),"")</f>
        <v>8</v>
      </c>
      <c r="J22" s="66">
        <f ca="1">IFERROR(INDIRECT(CONCATENATE("Track1!l",A14+9)),"")</f>
        <v>0</v>
      </c>
      <c r="K22" s="85" t="str">
        <f ca="1">IFERROR(INDIRECT(CONCATENATE("Track1!m",A14+9)),"")</f>
        <v/>
      </c>
      <c r="L22" s="85" t="str">
        <f ca="1">IFERROR(INDIRECT(CONCATENATE("Track1!n",A14+9)),"")</f>
        <v/>
      </c>
      <c r="M22" s="395">
        <f ca="1">IFERROR(INDIRECT(CONCATENATE("Track1!o",A14+9)),"")</f>
        <v>0</v>
      </c>
      <c r="N22" s="108" t="str">
        <f ca="1">IFERROR(INDIRECT(CONCATENATE("Track1!p",A14+9)),"")</f>
        <v/>
      </c>
      <c r="T22" s="64" t="str">
        <f t="shared" ca="1" si="0"/>
        <v/>
      </c>
      <c r="U22" s="64" t="str">
        <f t="shared" ca="1" si="1"/>
        <v/>
      </c>
      <c r="V22" s="266" t="str">
        <f ca="1">IF(OR(D22=0,D22="",D22="Athlete"),"",COUNTIF($D$4:$D22,D22))</f>
        <v/>
      </c>
      <c r="W22" s="266" t="str">
        <f t="shared" ca="1" si="2"/>
        <v/>
      </c>
      <c r="Z22" s="266" t="str">
        <f t="shared" ca="1" si="3"/>
        <v/>
      </c>
    </row>
    <row r="23" spans="1:26" x14ac:dyDescent="0.35">
      <c r="F23" s="407"/>
      <c r="M23" s="407"/>
      <c r="T23" s="64" t="str">
        <f t="shared" si="0"/>
        <v/>
      </c>
      <c r="U23" s="64" t="str">
        <f t="shared" si="1"/>
        <v/>
      </c>
      <c r="V23" s="266" t="str">
        <f>IF(OR(D23=0,D23="",D23="Athlete"),"",COUNTIF($D$4:$D23,D23))</f>
        <v/>
      </c>
      <c r="W23" s="266" t="str">
        <f t="shared" si="2"/>
        <v/>
      </c>
      <c r="Z23" s="266" t="str">
        <f t="shared" si="3"/>
        <v/>
      </c>
    </row>
    <row r="24" spans="1:26" x14ac:dyDescent="0.35">
      <c r="A24" s="66" t="s">
        <v>36</v>
      </c>
      <c r="B24" s="102" t="str">
        <f ca="1">IFERROR(INDIRECT(CONCATENATE("Track1!D",A25)),"")</f>
        <v>150m U13 Girls A</v>
      </c>
      <c r="E24" s="85" t="s">
        <v>206</v>
      </c>
      <c r="F24" s="415">
        <f ca="1">IFERROR(INDIRECT(CONCATENATE("Track1!h",A25)),"")</f>
        <v>0</v>
      </c>
      <c r="G24" s="108" t="str">
        <f ca="1">IFERROR(INDIRECT(CONCATENATE("Track1!i",A25)),"")</f>
        <v/>
      </c>
      <c r="I24" s="102" t="str">
        <f ca="1">IFERROR(INDIRECT(CONCATENATE("Track1!k",A25)),"")</f>
        <v>150m U13 Girls B</v>
      </c>
      <c r="L24" s="85" t="s">
        <v>206</v>
      </c>
      <c r="M24" s="395">
        <f ca="1">IFERROR(INDIRECT(CONCATENATE("Track1!o",A25)),"")</f>
        <v>0</v>
      </c>
      <c r="T24" s="64" t="str">
        <f t="shared" si="0"/>
        <v/>
      </c>
      <c r="U24" s="64" t="str">
        <f t="shared" si="1"/>
        <v/>
      </c>
      <c r="V24" s="266" t="str">
        <f>IF(OR(D24=0,D24="",D24="Athlete"),"",COUNTIF($D$4:$D24,D24))</f>
        <v/>
      </c>
      <c r="W24" s="266" t="str">
        <f t="shared" si="2"/>
        <v/>
      </c>
      <c r="Z24" s="266" t="str">
        <f t="shared" ca="1" si="3"/>
        <v/>
      </c>
    </row>
    <row r="25" spans="1:26" x14ac:dyDescent="0.35">
      <c r="A25" s="66">
        <f>IFERROR(MATCH(A24,Track1!C:C,0),"")</f>
        <v>46</v>
      </c>
      <c r="B25" s="45" t="str">
        <f ca="1">IFERROR(INDIRECT(CONCATENATE("Track1!D",A25+1)),"")</f>
        <v>Posn</v>
      </c>
      <c r="C25" s="45" t="str">
        <f ca="1">IFERROR(INDIRECT(CONCATENATE("Track1!e",A25+1)),"")</f>
        <v>No.</v>
      </c>
      <c r="D25" s="139" t="str">
        <f ca="1">IFERROR(INDIRECT(CONCATENATE("Track1!f",A25+1)),"")</f>
        <v>Athlete</v>
      </c>
      <c r="E25" s="139" t="str">
        <f ca="1">IFERROR(INDIRECT(CONCATENATE("Track1!g",A25+1)),"")</f>
        <v>Club</v>
      </c>
      <c r="F25" s="392" t="str">
        <f ca="1">IFERROR(INDIRECT(CONCATENATE("Track1!h",A25+1)),"")</f>
        <v>Perf</v>
      </c>
      <c r="G25" s="167" t="str">
        <f ca="1">IFERROR(INDIRECT(CONCATENATE("Track1!i",A25+1)),"")</f>
        <v>EA</v>
      </c>
      <c r="H25" s="45"/>
      <c r="I25" s="45" t="str">
        <f ca="1">IFERROR(INDIRECT(CONCATENATE("Track1!k",A25+1)),"")</f>
        <v>Posn</v>
      </c>
      <c r="J25" s="45" t="str">
        <f ca="1">IFERROR(INDIRECT(CONCATENATE("Track1!l",A25+1)),"")</f>
        <v>No.</v>
      </c>
      <c r="K25" s="139" t="str">
        <f ca="1">IFERROR(INDIRECT(CONCATENATE("Track1!m",A25+1)),"")</f>
        <v>Athlete</v>
      </c>
      <c r="L25" s="139" t="str">
        <f ca="1">IFERROR(INDIRECT(CONCATENATE("Track1!n",A25+1)),"")</f>
        <v>Club</v>
      </c>
      <c r="M25" s="392" t="str">
        <f ca="1">IFERROR(INDIRECT(CONCATENATE("Track1!o",A25+1)),"")</f>
        <v>Perf</v>
      </c>
      <c r="N25" s="167" t="str">
        <f ca="1">IFERROR(INDIRECT(CONCATENATE("Track1!p",A25+1)),"")</f>
        <v>EA</v>
      </c>
      <c r="T25" s="64" t="str">
        <f t="shared" ca="1" si="0"/>
        <v/>
      </c>
      <c r="U25" s="64" t="str">
        <f t="shared" ca="1" si="1"/>
        <v/>
      </c>
      <c r="V25" s="266" t="str">
        <f ca="1">IF(OR(D25=0,D25="",D25="Athlete"),"",COUNTIF($D$4:$D25,D25))</f>
        <v/>
      </c>
      <c r="W25" s="266" t="str">
        <f t="shared" ca="1" si="2"/>
        <v/>
      </c>
      <c r="Z25" s="266">
        <f t="shared" ca="1" si="3"/>
        <v>0</v>
      </c>
    </row>
    <row r="26" spans="1:26" x14ac:dyDescent="0.35">
      <c r="B26" s="66">
        <f ca="1">IFERROR(INDIRECT(CONCATENATE("Track1!D",A25+2)),"")</f>
        <v>1</v>
      </c>
      <c r="C26" s="66">
        <f ca="1">IFERROR(INDIRECT(CONCATENATE("Track1!e",A25+2)),"")</f>
        <v>3</v>
      </c>
      <c r="D26" s="85" t="str">
        <f ca="1">IFERROR(INDIRECT(CONCATENATE("Track1!f",A25+2)),"")</f>
        <v>Lois MELLING</v>
      </c>
      <c r="E26" s="85" t="str">
        <f ca="1">IFERROR(INDIRECT(CONCATENATE("Track1!g",A25+2)),"")</f>
        <v>Leigh</v>
      </c>
      <c r="F26" s="395">
        <f ca="1">IFERROR(INDIRECT(CONCATENATE("Track1!h",A25+2)),"")</f>
        <v>20.399999999999999</v>
      </c>
      <c r="G26" s="108">
        <f ca="1">IFERROR(INDIRECT(CONCATENATE("Track1!i",A25+2)),"")</f>
        <v>9</v>
      </c>
      <c r="H26" s="66"/>
      <c r="I26" s="66">
        <f ca="1">IFERROR(INDIRECT(CONCATENATE("Track1!k",A25+2)),"")</f>
        <v>1</v>
      </c>
      <c r="J26" s="66">
        <f ca="1">IFERROR(INDIRECT(CONCATENATE("Track1!l",A25+2)),"")</f>
        <v>11</v>
      </c>
      <c r="K26" s="85" t="str">
        <f ca="1">IFERROR(INDIRECT(CONCATENATE("Track1!m",A25+2)),"")</f>
        <v>Freya HOWELLS</v>
      </c>
      <c r="L26" s="85" t="str">
        <f ca="1">IFERROR(INDIRECT(CONCATENATE("Track1!n",A25+2)),"")</f>
        <v>C&amp;N</v>
      </c>
      <c r="M26" s="395">
        <f ca="1">IFERROR(INDIRECT(CONCATENATE("Track1!o",A25+2)),"")</f>
        <v>21.8</v>
      </c>
      <c r="N26" s="108">
        <f ca="1">IFERROR(INDIRECT(CONCATENATE("Track1!p",A25+2)),"")</f>
        <v>7</v>
      </c>
      <c r="R26" s="168">
        <f ca="1">IFERROR(INDIRECT(CONCATENATE("Track1!r",A25+2)),"")</f>
        <v>10</v>
      </c>
      <c r="T26" s="64">
        <f t="shared" ca="1" si="0"/>
        <v>3</v>
      </c>
      <c r="U26" s="64">
        <f t="shared" ca="1" si="1"/>
        <v>3</v>
      </c>
      <c r="V26" s="266">
        <f ca="1">IF(OR(D26=0,D26="",D26="Athlete"),"",COUNTIF($D$4:$D26,D26))</f>
        <v>1</v>
      </c>
      <c r="W26" s="266" t="str">
        <f t="shared" ca="1" si="2"/>
        <v>Leigh</v>
      </c>
      <c r="Z26" s="266">
        <f t="shared" ca="1" si="3"/>
        <v>0</v>
      </c>
    </row>
    <row r="27" spans="1:26" x14ac:dyDescent="0.35">
      <c r="B27" s="66">
        <f ca="1">IFERROR(INDIRECT(CONCATENATE("Track1!D",A25+3)),"")</f>
        <v>2</v>
      </c>
      <c r="C27" s="66">
        <f ca="1">IFERROR(INDIRECT(CONCATENATE("Track1!e",A25+3)),"")</f>
        <v>2</v>
      </c>
      <c r="D27" s="85" t="str">
        <f ca="1">IFERROR(INDIRECT(CONCATENATE("Track1!f",A25+3)),"")</f>
        <v>Olivia JONES</v>
      </c>
      <c r="E27" s="85" t="str">
        <f ca="1">IFERROR(INDIRECT(CONCATENATE("Track1!g",A25+3)),"")</f>
        <v>ECHT</v>
      </c>
      <c r="F27" s="395">
        <f ca="1">IFERROR(INDIRECT(CONCATENATE("Track1!h",A25+3)),"")</f>
        <v>20.8</v>
      </c>
      <c r="G27" s="108">
        <f ca="1">IFERROR(INDIRECT(CONCATENATE("Track1!i",A25+3)),"")</f>
        <v>9</v>
      </c>
      <c r="H27" s="66"/>
      <c r="I27" s="66">
        <f ca="1">IFERROR(INDIRECT(CONCATENATE("Track1!k",A25+3)),"")</f>
        <v>2</v>
      </c>
      <c r="J27" s="66">
        <f ca="1">IFERROR(INDIRECT(CONCATENATE("Track1!l",A25+3)),"")</f>
        <v>55</v>
      </c>
      <c r="K27" s="85" t="str">
        <f ca="1">IFERROR(INDIRECT(CONCATENATE("Track1!m",A25+3)),"")</f>
        <v>Tamsin SEGUIN</v>
      </c>
      <c r="L27" s="85" t="str">
        <f ca="1">IFERROR(INDIRECT(CONCATENATE("Track1!n",A25+3)),"")</f>
        <v>Menai</v>
      </c>
      <c r="M27" s="395">
        <f ca="1">IFERROR(INDIRECT(CONCATENATE("Track1!o",A25+3)),"")</f>
        <v>23</v>
      </c>
      <c r="N27" s="108">
        <f ca="1">IFERROR(INDIRECT(CONCATENATE("Track1!p",A25+3)),"")</f>
        <v>5</v>
      </c>
      <c r="T27" s="64">
        <f t="shared" ca="1" si="0"/>
        <v>3</v>
      </c>
      <c r="U27" s="64">
        <f t="shared" ca="1" si="1"/>
        <v>3</v>
      </c>
      <c r="V27" s="266">
        <f ca="1">IF(OR(D27=0,D27="",D27="Athlete"),"",COUNTIF($D$4:$D27,D27))</f>
        <v>2</v>
      </c>
      <c r="W27" s="266" t="str">
        <f t="shared" ca="1" si="2"/>
        <v>ECHT</v>
      </c>
      <c r="Z27" s="266">
        <f t="shared" ca="1" si="3"/>
        <v>0</v>
      </c>
    </row>
    <row r="28" spans="1:26" x14ac:dyDescent="0.35">
      <c r="B28" s="66">
        <f ca="1">IFERROR(INDIRECT(CONCATENATE("Track1!D",A25+4)),"")</f>
        <v>3</v>
      </c>
      <c r="C28" s="66">
        <f ca="1">IFERROR(INDIRECT(CONCATENATE("Track1!e",A25+4)),"")</f>
        <v>1</v>
      </c>
      <c r="D28" s="85" t="str">
        <f ca="1">IFERROR(INDIRECT(CONCATENATE("Track1!f",A25+4)),"")</f>
        <v>Lucy HOWARTH</v>
      </c>
      <c r="E28" s="85" t="str">
        <f ca="1">IFERROR(INDIRECT(CONCATENATE("Track1!g",A25+4)),"")</f>
        <v>C&amp;N</v>
      </c>
      <c r="F28" s="395">
        <f ca="1">IFERROR(INDIRECT(CONCATENATE("Track1!h",A25+4)),"")</f>
        <v>21.3</v>
      </c>
      <c r="G28" s="108">
        <f ca="1">IFERROR(INDIRECT(CONCATENATE("Track1!i",A25+4)),"")</f>
        <v>8</v>
      </c>
      <c r="H28" s="66"/>
      <c r="I28" s="66">
        <f ca="1">IFERROR(INDIRECT(CONCATENATE("Track1!k",A25+4)),"")</f>
        <v>3</v>
      </c>
      <c r="J28" s="66">
        <f ca="1">IFERROR(INDIRECT(CONCATENATE("Track1!l",A25+4)),"")</f>
        <v>77</v>
      </c>
      <c r="K28" s="85" t="str">
        <f ca="1">IFERROR(INDIRECT(CONCATENATE("Track1!m",A25+4)),"")</f>
        <v>Katie-lou MALLEY</v>
      </c>
      <c r="L28" s="85" t="str">
        <f ca="1">IFERROR(INDIRECT(CONCATENATE("Track1!n",A25+4)),"")</f>
        <v>Wigan</v>
      </c>
      <c r="M28" s="395">
        <f ca="1">IFERROR(INDIRECT(CONCATENATE("Track1!o",A25+4)),"")</f>
        <v>23.1</v>
      </c>
      <c r="N28" s="108">
        <f ca="1">IFERROR(INDIRECT(CONCATENATE("Track1!p",A25+4)),"")</f>
        <v>5</v>
      </c>
      <c r="T28" s="64">
        <f t="shared" ca="1" si="0"/>
        <v>3</v>
      </c>
      <c r="U28" s="64">
        <f t="shared" ca="1" si="1"/>
        <v>3</v>
      </c>
      <c r="V28" s="266">
        <f ca="1">IF(OR(D28=0,D28="",D28="Athlete"),"",COUNTIF($D$4:$D28,D28))</f>
        <v>1</v>
      </c>
      <c r="W28" s="266" t="str">
        <f t="shared" ca="1" si="2"/>
        <v>C&amp;N</v>
      </c>
      <c r="Z28" s="266">
        <f t="shared" ca="1" si="3"/>
        <v>0</v>
      </c>
    </row>
    <row r="29" spans="1:26" x14ac:dyDescent="0.35">
      <c r="B29" s="66">
        <f ca="1">IFERROR(INDIRECT(CONCATENATE("Track1!D",A25+5)),"")</f>
        <v>4</v>
      </c>
      <c r="C29" s="66">
        <f ca="1">IFERROR(INDIRECT(CONCATENATE("Track1!e",A25+5)),"")</f>
        <v>5</v>
      </c>
      <c r="D29" s="85" t="str">
        <f ca="1">IFERROR(INDIRECT(CONCATENATE("Track1!f",A25+5)),"")</f>
        <v>Ela EDWARDS</v>
      </c>
      <c r="E29" s="85" t="str">
        <f ca="1">IFERROR(INDIRECT(CONCATENATE("Track1!g",A25+5)),"")</f>
        <v>Menai</v>
      </c>
      <c r="F29" s="395">
        <f ca="1">IFERROR(INDIRECT(CONCATENATE("Track1!h",A25+5)),"")</f>
        <v>21.5</v>
      </c>
      <c r="G29" s="108">
        <f ca="1">IFERROR(INDIRECT(CONCATENATE("Track1!i",A25+5)),"")</f>
        <v>7</v>
      </c>
      <c r="H29" s="66"/>
      <c r="I29" s="66">
        <f ca="1">IFERROR(INDIRECT(CONCATENATE("Track1!k",A25+5)),"")</f>
        <v>4</v>
      </c>
      <c r="J29" s="66">
        <f ca="1">IFERROR(INDIRECT(CONCATENATE("Track1!l",A25+5)),"")</f>
        <v>33</v>
      </c>
      <c r="K29" s="85" t="str">
        <f ca="1">IFERROR(INDIRECT(CONCATENATE("Track1!m",A25+5)),"")</f>
        <v>Emily ASHTON</v>
      </c>
      <c r="L29" s="85" t="str">
        <f ca="1">IFERROR(INDIRECT(CONCATENATE("Track1!n",A25+5)),"")</f>
        <v>Leigh</v>
      </c>
      <c r="M29" s="395">
        <f ca="1">IFERROR(INDIRECT(CONCATENATE("Track1!o",A25+5)),"")</f>
        <v>23.3</v>
      </c>
      <c r="N29" s="108">
        <f ca="1">IFERROR(INDIRECT(CONCATENATE("Track1!p",A25+5)),"")</f>
        <v>4</v>
      </c>
      <c r="T29" s="64">
        <f t="shared" ca="1" si="0"/>
        <v>2</v>
      </c>
      <c r="U29" s="64">
        <f t="shared" ca="1" si="1"/>
        <v>3</v>
      </c>
      <c r="V29" s="266">
        <f ca="1">IF(OR(D29=0,D29="",D29="Athlete"),"",COUNTIF($D$4:$D29,D29))</f>
        <v>2</v>
      </c>
      <c r="W29" s="266" t="str">
        <f t="shared" ca="1" si="2"/>
        <v>Menai</v>
      </c>
      <c r="Z29" s="266">
        <f t="shared" ca="1" si="3"/>
        <v>0</v>
      </c>
    </row>
    <row r="30" spans="1:26" x14ac:dyDescent="0.35">
      <c r="B30" s="66">
        <f ca="1">IFERROR(INDIRECT(CONCATENATE("Track1!D",A25+6)),"")</f>
        <v>5</v>
      </c>
      <c r="C30" s="66">
        <f ca="1">IFERROR(INDIRECT(CONCATENATE("Track1!e",A25+6)),"")</f>
        <v>6</v>
      </c>
      <c r="D30" s="85" t="str">
        <f ca="1">IFERROR(INDIRECT(CONCATENATE("Track1!f",A25+6)),"")</f>
        <v>Sophie LOW</v>
      </c>
      <c r="E30" s="85" t="str">
        <f ca="1">IFERROR(INDIRECT(CONCATENATE("Track1!g",A25+6)),"")</f>
        <v>Stock</v>
      </c>
      <c r="F30" s="395">
        <f ca="1">IFERROR(INDIRECT(CONCATENATE("Track1!h",A25+6)),"")</f>
        <v>22.9</v>
      </c>
      <c r="G30" s="108">
        <f ca="1">IFERROR(INDIRECT(CONCATENATE("Track1!i",A25+6)),"")</f>
        <v>5</v>
      </c>
      <c r="H30" s="66"/>
      <c r="I30" s="66">
        <f ca="1">IFERROR(INDIRECT(CONCATENATE("Track1!k",A25+6)),"")</f>
        <v>5</v>
      </c>
      <c r="J30" s="66">
        <f ca="1">IFERROR(INDIRECT(CONCATENATE("Track1!l",A25+6)),"")</f>
        <v>22</v>
      </c>
      <c r="K30" s="85" t="str">
        <f ca="1">IFERROR(INDIRECT(CONCATENATE("Track1!m",A25+6)),"")</f>
        <v>Madaline BURKE</v>
      </c>
      <c r="L30" s="85" t="str">
        <f ca="1">IFERROR(INDIRECT(CONCATENATE("Track1!n",A25+6)),"")</f>
        <v>ECHT</v>
      </c>
      <c r="M30" s="395">
        <f ca="1">IFERROR(INDIRECT(CONCATENATE("Track1!o",A25+6)),"")</f>
        <v>23.4</v>
      </c>
      <c r="N30" s="108">
        <f ca="1">IFERROR(INDIRECT(CONCATENATE("Track1!p",A25+6)),"")</f>
        <v>4</v>
      </c>
      <c r="T30" s="64">
        <f t="shared" ca="1" si="0"/>
        <v>3</v>
      </c>
      <c r="U30" s="64">
        <f t="shared" ca="1" si="1"/>
        <v>3</v>
      </c>
      <c r="V30" s="266">
        <f ca="1">IF(OR(D30=0,D30="",D30="Athlete"),"",COUNTIF($D$4:$D30,D30))</f>
        <v>1</v>
      </c>
      <c r="W30" s="266" t="str">
        <f t="shared" ca="1" si="2"/>
        <v>Stock</v>
      </c>
      <c r="Z30" s="266">
        <f t="shared" ca="1" si="3"/>
        <v>0</v>
      </c>
    </row>
    <row r="31" spans="1:26" x14ac:dyDescent="0.35">
      <c r="B31" s="66">
        <f ca="1">IFERROR(INDIRECT(CONCATENATE("Track1!D",A25+7)),"")</f>
        <v>6</v>
      </c>
      <c r="C31" s="66">
        <f ca="1">IFERROR(INDIRECT(CONCATENATE("Track1!e",A25+7)),"")</f>
        <v>4</v>
      </c>
      <c r="D31" s="85" t="str">
        <f ca="1">IFERROR(INDIRECT(CONCATENATE("Track1!f",A25+7)),"")</f>
        <v>Lara ADU-GYAMFI</v>
      </c>
      <c r="E31" s="85" t="str">
        <f ca="1">IFERROR(INDIRECT(CONCATENATE("Track1!g",A25+7)),"")</f>
        <v>Macc</v>
      </c>
      <c r="F31" s="395">
        <f ca="1">IFERROR(INDIRECT(CONCATENATE("Track1!h",A25+7)),"")</f>
        <v>23.4</v>
      </c>
      <c r="G31" s="108">
        <f ca="1">IFERROR(INDIRECT(CONCATENATE("Track1!i",A25+7)),"")</f>
        <v>4</v>
      </c>
      <c r="H31" s="66"/>
      <c r="I31" s="66">
        <f ca="1">IFERROR(INDIRECT(CONCATENATE("Track1!k",A25+7)),"")</f>
        <v>6</v>
      </c>
      <c r="J31" s="66">
        <f ca="1">IFERROR(INDIRECT(CONCATENATE("Track1!l",A25+7)),"")</f>
        <v>44</v>
      </c>
      <c r="K31" s="85" t="str">
        <f ca="1">IFERROR(INDIRECT(CONCATENATE("Track1!m",A25+7)),"")</f>
        <v>Molly KENT</v>
      </c>
      <c r="L31" s="85" t="str">
        <f ca="1">IFERROR(INDIRECT(CONCATENATE("Track1!n",A25+7)),"")</f>
        <v>Macc</v>
      </c>
      <c r="M31" s="395">
        <f ca="1">IFERROR(INDIRECT(CONCATENATE("Track1!o",A25+7)),"")</f>
        <v>24.1</v>
      </c>
      <c r="N31" s="108">
        <f ca="1">IFERROR(INDIRECT(CONCATENATE("Track1!p",A25+7)),"")</f>
        <v>3</v>
      </c>
      <c r="T31" s="64">
        <f t="shared" ca="1" si="0"/>
        <v>3</v>
      </c>
      <c r="U31" s="64">
        <f t="shared" ca="1" si="1"/>
        <v>2</v>
      </c>
      <c r="V31" s="266">
        <f ca="1">IF(OR(D31=0,D31="",D31="Athlete"),"",COUNTIF($D$4:$D31,D31))</f>
        <v>2</v>
      </c>
      <c r="W31" s="266" t="str">
        <f t="shared" ca="1" si="2"/>
        <v>Macc</v>
      </c>
      <c r="Z31" s="266">
        <f t="shared" ca="1" si="3"/>
        <v>0</v>
      </c>
    </row>
    <row r="32" spans="1:26" x14ac:dyDescent="0.35">
      <c r="B32" s="66">
        <f ca="1">IFERROR(INDIRECT(CONCATENATE("Track1!D",A25+8)),"")</f>
        <v>7</v>
      </c>
      <c r="C32" s="66">
        <f ca="1">IFERROR(INDIRECT(CONCATENATE("Track1!e",A25+8)),"")</f>
        <v>7</v>
      </c>
      <c r="D32" s="85" t="str">
        <f ca="1">IFERROR(INDIRECT(CONCATENATE("Track1!f",A25+8)),"")</f>
        <v>Sophia BOWDEN-MCKAY</v>
      </c>
      <c r="E32" s="85" t="str">
        <f ca="1">IFERROR(INDIRECT(CONCATENATE("Track1!g",A25+8)),"")</f>
        <v>Wigan</v>
      </c>
      <c r="F32" s="395">
        <f ca="1">IFERROR(INDIRECT(CONCATENATE("Track1!h",A25+8)),"")</f>
        <v>23.5</v>
      </c>
      <c r="G32" s="108">
        <f ca="1">IFERROR(INDIRECT(CONCATENATE("Track1!i",A25+8)),"")</f>
        <v>4</v>
      </c>
      <c r="H32" s="66"/>
      <c r="I32" s="66">
        <f ca="1">IFERROR(INDIRECT(CONCATENATE("Track1!k",A25+8)),"")</f>
        <v>7</v>
      </c>
      <c r="J32" s="66">
        <f ca="1">IFERROR(INDIRECT(CONCATENATE("Track1!l",A25+8)),"")</f>
        <v>0</v>
      </c>
      <c r="K32" s="85" t="str">
        <f ca="1">IFERROR(INDIRECT(CONCATENATE("Track1!m",A25+8)),"")</f>
        <v/>
      </c>
      <c r="L32" s="85" t="str">
        <f ca="1">IFERROR(INDIRECT(CONCATENATE("Track1!n",A25+8)),"")</f>
        <v/>
      </c>
      <c r="M32" s="395">
        <f ca="1">IFERROR(INDIRECT(CONCATENATE("Track1!o",A25+8)),"")</f>
        <v>0</v>
      </c>
      <c r="N32" s="108" t="str">
        <f ca="1">IFERROR(INDIRECT(CONCATENATE("Track1!p",A25+8)),"")</f>
        <v/>
      </c>
      <c r="T32" s="64">
        <f t="shared" ca="1" si="0"/>
        <v>2</v>
      </c>
      <c r="U32" s="64" t="str">
        <f t="shared" ca="1" si="1"/>
        <v/>
      </c>
      <c r="V32" s="266">
        <f ca="1">IF(OR(D32=0,D32="",D32="Athlete"),"",COUNTIF($D$4:$D32,D32))</f>
        <v>1</v>
      </c>
      <c r="W32" s="266" t="str">
        <f t="shared" ca="1" si="2"/>
        <v>Wigan</v>
      </c>
      <c r="Z32" s="266">
        <f t="shared" ca="1" si="3"/>
        <v>0</v>
      </c>
    </row>
    <row r="33" spans="1:26" x14ac:dyDescent="0.35">
      <c r="B33" s="66">
        <f ca="1">IFERROR(INDIRECT(CONCATENATE("Track1!D",A25+9)),"")</f>
        <v>8</v>
      </c>
      <c r="C33" s="66">
        <f ca="1">IFERROR(INDIRECT(CONCATENATE("Track1!e",A25+9)),"")</f>
        <v>0</v>
      </c>
      <c r="D33" s="85" t="str">
        <f ca="1">IFERROR(INDIRECT(CONCATENATE("Track1!f",A25+9)),"")</f>
        <v/>
      </c>
      <c r="E33" s="85" t="str">
        <f ca="1">IFERROR(INDIRECT(CONCATENATE("Track1!g",A25+9)),"")</f>
        <v/>
      </c>
      <c r="F33" s="395">
        <f ca="1">IFERROR(INDIRECT(CONCATENATE("Track1!h",A25+9)),"")</f>
        <v>0</v>
      </c>
      <c r="G33" s="108" t="str">
        <f ca="1">IFERROR(INDIRECT(CONCATENATE("Track1!i",A25+9)),"")</f>
        <v/>
      </c>
      <c r="H33" s="66"/>
      <c r="I33" s="66">
        <f ca="1">IFERROR(INDIRECT(CONCATENATE("Track1!k",A25+9)),"")</f>
        <v>8</v>
      </c>
      <c r="J33" s="66">
        <f ca="1">IFERROR(INDIRECT(CONCATENATE("Track1!l",A25+9)),"")</f>
        <v>0</v>
      </c>
      <c r="K33" s="85" t="str">
        <f ca="1">IFERROR(INDIRECT(CONCATENATE("Track1!m",A25+9)),"")</f>
        <v/>
      </c>
      <c r="L33" s="85" t="str">
        <f ca="1">IFERROR(INDIRECT(CONCATENATE("Track1!n",A25+9)),"")</f>
        <v/>
      </c>
      <c r="M33" s="395">
        <f ca="1">IFERROR(INDIRECT(CONCATENATE("Track1!o",A25+9)),"")</f>
        <v>0</v>
      </c>
      <c r="N33" s="108" t="str">
        <f ca="1">IFERROR(INDIRECT(CONCATENATE("Track1!p",A25+9)),"")</f>
        <v/>
      </c>
      <c r="T33" s="64" t="str">
        <f t="shared" ca="1" si="0"/>
        <v/>
      </c>
      <c r="U33" s="64" t="str">
        <f t="shared" ca="1" si="1"/>
        <v/>
      </c>
      <c r="V33" s="266" t="str">
        <f ca="1">IF(OR(D33=0,D33="",D33="Athlete"),"",COUNTIF($D$4:$D33,D33))</f>
        <v/>
      </c>
      <c r="W33" s="266" t="str">
        <f t="shared" ca="1" si="2"/>
        <v/>
      </c>
      <c r="Z33" s="266" t="str">
        <f t="shared" ca="1" si="3"/>
        <v/>
      </c>
    </row>
    <row r="34" spans="1:26" x14ac:dyDescent="0.35">
      <c r="T34" s="64" t="str">
        <f t="shared" si="0"/>
        <v/>
      </c>
      <c r="U34" s="64" t="str">
        <f t="shared" si="1"/>
        <v/>
      </c>
      <c r="V34" s="266" t="str">
        <f>IF(OR(D34=0,D34="",D34="Athlete"),"",COUNTIF($D$4:$D34,D34))</f>
        <v/>
      </c>
      <c r="W34" s="266" t="str">
        <f t="shared" si="2"/>
        <v/>
      </c>
      <c r="Z34" s="266" t="str">
        <f t="shared" si="3"/>
        <v/>
      </c>
    </row>
    <row r="35" spans="1:26" x14ac:dyDescent="0.35">
      <c r="A35" s="66" t="s">
        <v>348</v>
      </c>
      <c r="B35" s="102" t="str">
        <f ca="1">IFERROR(INDIRECT(CONCATENATE("Track1!D",A36)),"")</f>
        <v>800m U13 Girls A</v>
      </c>
      <c r="F35" s="254">
        <f ca="1">IFERROR(INDIRECT(CONCATENATE("Track1!h",A36)),"")</f>
        <v>0</v>
      </c>
      <c r="G35" s="108" t="str">
        <f ca="1">IFERROR(INDIRECT(CONCATENATE("Track1!i",A36)),"")</f>
        <v/>
      </c>
      <c r="I35" s="102" t="str">
        <f ca="1">IFERROR(INDIRECT(CONCATENATE("Track1!k",A36)),"")</f>
        <v>800m U13 Girls B</v>
      </c>
      <c r="T35" s="64" t="str">
        <f t="shared" si="0"/>
        <v/>
      </c>
      <c r="U35" s="64" t="str">
        <f t="shared" si="1"/>
        <v/>
      </c>
      <c r="V35" s="266" t="str">
        <f>IF(OR(D35=0,D35="",D35="Athlete"),"",COUNTIF($D$4:$D35,D35))</f>
        <v/>
      </c>
      <c r="W35" s="266" t="str">
        <f t="shared" si="2"/>
        <v/>
      </c>
      <c r="Z35" s="266" t="str">
        <f t="shared" ca="1" si="3"/>
        <v/>
      </c>
    </row>
    <row r="36" spans="1:26" x14ac:dyDescent="0.35">
      <c r="A36" s="66">
        <f>IFERROR(MATCH(A35,Track1!C:C,0),"")</f>
        <v>200</v>
      </c>
      <c r="B36" s="45" t="str">
        <f ca="1">IFERROR(INDIRECT(CONCATENATE("Track1!D",A36+1)),"")</f>
        <v>Posn</v>
      </c>
      <c r="C36" s="45" t="str">
        <f ca="1">IFERROR(INDIRECT(CONCATENATE("Track1!e",A36+1)),"")</f>
        <v>No.</v>
      </c>
      <c r="D36" s="139" t="str">
        <f ca="1">IFERROR(INDIRECT(CONCATENATE("Track1!f",A36+1)),"")</f>
        <v>Athlete</v>
      </c>
      <c r="E36" s="139" t="str">
        <f ca="1">IFERROR(INDIRECT(CONCATENATE("Track1!g",A36+1)),"")</f>
        <v>Club</v>
      </c>
      <c r="F36" s="133" t="str">
        <f ca="1">IFERROR(INDIRECT(CONCATENATE("Track1!h",A36+1)),"")</f>
        <v>Perf</v>
      </c>
      <c r="G36" s="167" t="str">
        <f ca="1">IFERROR(INDIRECT(CONCATENATE("Track1!i",A36+1)),"")</f>
        <v>EA</v>
      </c>
      <c r="H36" s="45"/>
      <c r="I36" s="45" t="str">
        <f ca="1">IFERROR(INDIRECT(CONCATENATE("Track1!k",A36+1)),"")</f>
        <v>Posn</v>
      </c>
      <c r="J36" s="45" t="str">
        <f ca="1">IFERROR(INDIRECT(CONCATENATE("Track1!l",A36+1)),"")</f>
        <v>No.</v>
      </c>
      <c r="K36" s="139" t="str">
        <f ca="1">IFERROR(INDIRECT(CONCATENATE("Track1!m",A36+1)),"")</f>
        <v>Athlete</v>
      </c>
      <c r="L36" s="139" t="str">
        <f ca="1">IFERROR(INDIRECT(CONCATENATE("Track1!n",A36+1)),"")</f>
        <v>Club</v>
      </c>
      <c r="M36" s="133" t="str">
        <f ca="1">IFERROR(INDIRECT(CONCATENATE("Track1!o",A36+1)),"")</f>
        <v>Perf</v>
      </c>
      <c r="N36" s="167" t="str">
        <f ca="1">IFERROR(INDIRECT(CONCATENATE("Track1!p",A36+1)),"")</f>
        <v>EA</v>
      </c>
      <c r="T36" s="64" t="str">
        <f t="shared" ca="1" si="0"/>
        <v/>
      </c>
      <c r="U36" s="64" t="str">
        <f t="shared" ca="1" si="1"/>
        <v/>
      </c>
      <c r="V36" s="266" t="str">
        <f ca="1">IF(OR(D36=0,D36="",D36="Athlete"),"",COUNTIF($D$4:$D36,D36))</f>
        <v/>
      </c>
      <c r="W36" s="266" t="str">
        <f t="shared" ca="1" si="2"/>
        <v/>
      </c>
      <c r="Z36" s="266">
        <f t="shared" ca="1" si="3"/>
        <v>0</v>
      </c>
    </row>
    <row r="37" spans="1:26" x14ac:dyDescent="0.35">
      <c r="B37" s="66">
        <f ca="1">IFERROR(INDIRECT(CONCATENATE("Track1!D",A36+2)),"")</f>
        <v>1</v>
      </c>
      <c r="C37" s="66">
        <f ca="1">IFERROR(INDIRECT(CONCATENATE("Track1!e",A36+2)),"")</f>
        <v>6</v>
      </c>
      <c r="D37" s="85" t="str">
        <f ca="1">IFERROR(INDIRECT(CONCATENATE("Track1!f",A36+2)),"")</f>
        <v>Emily WALTON</v>
      </c>
      <c r="E37" s="85" t="str">
        <f ca="1">IFERROR(INDIRECT(CONCATENATE("Track1!g",A36+2)),"")</f>
        <v>Stock</v>
      </c>
      <c r="F37" s="96">
        <f ca="1">IFERROR(INDIRECT(CONCATENATE("Track1!V",A36+2)),"")</f>
        <v>1.7337962962962964E-3</v>
      </c>
      <c r="G37" s="108">
        <f ca="1">IFERROR(INDIRECT(CONCATENATE("Track1!i",A36+2)),"")</f>
        <v>9</v>
      </c>
      <c r="H37" s="66"/>
      <c r="I37" s="66">
        <f ca="1">IFERROR(INDIRECT(CONCATENATE("Track1!k",A36+2)),"")</f>
        <v>1</v>
      </c>
      <c r="J37" s="66">
        <f ca="1">IFERROR(INDIRECT(CONCATENATE("Track1!l",A36+2)),"")</f>
        <v>77</v>
      </c>
      <c r="K37" s="85" t="str">
        <f ca="1">IFERROR(INDIRECT(CONCATENATE("Track1!m",A36+2)),"")</f>
        <v>Katie-lou MALLEY</v>
      </c>
      <c r="L37" s="85" t="str">
        <f ca="1">IFERROR(INDIRECT(CONCATENATE("Track1!n",A36+2)),"")</f>
        <v>Wigan</v>
      </c>
      <c r="M37" s="96">
        <f ca="1">IFERROR(INDIRECT(CONCATENATE("Track1!w",A36+2)),"")</f>
        <v>1.912037037037037E-3</v>
      </c>
      <c r="N37" s="108">
        <f ca="1">IFERROR(INDIRECT(CONCATENATE("Track1!p",A36+2)),"")</f>
        <v>5</v>
      </c>
      <c r="R37" s="168">
        <f ca="1">IFERROR(INDIRECT(CONCATENATE("Track1!r",A36+2)),"")</f>
        <v>10</v>
      </c>
      <c r="T37" s="64">
        <f t="shared" ca="1" si="0"/>
        <v>3</v>
      </c>
      <c r="U37" s="64">
        <f t="shared" ca="1" si="1"/>
        <v>3</v>
      </c>
      <c r="V37" s="266">
        <f ca="1">IF(OR(D37=0,D37="",D37="Athlete"),"",COUNTIF($D$4:$D37,D37))</f>
        <v>1</v>
      </c>
      <c r="W37" s="266" t="str">
        <f t="shared" ca="1" si="2"/>
        <v>Stock</v>
      </c>
      <c r="Z37" s="266">
        <f t="shared" ca="1" si="3"/>
        <v>0</v>
      </c>
    </row>
    <row r="38" spans="1:26" x14ac:dyDescent="0.35">
      <c r="B38" s="66">
        <f ca="1">IFERROR(INDIRECT(CONCATENATE("Track1!D",A36+3)),"")</f>
        <v>2</v>
      </c>
      <c r="C38" s="66">
        <f ca="1">IFERROR(INDIRECT(CONCATENATE("Track1!e",A36+3)),"")</f>
        <v>5</v>
      </c>
      <c r="D38" s="85" t="str">
        <f ca="1">IFERROR(INDIRECT(CONCATENATE("Track1!f",A36+3)),"")</f>
        <v>Holly WORTH</v>
      </c>
      <c r="E38" s="85" t="str">
        <f ca="1">IFERROR(INDIRECT(CONCATENATE("Track1!g",A36+3)),"")</f>
        <v>Menai</v>
      </c>
      <c r="F38" s="96">
        <f ca="1">IFERROR(INDIRECT(CONCATENATE("Track1!V",A36+3)),"")</f>
        <v>1.8738425925925927E-3</v>
      </c>
      <c r="G38" s="108">
        <f ca="1">IFERROR(INDIRECT(CONCATENATE("Track1!i",A36+3)),"")</f>
        <v>6</v>
      </c>
      <c r="H38" s="66"/>
      <c r="I38" s="66">
        <f ca="1">IFERROR(INDIRECT(CONCATENATE("Track1!k",A36+3)),"")</f>
        <v>2</v>
      </c>
      <c r="J38" s="66">
        <f ca="1">IFERROR(INDIRECT(CONCATENATE("Track1!l",A36+3)),"")</f>
        <v>22</v>
      </c>
      <c r="K38" s="85" t="str">
        <f ca="1">IFERROR(INDIRECT(CONCATENATE("Track1!m",A36+3)),"")</f>
        <v>Erin MCMAHON</v>
      </c>
      <c r="L38" s="85" t="str">
        <f ca="1">IFERROR(INDIRECT(CONCATENATE("Track1!n",A36+3)),"")</f>
        <v>ECHT</v>
      </c>
      <c r="M38" s="96">
        <f ca="1">IFERROR(INDIRECT(CONCATENATE("Track1!w",A36+3)),"")</f>
        <v>2.0289351851851853E-3</v>
      </c>
      <c r="N38" s="108">
        <f ca="1">IFERROR(INDIRECT(CONCATENATE("Track1!p",A36+3)),"")</f>
        <v>3</v>
      </c>
      <c r="T38" s="64">
        <f t="shared" ca="1" si="0"/>
        <v>3</v>
      </c>
      <c r="U38" s="64">
        <f t="shared" ca="1" si="1"/>
        <v>1</v>
      </c>
      <c r="V38" s="266">
        <f ca="1">IF(OR(D38=0,D38="",D38="Athlete"),"",COUNTIF($D$4:$D38,D38))</f>
        <v>1</v>
      </c>
      <c r="W38" s="266" t="str">
        <f t="shared" ca="1" si="2"/>
        <v>Menai</v>
      </c>
      <c r="Z38" s="266">
        <f t="shared" ca="1" si="3"/>
        <v>0</v>
      </c>
    </row>
    <row r="39" spans="1:26" x14ac:dyDescent="0.35">
      <c r="B39" s="66">
        <f ca="1">IFERROR(INDIRECT(CONCATENATE("Track1!D",A36+4)),"")</f>
        <v>3</v>
      </c>
      <c r="C39" s="66">
        <f ca="1">IFERROR(INDIRECT(CONCATENATE("Track1!e",A36+4)),"")</f>
        <v>3</v>
      </c>
      <c r="D39" s="85" t="str">
        <f ca="1">IFERROR(INDIRECT(CONCATENATE("Track1!f",A36+4)),"")</f>
        <v>Maddison PENDLEBURY</v>
      </c>
      <c r="E39" s="85" t="str">
        <f ca="1">IFERROR(INDIRECT(CONCATENATE("Track1!g",A36+4)),"")</f>
        <v>Leigh</v>
      </c>
      <c r="F39" s="96">
        <f ca="1">IFERROR(INDIRECT(CONCATENATE("Track1!V",A36+4)),"")</f>
        <v>2.0127314814814817E-3</v>
      </c>
      <c r="G39" s="108">
        <f ca="1">IFERROR(INDIRECT(CONCATENATE("Track1!i",A36+4)),"")</f>
        <v>4</v>
      </c>
      <c r="H39" s="66"/>
      <c r="I39" s="66">
        <f ca="1">IFERROR(INDIRECT(CONCATENATE("Track1!k",A36+4)),"")</f>
        <v>3</v>
      </c>
      <c r="J39" s="66">
        <f ca="1">IFERROR(INDIRECT(CONCATENATE("Track1!l",A36+4)),"")</f>
        <v>44</v>
      </c>
      <c r="K39" s="85" t="str">
        <f ca="1">IFERROR(INDIRECT(CONCATENATE("Track1!m",A36+4)),"")</f>
        <v>Sophie MARTIN</v>
      </c>
      <c r="L39" s="85" t="str">
        <f ca="1">IFERROR(INDIRECT(CONCATENATE("Track1!n",A36+4)),"")</f>
        <v>Macc</v>
      </c>
      <c r="M39" s="96">
        <f ca="1">IFERROR(INDIRECT(CONCATENATE("Track1!w",A36+4)),"")</f>
        <v>2.158564814814815E-3</v>
      </c>
      <c r="N39" s="108">
        <f ca="1">IFERROR(INDIRECT(CONCATENATE("Track1!p",A36+4)),"")</f>
        <v>2</v>
      </c>
      <c r="T39" s="64">
        <f t="shared" ca="1" si="0"/>
        <v>2</v>
      </c>
      <c r="U39" s="64">
        <f t="shared" ca="1" si="1"/>
        <v>1</v>
      </c>
      <c r="V39" s="266">
        <f ca="1">IF(OR(D39=0,D39="",D39="Athlete"),"",COUNTIF($D$4:$D39,D39))</f>
        <v>1</v>
      </c>
      <c r="W39" s="266" t="str">
        <f t="shared" ca="1" si="2"/>
        <v>Leigh</v>
      </c>
      <c r="Z39" s="266">
        <f t="shared" ca="1" si="3"/>
        <v>0</v>
      </c>
    </row>
    <row r="40" spans="1:26" x14ac:dyDescent="0.35">
      <c r="B40" s="66">
        <f ca="1">IFERROR(INDIRECT(CONCATENATE("Track1!D",A36+5)),"")</f>
        <v>4</v>
      </c>
      <c r="C40" s="66">
        <f ca="1">IFERROR(INDIRECT(CONCATENATE("Track1!e",A36+5)),"")</f>
        <v>1</v>
      </c>
      <c r="D40" s="85" t="str">
        <f ca="1">IFERROR(INDIRECT(CONCATENATE("Track1!f",A36+5)),"")</f>
        <v>Freya HOWELLS</v>
      </c>
      <c r="E40" s="85" t="str">
        <f ca="1">IFERROR(INDIRECT(CONCATENATE("Track1!g",A36+5)),"")</f>
        <v>C&amp;N</v>
      </c>
      <c r="F40" s="96">
        <f ca="1">IFERROR(INDIRECT(CONCATENATE("Track1!V",A36+5)),"")</f>
        <v>2.0462962962962965E-3</v>
      </c>
      <c r="G40" s="108">
        <f ca="1">IFERROR(INDIRECT(CONCATENATE("Track1!i",A36+5)),"")</f>
        <v>3</v>
      </c>
      <c r="H40" s="66"/>
      <c r="I40" s="66">
        <f ca="1">IFERROR(INDIRECT(CONCATENATE("Track1!k",A36+5)),"")</f>
        <v>4</v>
      </c>
      <c r="J40" s="66">
        <f ca="1">IFERROR(INDIRECT(CONCATENATE("Track1!l",A36+5)),"")</f>
        <v>33</v>
      </c>
      <c r="K40" s="85" t="str">
        <f ca="1">IFERROR(INDIRECT(CONCATENATE("Track1!m",A36+5)),"")</f>
        <v>Mia WILKINSON</v>
      </c>
      <c r="L40" s="85" t="str">
        <f ca="1">IFERROR(INDIRECT(CONCATENATE("Track1!n",A36+5)),"")</f>
        <v>Leigh</v>
      </c>
      <c r="M40" s="96">
        <f ca="1">IFERROR(INDIRECT(CONCATENATE("Track1!w",A36+5)),"")</f>
        <v>2.2037037037037038E-3</v>
      </c>
      <c r="N40" s="108" t="str">
        <f ca="1">IFERROR(INDIRECT(CONCATENATE("Track1!p",A36+5)),"")</f>
        <v/>
      </c>
      <c r="T40" s="64">
        <f t="shared" ca="1" si="0"/>
        <v>3</v>
      </c>
      <c r="U40" s="64">
        <f t="shared" ca="1" si="1"/>
        <v>1</v>
      </c>
      <c r="V40" s="266">
        <f ca="1">IF(OR(D40=0,D40="",D40="Athlete"),"",COUNTIF($D$4:$D40,D40))</f>
        <v>1</v>
      </c>
      <c r="W40" s="266" t="str">
        <f t="shared" ca="1" si="2"/>
        <v>C&amp;N</v>
      </c>
      <c r="Z40" s="266">
        <f t="shared" ca="1" si="3"/>
        <v>0</v>
      </c>
    </row>
    <row r="41" spans="1:26" x14ac:dyDescent="0.35">
      <c r="B41" s="66">
        <f ca="1">IFERROR(INDIRECT(CONCATENATE("Track1!D",A36+6)),"")</f>
        <v>5</v>
      </c>
      <c r="C41" s="66">
        <f ca="1">IFERROR(INDIRECT(CONCATENATE("Track1!e",A36+6)),"")</f>
        <v>2</v>
      </c>
      <c r="D41" s="85" t="str">
        <f ca="1">IFERROR(INDIRECT(CONCATENATE("Track1!f",A36+6)),"")</f>
        <v>Olivia GOFF</v>
      </c>
      <c r="E41" s="85" t="str">
        <f ca="1">IFERROR(INDIRECT(CONCATENATE("Track1!g",A36+6)),"")</f>
        <v>ECHT</v>
      </c>
      <c r="F41" s="96">
        <f ca="1">IFERROR(INDIRECT(CONCATENATE("Track1!V",A36+6)),"")</f>
        <v>2.1168981481481477E-3</v>
      </c>
      <c r="G41" s="108">
        <f ca="1">IFERROR(INDIRECT(CONCATENATE("Track1!i",A36+6)),"")</f>
        <v>2</v>
      </c>
      <c r="H41" s="66"/>
      <c r="I41" s="66">
        <f ca="1">IFERROR(INDIRECT(CONCATENATE("Track1!k",A36+6)),"")</f>
        <v>5</v>
      </c>
      <c r="J41" s="66">
        <f ca="1">IFERROR(INDIRECT(CONCATENATE("Track1!l",A36+6)),"")</f>
        <v>11</v>
      </c>
      <c r="K41" s="85" t="str">
        <f ca="1">IFERROR(INDIRECT(CONCATENATE("Track1!m",A36+6)),"")</f>
        <v>Jasmine COOPER</v>
      </c>
      <c r="L41" s="85" t="str">
        <f ca="1">IFERROR(INDIRECT(CONCATENATE("Track1!n",A36+6)),"")</f>
        <v>C&amp;N</v>
      </c>
      <c r="M41" s="96">
        <f ca="1">IFERROR(INDIRECT(CONCATENATE("Track1!w",A36+6)),"")</f>
        <v>2.3356481481481483E-3</v>
      </c>
      <c r="N41" s="108" t="str">
        <f ca="1">IFERROR(INDIRECT(CONCATENATE("Track1!p",A36+6)),"")</f>
        <v/>
      </c>
      <c r="T41" s="64">
        <f t="shared" ca="1" si="0"/>
        <v>2</v>
      </c>
      <c r="U41" s="64">
        <f t="shared" ca="1" si="1"/>
        <v>3</v>
      </c>
      <c r="V41" s="266">
        <f ca="1">IF(OR(D41=0,D41="",D41="Athlete"),"",COUNTIF($D$4:$D41,D41))</f>
        <v>2</v>
      </c>
      <c r="W41" s="266" t="str">
        <f t="shared" ca="1" si="2"/>
        <v>ECHT</v>
      </c>
      <c r="Z41" s="266">
        <f t="shared" ca="1" si="3"/>
        <v>0</v>
      </c>
    </row>
    <row r="42" spans="1:26" x14ac:dyDescent="0.35">
      <c r="B42" s="66">
        <f ca="1">IFERROR(INDIRECT(CONCATENATE("Track1!D",A36+7)),"")</f>
        <v>6</v>
      </c>
      <c r="C42" s="66">
        <f ca="1">IFERROR(INDIRECT(CONCATENATE("Track1!e",A36+7)),"")</f>
        <v>7</v>
      </c>
      <c r="D42" s="85" t="str">
        <f ca="1">IFERROR(INDIRECT(CONCATENATE("Track1!f",A36+7)),"")</f>
        <v>Carly MCGRATH</v>
      </c>
      <c r="E42" s="85" t="str">
        <f ca="1">IFERROR(INDIRECT(CONCATENATE("Track1!g",A36+7)),"")</f>
        <v>Wigan</v>
      </c>
      <c r="F42" s="96">
        <f ca="1">IFERROR(INDIRECT(CONCATENATE("Track1!V",A36+7)),"")</f>
        <v>2.181712962962963E-3</v>
      </c>
      <c r="G42" s="108">
        <f ca="1">IFERROR(INDIRECT(CONCATENATE("Track1!i",A36+7)),"")</f>
        <v>2</v>
      </c>
      <c r="H42" s="66"/>
      <c r="I42" s="66">
        <f ca="1">IFERROR(INDIRECT(CONCATENATE("Track1!k",A36+7)),"")</f>
        <v>6</v>
      </c>
      <c r="J42" s="66">
        <f ca="1">IFERROR(INDIRECT(CONCATENATE("Track1!l",A36+7)),"")</f>
        <v>0</v>
      </c>
      <c r="K42" s="85" t="str">
        <f ca="1">IFERROR(INDIRECT(CONCATENATE("Track1!m",A36+7)),"")</f>
        <v/>
      </c>
      <c r="L42" s="85" t="str">
        <f ca="1">IFERROR(INDIRECT(CONCATENATE("Track1!n",A36+7)),"")</f>
        <v/>
      </c>
      <c r="M42" s="96">
        <f ca="1">IFERROR(INDIRECT(CONCATENATE("Track1!w",A36+7)),"")</f>
        <v>0</v>
      </c>
      <c r="N42" s="108" t="str">
        <f ca="1">IFERROR(INDIRECT(CONCATENATE("Track1!p",A36+7)),"")</f>
        <v/>
      </c>
      <c r="T42" s="64">
        <f t="shared" ca="1" si="0"/>
        <v>1</v>
      </c>
      <c r="U42" s="64" t="str">
        <f t="shared" ca="1" si="1"/>
        <v/>
      </c>
      <c r="V42" s="266">
        <f ca="1">IF(OR(D42=0,D42="",D42="Athlete"),"",COUNTIF($D$4:$D42,D42))</f>
        <v>1</v>
      </c>
      <c r="W42" s="266" t="str">
        <f t="shared" ca="1" si="2"/>
        <v>Wigan</v>
      </c>
      <c r="Z42" s="266">
        <f t="shared" ca="1" si="3"/>
        <v>0</v>
      </c>
    </row>
    <row r="43" spans="1:26" x14ac:dyDescent="0.35">
      <c r="B43" s="66">
        <f ca="1">IFERROR(INDIRECT(CONCATENATE("Track1!D",A36+8)),"")</f>
        <v>7</v>
      </c>
      <c r="C43" s="66">
        <f ca="1">IFERROR(INDIRECT(CONCATENATE("Track1!e",A36+8)),"")</f>
        <v>4</v>
      </c>
      <c r="D43" s="85" t="str">
        <f ca="1">IFERROR(INDIRECT(CONCATENATE("Track1!f",A36+8)),"")</f>
        <v>Lydia HIGGINS</v>
      </c>
      <c r="E43" s="85" t="str">
        <f ca="1">IFERROR(INDIRECT(CONCATENATE("Track1!g",A36+8)),"")</f>
        <v>Macc</v>
      </c>
      <c r="F43" s="96">
        <f ca="1">IFERROR(INDIRECT(CONCATENATE("Track1!V",A36+8)),"")</f>
        <v>2.212962962962963E-3</v>
      </c>
      <c r="G43" s="108" t="str">
        <f ca="1">IFERROR(INDIRECT(CONCATENATE("Track1!i",A36+8)),"")</f>
        <v/>
      </c>
      <c r="H43" s="66"/>
      <c r="I43" s="66">
        <f ca="1">IFERROR(INDIRECT(CONCATENATE("Track1!k",A36+8)),"")</f>
        <v>7</v>
      </c>
      <c r="J43" s="66">
        <f ca="1">IFERROR(INDIRECT(CONCATENATE("Track1!l",A36+8)),"")</f>
        <v>0</v>
      </c>
      <c r="K43" s="85" t="str">
        <f ca="1">IFERROR(INDIRECT(CONCATENATE("Track1!m",A36+8)),"")</f>
        <v/>
      </c>
      <c r="L43" s="85" t="str">
        <f ca="1">IFERROR(INDIRECT(CONCATENATE("Track1!n",A36+8)),"")</f>
        <v/>
      </c>
      <c r="M43" s="96">
        <f ca="1">IFERROR(INDIRECT(CONCATENATE("Track1!w",A36+8)),"")</f>
        <v>0</v>
      </c>
      <c r="N43" s="108" t="str">
        <f ca="1">IFERROR(INDIRECT(CONCATENATE("Track1!p",A36+8)),"")</f>
        <v/>
      </c>
      <c r="T43" s="64">
        <f t="shared" ca="1" si="0"/>
        <v>2</v>
      </c>
      <c r="U43" s="64" t="str">
        <f t="shared" ca="1" si="1"/>
        <v/>
      </c>
      <c r="V43" s="266">
        <f ca="1">IF(OR(D43=0,D43="",D43="Athlete"),"",COUNTIF($D$4:$D43,D43))</f>
        <v>1</v>
      </c>
      <c r="W43" s="266" t="str">
        <f t="shared" ca="1" si="2"/>
        <v>Macc</v>
      </c>
      <c r="Z43" s="266" t="str">
        <f t="shared" ca="1" si="3"/>
        <v/>
      </c>
    </row>
    <row r="44" spans="1:26" x14ac:dyDescent="0.35">
      <c r="B44" s="66">
        <f ca="1">IFERROR(INDIRECT(CONCATENATE("Track1!D",A36+9)),"")</f>
        <v>8</v>
      </c>
      <c r="C44" s="66">
        <f ca="1">IFERROR(INDIRECT(CONCATENATE("Track1!e",A36+9)),"")</f>
        <v>0</v>
      </c>
      <c r="D44" s="85" t="str">
        <f ca="1">IFERROR(INDIRECT(CONCATENATE("Track1!f",A36+9)),"")</f>
        <v/>
      </c>
      <c r="E44" s="85" t="str">
        <f ca="1">IFERROR(INDIRECT(CONCATENATE("Track1!g",A36+9)),"")</f>
        <v/>
      </c>
      <c r="F44" s="96">
        <f ca="1">IFERROR(INDIRECT(CONCATENATE("Track1!V",A36+9)),"")</f>
        <v>0</v>
      </c>
      <c r="G44" s="108" t="str">
        <f ca="1">IFERROR(INDIRECT(CONCATENATE("Track1!i",A36+9)),"")</f>
        <v/>
      </c>
      <c r="H44" s="66"/>
      <c r="I44" s="66">
        <f ca="1">IFERROR(INDIRECT(CONCATENATE("Track1!k",A36+9)),"")</f>
        <v>8</v>
      </c>
      <c r="J44" s="66">
        <f ca="1">IFERROR(INDIRECT(CONCATENATE("Track1!l",A36+9)),"")</f>
        <v>0</v>
      </c>
      <c r="K44" s="85" t="str">
        <f ca="1">IFERROR(INDIRECT(CONCATENATE("Track1!m",A36+9)),"")</f>
        <v/>
      </c>
      <c r="L44" s="85" t="str">
        <f ca="1">IFERROR(INDIRECT(CONCATENATE("Track1!n",A36+9)),"")</f>
        <v/>
      </c>
      <c r="M44" s="96">
        <f ca="1">IFERROR(INDIRECT(CONCATENATE("Track1!w",A36+9)),"")</f>
        <v>0</v>
      </c>
      <c r="N44" s="108" t="str">
        <f ca="1">IFERROR(INDIRECT(CONCATENATE("Track1!p",A36+9)),"")</f>
        <v/>
      </c>
      <c r="T44" s="64" t="str">
        <f t="shared" ca="1" si="0"/>
        <v/>
      </c>
      <c r="U44" s="64" t="str">
        <f t="shared" ca="1" si="1"/>
        <v/>
      </c>
      <c r="V44" s="266" t="str">
        <f ca="1">IF(OR(D44=0,D44="",D44="Athlete"),"",COUNTIF($D$4:$D44,D44))</f>
        <v/>
      </c>
      <c r="W44" s="266" t="str">
        <f t="shared" ca="1" si="2"/>
        <v/>
      </c>
      <c r="Z44" s="266" t="str">
        <f t="shared" ca="1" si="3"/>
        <v/>
      </c>
    </row>
    <row r="45" spans="1:26" x14ac:dyDescent="0.35">
      <c r="F45" s="97"/>
      <c r="M45" s="97"/>
      <c r="T45" s="64" t="str">
        <f t="shared" si="0"/>
        <v/>
      </c>
      <c r="U45" s="64" t="str">
        <f t="shared" si="1"/>
        <v/>
      </c>
      <c r="V45" s="266" t="str">
        <f>IF(OR(D45=0,D45="",D45="Athlete"),"",COUNTIF($D$4:$D45,D45))</f>
        <v/>
      </c>
      <c r="W45" s="266" t="str">
        <f t="shared" si="2"/>
        <v/>
      </c>
      <c r="Z45" s="266" t="str">
        <f t="shared" si="3"/>
        <v/>
      </c>
    </row>
    <row r="46" spans="1:26" x14ac:dyDescent="0.35">
      <c r="A46" s="66" t="s">
        <v>352</v>
      </c>
      <c r="B46" s="102" t="str">
        <f ca="1">IFERROR(INDIRECT(CONCATENATE("Track1!D",A47)),"")</f>
        <v>800m NS U13 Girls A</v>
      </c>
      <c r="F46" s="416">
        <f ca="1">IFERROR(INDIRECT(CONCATENATE("Track1!h",A47)),"")</f>
        <v>0</v>
      </c>
      <c r="G46" s="108" t="str">
        <f ca="1">IFERROR(INDIRECT(CONCATENATE("Track1!i",A47)),"")</f>
        <v/>
      </c>
      <c r="I46" s="102" t="str">
        <f ca="1">IFERROR(INDIRECT(CONCATENATE("Track1!k",A47)),"")</f>
        <v>800m NS U13 Girls B</v>
      </c>
      <c r="M46" s="97"/>
      <c r="T46" s="64" t="str">
        <f t="shared" si="0"/>
        <v/>
      </c>
      <c r="U46" s="64" t="str">
        <f t="shared" si="1"/>
        <v/>
      </c>
      <c r="V46" s="266" t="str">
        <f>IF(OR(D46=0,D46="",D46="Athlete"),"",COUNTIF($D$4:$D46,D46))</f>
        <v/>
      </c>
      <c r="W46" s="266" t="str">
        <f t="shared" si="2"/>
        <v/>
      </c>
      <c r="Z46" s="266" t="str">
        <f t="shared" ca="1" si="3"/>
        <v/>
      </c>
    </row>
    <row r="47" spans="1:26" x14ac:dyDescent="0.35">
      <c r="A47" s="66">
        <f>IFERROR(MATCH(A46,Track1!C:C,0),"")</f>
        <v>244</v>
      </c>
      <c r="B47" s="45" t="str">
        <f ca="1">IFERROR(INDIRECT(CONCATENATE("Track1!D",A47+1)),"")</f>
        <v>Posn</v>
      </c>
      <c r="C47" s="45" t="str">
        <f ca="1">IFERROR(INDIRECT(CONCATENATE("Track1!e",A47+1)),"")</f>
        <v>No.</v>
      </c>
      <c r="D47" s="139" t="str">
        <f ca="1">IFERROR(INDIRECT(CONCATENATE("Track1!f",A47+1)),"")</f>
        <v>Athlete</v>
      </c>
      <c r="E47" s="139" t="str">
        <f ca="1">IFERROR(INDIRECT(CONCATENATE("Track1!g",A47+1)),"")</f>
        <v>Club</v>
      </c>
      <c r="F47" s="134" t="str">
        <f ca="1">IFERROR(INDIRECT(CONCATENATE("Track1!h",A47+1)),"")</f>
        <v>Perf</v>
      </c>
      <c r="G47" s="167" t="str">
        <f ca="1">IFERROR(INDIRECT(CONCATENATE("Track1!i",A47+1)),"")</f>
        <v>EA</v>
      </c>
      <c r="H47" s="45"/>
      <c r="I47" s="45" t="str">
        <f ca="1">IFERROR(INDIRECT(CONCATENATE("Track1!k",A47+1)),"")</f>
        <v>Posn</v>
      </c>
      <c r="J47" s="45" t="str">
        <f ca="1">IFERROR(INDIRECT(CONCATENATE("Track1!l",A47+1)),"")</f>
        <v>No.</v>
      </c>
      <c r="K47" s="139" t="str">
        <f ca="1">IFERROR(INDIRECT(CONCATENATE("Track1!m",A47+1)),"")</f>
        <v>Athlete</v>
      </c>
      <c r="L47" s="139" t="str">
        <f ca="1">IFERROR(INDIRECT(CONCATENATE("Track1!n",A47+1)),"")</f>
        <v>Club</v>
      </c>
      <c r="M47" s="134" t="str">
        <f ca="1">IFERROR(INDIRECT(CONCATENATE("Track1!o",A47+1)),"")</f>
        <v>Perf</v>
      </c>
      <c r="N47" s="167" t="str">
        <f ca="1">IFERROR(INDIRECT(CONCATENATE("Track1!p",A47+1)),"")</f>
        <v>EA</v>
      </c>
      <c r="T47" s="64" t="str">
        <f t="shared" ca="1" si="0"/>
        <v/>
      </c>
      <c r="U47" s="64" t="str">
        <f t="shared" ca="1" si="1"/>
        <v/>
      </c>
      <c r="V47" s="266" t="str">
        <f ca="1">IF(OR(D47=0,D47="",D47="Athlete"),"",COUNTIF($D$4:$D47,D47))</f>
        <v/>
      </c>
      <c r="W47" s="266" t="str">
        <f t="shared" ca="1" si="2"/>
        <v/>
      </c>
      <c r="Z47" s="266">
        <f t="shared" ca="1" si="3"/>
        <v>0</v>
      </c>
    </row>
    <row r="48" spans="1:26" x14ac:dyDescent="0.35">
      <c r="B48" s="66">
        <f ca="1">IFERROR(INDIRECT(CONCATENATE("Track1!D",A47+2)),"")</f>
        <v>1</v>
      </c>
      <c r="C48" s="66">
        <f ca="1">IFERROR(INDIRECT(CONCATENATE("Track1!e",A47+2)),"")</f>
        <v>7</v>
      </c>
      <c r="D48" s="85" t="str">
        <f ca="1">IFERROR(INDIRECT(CONCATENATE("Track1!f",A47+2)),"")</f>
        <v>Grace HARRIS</v>
      </c>
      <c r="E48" s="85" t="str">
        <f ca="1">IFERROR(INDIRECT(CONCATENATE("Track1!g",A47+2)),"")</f>
        <v>Wigan</v>
      </c>
      <c r="F48" s="96">
        <f ca="1">IFERROR(INDIRECT(CONCATENATE("Track1!v",A47+2)),"")</f>
        <v>2.239583333333333E-3</v>
      </c>
      <c r="G48" s="108" t="str">
        <f ca="1">IFERROR(INDIRECT(CONCATENATE("Track1!i",A47+2)),"")</f>
        <v/>
      </c>
      <c r="H48" s="66"/>
      <c r="I48" s="66">
        <f ca="1">IFERROR(INDIRECT(CONCATENATE("Track1!k",A47+2)),"")</f>
        <v>1</v>
      </c>
      <c r="J48" s="66">
        <f ca="1">IFERROR(INDIRECT(CONCATENATE("Track1!l",A47+2)),"")</f>
        <v>98</v>
      </c>
      <c r="K48" s="85" t="str">
        <f ca="1">IFERROR(INDIRECT(CONCATENATE("Track1!m",A47+2)),"")</f>
        <v/>
      </c>
      <c r="L48" s="85" t="str">
        <f ca="1">IFERROR(INDIRECT(CONCATENATE("Track1!n",A47+2)),"")</f>
        <v>No Competitors</v>
      </c>
      <c r="M48" s="96">
        <f ca="1">IFERROR(INDIRECT(CONCATENATE("Track1!w",A47+2)),"")</f>
        <v>0</v>
      </c>
      <c r="N48" s="108" t="str">
        <f ca="1">IFERROR(INDIRECT(CONCATENATE("Track1!p",A47+2)),"")</f>
        <v/>
      </c>
      <c r="R48" s="168">
        <f ca="1">IFERROR(INDIRECT(CONCATENATE("Track1!r",A47+2)),"")</f>
        <v>0</v>
      </c>
      <c r="T48" s="64">
        <f t="shared" ca="1" si="0"/>
        <v>3</v>
      </c>
      <c r="U48" s="64" t="str">
        <f t="shared" ca="1" si="1"/>
        <v/>
      </c>
      <c r="V48" s="266">
        <f ca="1">IF(OR(D48=0,D48="",D48="Athlete"),"",COUNTIF($D$4:$D48,D48))</f>
        <v>1</v>
      </c>
      <c r="W48" s="266" t="str">
        <f t="shared" ca="1" si="2"/>
        <v>Wigan</v>
      </c>
      <c r="Z48" s="266" t="str">
        <f t="shared" ca="1" si="3"/>
        <v/>
      </c>
    </row>
    <row r="49" spans="1:26" x14ac:dyDescent="0.35">
      <c r="B49" s="66">
        <f ca="1">IFERROR(INDIRECT(CONCATENATE("Track1!D",A47+3)),"")</f>
        <v>2</v>
      </c>
      <c r="C49" s="66">
        <f ca="1">IFERROR(INDIRECT(CONCATENATE("Track1!e",A47+3)),"")</f>
        <v>0</v>
      </c>
      <c r="D49" s="85" t="str">
        <f ca="1">IFERROR(INDIRECT(CONCATENATE("Track1!f",A47+3)),"")</f>
        <v/>
      </c>
      <c r="E49" s="85" t="str">
        <f ca="1">IFERROR(INDIRECT(CONCATENATE("Track1!g",A47+3)),"")</f>
        <v/>
      </c>
      <c r="F49" s="96">
        <f ca="1">IFERROR(INDIRECT(CONCATENATE("Track1!v",A47+3)),"")</f>
        <v>0</v>
      </c>
      <c r="G49" s="108" t="str">
        <f ca="1">IFERROR(INDIRECT(CONCATENATE("Track1!i",A47+3)),"")</f>
        <v/>
      </c>
      <c r="H49" s="66"/>
      <c r="I49" s="66">
        <f ca="1">IFERROR(INDIRECT(CONCATENATE("Track1!k",A47+3)),"")</f>
        <v>2</v>
      </c>
      <c r="J49" s="66">
        <f ca="1">IFERROR(INDIRECT(CONCATENATE("Track1!l",A47+3)),"")</f>
        <v>0</v>
      </c>
      <c r="K49" s="85" t="str">
        <f ca="1">IFERROR(INDIRECT(CONCATENATE("Track1!m",A47+3)),"")</f>
        <v/>
      </c>
      <c r="L49" s="85" t="str">
        <f ca="1">IFERROR(INDIRECT(CONCATENATE("Track1!n",A47+3)),"")</f>
        <v/>
      </c>
      <c r="M49" s="96">
        <f ca="1">IFERROR(INDIRECT(CONCATENATE("Track1!w",A47+3)),"")</f>
        <v>0</v>
      </c>
      <c r="N49" s="108" t="str">
        <f ca="1">IFERROR(INDIRECT(CONCATENATE("Track1!p",A47+3)),"")</f>
        <v/>
      </c>
      <c r="T49" s="64" t="str">
        <f t="shared" ca="1" si="0"/>
        <v/>
      </c>
      <c r="U49" s="64" t="str">
        <f t="shared" ca="1" si="1"/>
        <v/>
      </c>
      <c r="V49" s="266" t="str">
        <f ca="1">IF(OR(D49=0,D49="",D49="Athlete"),"",COUNTIF($D$4:$D49,D49))</f>
        <v/>
      </c>
      <c r="W49" s="266" t="str">
        <f t="shared" ca="1" si="2"/>
        <v/>
      </c>
      <c r="Z49" s="266" t="str">
        <f t="shared" ca="1" si="3"/>
        <v/>
      </c>
    </row>
    <row r="50" spans="1:26" x14ac:dyDescent="0.35">
      <c r="B50" s="66">
        <f ca="1">IFERROR(INDIRECT(CONCATENATE("Track1!D",A47+4)),"")</f>
        <v>3</v>
      </c>
      <c r="C50" s="66">
        <f ca="1">IFERROR(INDIRECT(CONCATENATE("Track1!e",A47+4)),"")</f>
        <v>0</v>
      </c>
      <c r="D50" s="85" t="str">
        <f ca="1">IFERROR(INDIRECT(CONCATENATE("Track1!f",A47+4)),"")</f>
        <v/>
      </c>
      <c r="E50" s="85" t="str">
        <f ca="1">IFERROR(INDIRECT(CONCATENATE("Track1!g",A47+4)),"")</f>
        <v/>
      </c>
      <c r="F50" s="96">
        <f ca="1">IFERROR(INDIRECT(CONCATENATE("Track1!v",A47+4)),"")</f>
        <v>0</v>
      </c>
      <c r="G50" s="108" t="str">
        <f ca="1">IFERROR(INDIRECT(CONCATENATE("Track1!i",A47+4)),"")</f>
        <v/>
      </c>
      <c r="H50" s="66"/>
      <c r="I50" s="66">
        <f ca="1">IFERROR(INDIRECT(CONCATENATE("Track1!k",A47+4)),"")</f>
        <v>3</v>
      </c>
      <c r="J50" s="66">
        <f ca="1">IFERROR(INDIRECT(CONCATENATE("Track1!l",A47+4)),"")</f>
        <v>0</v>
      </c>
      <c r="K50" s="85" t="str">
        <f ca="1">IFERROR(INDIRECT(CONCATENATE("Track1!m",A47+4)),"")</f>
        <v/>
      </c>
      <c r="L50" s="85" t="str">
        <f ca="1">IFERROR(INDIRECT(CONCATENATE("Track1!n",A47+4)),"")</f>
        <v/>
      </c>
      <c r="M50" s="96">
        <f ca="1">IFERROR(INDIRECT(CONCATENATE("Track1!w",A47+4)),"")</f>
        <v>0</v>
      </c>
      <c r="N50" s="108" t="str">
        <f ca="1">IFERROR(INDIRECT(CONCATENATE("Track1!p",A47+4)),"")</f>
        <v/>
      </c>
      <c r="T50" s="64" t="str">
        <f t="shared" ca="1" si="0"/>
        <v/>
      </c>
      <c r="U50" s="64" t="str">
        <f t="shared" ca="1" si="1"/>
        <v/>
      </c>
      <c r="V50" s="266" t="str">
        <f ca="1">IF(OR(D50=0,D50="",D50="Athlete"),"",COUNTIF($D$4:$D50,D50))</f>
        <v/>
      </c>
      <c r="W50" s="266" t="str">
        <f t="shared" ca="1" si="2"/>
        <v/>
      </c>
      <c r="Z50" s="266" t="str">
        <f t="shared" ca="1" si="3"/>
        <v/>
      </c>
    </row>
    <row r="51" spans="1:26" x14ac:dyDescent="0.35">
      <c r="B51" s="66">
        <f ca="1">IFERROR(INDIRECT(CONCATENATE("Track1!D",A47+5)),"")</f>
        <v>4</v>
      </c>
      <c r="C51" s="66">
        <f ca="1">IFERROR(INDIRECT(CONCATENATE("Track1!e",A47+5)),"")</f>
        <v>0</v>
      </c>
      <c r="D51" s="85" t="str">
        <f ca="1">IFERROR(INDIRECT(CONCATENATE("Track1!f",A47+5)),"")</f>
        <v/>
      </c>
      <c r="E51" s="85" t="str">
        <f ca="1">IFERROR(INDIRECT(CONCATENATE("Track1!g",A47+5)),"")</f>
        <v/>
      </c>
      <c r="F51" s="96">
        <f ca="1">IFERROR(INDIRECT(CONCATENATE("Track1!v",A47+5)),"")</f>
        <v>0</v>
      </c>
      <c r="G51" s="108" t="str">
        <f ca="1">IFERROR(INDIRECT(CONCATENATE("Track1!i",A47+5)),"")</f>
        <v/>
      </c>
      <c r="H51" s="66"/>
      <c r="I51" s="66">
        <f ca="1">IFERROR(INDIRECT(CONCATENATE("Track1!k",A47+5)),"")</f>
        <v>4</v>
      </c>
      <c r="J51" s="66">
        <f ca="1">IFERROR(INDIRECT(CONCATENATE("Track1!l",A47+5)),"")</f>
        <v>0</v>
      </c>
      <c r="K51" s="85" t="str">
        <f ca="1">IFERROR(INDIRECT(CONCATENATE("Track1!m",A47+5)),"")</f>
        <v/>
      </c>
      <c r="L51" s="85" t="str">
        <f ca="1">IFERROR(INDIRECT(CONCATENATE("Track1!n",A47+5)),"")</f>
        <v/>
      </c>
      <c r="M51" s="96">
        <f ca="1">IFERROR(INDIRECT(CONCATENATE("Track1!w",A47+5)),"")</f>
        <v>0</v>
      </c>
      <c r="N51" s="108" t="str">
        <f ca="1">IFERROR(INDIRECT(CONCATENATE("Track1!p",A47+5)),"")</f>
        <v/>
      </c>
      <c r="T51" s="64" t="str">
        <f t="shared" ca="1" si="0"/>
        <v/>
      </c>
      <c r="U51" s="64" t="str">
        <f t="shared" ca="1" si="1"/>
        <v/>
      </c>
      <c r="V51" s="266" t="str">
        <f ca="1">IF(OR(D51=0,D51="",D51="Athlete"),"",COUNTIF($D$4:$D51,D51))</f>
        <v/>
      </c>
      <c r="W51" s="266" t="str">
        <f t="shared" ca="1" si="2"/>
        <v/>
      </c>
      <c r="Z51" s="266" t="str">
        <f t="shared" ca="1" si="3"/>
        <v/>
      </c>
    </row>
    <row r="52" spans="1:26" x14ac:dyDescent="0.35">
      <c r="B52" s="66">
        <f ca="1">IFERROR(INDIRECT(CONCATENATE("Track1!D",A47+6)),"")</f>
        <v>5</v>
      </c>
      <c r="C52" s="66">
        <f ca="1">IFERROR(INDIRECT(CONCATENATE("Track1!e",A47+6)),"")</f>
        <v>0</v>
      </c>
      <c r="D52" s="85" t="str">
        <f ca="1">IFERROR(INDIRECT(CONCATENATE("Track1!f",A47+6)),"")</f>
        <v/>
      </c>
      <c r="E52" s="85" t="str">
        <f ca="1">IFERROR(INDIRECT(CONCATENATE("Track1!g",A47+6)),"")</f>
        <v/>
      </c>
      <c r="F52" s="96">
        <f ca="1">IFERROR(INDIRECT(CONCATENATE("Track1!v",A47+6)),"")</f>
        <v>0</v>
      </c>
      <c r="G52" s="108" t="str">
        <f ca="1">IFERROR(INDIRECT(CONCATENATE("Track1!i",A47+6)),"")</f>
        <v/>
      </c>
      <c r="H52" s="66"/>
      <c r="I52" s="66">
        <f ca="1">IFERROR(INDIRECT(CONCATENATE("Track1!k",A47+6)),"")</f>
        <v>5</v>
      </c>
      <c r="J52" s="66">
        <f ca="1">IFERROR(INDIRECT(CONCATENATE("Track1!l",A47+6)),"")</f>
        <v>0</v>
      </c>
      <c r="K52" s="85" t="str">
        <f ca="1">IFERROR(INDIRECT(CONCATENATE("Track1!m",A47+6)),"")</f>
        <v/>
      </c>
      <c r="L52" s="85" t="str">
        <f ca="1">IFERROR(INDIRECT(CONCATENATE("Track1!n",A47+6)),"")</f>
        <v/>
      </c>
      <c r="M52" s="96">
        <f ca="1">IFERROR(INDIRECT(CONCATENATE("Track1!w",A47+6)),"")</f>
        <v>0</v>
      </c>
      <c r="N52" s="108" t="str">
        <f ca="1">IFERROR(INDIRECT(CONCATENATE("Track1!p",A47+6)),"")</f>
        <v/>
      </c>
      <c r="T52" s="64" t="str">
        <f t="shared" ca="1" si="0"/>
        <v/>
      </c>
      <c r="U52" s="64" t="str">
        <f t="shared" ca="1" si="1"/>
        <v/>
      </c>
      <c r="V52" s="266" t="str">
        <f ca="1">IF(OR(D52=0,D52="",D52="Athlete"),"",COUNTIF($D$4:$D52,D52))</f>
        <v/>
      </c>
      <c r="W52" s="266" t="str">
        <f t="shared" ca="1" si="2"/>
        <v/>
      </c>
      <c r="Z52" s="266" t="str">
        <f t="shared" ca="1" si="3"/>
        <v/>
      </c>
    </row>
    <row r="53" spans="1:26" x14ac:dyDescent="0.35">
      <c r="B53" s="66">
        <f ca="1">IFERROR(INDIRECT(CONCATENATE("Track1!D",A47+7)),"")</f>
        <v>6</v>
      </c>
      <c r="C53" s="66">
        <f ca="1">IFERROR(INDIRECT(CONCATENATE("Track1!e",A47+7)),"")</f>
        <v>0</v>
      </c>
      <c r="D53" s="85" t="str">
        <f ca="1">IFERROR(INDIRECT(CONCATENATE("Track1!f",A47+7)),"")</f>
        <v/>
      </c>
      <c r="E53" s="85" t="str">
        <f ca="1">IFERROR(INDIRECT(CONCATENATE("Track1!g",A47+7)),"")</f>
        <v/>
      </c>
      <c r="F53" s="96">
        <f ca="1">IFERROR(INDIRECT(CONCATENATE("Track1!v",A47+7)),"")</f>
        <v>0</v>
      </c>
      <c r="G53" s="108" t="str">
        <f ca="1">IFERROR(INDIRECT(CONCATENATE("Track1!i",A47+7)),"")</f>
        <v/>
      </c>
      <c r="H53" s="66"/>
      <c r="I53" s="66">
        <f ca="1">IFERROR(INDIRECT(CONCATENATE("Track1!k",A47+7)),"")</f>
        <v>6</v>
      </c>
      <c r="J53" s="66">
        <f ca="1">IFERROR(INDIRECT(CONCATENATE("Track1!l",A47+7)),"")</f>
        <v>0</v>
      </c>
      <c r="K53" s="85" t="str">
        <f ca="1">IFERROR(INDIRECT(CONCATENATE("Track1!m",A47+7)),"")</f>
        <v/>
      </c>
      <c r="L53" s="85" t="str">
        <f ca="1">IFERROR(INDIRECT(CONCATENATE("Track1!n",A47+7)),"")</f>
        <v/>
      </c>
      <c r="M53" s="96">
        <f ca="1">IFERROR(INDIRECT(CONCATENATE("Track1!w",A47+7)),"")</f>
        <v>0</v>
      </c>
      <c r="N53" s="108" t="str">
        <f ca="1">IFERROR(INDIRECT(CONCATENATE("Track1!p",A47+7)),"")</f>
        <v/>
      </c>
      <c r="T53" s="64" t="str">
        <f t="shared" ca="1" si="0"/>
        <v/>
      </c>
      <c r="U53" s="64" t="str">
        <f t="shared" ca="1" si="1"/>
        <v/>
      </c>
      <c r="V53" s="266" t="str">
        <f ca="1">IF(OR(D53=0,D53="",D53="Athlete"),"",COUNTIF($D$4:$D53,D53))</f>
        <v/>
      </c>
      <c r="W53" s="266" t="str">
        <f t="shared" ca="1" si="2"/>
        <v/>
      </c>
      <c r="Z53" s="266" t="str">
        <f t="shared" ca="1" si="3"/>
        <v/>
      </c>
    </row>
    <row r="54" spans="1:26" x14ac:dyDescent="0.35">
      <c r="B54" s="66">
        <f ca="1">IFERROR(INDIRECT(CONCATENATE("Track1!D",A47+8)),"")</f>
        <v>7</v>
      </c>
      <c r="C54" s="66">
        <f ca="1">IFERROR(INDIRECT(CONCATENATE("Track1!e",A47+8)),"")</f>
        <v>0</v>
      </c>
      <c r="D54" s="85" t="str">
        <f ca="1">IFERROR(INDIRECT(CONCATENATE("Track1!f",A47+8)),"")</f>
        <v/>
      </c>
      <c r="E54" s="85" t="str">
        <f ca="1">IFERROR(INDIRECT(CONCATENATE("Track1!g",A47+8)),"")</f>
        <v/>
      </c>
      <c r="F54" s="96">
        <f ca="1">IFERROR(INDIRECT(CONCATENATE("Track1!v",A47+8)),"")</f>
        <v>0</v>
      </c>
      <c r="G54" s="108" t="str">
        <f ca="1">IFERROR(INDIRECT(CONCATENATE("Track1!i",A47+8)),"")</f>
        <v/>
      </c>
      <c r="H54" s="66"/>
      <c r="I54" s="66">
        <f ca="1">IFERROR(INDIRECT(CONCATENATE("Track1!k",A47+8)),"")</f>
        <v>7</v>
      </c>
      <c r="J54" s="66">
        <f ca="1">IFERROR(INDIRECT(CONCATENATE("Track1!l",A47+8)),"")</f>
        <v>0</v>
      </c>
      <c r="K54" s="85" t="str">
        <f ca="1">IFERROR(INDIRECT(CONCATENATE("Track1!m",A47+8)),"")</f>
        <v/>
      </c>
      <c r="L54" s="85" t="str">
        <f ca="1">IFERROR(INDIRECT(CONCATENATE("Track1!n",A47+8)),"")</f>
        <v/>
      </c>
      <c r="M54" s="96">
        <f ca="1">IFERROR(INDIRECT(CONCATENATE("Track1!w",A47+8)),"")</f>
        <v>0</v>
      </c>
      <c r="N54" s="108" t="str">
        <f ca="1">IFERROR(INDIRECT(CONCATENATE("Track1!p",A47+8)),"")</f>
        <v/>
      </c>
      <c r="T54" s="64" t="str">
        <f t="shared" ca="1" si="0"/>
        <v/>
      </c>
      <c r="U54" s="64" t="str">
        <f t="shared" ca="1" si="1"/>
        <v/>
      </c>
      <c r="V54" s="266" t="str">
        <f ca="1">IF(OR(D54=0,D54="",D54="Athlete"),"",COUNTIF($D$4:$D54,D54))</f>
        <v/>
      </c>
      <c r="W54" s="266" t="str">
        <f t="shared" ca="1" si="2"/>
        <v/>
      </c>
      <c r="Z54" s="266" t="str">
        <f t="shared" ca="1" si="3"/>
        <v/>
      </c>
    </row>
    <row r="55" spans="1:26" x14ac:dyDescent="0.35">
      <c r="B55" s="66">
        <f ca="1">IFERROR(INDIRECT(CONCATENATE("Track1!D",A47+9)),"")</f>
        <v>8</v>
      </c>
      <c r="C55" s="66">
        <f ca="1">IFERROR(INDIRECT(CONCATENATE("Track1!e",A47+9)),"")</f>
        <v>0</v>
      </c>
      <c r="D55" s="85" t="str">
        <f ca="1">IFERROR(INDIRECT(CONCATENATE("Track1!f",A47+9)),"")</f>
        <v/>
      </c>
      <c r="E55" s="85" t="str">
        <f ca="1">IFERROR(INDIRECT(CONCATENATE("Track1!g",A47+9)),"")</f>
        <v/>
      </c>
      <c r="F55" s="96">
        <f ca="1">IFERROR(INDIRECT(CONCATENATE("Track1!v",A47+9)),"")</f>
        <v>0</v>
      </c>
      <c r="G55" s="108" t="str">
        <f ca="1">IFERROR(INDIRECT(CONCATENATE("Track1!i",A47+9)),"")</f>
        <v/>
      </c>
      <c r="H55" s="66"/>
      <c r="I55" s="66">
        <f ca="1">IFERROR(INDIRECT(CONCATENATE("Track1!k",A47+9)),"")</f>
        <v>8</v>
      </c>
      <c r="J55" s="66">
        <f ca="1">IFERROR(INDIRECT(CONCATENATE("Track1!l",A47+9)),"")</f>
        <v>0</v>
      </c>
      <c r="K55" s="85" t="str">
        <f ca="1">IFERROR(INDIRECT(CONCATENATE("Track1!m",A47+9)),"")</f>
        <v/>
      </c>
      <c r="L55" s="85" t="str">
        <f ca="1">IFERROR(INDIRECT(CONCATENATE("Track1!n",A47+9)),"")</f>
        <v/>
      </c>
      <c r="M55" s="96">
        <f ca="1">IFERROR(INDIRECT(CONCATENATE("Track1!w",A47+9)),"")</f>
        <v>0</v>
      </c>
      <c r="N55" s="108" t="str">
        <f ca="1">IFERROR(INDIRECT(CONCATENATE("Track1!p",A47+9)),"")</f>
        <v/>
      </c>
      <c r="T55" s="64" t="str">
        <f t="shared" ca="1" si="0"/>
        <v/>
      </c>
      <c r="U55" s="64" t="str">
        <f t="shared" ca="1" si="1"/>
        <v/>
      </c>
      <c r="V55" s="266" t="str">
        <f ca="1">IF(OR(D55=0,D55="",D55="Athlete"),"",COUNTIF($D$4:$D55,D55))</f>
        <v/>
      </c>
      <c r="W55" s="266" t="str">
        <f t="shared" ca="1" si="2"/>
        <v/>
      </c>
      <c r="Z55" s="266" t="str">
        <f t="shared" ca="1" si="3"/>
        <v/>
      </c>
    </row>
    <row r="56" spans="1:26" x14ac:dyDescent="0.35">
      <c r="F56" s="97"/>
      <c r="M56" s="97"/>
      <c r="T56" s="64" t="str">
        <f t="shared" si="0"/>
        <v/>
      </c>
      <c r="U56" s="64" t="str">
        <f t="shared" si="1"/>
        <v/>
      </c>
      <c r="V56" s="266" t="str">
        <f>IF(OR(D56=0,D56="",D56="Athlete"),"",COUNTIF($D$4:$D56,D56))</f>
        <v/>
      </c>
      <c r="W56" s="266" t="str">
        <f t="shared" si="2"/>
        <v/>
      </c>
      <c r="Z56" s="266" t="str">
        <f t="shared" si="3"/>
        <v/>
      </c>
    </row>
    <row r="57" spans="1:26" x14ac:dyDescent="0.35">
      <c r="A57" s="66" t="s">
        <v>256</v>
      </c>
      <c r="B57" s="102" t="str">
        <f ca="1">IFERROR(INDIRECT(CONCATENATE("Track2!D",A58)),"")</f>
        <v>1200m U13 Girls A</v>
      </c>
      <c r="F57" s="97"/>
      <c r="G57" s="108">
        <f ca="1">IFERROR(INDIRECT(CONCATENATE("Track2!i",A58)),"")</f>
        <v>0</v>
      </c>
      <c r="I57" s="102" t="str">
        <f ca="1">IFERROR(INDIRECT(CONCATENATE("Track2!k",A58)),"")</f>
        <v>1200m U13 Girls B</v>
      </c>
      <c r="M57" s="97"/>
      <c r="T57" s="64" t="str">
        <f t="shared" si="0"/>
        <v/>
      </c>
      <c r="U57" s="64" t="str">
        <f t="shared" si="1"/>
        <v/>
      </c>
      <c r="V57" s="266" t="str">
        <f>IF(OR(D57=0,D57="",D57="Athlete"),"",COUNTIF($D$4:$D57,D57))</f>
        <v/>
      </c>
      <c r="W57" s="266" t="str">
        <f t="shared" si="2"/>
        <v/>
      </c>
      <c r="Z57" s="266" t="str">
        <f t="shared" ca="1" si="3"/>
        <v/>
      </c>
    </row>
    <row r="58" spans="1:26" x14ac:dyDescent="0.35">
      <c r="A58" s="66">
        <f>IFERROR(MATCH(A57,Track2!C:C,0),"")</f>
        <v>2</v>
      </c>
      <c r="B58" s="45" t="str">
        <f ca="1">IFERROR(INDIRECT(CONCATENATE("Track2!D",A58+1)),"")</f>
        <v>Posn</v>
      </c>
      <c r="C58" s="45" t="str">
        <f ca="1">IFERROR(INDIRECT(CONCATENATE("Track2!e",A58+1)),"")</f>
        <v>No.</v>
      </c>
      <c r="D58" s="139" t="str">
        <f ca="1">IFERROR(INDIRECT(CONCATENATE("Track2!f",A58+1)),"")</f>
        <v>Athlete</v>
      </c>
      <c r="E58" s="139" t="str">
        <f ca="1">IFERROR(INDIRECT(CONCATENATE("Track2!g",A58+1)),"")</f>
        <v>Club</v>
      </c>
      <c r="F58" s="134" t="str">
        <f ca="1">IFERROR(INDIRECT(CONCATENATE("Track2!h",A58+1)),"")</f>
        <v>Perf</v>
      </c>
      <c r="G58" s="167" t="str">
        <f ca="1">IFERROR(INDIRECT(CONCATENATE("Track2!i",A58+1)),"")</f>
        <v>EA</v>
      </c>
      <c r="H58" s="45"/>
      <c r="I58" s="45" t="str">
        <f ca="1">IFERROR(INDIRECT(CONCATENATE("Track2!k",A58+1)),"")</f>
        <v>Posn</v>
      </c>
      <c r="J58" s="45" t="str">
        <f ca="1">IFERROR(INDIRECT(CONCATENATE("Track2!l",A58+1)),"")</f>
        <v>No.</v>
      </c>
      <c r="K58" s="139" t="str">
        <f ca="1">IFERROR(INDIRECT(CONCATENATE("Track2!m",A58+1)),"")</f>
        <v>Athlete</v>
      </c>
      <c r="L58" s="139" t="str">
        <f ca="1">IFERROR(INDIRECT(CONCATENATE("Track2!n",A58+1)),"")</f>
        <v>Club</v>
      </c>
      <c r="M58" s="134" t="str">
        <f ca="1">IFERROR(INDIRECT(CONCATENATE("Track2!o",A58+1)),"")</f>
        <v>Perf</v>
      </c>
      <c r="N58" s="167" t="str">
        <f ca="1">IFERROR(INDIRECT(CONCATENATE("Track2!p",A58+1)),"")</f>
        <v>EA</v>
      </c>
      <c r="T58" s="64" t="str">
        <f t="shared" ca="1" si="0"/>
        <v/>
      </c>
      <c r="U58" s="64" t="str">
        <f t="shared" ca="1" si="1"/>
        <v/>
      </c>
      <c r="V58" s="266" t="str">
        <f ca="1">IF(OR(D58=0,D58="",D58="Athlete"),"",COUNTIF($D$4:$D58,D58))</f>
        <v/>
      </c>
      <c r="W58" s="266" t="str">
        <f t="shared" ca="1" si="2"/>
        <v/>
      </c>
      <c r="Z58" s="266">
        <f t="shared" ca="1" si="3"/>
        <v>0</v>
      </c>
    </row>
    <row r="59" spans="1:26" x14ac:dyDescent="0.35">
      <c r="B59" s="66">
        <f ca="1">IFERROR(INDIRECT(CONCATENATE("Track2!D",A58+2)),"")</f>
        <v>1</v>
      </c>
      <c r="C59" s="66">
        <f ca="1">IFERROR(INDIRECT(CONCATENATE("Track2!e",A58+2)),"")</f>
        <v>55</v>
      </c>
      <c r="D59" s="85" t="str">
        <f ca="1">IFERROR(INDIRECT(CONCATENATE("Track2!f",A58+2)),"")</f>
        <v>Martha BOWN</v>
      </c>
      <c r="E59" s="85" t="str">
        <f ca="1">IFERROR(INDIRECT(CONCATENATE("Track2!g",A58+2)),"")</f>
        <v>Menai</v>
      </c>
      <c r="F59" s="96">
        <f ca="1">IFERROR(INDIRECT(CONCATENATE("Track2!h",A58+2)),"")</f>
        <v>2.7835648148148147E-3</v>
      </c>
      <c r="G59" s="108">
        <f ca="1">IFERROR(INDIRECT(CONCATENATE("Track2!i",A58+2)),"")</f>
        <v>9</v>
      </c>
      <c r="H59" s="66"/>
      <c r="I59" s="66">
        <f ca="1">IFERROR(INDIRECT(CONCATENATE("Track2!k",A58+2)),"")</f>
        <v>1</v>
      </c>
      <c r="J59" s="66">
        <f ca="1">IFERROR(INDIRECT(CONCATENATE("Track2!l",A58+2)),"")</f>
        <v>5</v>
      </c>
      <c r="K59" s="85" t="str">
        <f ca="1">IFERROR(INDIRECT(CONCATENATE("Track2!m",A58+2)),"")</f>
        <v>Tamsin SEGUIN</v>
      </c>
      <c r="L59" s="85" t="str">
        <f ca="1">IFERROR(INDIRECT(CONCATENATE("Track2!n",A58+2)),"")</f>
        <v>Menai</v>
      </c>
      <c r="M59" s="96">
        <f ca="1">IFERROR(INDIRECT(CONCATENATE("Track2!o",A58+2)),"")</f>
        <v>2.7847222222222223E-3</v>
      </c>
      <c r="N59" s="108">
        <f ca="1">IFERROR(INDIRECT(CONCATENATE("Track2!p",A58+2)),"")</f>
        <v>9</v>
      </c>
      <c r="R59" s="168">
        <f ca="1">IFERROR(INDIRECT(CONCATENATE("Track2!r",A58+2)),"")</f>
        <v>10</v>
      </c>
      <c r="T59" s="64">
        <f t="shared" ca="1" si="0"/>
        <v>3</v>
      </c>
      <c r="U59" s="64">
        <f t="shared" ca="1" si="1"/>
        <v>3</v>
      </c>
      <c r="V59" s="266">
        <f ca="1">IF(OR(D59=0,D59="",D59="Athlete"),"",COUNTIF($D$4:$D59,D59))</f>
        <v>1</v>
      </c>
      <c r="W59" s="266" t="str">
        <f t="shared" ca="1" si="2"/>
        <v>Menai</v>
      </c>
      <c r="Z59" s="266">
        <f t="shared" ca="1" si="3"/>
        <v>0</v>
      </c>
    </row>
    <row r="60" spans="1:26" x14ac:dyDescent="0.35">
      <c r="B60" s="66">
        <f ca="1">IFERROR(INDIRECT(CONCATENATE("Track2!D",A58+3)),"")</f>
        <v>2</v>
      </c>
      <c r="C60" s="66">
        <f ca="1">IFERROR(INDIRECT(CONCATENATE("Track2!e",A58+3)),"")</f>
        <v>2</v>
      </c>
      <c r="D60" s="85" t="str">
        <f ca="1">IFERROR(INDIRECT(CONCATENATE("Track2!f",A58+3)),"")</f>
        <v>Demi BAXTER</v>
      </c>
      <c r="E60" s="85" t="str">
        <f ca="1">IFERROR(INDIRECT(CONCATENATE("Track2!g",A58+3)),"")</f>
        <v>ECHT</v>
      </c>
      <c r="F60" s="96">
        <f ca="1">IFERROR(INDIRECT(CONCATENATE("Track2!h",A58+3)),"")</f>
        <v>2.8530092592592596E-3</v>
      </c>
      <c r="G60" s="108">
        <f ca="1">IFERROR(INDIRECT(CONCATENATE("Track2!i",A58+3)),"")</f>
        <v>7</v>
      </c>
      <c r="H60" s="66"/>
      <c r="I60" s="66">
        <f ca="1">IFERROR(INDIRECT(CONCATENATE("Track2!k",A58+3)),"")</f>
        <v>2</v>
      </c>
      <c r="J60" s="66">
        <f ca="1">IFERROR(INDIRECT(CONCATENATE("Track2!l",A58+3)),"")</f>
        <v>11</v>
      </c>
      <c r="K60" s="85" t="str">
        <f ca="1">IFERROR(INDIRECT(CONCATENATE("Track2!m",A58+3)),"")</f>
        <v>Sofiya HARE</v>
      </c>
      <c r="L60" s="85" t="str">
        <f ca="1">IFERROR(INDIRECT(CONCATENATE("Track2!n",A58+3)),"")</f>
        <v>C&amp;N</v>
      </c>
      <c r="M60" s="96">
        <f ca="1">IFERROR(INDIRECT(CONCATENATE("Track2!o",A58+3)),"")</f>
        <v>3.0104166666666664E-3</v>
      </c>
      <c r="N60" s="108">
        <f ca="1">IFERROR(INDIRECT(CONCATENATE("Track2!p",A58+3)),"")</f>
        <v>5</v>
      </c>
      <c r="T60" s="64">
        <f t="shared" ca="1" si="0"/>
        <v>2</v>
      </c>
      <c r="U60" s="64">
        <f t="shared" ca="1" si="1"/>
        <v>2</v>
      </c>
      <c r="V60" s="266">
        <f ca="1">IF(OR(D60=0,D60="",D60="Athlete"),"",COUNTIF($D$4:$D60,D60))</f>
        <v>1</v>
      </c>
      <c r="W60" s="266" t="str">
        <f t="shared" ca="1" si="2"/>
        <v>ECHT</v>
      </c>
      <c r="Z60" s="266">
        <f t="shared" ca="1" si="3"/>
        <v>0</v>
      </c>
    </row>
    <row r="61" spans="1:26" x14ac:dyDescent="0.35">
      <c r="B61" s="66">
        <f ca="1">IFERROR(INDIRECT(CONCATENATE("Track2!D",A58+4)),"")</f>
        <v>3</v>
      </c>
      <c r="C61" s="66">
        <f ca="1">IFERROR(INDIRECT(CONCATENATE("Track2!e",A58+4)),"")</f>
        <v>7</v>
      </c>
      <c r="D61" s="85" t="str">
        <f ca="1">IFERROR(INDIRECT(CONCATENATE("Track2!f",A58+4)),"")</f>
        <v>Maisie CADMAN</v>
      </c>
      <c r="E61" s="85" t="str">
        <f ca="1">IFERROR(INDIRECT(CONCATENATE("Track2!g",A58+4)),"")</f>
        <v>Wigan</v>
      </c>
      <c r="F61" s="96">
        <f ca="1">IFERROR(INDIRECT(CONCATENATE("Track2!h",A58+4)),"")</f>
        <v>2.9074074074074076E-3</v>
      </c>
      <c r="G61" s="108">
        <f ca="1">IFERROR(INDIRECT(CONCATENATE("Track2!i",A58+4)),"")</f>
        <v>7</v>
      </c>
      <c r="H61" s="66"/>
      <c r="I61" s="66">
        <f ca="1">IFERROR(INDIRECT(CONCATENATE("Track2!k",A58+4)),"")</f>
        <v>3</v>
      </c>
      <c r="J61" s="66">
        <f ca="1">IFERROR(INDIRECT(CONCATENATE("Track2!l",A58+4)),"")</f>
        <v>33</v>
      </c>
      <c r="K61" s="85" t="str">
        <f ca="1">IFERROR(INDIRECT(CONCATENATE("Track2!m",A58+4)),"")</f>
        <v>Rae VAUGHAN</v>
      </c>
      <c r="L61" s="85" t="str">
        <f ca="1">IFERROR(INDIRECT(CONCATENATE("Track2!n",A58+4)),"")</f>
        <v>Leigh</v>
      </c>
      <c r="M61" s="96">
        <f ca="1">IFERROR(INDIRECT(CONCATENATE("Track2!o",A58+4)),"")</f>
        <v>3.0613425925925925E-3</v>
      </c>
      <c r="N61" s="108">
        <f ca="1">IFERROR(INDIRECT(CONCATENATE("Track2!p",A58+4)),"")</f>
        <v>5</v>
      </c>
      <c r="T61" s="64">
        <f t="shared" ca="1" si="0"/>
        <v>2</v>
      </c>
      <c r="U61" s="64">
        <f t="shared" ca="1" si="1"/>
        <v>1</v>
      </c>
      <c r="V61" s="266">
        <f ca="1">IF(OR(D61=0,D61="",D61="Athlete"),"",COUNTIF($D$4:$D61,D61))</f>
        <v>1</v>
      </c>
      <c r="W61" s="266" t="str">
        <f t="shared" ca="1" si="2"/>
        <v>Wigan</v>
      </c>
      <c r="Z61" s="266">
        <f t="shared" ca="1" si="3"/>
        <v>0</v>
      </c>
    </row>
    <row r="62" spans="1:26" x14ac:dyDescent="0.35">
      <c r="B62" s="66">
        <f ca="1">IFERROR(INDIRECT(CONCATENATE("Track2!D",A58+5)),"")</f>
        <v>4</v>
      </c>
      <c r="C62" s="66">
        <f ca="1">IFERROR(INDIRECT(CONCATENATE("Track2!e",A58+5)),"")</f>
        <v>1</v>
      </c>
      <c r="D62" s="85" t="str">
        <f ca="1">IFERROR(INDIRECT(CONCATENATE("Track2!f",A58+5)),"")</f>
        <v>Bethany HALL</v>
      </c>
      <c r="E62" s="85" t="str">
        <f ca="1">IFERROR(INDIRECT(CONCATENATE("Track2!g",A58+5)),"")</f>
        <v>C&amp;N</v>
      </c>
      <c r="F62" s="96">
        <f ca="1">IFERROR(INDIRECT(CONCATENATE("Track2!h",A58+5)),"")</f>
        <v>2.91087962962963E-3</v>
      </c>
      <c r="G62" s="108">
        <f ca="1">IFERROR(INDIRECT(CONCATENATE("Track2!i",A58+5)),"")</f>
        <v>7</v>
      </c>
      <c r="H62" s="66"/>
      <c r="I62" s="66">
        <f ca="1">IFERROR(INDIRECT(CONCATENATE("Track2!k",A58+5)),"")</f>
        <v>4</v>
      </c>
      <c r="J62" s="66">
        <f ca="1">IFERROR(INDIRECT(CONCATENATE("Track2!l",A58+5)),"")</f>
        <v>77</v>
      </c>
      <c r="K62" s="85" t="str">
        <f ca="1">IFERROR(INDIRECT(CONCATENATE("Track2!m",A58+5)),"")</f>
        <v>Layla HALL</v>
      </c>
      <c r="L62" s="85" t="str">
        <f ca="1">IFERROR(INDIRECT(CONCATENATE("Track2!n",A58+5)),"")</f>
        <v>Wigan</v>
      </c>
      <c r="M62" s="96">
        <f ca="1">IFERROR(INDIRECT(CONCATENATE("Track2!o",A58+5)),"")</f>
        <v>3.351851851851852E-3</v>
      </c>
      <c r="N62" s="108">
        <f ca="1">IFERROR(INDIRECT(CONCATENATE("Track2!p",A58+5)),"")</f>
        <v>3</v>
      </c>
      <c r="T62" s="64">
        <f t="shared" ca="1" si="0"/>
        <v>2</v>
      </c>
      <c r="U62" s="64">
        <f t="shared" ca="1" si="1"/>
        <v>3</v>
      </c>
      <c r="V62" s="266">
        <f ca="1">IF(OR(D62=0,D62="",D62="Athlete"),"",COUNTIF($D$4:$D62,D62))</f>
        <v>1</v>
      </c>
      <c r="W62" s="266" t="str">
        <f t="shared" ca="1" si="2"/>
        <v>C&amp;N</v>
      </c>
      <c r="Z62" s="266">
        <f t="shared" ca="1" si="3"/>
        <v>0</v>
      </c>
    </row>
    <row r="63" spans="1:26" x14ac:dyDescent="0.35">
      <c r="B63" s="66">
        <f ca="1">IFERROR(INDIRECT(CONCATENATE("Track2!D",A58+6)),"")</f>
        <v>5</v>
      </c>
      <c r="C63" s="66">
        <f ca="1">IFERROR(INDIRECT(CONCATENATE("Track2!e",A58+6)),"")</f>
        <v>3</v>
      </c>
      <c r="D63" s="85" t="str">
        <f ca="1">IFERROR(INDIRECT(CONCATENATE("Track2!f",A58+6)),"")</f>
        <v>Bee METCALFE</v>
      </c>
      <c r="E63" s="85" t="str">
        <f ca="1">IFERROR(INDIRECT(CONCATENATE("Track2!g",A58+6)),"")</f>
        <v>Leigh</v>
      </c>
      <c r="F63" s="96">
        <f ca="1">IFERROR(INDIRECT(CONCATENATE("Track2!h",A58+6)),"")</f>
        <v>2.9386574074074076E-3</v>
      </c>
      <c r="G63" s="108">
        <f ca="1">IFERROR(INDIRECT(CONCATENATE("Track2!i",A58+6)),"")</f>
        <v>6</v>
      </c>
      <c r="H63" s="66"/>
      <c r="I63" s="66">
        <f ca="1">IFERROR(INDIRECT(CONCATENATE("Track2!k",A58+6)),"")</f>
        <v>5</v>
      </c>
      <c r="J63" s="66">
        <f ca="1">IFERROR(INDIRECT(CONCATENATE("Track2!l",A58+6)),"")</f>
        <v>22</v>
      </c>
      <c r="K63" s="85" t="str">
        <f ca="1">IFERROR(INDIRECT(CONCATENATE("Track2!m",A58+6)),"")</f>
        <v>Scarlett LYNE</v>
      </c>
      <c r="L63" s="85" t="str">
        <f ca="1">IFERROR(INDIRECT(CONCATENATE("Track2!n",A58+6)),"")</f>
        <v>ECHT</v>
      </c>
      <c r="M63" s="96">
        <f ca="1">IFERROR(INDIRECT(CONCATENATE("Track2!o",A58+6)),"")</f>
        <v>3.4513888888888888E-3</v>
      </c>
      <c r="N63" s="108">
        <f ca="1">IFERROR(INDIRECT(CONCATENATE("Track2!p",A58+6)),"")</f>
        <v>2</v>
      </c>
      <c r="T63" s="64">
        <f t="shared" ca="1" si="0"/>
        <v>1</v>
      </c>
      <c r="U63" s="64">
        <f t="shared" ca="1" si="1"/>
        <v>3</v>
      </c>
      <c r="V63" s="266">
        <f ca="1">IF(OR(D63=0,D63="",D63="Athlete"),"",COUNTIF($D$4:$D63,D63))</f>
        <v>1</v>
      </c>
      <c r="W63" s="266" t="str">
        <f t="shared" ca="1" si="2"/>
        <v>Leigh</v>
      </c>
      <c r="Z63" s="266">
        <f t="shared" ca="1" si="3"/>
        <v>0</v>
      </c>
    </row>
    <row r="64" spans="1:26" x14ac:dyDescent="0.35">
      <c r="B64" s="66">
        <f ca="1">IFERROR(INDIRECT(CONCATENATE("Track2!D",A58+7)),"")</f>
        <v>6</v>
      </c>
      <c r="C64" s="66">
        <f ca="1">IFERROR(INDIRECT(CONCATENATE("Track2!e",A58+7)),"")</f>
        <v>4</v>
      </c>
      <c r="D64" s="85" t="str">
        <f ca="1">IFERROR(INDIRECT(CONCATENATE("Track2!f",A58+7)),"")</f>
        <v>Iona FISHER</v>
      </c>
      <c r="E64" s="85" t="str">
        <f ca="1">IFERROR(INDIRECT(CONCATENATE("Track2!g",A58+7)),"")</f>
        <v>Macc</v>
      </c>
      <c r="F64" s="96">
        <f ca="1">IFERROR(INDIRECT(CONCATENATE("Track2!h",A58+7)),"")</f>
        <v>3.2025462962962962E-3</v>
      </c>
      <c r="G64" s="108">
        <f ca="1">IFERROR(INDIRECT(CONCATENATE("Track2!i",A58+7)),"")</f>
        <v>4</v>
      </c>
      <c r="H64" s="66"/>
      <c r="I64" s="66">
        <f ca="1">IFERROR(INDIRECT(CONCATENATE("Track2!k",A58+7)),"")</f>
        <v>6</v>
      </c>
      <c r="J64" s="66">
        <f ca="1">IFERROR(INDIRECT(CONCATENATE("Track2!l",A58+7)),"")</f>
        <v>44</v>
      </c>
      <c r="K64" s="85" t="str">
        <f ca="1">IFERROR(INDIRECT(CONCATENATE("Track2!m",A58+7)),"")</f>
        <v>Holly WALKER</v>
      </c>
      <c r="L64" s="85" t="str">
        <f ca="1">IFERROR(INDIRECT(CONCATENATE("Track2!n",A58+7)),"")</f>
        <v>Macc</v>
      </c>
      <c r="M64" s="96">
        <f ca="1">IFERROR(INDIRECT(CONCATENATE("Track2!o",A58+7)),"")</f>
        <v>3.607638888888889E-3</v>
      </c>
      <c r="N64" s="108" t="str">
        <f ca="1">IFERROR(INDIRECT(CONCATENATE("Track2!p",A58+7)),"")</f>
        <v/>
      </c>
      <c r="T64" s="64">
        <f t="shared" ca="1" si="0"/>
        <v>2</v>
      </c>
      <c r="U64" s="64">
        <f t="shared" ca="1" si="1"/>
        <v>2</v>
      </c>
      <c r="V64" s="266">
        <f ca="1">IF(OR(D64=0,D64="",D64="Athlete"),"",COUNTIF($D$4:$D64,D64))</f>
        <v>1</v>
      </c>
      <c r="W64" s="266" t="str">
        <f t="shared" ca="1" si="2"/>
        <v>Macc</v>
      </c>
      <c r="Z64" s="266">
        <f t="shared" ca="1" si="3"/>
        <v>0</v>
      </c>
    </row>
    <row r="65" spans="1:26" x14ac:dyDescent="0.35">
      <c r="B65" s="66">
        <f ca="1">IFERROR(INDIRECT(CONCATENATE("Track2!D",A58+8)),"")</f>
        <v>7</v>
      </c>
      <c r="C65" s="66">
        <f ca="1">IFERROR(INDIRECT(CONCATENATE("Track2!e",A58+8)),"")</f>
        <v>6</v>
      </c>
      <c r="D65" s="85" t="str">
        <f ca="1">IFERROR(INDIRECT(CONCATENATE("Track2!f",A58+8)),"")</f>
        <v>Emily FOX</v>
      </c>
      <c r="E65" s="85" t="str">
        <f ca="1">IFERROR(INDIRECT(CONCATENATE("Track2!g",A58+8)),"")</f>
        <v>Stock</v>
      </c>
      <c r="F65" s="96">
        <f ca="1">IFERROR(INDIRECT(CONCATENATE("Track2!h",A58+8)),"")</f>
        <v>3.2615740740740743E-3</v>
      </c>
      <c r="G65" s="108">
        <f ca="1">IFERROR(INDIRECT(CONCATENATE("Track2!i",A58+8)),"")</f>
        <v>3</v>
      </c>
      <c r="H65" s="66"/>
      <c r="I65" s="66">
        <f ca="1">IFERROR(INDIRECT(CONCATENATE("Track2!k",A58+8)),"")</f>
        <v>7</v>
      </c>
      <c r="J65" s="66" t="str">
        <f ca="1">IFERROR(INDIRECT(CONCATENATE("Track2!l",A58+8)),"")</f>
        <v/>
      </c>
      <c r="K65" s="85" t="str">
        <f ca="1">IFERROR(INDIRECT(CONCATENATE("Track2!m",A58+8)),"")</f>
        <v/>
      </c>
      <c r="L65" s="85" t="str">
        <f ca="1">IFERROR(INDIRECT(CONCATENATE("Track2!n",A58+8)),"")</f>
        <v/>
      </c>
      <c r="M65" s="96" t="str">
        <f ca="1">IFERROR(INDIRECT(CONCATENATE("Track2!o",A58+8)),"")</f>
        <v/>
      </c>
      <c r="N65" s="108" t="str">
        <f ca="1">IFERROR(INDIRECT(CONCATENATE("Track2!p",A58+8)),"")</f>
        <v/>
      </c>
      <c r="T65" s="64">
        <f t="shared" ca="1" si="0"/>
        <v>2</v>
      </c>
      <c r="U65" s="64" t="str">
        <f t="shared" ca="1" si="1"/>
        <v/>
      </c>
      <c r="V65" s="266">
        <f ca="1">IF(OR(D65=0,D65="",D65="Athlete"),"",COUNTIF($D$4:$D65,D65))</f>
        <v>2</v>
      </c>
      <c r="W65" s="266" t="str">
        <f t="shared" ca="1" si="2"/>
        <v>Stock</v>
      </c>
      <c r="Z65" s="266">
        <f t="shared" ca="1" si="3"/>
        <v>0</v>
      </c>
    </row>
    <row r="66" spans="1:26" x14ac:dyDescent="0.35">
      <c r="B66" s="66">
        <f ca="1">IFERROR(INDIRECT(CONCATENATE("Track2!D",A58+9)),"")</f>
        <v>8</v>
      </c>
      <c r="C66" s="66" t="str">
        <f ca="1">IFERROR(INDIRECT(CONCATENATE("Track2!e",A58+9)),"")</f>
        <v/>
      </c>
      <c r="D66" s="85" t="str">
        <f ca="1">IFERROR(INDIRECT(CONCATENATE("Track2!f",A58+9)),"")</f>
        <v/>
      </c>
      <c r="E66" s="85" t="str">
        <f ca="1">IFERROR(INDIRECT(CONCATENATE("Track2!g",A58+9)),"")</f>
        <v/>
      </c>
      <c r="F66" s="96" t="str">
        <f ca="1">IFERROR(INDIRECT(CONCATENATE("Track2!h",A58+9)),"")</f>
        <v/>
      </c>
      <c r="G66" s="108" t="str">
        <f ca="1">IFERROR(INDIRECT(CONCATENATE("Track2!i",A58+9)),"")</f>
        <v/>
      </c>
      <c r="H66" s="66"/>
      <c r="I66" s="66">
        <f ca="1">IFERROR(INDIRECT(CONCATENATE("Track2!k",A58+9)),"")</f>
        <v>8</v>
      </c>
      <c r="J66" s="66" t="str">
        <f ca="1">IFERROR(INDIRECT(CONCATENATE("Track2!l",A58+9)),"")</f>
        <v/>
      </c>
      <c r="K66" s="85" t="str">
        <f ca="1">IFERROR(INDIRECT(CONCATENATE("Track2!m",A58+9)),"")</f>
        <v/>
      </c>
      <c r="L66" s="85" t="str">
        <f ca="1">IFERROR(INDIRECT(CONCATENATE("Track2!n",A58+9)),"")</f>
        <v/>
      </c>
      <c r="M66" s="96" t="str">
        <f ca="1">IFERROR(INDIRECT(CONCATENATE("Track2!o",A58+9)),"")</f>
        <v/>
      </c>
      <c r="N66" s="108" t="str">
        <f ca="1">IFERROR(INDIRECT(CONCATENATE("Track2!p",A58+9)),"")</f>
        <v/>
      </c>
      <c r="T66" s="64" t="str">
        <f t="shared" ca="1" si="0"/>
        <v/>
      </c>
      <c r="U66" s="64" t="str">
        <f t="shared" ca="1" si="1"/>
        <v/>
      </c>
      <c r="V66" s="266" t="str">
        <f ca="1">IF(OR(D66=0,D66="",D66="Athlete"),"",COUNTIF($D$4:$D66,D66))</f>
        <v/>
      </c>
      <c r="W66" s="266" t="str">
        <f t="shared" ca="1" si="2"/>
        <v/>
      </c>
      <c r="Z66" s="266" t="str">
        <f t="shared" ca="1" si="3"/>
        <v/>
      </c>
    </row>
    <row r="67" spans="1:26" x14ac:dyDescent="0.35">
      <c r="T67" s="64" t="str">
        <f t="shared" si="0"/>
        <v/>
      </c>
      <c r="U67" s="64" t="str">
        <f t="shared" si="1"/>
        <v/>
      </c>
      <c r="V67" s="266" t="str">
        <f>IF(OR(D67=0,D67="",D67="Athlete"),"",COUNTIF($D$4:$D67,D67))</f>
        <v/>
      </c>
      <c r="W67" s="266" t="str">
        <f t="shared" si="2"/>
        <v/>
      </c>
      <c r="Z67" s="266" t="str">
        <f t="shared" si="3"/>
        <v/>
      </c>
    </row>
    <row r="68" spans="1:26" x14ac:dyDescent="0.35">
      <c r="A68" s="66" t="s">
        <v>32</v>
      </c>
      <c r="B68" s="102" t="str">
        <f ca="1">IFERROR(INDIRECT(CONCATENATE("Track1!D",A69)),"")</f>
        <v>70m Hurdles U13 Girls A</v>
      </c>
      <c r="E68" s="85" t="s">
        <v>206</v>
      </c>
      <c r="F68" s="253">
        <f ca="1">IFERROR(INDIRECT(CONCATENATE("Track1!h",A69)),"")</f>
        <v>0</v>
      </c>
      <c r="G68" s="108" t="str">
        <f ca="1">IFERROR(INDIRECT(CONCATENATE("Track1!i",A69)),"")</f>
        <v/>
      </c>
      <c r="I68" s="102" t="str">
        <f ca="1">IFERROR(INDIRECT(CONCATENATE("Track1!k",A69)),"")</f>
        <v>70m Hurdles U13 Girls B</v>
      </c>
      <c r="L68" s="85" t="s">
        <v>206</v>
      </c>
      <c r="M68" s="195">
        <f ca="1">IFERROR(INDIRECT(CONCATENATE("Track1!o",A69)),"")</f>
        <v>0</v>
      </c>
      <c r="T68" s="64" t="str">
        <f t="shared" si="0"/>
        <v/>
      </c>
      <c r="U68" s="64" t="str">
        <f t="shared" si="1"/>
        <v/>
      </c>
      <c r="V68" s="266" t="str">
        <f>IF(OR(D68=0,D68="",D68="Athlete"),"",COUNTIF($D$4:$D68,D68))</f>
        <v/>
      </c>
      <c r="W68" s="266" t="str">
        <f t="shared" si="2"/>
        <v/>
      </c>
      <c r="Z68" s="266" t="str">
        <f t="shared" ca="1" si="3"/>
        <v/>
      </c>
    </row>
    <row r="69" spans="1:26" x14ac:dyDescent="0.35">
      <c r="A69" s="66">
        <f>IFERROR(MATCH(A68,Track1!C:C,0),"")</f>
        <v>2</v>
      </c>
      <c r="B69" s="45" t="str">
        <f ca="1">IFERROR(INDIRECT(CONCATENATE("Track1!D",A69+1)),"")</f>
        <v>Posn</v>
      </c>
      <c r="C69" s="45" t="str">
        <f ca="1">IFERROR(INDIRECT(CONCATENATE("Track1!e",A69+1)),"")</f>
        <v>No.</v>
      </c>
      <c r="D69" s="139" t="str">
        <f ca="1">IFERROR(INDIRECT(CONCATENATE("Track1!f",A69+1)),"")</f>
        <v>Athlete</v>
      </c>
      <c r="E69" s="139" t="str">
        <f ca="1">IFERROR(INDIRECT(CONCATENATE("Track1!g",A69+1)),"")</f>
        <v>Club</v>
      </c>
      <c r="F69" s="133" t="str">
        <f ca="1">IFERROR(INDIRECT(CONCATENATE("Track1!h",A69+1)),"")</f>
        <v>Perf</v>
      </c>
      <c r="G69" s="167" t="str">
        <f ca="1">IFERROR(INDIRECT(CONCATENATE("Track1!i",A69+1)),"")</f>
        <v>EA</v>
      </c>
      <c r="H69" s="45"/>
      <c r="I69" s="45" t="str">
        <f ca="1">IFERROR(INDIRECT(CONCATENATE("Track1!k",A69+1)),"")</f>
        <v>Posn</v>
      </c>
      <c r="J69" s="45" t="str">
        <f ca="1">IFERROR(INDIRECT(CONCATENATE("Track1!l",A69+1)),"")</f>
        <v>No.</v>
      </c>
      <c r="K69" s="139" t="str">
        <f ca="1">IFERROR(INDIRECT(CONCATENATE("Track1!m",A69+1)),"")</f>
        <v>Athlete</v>
      </c>
      <c r="L69" s="139" t="str">
        <f ca="1">IFERROR(INDIRECT(CONCATENATE("Track1!n",A69+1)),"")</f>
        <v>Club</v>
      </c>
      <c r="M69" s="133" t="str">
        <f ca="1">IFERROR(INDIRECT(CONCATENATE("Track1!o",A69+1)),"")</f>
        <v>Perf</v>
      </c>
      <c r="N69" s="167" t="str">
        <f ca="1">IFERROR(INDIRECT(CONCATENATE("Track1!p",A69+1)),"")</f>
        <v>EA</v>
      </c>
      <c r="T69" s="64" t="str">
        <f t="shared" ref="T69:T123" ca="1" si="4">IF(OR(D69=0,D69="",D69="Athlete"),"",COUNTIF($D$4:$D$352,D69))</f>
        <v/>
      </c>
      <c r="U69" s="64" t="str">
        <f t="shared" ref="U69:U132" ca="1" si="5">IF(OR(K69=0,K69="",K69="Athlete"),"",COUNTIF($D$4:$D$352,K69))</f>
        <v/>
      </c>
      <c r="V69" s="266" t="str">
        <f ca="1">IF(OR(D69=0,D69="",D69="Athlete"),"",COUNTIF($D$4:$D69,D69))</f>
        <v/>
      </c>
      <c r="W69" s="266" t="str">
        <f t="shared" ref="W69:W123" ca="1" si="6">IF(OR(D69=0,D69="",D69="Athlete"),"",E69)</f>
        <v/>
      </c>
      <c r="Z69" s="266">
        <f t="shared" ref="Z69:Z132" ca="1" si="7">IF(OR(G69=0,G69="",G69="Athlete"),"",H69)</f>
        <v>0</v>
      </c>
    </row>
    <row r="70" spans="1:26" x14ac:dyDescent="0.35">
      <c r="B70" s="66">
        <f ca="1">IFERROR(INDIRECT(CONCATENATE("Track1!D",A69+2)),"")</f>
        <v>1</v>
      </c>
      <c r="C70" s="66">
        <f ca="1">IFERROR(INDIRECT(CONCATENATE("Track1!e",A69+2)),"")</f>
        <v>3</v>
      </c>
      <c r="D70" s="85" t="str">
        <f ca="1">IFERROR(INDIRECT(CONCATENATE("Track1!f",A69+2)),"")</f>
        <v>Lois MELLING</v>
      </c>
      <c r="E70" s="85" t="str">
        <f ca="1">IFERROR(INDIRECT(CONCATENATE("Track1!g",A69+2)),"")</f>
        <v>Leigh</v>
      </c>
      <c r="F70" s="395">
        <f ca="1">IFERROR(INDIRECT(CONCATENATE("Track1!h",A69+2)),"")</f>
        <v>11.8</v>
      </c>
      <c r="G70" s="108">
        <f ca="1">IFERROR(INDIRECT(CONCATENATE("Track1!i",A69+2)),"")</f>
        <v>9</v>
      </c>
      <c r="H70" s="66"/>
      <c r="I70" s="66">
        <f ca="1">IFERROR(INDIRECT(CONCATENATE("Track1!k",A69+2)),"")</f>
        <v>1</v>
      </c>
      <c r="J70" s="66">
        <f ca="1">IFERROR(INDIRECT(CONCATENATE("Track1!l",A69+2)),"")</f>
        <v>33</v>
      </c>
      <c r="K70" s="85" t="str">
        <f ca="1">IFERROR(INDIRECT(CONCATENATE("Track1!m",A69+2)),"")</f>
        <v>Ava BROOMES</v>
      </c>
      <c r="L70" s="85" t="str">
        <f ca="1">IFERROR(INDIRECT(CONCATENATE("Track1!n",A69+2)),"")</f>
        <v>Leigh</v>
      </c>
      <c r="M70" s="395">
        <f ca="1">IFERROR(INDIRECT(CONCATENATE("Track1!o",A69+2)),"")</f>
        <v>12.1</v>
      </c>
      <c r="N70" s="108">
        <f ca="1">IFERROR(INDIRECT(CONCATENATE("Track1!p",A69+2)),"")</f>
        <v>7</v>
      </c>
      <c r="R70" s="168">
        <f ca="1">IFERROR(INDIRECT(CONCATENATE("Track1!r",A69+2)),"")</f>
        <v>10</v>
      </c>
      <c r="T70" s="64">
        <f t="shared" ca="1" si="4"/>
        <v>3</v>
      </c>
      <c r="U70" s="64">
        <f t="shared" ca="1" si="5"/>
        <v>3</v>
      </c>
      <c r="V70" s="266">
        <f ca="1">IF(OR(D70=0,D70="",D70="Athlete"),"",COUNTIF($D$4:$D70,D70))</f>
        <v>2</v>
      </c>
      <c r="W70" s="266" t="str">
        <f t="shared" ca="1" si="6"/>
        <v>Leigh</v>
      </c>
      <c r="Z70" s="266">
        <f t="shared" ca="1" si="7"/>
        <v>0</v>
      </c>
    </row>
    <row r="71" spans="1:26" x14ac:dyDescent="0.35">
      <c r="B71" s="66">
        <f ca="1">IFERROR(INDIRECT(CONCATENATE("Track1!D",A69+3)),"")</f>
        <v>2</v>
      </c>
      <c r="C71" s="66">
        <f ca="1">IFERROR(INDIRECT(CONCATENATE("Track1!e",A69+3)),"")</f>
        <v>2</v>
      </c>
      <c r="D71" s="85" t="str">
        <f ca="1">IFERROR(INDIRECT(CONCATENATE("Track1!f",A69+3)),"")</f>
        <v>Olivia JONES</v>
      </c>
      <c r="E71" s="85" t="str">
        <f ca="1">IFERROR(INDIRECT(CONCATENATE("Track1!g",A69+3)),"")</f>
        <v>ECHT</v>
      </c>
      <c r="F71" s="395">
        <f ca="1">IFERROR(INDIRECT(CONCATENATE("Track1!h",A69+3)),"")</f>
        <v>12.1</v>
      </c>
      <c r="G71" s="108">
        <f ca="1">IFERROR(INDIRECT(CONCATENATE("Track1!i",A69+3)),"")</f>
        <v>7</v>
      </c>
      <c r="H71" s="66"/>
      <c r="I71" s="66">
        <f ca="1">IFERROR(INDIRECT(CONCATENATE("Track1!k",A69+3)),"")</f>
        <v>2</v>
      </c>
      <c r="J71" s="66">
        <f ca="1">IFERROR(INDIRECT(CONCATENATE("Track1!l",A69+3)),"")</f>
        <v>11</v>
      </c>
      <c r="K71" s="85" t="str">
        <f ca="1">IFERROR(INDIRECT(CONCATENATE("Track1!m",A69+3)),"")</f>
        <v>Lucy HOWARTH</v>
      </c>
      <c r="L71" s="85" t="str">
        <f ca="1">IFERROR(INDIRECT(CONCATENATE("Track1!n",A69+3)),"")</f>
        <v>C&amp;N</v>
      </c>
      <c r="M71" s="395">
        <f ca="1">IFERROR(INDIRECT(CONCATENATE("Track1!o",A69+3)),"")</f>
        <v>12.7</v>
      </c>
      <c r="N71" s="108">
        <f ca="1">IFERROR(INDIRECT(CONCATENATE("Track1!p",A69+3)),"")</f>
        <v>5</v>
      </c>
      <c r="T71" s="64">
        <f t="shared" ca="1" si="4"/>
        <v>3</v>
      </c>
      <c r="U71" s="64">
        <f t="shared" ca="1" si="5"/>
        <v>3</v>
      </c>
      <c r="V71" s="266">
        <f ca="1">IF(OR(D71=0,D71="",D71="Athlete"),"",COUNTIF($D$4:$D71,D71))</f>
        <v>3</v>
      </c>
      <c r="W71" s="266" t="str">
        <f t="shared" ca="1" si="6"/>
        <v>ECHT</v>
      </c>
      <c r="Z71" s="266">
        <f t="shared" ca="1" si="7"/>
        <v>0</v>
      </c>
    </row>
    <row r="72" spans="1:26" x14ac:dyDescent="0.35">
      <c r="B72" s="66">
        <f ca="1">IFERROR(INDIRECT(CONCATENATE("Track1!D",A69+4)),"")</f>
        <v>3</v>
      </c>
      <c r="C72" s="66">
        <f ca="1">IFERROR(INDIRECT(CONCATENATE("Track1!e",A69+4)),"")</f>
        <v>1</v>
      </c>
      <c r="D72" s="85" t="str">
        <f ca="1">IFERROR(INDIRECT(CONCATENATE("Track1!f",A69+4)),"")</f>
        <v>Ruby WILKINS</v>
      </c>
      <c r="E72" s="85" t="str">
        <f ca="1">IFERROR(INDIRECT(CONCATENATE("Track1!g",A69+4)),"")</f>
        <v>C&amp;N</v>
      </c>
      <c r="F72" s="395">
        <f ca="1">IFERROR(INDIRECT(CONCATENATE("Track1!h",A69+4)),"")</f>
        <v>13.6</v>
      </c>
      <c r="G72" s="108">
        <f ca="1">IFERROR(INDIRECT(CONCATENATE("Track1!i",A69+4)),"")</f>
        <v>3</v>
      </c>
      <c r="H72" s="66"/>
      <c r="I72" s="66">
        <f ca="1">IFERROR(INDIRECT(CONCATENATE("Track1!k",A69+4)),"")</f>
        <v>3</v>
      </c>
      <c r="J72" s="66">
        <f ca="1">IFERROR(INDIRECT(CONCATENATE("Track1!l",A69+4)),"")</f>
        <v>77</v>
      </c>
      <c r="K72" s="85" t="str">
        <f ca="1">IFERROR(INDIRECT(CONCATENATE("Track1!m",A69+4)),"")</f>
        <v>Sophia BOWDEN-MCKAY</v>
      </c>
      <c r="L72" s="85" t="str">
        <f ca="1">IFERROR(INDIRECT(CONCATENATE("Track1!n",A69+4)),"")</f>
        <v>Wigan</v>
      </c>
      <c r="M72" s="395">
        <f ca="1">IFERROR(INDIRECT(CONCATENATE("Track1!o",A69+4)),"")</f>
        <v>16.399999999999999</v>
      </c>
      <c r="N72" s="108" t="str">
        <f ca="1">IFERROR(INDIRECT(CONCATENATE("Track1!p",A69+4)),"")</f>
        <v/>
      </c>
      <c r="T72" s="64">
        <f t="shared" ca="1" si="4"/>
        <v>3</v>
      </c>
      <c r="U72" s="64">
        <f t="shared" ca="1" si="5"/>
        <v>2</v>
      </c>
      <c r="V72" s="266">
        <f ca="1">IF(OR(D72=0,D72="",D72="Athlete"),"",COUNTIF($D$4:$D72,D72))</f>
        <v>1</v>
      </c>
      <c r="W72" s="266" t="str">
        <f t="shared" ca="1" si="6"/>
        <v>C&amp;N</v>
      </c>
      <c r="Z72" s="266">
        <f t="shared" ca="1" si="7"/>
        <v>0</v>
      </c>
    </row>
    <row r="73" spans="1:26" x14ac:dyDescent="0.35">
      <c r="B73" s="66">
        <f ca="1">IFERROR(INDIRECT(CONCATENATE("Track1!D",A69+5)),"")</f>
        <v>4</v>
      </c>
      <c r="C73" s="66">
        <f ca="1">IFERROR(INDIRECT(CONCATENATE("Track1!e",A69+5)),"")</f>
        <v>4</v>
      </c>
      <c r="D73" s="85" t="str">
        <f ca="1">IFERROR(INDIRECT(CONCATENATE("Track1!f",A69+5)),"")</f>
        <v>Lydia HIGGINS</v>
      </c>
      <c r="E73" s="85" t="str">
        <f ca="1">IFERROR(INDIRECT(CONCATENATE("Track1!g",A69+5)),"")</f>
        <v>Macc</v>
      </c>
      <c r="F73" s="395">
        <f ca="1">IFERROR(INDIRECT(CONCATENATE("Track1!h",A69+5)),"")</f>
        <v>14.5</v>
      </c>
      <c r="G73" s="108" t="str">
        <f ca="1">IFERROR(INDIRECT(CONCATENATE("Track1!i",A69+5)),"")</f>
        <v/>
      </c>
      <c r="H73" s="66"/>
      <c r="I73" s="66">
        <f ca="1">IFERROR(INDIRECT(CONCATENATE("Track1!k",A69+5)),"")</f>
        <v>4</v>
      </c>
      <c r="J73" s="66">
        <f ca="1">IFERROR(INDIRECT(CONCATENATE("Track1!l",A69+5)),"")</f>
        <v>44</v>
      </c>
      <c r="K73" s="85" t="str">
        <f ca="1">IFERROR(INDIRECT(CONCATENATE("Track1!m",A69+5)),"")</f>
        <v>Eve O'DONNELL</v>
      </c>
      <c r="L73" s="85" t="str">
        <f ca="1">IFERROR(INDIRECT(CONCATENATE("Track1!n",A69+5)),"")</f>
        <v>Macc</v>
      </c>
      <c r="M73" s="395">
        <f ca="1">IFERROR(INDIRECT(CONCATENATE("Track1!o",A69+5)),"")</f>
        <v>17.8</v>
      </c>
      <c r="N73" s="108" t="str">
        <f ca="1">IFERROR(INDIRECT(CONCATENATE("Track1!p",A69+5)),"")</f>
        <v/>
      </c>
      <c r="T73" s="64">
        <f t="shared" ca="1" si="4"/>
        <v>2</v>
      </c>
      <c r="U73" s="64">
        <f t="shared" ca="1" si="5"/>
        <v>3</v>
      </c>
      <c r="V73" s="266">
        <f ca="1">IF(OR(D73=0,D73="",D73="Athlete"),"",COUNTIF($D$4:$D73,D73))</f>
        <v>2</v>
      </c>
      <c r="W73" s="266" t="str">
        <f t="shared" ca="1" si="6"/>
        <v>Macc</v>
      </c>
      <c r="Z73" s="266" t="str">
        <f t="shared" ca="1" si="7"/>
        <v/>
      </c>
    </row>
    <row r="74" spans="1:26" x14ac:dyDescent="0.35">
      <c r="B74" s="66">
        <f ca="1">IFERROR(INDIRECT(CONCATENATE("Track1!D",A69+6)),"")</f>
        <v>5</v>
      </c>
      <c r="C74" s="66">
        <f ca="1">IFERROR(INDIRECT(CONCATENATE("Track1!e",A69+6)),"")</f>
        <v>7</v>
      </c>
      <c r="D74" s="85" t="str">
        <f ca="1">IFERROR(INDIRECT(CONCATENATE("Track1!f",A69+6)),"")</f>
        <v>Grace HARRIS</v>
      </c>
      <c r="E74" s="85" t="str">
        <f ca="1">IFERROR(INDIRECT(CONCATENATE("Track1!g",A69+6)),"")</f>
        <v>Wigan</v>
      </c>
      <c r="F74" s="395">
        <f ca="1">IFERROR(INDIRECT(CONCATENATE("Track1!h",A69+6)),"")</f>
        <v>16.600000000000001</v>
      </c>
      <c r="G74" s="108" t="str">
        <f ca="1">IFERROR(INDIRECT(CONCATENATE("Track1!i",A69+6)),"")</f>
        <v/>
      </c>
      <c r="H74" s="66"/>
      <c r="I74" s="66">
        <f ca="1">IFERROR(INDIRECT(CONCATENATE("Track1!k",A69+6)),"")</f>
        <v>5</v>
      </c>
      <c r="J74" s="66">
        <f ca="1">IFERROR(INDIRECT(CONCATENATE("Track1!l",A69+6)),"")</f>
        <v>0</v>
      </c>
      <c r="K74" s="85" t="str">
        <f ca="1">IFERROR(INDIRECT(CONCATENATE("Track1!m",A69+6)),"")</f>
        <v/>
      </c>
      <c r="L74" s="85" t="str">
        <f ca="1">IFERROR(INDIRECT(CONCATENATE("Track1!n",A69+6)),"")</f>
        <v/>
      </c>
      <c r="M74" s="395">
        <f ca="1">IFERROR(INDIRECT(CONCATENATE("Track1!o",A69+6)),"")</f>
        <v>0</v>
      </c>
      <c r="N74" s="108" t="str">
        <f ca="1">IFERROR(INDIRECT(CONCATENATE("Track1!p",A69+6)),"")</f>
        <v/>
      </c>
      <c r="T74" s="64">
        <f t="shared" ca="1" si="4"/>
        <v>3</v>
      </c>
      <c r="U74" s="64" t="str">
        <f t="shared" ca="1" si="5"/>
        <v/>
      </c>
      <c r="V74" s="266">
        <f ca="1">IF(OR(D74=0,D74="",D74="Athlete"),"",COUNTIF($D$4:$D74,D74))</f>
        <v>2</v>
      </c>
      <c r="W74" s="266" t="str">
        <f t="shared" ca="1" si="6"/>
        <v>Wigan</v>
      </c>
      <c r="Z74" s="266" t="str">
        <f t="shared" ca="1" si="7"/>
        <v/>
      </c>
    </row>
    <row r="75" spans="1:26" x14ac:dyDescent="0.35">
      <c r="B75" s="66">
        <f ca="1">IFERROR(INDIRECT(CONCATENATE("Track1!D",A69+7)),"")</f>
        <v>6</v>
      </c>
      <c r="C75" s="66">
        <f ca="1">IFERROR(INDIRECT(CONCATENATE("Track1!e",A69+7)),"")</f>
        <v>0</v>
      </c>
      <c r="D75" s="85" t="str">
        <f ca="1">IFERROR(INDIRECT(CONCATENATE("Track1!f",A69+7)),"")</f>
        <v/>
      </c>
      <c r="E75" s="85" t="str">
        <f ca="1">IFERROR(INDIRECT(CONCATENATE("Track1!g",A69+7)),"")</f>
        <v/>
      </c>
      <c r="F75" s="395">
        <f ca="1">IFERROR(INDIRECT(CONCATENATE("Track1!h",A69+7)),"")</f>
        <v>0</v>
      </c>
      <c r="G75" s="108" t="str">
        <f ca="1">IFERROR(INDIRECT(CONCATENATE("Track1!i",A69+7)),"")</f>
        <v/>
      </c>
      <c r="H75" s="66"/>
      <c r="I75" s="66">
        <f ca="1">IFERROR(INDIRECT(CONCATENATE("Track1!k",A69+7)),"")</f>
        <v>6</v>
      </c>
      <c r="J75" s="66">
        <f ca="1">IFERROR(INDIRECT(CONCATENATE("Track1!l",A69+7)),"")</f>
        <v>0</v>
      </c>
      <c r="K75" s="85" t="str">
        <f ca="1">IFERROR(INDIRECT(CONCATENATE("Track1!m",A69+7)),"")</f>
        <v/>
      </c>
      <c r="L75" s="85" t="str">
        <f ca="1">IFERROR(INDIRECT(CONCATENATE("Track1!n",A69+7)),"")</f>
        <v/>
      </c>
      <c r="M75" s="395">
        <f ca="1">IFERROR(INDIRECT(CONCATENATE("Track1!o",A69+7)),"")</f>
        <v>0</v>
      </c>
      <c r="N75" s="108" t="str">
        <f ca="1">IFERROR(INDIRECT(CONCATENATE("Track1!p",A69+7)),"")</f>
        <v/>
      </c>
      <c r="T75" s="64" t="str">
        <f t="shared" ca="1" si="4"/>
        <v/>
      </c>
      <c r="U75" s="64" t="str">
        <f t="shared" ca="1" si="5"/>
        <v/>
      </c>
      <c r="V75" s="266" t="str">
        <f ca="1">IF(OR(D75=0,D75="",D75="Athlete"),"",COUNTIF($D$4:$D75,D75))</f>
        <v/>
      </c>
      <c r="W75" s="266" t="str">
        <f t="shared" ca="1" si="6"/>
        <v/>
      </c>
      <c r="Z75" s="266" t="str">
        <f t="shared" ca="1" si="7"/>
        <v/>
      </c>
    </row>
    <row r="76" spans="1:26" x14ac:dyDescent="0.35">
      <c r="B76" s="66">
        <f ca="1">IFERROR(INDIRECT(CONCATENATE("Track1!D",A69+8)),"")</f>
        <v>7</v>
      </c>
      <c r="C76" s="66">
        <f ca="1">IFERROR(INDIRECT(CONCATENATE("Track1!e",A69+8)),"")</f>
        <v>0</v>
      </c>
      <c r="D76" s="85" t="str">
        <f ca="1">IFERROR(INDIRECT(CONCATENATE("Track1!f",A69+8)),"")</f>
        <v/>
      </c>
      <c r="E76" s="85" t="str">
        <f ca="1">IFERROR(INDIRECT(CONCATENATE("Track1!g",A69+8)),"")</f>
        <v/>
      </c>
      <c r="F76" s="395">
        <f ca="1">IFERROR(INDIRECT(CONCATENATE("Track1!h",A69+8)),"")</f>
        <v>0</v>
      </c>
      <c r="G76" s="108" t="str">
        <f ca="1">IFERROR(INDIRECT(CONCATENATE("Track1!i",A69+8)),"")</f>
        <v/>
      </c>
      <c r="H76" s="66"/>
      <c r="I76" s="66">
        <f ca="1">IFERROR(INDIRECT(CONCATENATE("Track1!k",A69+8)),"")</f>
        <v>7</v>
      </c>
      <c r="J76" s="66">
        <f ca="1">IFERROR(INDIRECT(CONCATENATE("Track1!l",A69+8)),"")</f>
        <v>0</v>
      </c>
      <c r="K76" s="85" t="str">
        <f ca="1">IFERROR(INDIRECT(CONCATENATE("Track1!m",A69+8)),"")</f>
        <v/>
      </c>
      <c r="L76" s="85" t="str">
        <f ca="1">IFERROR(INDIRECT(CONCATENATE("Track1!n",A69+8)),"")</f>
        <v/>
      </c>
      <c r="M76" s="395">
        <f ca="1">IFERROR(INDIRECT(CONCATENATE("Track1!o",A69+8)),"")</f>
        <v>0</v>
      </c>
      <c r="N76" s="108" t="str">
        <f ca="1">IFERROR(INDIRECT(CONCATENATE("Track1!p",A69+8)),"")</f>
        <v/>
      </c>
      <c r="T76" s="64" t="str">
        <f t="shared" ca="1" si="4"/>
        <v/>
      </c>
      <c r="U76" s="64" t="str">
        <f t="shared" ca="1" si="5"/>
        <v/>
      </c>
      <c r="V76" s="266" t="str">
        <f ca="1">IF(OR(D76=0,D76="",D76="Athlete"),"",COUNTIF($D$4:$D76,D76))</f>
        <v/>
      </c>
      <c r="W76" s="266" t="str">
        <f t="shared" ca="1" si="6"/>
        <v/>
      </c>
      <c r="Z76" s="266" t="str">
        <f t="shared" ca="1" si="7"/>
        <v/>
      </c>
    </row>
    <row r="77" spans="1:26" x14ac:dyDescent="0.35">
      <c r="B77" s="66">
        <f ca="1">IFERROR(INDIRECT(CONCATENATE("Track1!D",A69+9)),"")</f>
        <v>8</v>
      </c>
      <c r="C77" s="66">
        <f ca="1">IFERROR(INDIRECT(CONCATENATE("Track1!e",A69+9)),"")</f>
        <v>0</v>
      </c>
      <c r="D77" s="85" t="str">
        <f ca="1">IFERROR(INDIRECT(CONCATENATE("Track1!f",A69+9)),"")</f>
        <v/>
      </c>
      <c r="E77" s="85" t="str">
        <f ca="1">IFERROR(INDIRECT(CONCATENATE("Track1!g",A69+9)),"")</f>
        <v/>
      </c>
      <c r="F77" s="395">
        <f ca="1">IFERROR(INDIRECT(CONCATENATE("Track1!h",A69+9)),"")</f>
        <v>0</v>
      </c>
      <c r="G77" s="108" t="str">
        <f ca="1">IFERROR(INDIRECT(CONCATENATE("Track1!i",A69+9)),"")</f>
        <v/>
      </c>
      <c r="H77" s="66"/>
      <c r="I77" s="66">
        <f ca="1">IFERROR(INDIRECT(CONCATENATE("Track1!k",A69+9)),"")</f>
        <v>8</v>
      </c>
      <c r="J77" s="66">
        <f ca="1">IFERROR(INDIRECT(CONCATENATE("Track1!l",A69+9)),"")</f>
        <v>0</v>
      </c>
      <c r="K77" s="85" t="str">
        <f ca="1">IFERROR(INDIRECT(CONCATENATE("Track1!m",A69+9)),"")</f>
        <v/>
      </c>
      <c r="L77" s="85" t="str">
        <f ca="1">IFERROR(INDIRECT(CONCATENATE("Track1!n",A69+9)),"")</f>
        <v/>
      </c>
      <c r="M77" s="395">
        <f ca="1">IFERROR(INDIRECT(CONCATENATE("Track1!o",A69+9)),"")</f>
        <v>0</v>
      </c>
      <c r="N77" s="108" t="str">
        <f ca="1">IFERROR(INDIRECT(CONCATENATE("Track1!p",A69+9)),"")</f>
        <v/>
      </c>
      <c r="T77" s="64" t="str">
        <f t="shared" ca="1" si="4"/>
        <v/>
      </c>
      <c r="U77" s="64" t="str">
        <f t="shared" ca="1" si="5"/>
        <v/>
      </c>
      <c r="V77" s="266" t="str">
        <f ca="1">IF(OR(D77=0,D77="",D77="Athlete"),"",COUNTIF($D$4:$D77,D77))</f>
        <v/>
      </c>
      <c r="W77" s="266" t="str">
        <f t="shared" ca="1" si="6"/>
        <v/>
      </c>
      <c r="Z77" s="266" t="str">
        <f t="shared" ca="1" si="7"/>
        <v/>
      </c>
    </row>
    <row r="78" spans="1:26" x14ac:dyDescent="0.35">
      <c r="T78" s="64" t="str">
        <f t="shared" si="4"/>
        <v/>
      </c>
      <c r="U78" s="64" t="str">
        <f t="shared" si="5"/>
        <v/>
      </c>
      <c r="V78" s="266" t="str">
        <f>IF(OR(D78=0,D78="",D78="Athlete"),"",COUNTIF($D$4:$D78,D78))</f>
        <v/>
      </c>
      <c r="W78" s="266" t="str">
        <f t="shared" si="6"/>
        <v/>
      </c>
      <c r="Z78" s="266" t="str">
        <f t="shared" si="7"/>
        <v/>
      </c>
    </row>
    <row r="79" spans="1:26" x14ac:dyDescent="0.35">
      <c r="A79" s="255" t="s">
        <v>246</v>
      </c>
      <c r="B79" s="102" t="str">
        <f ca="1">IFERROR(INDIRECT(CONCATENATE("Field!D",A80)),"")</f>
        <v>Long Jump U13 Girls A</v>
      </c>
      <c r="F79" s="65"/>
      <c r="G79" s="256" t="str">
        <f ca="1">IFERROR(INDIRECT(CONCATENATE("Field!i",A80)),"")</f>
        <v/>
      </c>
      <c r="I79" s="102" t="str">
        <f ca="1">IFERROR(INDIRECT(CONCATENATE("Field!k",A80)),"")</f>
        <v>Long Jump U13 Girls B</v>
      </c>
      <c r="T79" s="64" t="str">
        <f t="shared" si="4"/>
        <v/>
      </c>
      <c r="U79" s="64" t="str">
        <f t="shared" si="5"/>
        <v/>
      </c>
      <c r="V79" s="266" t="str">
        <f>IF(OR(D79=0,D79="",D79="Athlete"),"",COUNTIF($D$4:$D79,D79))</f>
        <v/>
      </c>
      <c r="W79" s="266" t="str">
        <f t="shared" si="6"/>
        <v/>
      </c>
      <c r="Z79" s="266" t="str">
        <f t="shared" ca="1" si="7"/>
        <v/>
      </c>
    </row>
    <row r="80" spans="1:26" x14ac:dyDescent="0.35">
      <c r="A80" s="66">
        <f>IFERROR(MATCH(A79,Field!C:C,0),"")</f>
        <v>156</v>
      </c>
      <c r="B80" s="45" t="str">
        <f ca="1">IFERROR(INDIRECT(CONCATENATE("Field!D",A80+1)),"")</f>
        <v>Posn</v>
      </c>
      <c r="C80" s="45" t="str">
        <f ca="1">IFERROR(INDIRECT(CONCATENATE("Field!e",A80+1)),"")</f>
        <v>Bib</v>
      </c>
      <c r="D80" s="139" t="str">
        <f ca="1">IFERROR(INDIRECT(CONCATENATE("Field!f",A80+1)),"")</f>
        <v>Athlete</v>
      </c>
      <c r="E80" s="139" t="str">
        <f ca="1">IFERROR(INDIRECT(CONCATENATE("Field!g",A80+1)),"")</f>
        <v>Club</v>
      </c>
      <c r="F80" s="133" t="str">
        <f ca="1">IFERROR(INDIRECT(CONCATENATE("Field!h",A80+1)),"")</f>
        <v>Perf</v>
      </c>
      <c r="G80" s="167" t="str">
        <f ca="1">IFERROR(INDIRECT(CONCATENATE("Field!i",A80+1)),"")</f>
        <v>EA</v>
      </c>
      <c r="H80" s="45"/>
      <c r="I80" s="45" t="str">
        <f ca="1">IFERROR(INDIRECT(CONCATENATE("Field!k",A80+1)),"")</f>
        <v>Posn</v>
      </c>
      <c r="J80" s="45" t="str">
        <f ca="1">IFERROR(INDIRECT(CONCATENATE("Field!l",A80+1)),"")</f>
        <v>Bib</v>
      </c>
      <c r="K80" s="139" t="str">
        <f ca="1">IFERROR(INDIRECT(CONCATENATE("Field!m",A80+1)),"")</f>
        <v>Athlete</v>
      </c>
      <c r="L80" s="139" t="str">
        <f ca="1">IFERROR(INDIRECT(CONCATENATE("Field!n",A80+1)),"")</f>
        <v>Club</v>
      </c>
      <c r="M80" s="133" t="str">
        <f ca="1">IFERROR(INDIRECT(CONCATENATE("Field!o",A80+1)),"")</f>
        <v>Perf</v>
      </c>
      <c r="N80" s="167" t="str">
        <f ca="1">IFERROR(INDIRECT(CONCATENATE("Field!p",A80+1)),"")</f>
        <v>EA</v>
      </c>
      <c r="T80" s="64" t="str">
        <f t="shared" ca="1" si="4"/>
        <v/>
      </c>
      <c r="U80" s="64" t="str">
        <f t="shared" ca="1" si="5"/>
        <v/>
      </c>
      <c r="V80" s="266" t="str">
        <f ca="1">IF(OR(D80=0,D80="",D80="Athlete"),"",COUNTIF($D$4:$D80,D80))</f>
        <v/>
      </c>
      <c r="W80" s="266" t="str">
        <f t="shared" ca="1" si="6"/>
        <v/>
      </c>
      <c r="Z80" s="266">
        <f t="shared" ca="1" si="7"/>
        <v>0</v>
      </c>
    </row>
    <row r="81" spans="1:26" x14ac:dyDescent="0.35">
      <c r="A81" s="66" t="str">
        <f>"_"&amp;A79</f>
        <v>_LFW03</v>
      </c>
      <c r="B81" s="66">
        <f ca="1">IFERROR(INDIRECT(CONCATENATE("Field!D",A80+2)),"")</f>
        <v>1</v>
      </c>
      <c r="C81" s="66">
        <f ca="1">IFERROR(INDIRECT(CONCATENATE("Field!e",A80+2)),"")</f>
        <v>1</v>
      </c>
      <c r="D81" s="85" t="str">
        <f ca="1">IFERROR(INDIRECT(CONCATENATE("Field!f",A80+2)),"")</f>
        <v>Lucy HOWARTH</v>
      </c>
      <c r="E81" s="85" t="str">
        <f ca="1">IFERROR(INDIRECT(CONCATENATE("Field!g",A80+2)),"")</f>
        <v>C&amp;N</v>
      </c>
      <c r="F81" s="133" t="str">
        <f ca="1">IFERROR(TEXT(INDIRECT(CONCATENATE("Field!h",A80+2)),"#.#0")&amp;" "&amp;VLOOKUP(C81,INDIRECT($A81),5,FALSE),"")</f>
        <v xml:space="preserve">4.13 </v>
      </c>
      <c r="G81" s="108">
        <f ca="1">IFERROR(INDIRECT(CONCATENATE("Field!i",A80+2)),"")</f>
        <v>7</v>
      </c>
      <c r="H81" s="66"/>
      <c r="I81" s="66">
        <f ca="1">IFERROR(INDIRECT(CONCATENATE("Field!k",A80+2)),"")</f>
        <v>1</v>
      </c>
      <c r="J81" s="66">
        <f ca="1">IFERROR(INDIRECT(CONCATENATE("Field!l",A80+2)),"")</f>
        <v>11</v>
      </c>
      <c r="K81" s="85" t="str">
        <f ca="1">IFERROR(INDIRECT(CONCATENATE("Field!m",A80+2)),"")</f>
        <v>Bethany HALL</v>
      </c>
      <c r="L81" s="85" t="str">
        <f ca="1">IFERROR(INDIRECT(CONCATENATE("Field!n",A80+2)),"")</f>
        <v>C&amp;N</v>
      </c>
      <c r="M81" s="133" t="str">
        <f ca="1">IFERROR(TEXT(INDIRECT(CONCATENATE("Field!o",A80+2)),"#.#0")&amp;" "&amp;VLOOKUP(J81,INDIRECT($A81),5,FALSE),"")</f>
        <v xml:space="preserve">3.50 </v>
      </c>
      <c r="N81" s="108">
        <f ca="1">IFERROR(INDIRECT(CONCATENATE("Field!p",A80+2)),"")</f>
        <v>5</v>
      </c>
      <c r="R81" s="168">
        <f ca="1">IFERROR(INDIRECT(CONCATENATE("Field!r",A80+2)),"")</f>
        <v>10</v>
      </c>
      <c r="T81" s="64">
        <f t="shared" ca="1" si="4"/>
        <v>3</v>
      </c>
      <c r="U81" s="64">
        <f t="shared" ca="1" si="5"/>
        <v>2</v>
      </c>
      <c r="V81" s="266">
        <f ca="1">IF(OR(D81=0,D81="",D81="Athlete"),"",COUNTIF($D$4:$D81,D81))</f>
        <v>2</v>
      </c>
      <c r="W81" s="266" t="str">
        <f t="shared" ca="1" si="6"/>
        <v>C&amp;N</v>
      </c>
      <c r="Z81" s="266">
        <f t="shared" ca="1" si="7"/>
        <v>0</v>
      </c>
    </row>
    <row r="82" spans="1:26" x14ac:dyDescent="0.35">
      <c r="B82" s="66">
        <f ca="1">IFERROR(INDIRECT(CONCATENATE("Field!D",A80+3)),"")</f>
        <v>2</v>
      </c>
      <c r="C82" s="66">
        <f ca="1">IFERROR(INDIRECT(CONCATENATE("Field!e",A80+3)),"")</f>
        <v>3</v>
      </c>
      <c r="D82" s="85" t="str">
        <f ca="1">IFERROR(INDIRECT(CONCATENATE("Field!f",A80+3)),"")</f>
        <v>Ava BROOMES</v>
      </c>
      <c r="E82" s="85" t="str">
        <f ca="1">IFERROR(INDIRECT(CONCATENATE("Field!g",A80+3)),"")</f>
        <v>Leigh</v>
      </c>
      <c r="F82" s="133" t="str">
        <f ca="1">IFERROR(TEXT(INDIRECT(CONCATENATE("Field!h",A80+3)),"#.#0")&amp;" "&amp;VLOOKUP(C82,INDIRECT($A81),5,FALSE),"")</f>
        <v xml:space="preserve">4.02 </v>
      </c>
      <c r="G82" s="108">
        <f ca="1">IFERROR(INDIRECT(CONCATENATE("Field!i",A80+3)),"")</f>
        <v>7</v>
      </c>
      <c r="H82" s="66"/>
      <c r="I82" s="66">
        <f ca="1">IFERROR(INDIRECT(CONCATENATE("Field!k",A80+3)),"")</f>
        <v>2</v>
      </c>
      <c r="J82" s="66">
        <f ca="1">IFERROR(INDIRECT(CONCATENATE("Field!l",A80+3)),"")</f>
        <v>77</v>
      </c>
      <c r="K82" s="85" t="str">
        <f ca="1">IFERROR(INDIRECT(CONCATENATE("Field!m",A80+3)),"")</f>
        <v>Katie-lou MALLEY</v>
      </c>
      <c r="L82" s="85" t="str">
        <f ca="1">IFERROR(INDIRECT(CONCATENATE("Field!n",A80+3)),"")</f>
        <v>Wigan</v>
      </c>
      <c r="M82" s="133" t="str">
        <f ca="1">IFERROR(TEXT(INDIRECT(CONCATENATE("Field!o",A80+3)),"#.#0")&amp;" "&amp;VLOOKUP(J82,INDIRECT($A81),5,FALSE),"")</f>
        <v xml:space="preserve">3.34 </v>
      </c>
      <c r="N82" s="108">
        <f ca="1">IFERROR(INDIRECT(CONCATENATE("Field!p",A80+3)),"")</f>
        <v>4</v>
      </c>
      <c r="T82" s="64">
        <f t="shared" ca="1" si="4"/>
        <v>3</v>
      </c>
      <c r="U82" s="64">
        <f t="shared" ca="1" si="5"/>
        <v>3</v>
      </c>
      <c r="V82" s="266">
        <f ca="1">IF(OR(D82=0,D82="",D82="Athlete"),"",COUNTIF($D$4:$D82,D82))</f>
        <v>2</v>
      </c>
      <c r="W82" s="266" t="str">
        <f t="shared" ca="1" si="6"/>
        <v>Leigh</v>
      </c>
      <c r="Z82" s="266">
        <f t="shared" ca="1" si="7"/>
        <v>0</v>
      </c>
    </row>
    <row r="83" spans="1:26" x14ac:dyDescent="0.35">
      <c r="B83" s="66">
        <f ca="1">IFERROR(INDIRECT(CONCATENATE("Field!D",A80+4)),"")</f>
        <v>3</v>
      </c>
      <c r="C83" s="66">
        <f ca="1">IFERROR(INDIRECT(CONCATENATE("Field!e",A80+4)),"")</f>
        <v>6</v>
      </c>
      <c r="D83" s="85" t="str">
        <f ca="1">IFERROR(INDIRECT(CONCATENATE("Field!f",A80+4)),"")</f>
        <v>Emily WALTON</v>
      </c>
      <c r="E83" s="85" t="str">
        <f ca="1">IFERROR(INDIRECT(CONCATENATE("Field!g",A80+4)),"")</f>
        <v>Stock</v>
      </c>
      <c r="F83" s="133" t="str">
        <f ca="1">IFERROR(TEXT(INDIRECT(CONCATENATE("Field!h",A80+4)),"#.#0")&amp;" "&amp;VLOOKUP(C83,INDIRECT($A81),5,FALSE),"")</f>
        <v xml:space="preserve">3.84 </v>
      </c>
      <c r="G83" s="108">
        <f ca="1">IFERROR(INDIRECT(CONCATENATE("Field!i",A80+4)),"")</f>
        <v>6</v>
      </c>
      <c r="H83" s="66"/>
      <c r="I83" s="66">
        <f ca="1">IFERROR(INDIRECT(CONCATENATE("Field!k",A80+4)),"")</f>
        <v>3</v>
      </c>
      <c r="J83" s="66">
        <f ca="1">IFERROR(INDIRECT(CONCATENATE("Field!l",A80+4)),"")</f>
        <v>33</v>
      </c>
      <c r="K83" s="85" t="str">
        <f ca="1">IFERROR(INDIRECT(CONCATENATE("Field!m",A80+4)),"")</f>
        <v>Isabella GORMAN</v>
      </c>
      <c r="L83" s="85" t="str">
        <f ca="1">IFERROR(INDIRECT(CONCATENATE("Field!n",A80+4)),"")</f>
        <v>Leigh</v>
      </c>
      <c r="M83" s="133" t="str">
        <f ca="1">IFERROR(TEXT(INDIRECT(CONCATENATE("Field!o",A80+4)),"#.#0")&amp;" "&amp;VLOOKUP(J83,INDIRECT($A81),5,FALSE),"")</f>
        <v xml:space="preserve">3.10 </v>
      </c>
      <c r="N83" s="108">
        <f ca="1">IFERROR(INDIRECT(CONCATENATE("Field!p",A80+4)),"")</f>
        <v>3</v>
      </c>
      <c r="T83" s="64">
        <f t="shared" ca="1" si="4"/>
        <v>3</v>
      </c>
      <c r="U83" s="64">
        <f t="shared" ca="1" si="5"/>
        <v>2</v>
      </c>
      <c r="V83" s="266">
        <f ca="1">IF(OR(D83=0,D83="",D83="Athlete"),"",COUNTIF($D$4:$D83,D83))</f>
        <v>2</v>
      </c>
      <c r="W83" s="266" t="str">
        <f t="shared" ca="1" si="6"/>
        <v>Stock</v>
      </c>
      <c r="Z83" s="266">
        <f t="shared" ca="1" si="7"/>
        <v>0</v>
      </c>
    </row>
    <row r="84" spans="1:26" x14ac:dyDescent="0.35">
      <c r="B84" s="66">
        <f ca="1">IFERROR(INDIRECT(CONCATENATE("Field!D",A80+5)),"")</f>
        <v>4</v>
      </c>
      <c r="C84" s="66">
        <f ca="1">IFERROR(INDIRECT(CONCATENATE("Field!e",A80+5)),"")</f>
        <v>5</v>
      </c>
      <c r="D84" s="85" t="str">
        <f ca="1">IFERROR(INDIRECT(CONCATENATE("Field!f",A80+5)),"")</f>
        <v>Holly WORTH</v>
      </c>
      <c r="E84" s="85" t="str">
        <f ca="1">IFERROR(INDIRECT(CONCATENATE("Field!g",A80+5)),"")</f>
        <v>Menai</v>
      </c>
      <c r="F84" s="133" t="str">
        <f ca="1">IFERROR(TEXT(INDIRECT(CONCATENATE("Field!h",A80+5)),"#.#0")&amp;" "&amp;VLOOKUP(C84,INDIRECT($A81),5,FALSE),"")</f>
        <v xml:space="preserve">3.79 </v>
      </c>
      <c r="G84" s="108">
        <f ca="1">IFERROR(INDIRECT(CONCATENATE("Field!i",A80+5)),"")</f>
        <v>6</v>
      </c>
      <c r="H84" s="66"/>
      <c r="I84" s="66">
        <f ca="1">IFERROR(INDIRECT(CONCATENATE("Field!k",A80+5)),"")</f>
        <v>4</v>
      </c>
      <c r="J84" s="66">
        <f ca="1">IFERROR(INDIRECT(CONCATENATE("Field!l",A80+5)),"")</f>
        <v>44</v>
      </c>
      <c r="K84" s="85" t="str">
        <f ca="1">IFERROR(INDIRECT(CONCATENATE("Field!m",A80+5)),"")</f>
        <v>Iona FISHER</v>
      </c>
      <c r="L84" s="85" t="str">
        <f ca="1">IFERROR(INDIRECT(CONCATENATE("Field!n",A80+5)),"")</f>
        <v>Macc</v>
      </c>
      <c r="M84" s="133" t="str">
        <f ca="1">IFERROR(TEXT(INDIRECT(CONCATENATE("Field!o",A80+5)),"#.#0")&amp;" "&amp;VLOOKUP(J84,INDIRECT($A81),5,FALSE),"")</f>
        <v xml:space="preserve">3.03 </v>
      </c>
      <c r="N84" s="108">
        <f ca="1">IFERROR(INDIRECT(CONCATENATE("Field!p",A80+5)),"")</f>
        <v>3</v>
      </c>
      <c r="T84" s="64">
        <f t="shared" ca="1" si="4"/>
        <v>3</v>
      </c>
      <c r="U84" s="64">
        <f t="shared" ca="1" si="5"/>
        <v>2</v>
      </c>
      <c r="V84" s="266">
        <f ca="1">IF(OR(D84=0,D84="",D84="Athlete"),"",COUNTIF($D$4:$D84,D84))</f>
        <v>2</v>
      </c>
      <c r="W84" s="266" t="str">
        <f t="shared" ca="1" si="6"/>
        <v>Menai</v>
      </c>
      <c r="Z84" s="266">
        <f t="shared" ca="1" si="7"/>
        <v>0</v>
      </c>
    </row>
    <row r="85" spans="1:26" x14ac:dyDescent="0.35">
      <c r="B85" s="66">
        <f ca="1">IFERROR(INDIRECT(CONCATENATE("Field!D",A80+6)),"")</f>
        <v>5</v>
      </c>
      <c r="C85" s="66">
        <f ca="1">IFERROR(INDIRECT(CONCATENATE("Field!e",A80+6)),"")</f>
        <v>4</v>
      </c>
      <c r="D85" s="85" t="str">
        <f ca="1">IFERROR(INDIRECT(CONCATENATE("Field!f",A80+6)),"")</f>
        <v>Lara ADU-GYAMFI</v>
      </c>
      <c r="E85" s="85" t="str">
        <f ca="1">IFERROR(INDIRECT(CONCATENATE("Field!g",A80+6)),"")</f>
        <v>Macc</v>
      </c>
      <c r="F85" s="133" t="str">
        <f ca="1">IFERROR(TEXT(INDIRECT(CONCATENATE("Field!h",A80+6)),"#.#0")&amp;" "&amp;VLOOKUP(C85,INDIRECT($A81),5,FALSE),"")</f>
        <v xml:space="preserve">3.52 </v>
      </c>
      <c r="G85" s="108">
        <f ca="1">IFERROR(INDIRECT(CONCATENATE("Field!i",A80+6)),"")</f>
        <v>5</v>
      </c>
      <c r="H85" s="66"/>
      <c r="I85" s="66">
        <f ca="1">IFERROR(INDIRECT(CONCATENATE("Field!k",A80+6)),"")</f>
        <v>5</v>
      </c>
      <c r="J85" s="66">
        <f ca="1">IFERROR(INDIRECT(CONCATENATE("Field!l",A80+6)),"")</f>
        <v>2</v>
      </c>
      <c r="K85" s="85" t="str">
        <f ca="1">IFERROR(INDIRECT(CONCATENATE("Field!m",A80+6)),"")</f>
        <v>Madaline BURKE</v>
      </c>
      <c r="L85" s="85" t="str">
        <f ca="1">IFERROR(INDIRECT(CONCATENATE("Field!n",A80+6)),"")</f>
        <v>ECHT</v>
      </c>
      <c r="M85" s="133" t="str">
        <f ca="1">IFERROR(TEXT(INDIRECT(CONCATENATE("Field!o",A80+6)),"#.#0")&amp;" "&amp;VLOOKUP(J85,INDIRECT($A81),5,FALSE),"")</f>
        <v xml:space="preserve">2.99 </v>
      </c>
      <c r="N85" s="108">
        <f ca="1">IFERROR(INDIRECT(CONCATENATE("Field!p",A80+6)),"")</f>
        <v>2</v>
      </c>
      <c r="T85" s="64">
        <f t="shared" ca="1" si="4"/>
        <v>3</v>
      </c>
      <c r="U85" s="64">
        <f t="shared" ca="1" si="5"/>
        <v>3</v>
      </c>
      <c r="V85" s="266">
        <f ca="1">IF(OR(D85=0,D85="",D85="Athlete"),"",COUNTIF($D$4:$D85,D85))</f>
        <v>3</v>
      </c>
      <c r="W85" s="266" t="str">
        <f t="shared" ca="1" si="6"/>
        <v>Macc</v>
      </c>
      <c r="Z85" s="266">
        <f t="shared" ca="1" si="7"/>
        <v>0</v>
      </c>
    </row>
    <row r="86" spans="1:26" x14ac:dyDescent="0.35">
      <c r="B86" s="66">
        <f ca="1">IFERROR(INDIRECT(CONCATENATE("Field!D",A80+7)),"")</f>
        <v>6</v>
      </c>
      <c r="C86" s="66">
        <f ca="1">IFERROR(INDIRECT(CONCATENATE("Field!e",A80+7)),"")</f>
        <v>7</v>
      </c>
      <c r="D86" s="85" t="str">
        <f ca="1">IFERROR(INDIRECT(CONCATENATE("Field!f",A80+7)),"")</f>
        <v>Elody HILL</v>
      </c>
      <c r="E86" s="85" t="str">
        <f ca="1">IFERROR(INDIRECT(CONCATENATE("Field!g",A80+7)),"")</f>
        <v>Wigan</v>
      </c>
      <c r="F86" s="133" t="str">
        <f ca="1">IFERROR(TEXT(INDIRECT(CONCATENATE("Field!h",A80+7)),"#.#0")&amp;" "&amp;VLOOKUP(C86,INDIRECT($A81),5,FALSE),"")</f>
        <v xml:space="preserve">3.44 </v>
      </c>
      <c r="G86" s="108">
        <f ca="1">IFERROR(INDIRECT(CONCATENATE("Field!i",A80+7)),"")</f>
        <v>4</v>
      </c>
      <c r="H86" s="66"/>
      <c r="I86" s="66">
        <f ca="1">IFERROR(INDIRECT(CONCATENATE("Field!k",A80+7)),"")</f>
        <v>6</v>
      </c>
      <c r="J86" s="66" t="str">
        <f ca="1">IFERROR(INDIRECT(CONCATENATE("Field!l",A80+7)),"")</f>
        <v/>
      </c>
      <c r="K86" s="85" t="str">
        <f ca="1">IFERROR(INDIRECT(CONCATENATE("Field!m",A80+7)),"")</f>
        <v/>
      </c>
      <c r="L86" s="85" t="str">
        <f ca="1">IFERROR(INDIRECT(CONCATENATE("Field!n",A80+7)),"")</f>
        <v/>
      </c>
      <c r="M86" s="133" t="str">
        <f ca="1">IFERROR(TEXT(INDIRECT(CONCATENATE("Field!o",A80+7)),"#.#0")&amp;" "&amp;VLOOKUP(J86,INDIRECT($A81),5,FALSE),"")</f>
        <v/>
      </c>
      <c r="N86" s="108" t="str">
        <f ca="1">IFERROR(INDIRECT(CONCATENATE("Field!p",A80+7)),"")</f>
        <v/>
      </c>
      <c r="T86" s="64">
        <f t="shared" ca="1" si="4"/>
        <v>2</v>
      </c>
      <c r="U86" s="64" t="str">
        <f t="shared" ca="1" si="5"/>
        <v/>
      </c>
      <c r="V86" s="266">
        <f ca="1">IF(OR(D86=0,D86="",D86="Athlete"),"",COUNTIF($D$4:$D86,D86))</f>
        <v>1</v>
      </c>
      <c r="W86" s="266" t="str">
        <f t="shared" ca="1" si="6"/>
        <v>Wigan</v>
      </c>
      <c r="Z86" s="266">
        <f t="shared" ca="1" si="7"/>
        <v>0</v>
      </c>
    </row>
    <row r="87" spans="1:26" x14ac:dyDescent="0.35">
      <c r="B87" s="66">
        <f ca="1">IFERROR(INDIRECT(CONCATENATE("Field!D",A80+8)),"")</f>
        <v>7</v>
      </c>
      <c r="C87" s="66">
        <f ca="1">IFERROR(INDIRECT(CONCATENATE("Field!e",A80+8)),"")</f>
        <v>22</v>
      </c>
      <c r="D87" s="85" t="str">
        <f ca="1">IFERROR(INDIRECT(CONCATENATE("Field!f",A80+8)),"")</f>
        <v>Kyla MILLINGTON</v>
      </c>
      <c r="E87" s="85" t="str">
        <f ca="1">IFERROR(INDIRECT(CONCATENATE("Field!g",A80+8)),"")</f>
        <v>ECHT</v>
      </c>
      <c r="F87" s="133" t="str">
        <f ca="1">IFERROR(TEXT(INDIRECT(CONCATENATE("Field!h",A80+8)),"#.#0")&amp;" "&amp;VLOOKUP(C87,INDIRECT($A81),5,FALSE),"")</f>
        <v xml:space="preserve">3.13 </v>
      </c>
      <c r="G87" s="108">
        <f ca="1">IFERROR(INDIRECT(CONCATENATE("Field!i",A80+8)),"")</f>
        <v>3</v>
      </c>
      <c r="H87" s="66"/>
      <c r="I87" s="66">
        <f ca="1">IFERROR(INDIRECT(CONCATENATE("Field!k",A80+8)),"")</f>
        <v>7</v>
      </c>
      <c r="J87" s="66" t="str">
        <f ca="1">IFERROR(INDIRECT(CONCATENATE("Field!l",A80+8)),"")</f>
        <v/>
      </c>
      <c r="K87" s="85" t="str">
        <f ca="1">IFERROR(INDIRECT(CONCATENATE("Field!m",A80+8)),"")</f>
        <v/>
      </c>
      <c r="L87" s="85" t="str">
        <f ca="1">IFERROR(INDIRECT(CONCATENATE("Field!n",A80+8)),"")</f>
        <v/>
      </c>
      <c r="M87" s="133" t="str">
        <f ca="1">IFERROR(TEXT(INDIRECT(CONCATENATE("Field!o",A80+8)),"#.#0")&amp;" "&amp;VLOOKUP(J87,INDIRECT($A81),5,FALSE),"")</f>
        <v/>
      </c>
      <c r="N87" s="108" t="str">
        <f ca="1">IFERROR(INDIRECT(CONCATENATE("Field!p",A80+8)),"")</f>
        <v/>
      </c>
      <c r="T87" s="64">
        <f t="shared" ca="1" si="4"/>
        <v>1</v>
      </c>
      <c r="U87" s="64" t="str">
        <f t="shared" ca="1" si="5"/>
        <v/>
      </c>
      <c r="V87" s="266">
        <f ca="1">IF(OR(D87=0,D87="",D87="Athlete"),"",COUNTIF($D$4:$D87,D87))</f>
        <v>1</v>
      </c>
      <c r="W87" s="266" t="str">
        <f t="shared" ca="1" si="6"/>
        <v>ECHT</v>
      </c>
      <c r="Z87" s="266">
        <f t="shared" ca="1" si="7"/>
        <v>0</v>
      </c>
    </row>
    <row r="88" spans="1:26" x14ac:dyDescent="0.35">
      <c r="B88" s="66">
        <f ca="1">IFERROR(INDIRECT(CONCATENATE("Field!D",A80+9)),"")</f>
        <v>8</v>
      </c>
      <c r="C88" s="66" t="str">
        <f ca="1">IFERROR(INDIRECT(CONCATENATE("Field!e",A80+9)),"")</f>
        <v/>
      </c>
      <c r="D88" s="85" t="str">
        <f ca="1">IFERROR(INDIRECT(CONCATENATE("Field!f",A80+9)),"")</f>
        <v/>
      </c>
      <c r="E88" s="85" t="str">
        <f ca="1">IFERROR(INDIRECT(CONCATENATE("Field!g",A80+9)),"")</f>
        <v/>
      </c>
      <c r="F88" s="133" t="str">
        <f ca="1">IFERROR(TEXT(INDIRECT(CONCATENATE("Field!h",A80+9)),"#.#0")&amp;" "&amp;VLOOKUP(C88,INDIRECT($A81),5,FALSE),"")</f>
        <v/>
      </c>
      <c r="G88" s="108" t="str">
        <f ca="1">IFERROR(INDIRECT(CONCATENATE("Field!i",A80+9)),"")</f>
        <v/>
      </c>
      <c r="H88" s="66"/>
      <c r="I88" s="66">
        <f ca="1">IFERROR(INDIRECT(CONCATENATE("Field!k",A80+9)),"")</f>
        <v>8</v>
      </c>
      <c r="J88" s="66" t="str">
        <f ca="1">IFERROR(INDIRECT(CONCATENATE("Field!l",A80+9)),"")</f>
        <v/>
      </c>
      <c r="K88" s="85" t="str">
        <f ca="1">IFERROR(INDIRECT(CONCATENATE("Field!m",A80+9)),"")</f>
        <v/>
      </c>
      <c r="L88" s="85" t="str">
        <f ca="1">IFERROR(INDIRECT(CONCATENATE("Field!n",A80+9)),"")</f>
        <v/>
      </c>
      <c r="M88" s="133" t="str">
        <f ca="1">IFERROR(TEXT(INDIRECT(CONCATENATE("Field!o",A80+9)),"#.#0")&amp;" "&amp;VLOOKUP(J88,INDIRECT($A81),5,FALSE),"")</f>
        <v/>
      </c>
      <c r="N88" s="108" t="str">
        <f ca="1">IFERROR(INDIRECT(CONCATENATE("Field!p",A80+9)),"")</f>
        <v/>
      </c>
      <c r="T88" s="64" t="str">
        <f t="shared" ca="1" si="4"/>
        <v/>
      </c>
      <c r="U88" s="64" t="str">
        <f t="shared" ca="1" si="5"/>
        <v/>
      </c>
      <c r="V88" s="266" t="str">
        <f ca="1">IF(OR(D88=0,D88="",D88="Athlete"),"",COUNTIF($D$4:$D88,D88))</f>
        <v/>
      </c>
      <c r="W88" s="266" t="str">
        <f t="shared" ca="1" si="6"/>
        <v/>
      </c>
      <c r="Z88" s="266" t="str">
        <f t="shared" ca="1" si="7"/>
        <v/>
      </c>
    </row>
    <row r="89" spans="1:26" x14ac:dyDescent="0.35">
      <c r="T89" s="64" t="str">
        <f t="shared" si="4"/>
        <v/>
      </c>
      <c r="U89" s="64" t="str">
        <f t="shared" si="5"/>
        <v/>
      </c>
      <c r="V89" s="266" t="str">
        <f>IF(OR(D89=0,D89="",D89="Athlete"),"",COUNTIF($D$4:$D89,D89))</f>
        <v/>
      </c>
      <c r="W89" s="266" t="str">
        <f t="shared" si="6"/>
        <v/>
      </c>
      <c r="Z89" s="266" t="str">
        <f t="shared" si="7"/>
        <v/>
      </c>
    </row>
    <row r="90" spans="1:26" x14ac:dyDescent="0.35">
      <c r="A90" s="66" t="s">
        <v>185</v>
      </c>
      <c r="B90" s="102" t="str">
        <f ca="1">IFERROR(INDIRECT(CONCATENATE("Field!D",A91)),"")</f>
        <v>High Jump U13 Girls A</v>
      </c>
      <c r="G90" s="108" t="str">
        <f ca="1">IFERROR(INDIRECT(CONCATENATE("Field!i",A91)),"")</f>
        <v/>
      </c>
      <c r="I90" s="102" t="str">
        <f ca="1">IFERROR(INDIRECT(CONCATENATE("Field!k",A91)),"")</f>
        <v>High Jump U13 Girls B</v>
      </c>
      <c r="T90" s="64" t="str">
        <f t="shared" si="4"/>
        <v/>
      </c>
      <c r="U90" s="64" t="str">
        <f t="shared" si="5"/>
        <v/>
      </c>
      <c r="V90" s="266" t="str">
        <f>IF(OR(D90=0,D90="",D90="Athlete"),"",COUNTIF($D$4:$D90,D90))</f>
        <v/>
      </c>
      <c r="W90" s="266" t="str">
        <f t="shared" si="6"/>
        <v/>
      </c>
      <c r="Z90" s="266" t="str">
        <f t="shared" ca="1" si="7"/>
        <v/>
      </c>
    </row>
    <row r="91" spans="1:26" x14ac:dyDescent="0.35">
      <c r="A91" s="66">
        <f>IFERROR(MATCH(A90,Field!C:C,0),"")</f>
        <v>200</v>
      </c>
      <c r="B91" s="45" t="str">
        <f ca="1">IFERROR(INDIRECT(CONCATENATE("Field!D",A91+1)),"")</f>
        <v>Posn</v>
      </c>
      <c r="C91" s="45" t="str">
        <f ca="1">IFERROR(INDIRECT(CONCATENATE("Field!e",A91+1)),"")</f>
        <v>Bib</v>
      </c>
      <c r="D91" s="139" t="str">
        <f ca="1">IFERROR(INDIRECT(CONCATENATE("Field!f",A91+1)),"")</f>
        <v>Athlete</v>
      </c>
      <c r="E91" s="139" t="str">
        <f ca="1">IFERROR(INDIRECT(CONCATENATE("Field!g",A91+1)),"")</f>
        <v>Club</v>
      </c>
      <c r="F91" s="133" t="str">
        <f ca="1">IFERROR(INDIRECT(CONCATENATE("Field!h",A91+1)),"")</f>
        <v>Perf</v>
      </c>
      <c r="G91" s="167" t="str">
        <f ca="1">IFERROR(INDIRECT(CONCATENATE("Field!i",A91+1)),"")</f>
        <v>EA</v>
      </c>
      <c r="H91" s="45"/>
      <c r="I91" s="45" t="str">
        <f ca="1">IFERROR(INDIRECT(CONCATENATE("Field!k",A91+1)),"")</f>
        <v>Posn</v>
      </c>
      <c r="J91" s="45" t="str">
        <f ca="1">IFERROR(INDIRECT(CONCATENATE("Field!l",A91+1)),"")</f>
        <v>Bib</v>
      </c>
      <c r="K91" s="139" t="str">
        <f ca="1">IFERROR(INDIRECT(CONCATENATE("Field!m",A91+1)),"")</f>
        <v>Athlete</v>
      </c>
      <c r="L91" s="139" t="str">
        <f ca="1">IFERROR(INDIRECT(CONCATENATE("Field!n",A91+1)),"")</f>
        <v>Club</v>
      </c>
      <c r="M91" s="133" t="str">
        <f ca="1">IFERROR(INDIRECT(CONCATENATE("Field!o",A91+1)),"")</f>
        <v>Perf</v>
      </c>
      <c r="N91" s="167" t="str">
        <f ca="1">IFERROR(INDIRECT(CONCATENATE("Field!p",A91+1)),"")</f>
        <v>EA</v>
      </c>
      <c r="T91" s="64" t="str">
        <f t="shared" ca="1" si="4"/>
        <v/>
      </c>
      <c r="U91" s="64" t="str">
        <f t="shared" ca="1" si="5"/>
        <v/>
      </c>
      <c r="V91" s="266" t="str">
        <f ca="1">IF(OR(D91=0,D91="",D91="Athlete"),"",COUNTIF($D$4:$D91,D91))</f>
        <v/>
      </c>
      <c r="W91" s="266" t="str">
        <f t="shared" ca="1" si="6"/>
        <v/>
      </c>
      <c r="Z91" s="266">
        <f t="shared" ca="1" si="7"/>
        <v>0</v>
      </c>
    </row>
    <row r="92" spans="1:26" x14ac:dyDescent="0.35">
      <c r="B92" s="66">
        <f ca="1">IFERROR(INDIRECT(CONCATENATE("Field!D",A91+2)),"")</f>
        <v>1</v>
      </c>
      <c r="C92" s="66">
        <f ca="1">IFERROR(INDIRECT(CONCATENATE("Field!e",A91+2)),"")</f>
        <v>11</v>
      </c>
      <c r="D92" s="85" t="str">
        <f ca="1">IFERROR(INDIRECT(CONCATENATE("Field!f",A91+2)),"")</f>
        <v>Ruby WILKINS</v>
      </c>
      <c r="E92" s="85" t="str">
        <f ca="1">IFERROR(INDIRECT(CONCATENATE("Field!g",A91+2)),"")</f>
        <v>C&amp;N</v>
      </c>
      <c r="F92" s="65">
        <f ca="1">IFERROR(INDIRECT(CONCATENATE("Field!h",A91+2)),"")</f>
        <v>1.2</v>
      </c>
      <c r="G92" s="108">
        <f ca="1">IFERROR(INDIRECT(CONCATENATE("Field!i",A91+2)),"")</f>
        <v>5</v>
      </c>
      <c r="H92" s="66"/>
      <c r="I92" s="66">
        <f ca="1">IFERROR(INDIRECT(CONCATENATE("Field!k",A91+2)),"")</f>
        <v>1</v>
      </c>
      <c r="J92" s="66">
        <f ca="1">IFERROR(INDIRECT(CONCATENATE("Field!l",A91+2)),"")</f>
        <v>77</v>
      </c>
      <c r="K92" s="85" t="str">
        <f ca="1">IFERROR(INDIRECT(CONCATENATE("Field!m",A91+2)),"")</f>
        <v>Mia LACEY</v>
      </c>
      <c r="L92" s="85" t="str">
        <f ca="1">IFERROR(INDIRECT(CONCATENATE("Field!n",A91+2)),"")</f>
        <v>Wigan</v>
      </c>
      <c r="M92" s="65">
        <f ca="1">IFERROR(INDIRECT(CONCATENATE("Field!o",A91+2)),"")</f>
        <v>1.1499999999999999</v>
      </c>
      <c r="N92" s="108">
        <f ca="1">IFERROR(INDIRECT(CONCATENATE("Field!p",A91+2)),"")</f>
        <v>4</v>
      </c>
      <c r="R92" s="168">
        <f ca="1">IFERROR(INDIRECT(CONCATENATE("Field!r",A91+2)),"")</f>
        <v>10</v>
      </c>
      <c r="T92" s="64">
        <f t="shared" ca="1" si="4"/>
        <v>3</v>
      </c>
      <c r="U92" s="64">
        <f t="shared" ca="1" si="5"/>
        <v>2</v>
      </c>
      <c r="V92" s="266">
        <f ca="1">IF(OR(D92=0,D92="",D92="Athlete"),"",COUNTIF($D$4:$D92,D92))</f>
        <v>2</v>
      </c>
      <c r="W92" s="266" t="str">
        <f t="shared" ca="1" si="6"/>
        <v>C&amp;N</v>
      </c>
      <c r="Z92" s="266">
        <f t="shared" ca="1" si="7"/>
        <v>0</v>
      </c>
    </row>
    <row r="93" spans="1:26" x14ac:dyDescent="0.35">
      <c r="B93" s="66">
        <f ca="1">IFERROR(INDIRECT(CONCATENATE("Field!D",A91+3)),"")</f>
        <v>2</v>
      </c>
      <c r="C93" s="66">
        <f ca="1">IFERROR(INDIRECT(CONCATENATE("Field!e",A91+3)),"")</f>
        <v>22</v>
      </c>
      <c r="D93" s="85" t="str">
        <f ca="1">IFERROR(INDIRECT(CONCATENATE("Field!f",A91+3)),"")</f>
        <v>Scarlett LYNE</v>
      </c>
      <c r="E93" s="85" t="str">
        <f ca="1">IFERROR(INDIRECT(CONCATENATE("Field!g",A91+3)),"")</f>
        <v>ECHT</v>
      </c>
      <c r="F93" s="65">
        <f ca="1">IFERROR(INDIRECT(CONCATENATE("Field!h",A91+3)),"")</f>
        <v>1.2</v>
      </c>
      <c r="G93" s="108">
        <f ca="1">IFERROR(INDIRECT(CONCATENATE("Field!i",A91+3)),"")</f>
        <v>5</v>
      </c>
      <c r="H93" s="66"/>
      <c r="I93" s="66" t="str">
        <f ca="1">IFERROR(INDIRECT(CONCATENATE("Field!k",A91+3)),"")</f>
        <v>2=</v>
      </c>
      <c r="J93" s="66">
        <f ca="1">IFERROR(INDIRECT(CONCATENATE("Field!l",A91+3)),"")</f>
        <v>2</v>
      </c>
      <c r="K93" s="85" t="str">
        <f ca="1">IFERROR(INDIRECT(CONCATENATE("Field!m",A91+3)),"")</f>
        <v>Imogen MCBURNIE</v>
      </c>
      <c r="L93" s="85" t="str">
        <f ca="1">IFERROR(INDIRECT(CONCATENATE("Field!n",A91+3)),"")</f>
        <v>ECHT</v>
      </c>
      <c r="M93" s="65">
        <f ca="1">IFERROR(INDIRECT(CONCATENATE("Field!o",A91+3)),"")</f>
        <v>1.1000000000000001</v>
      </c>
      <c r="N93" s="108">
        <f ca="1">IFERROR(INDIRECT(CONCATENATE("Field!p",A91+3)),"")</f>
        <v>3</v>
      </c>
      <c r="T93" s="64">
        <f t="shared" ca="1" si="4"/>
        <v>3</v>
      </c>
      <c r="U93" s="64">
        <f t="shared" ca="1" si="5"/>
        <v>3</v>
      </c>
      <c r="V93" s="266">
        <f ca="1">IF(OR(D93=0,D93="",D93="Athlete"),"",COUNTIF($D$4:$D93,D93))</f>
        <v>1</v>
      </c>
      <c r="W93" s="266" t="str">
        <f t="shared" ca="1" si="6"/>
        <v>ECHT</v>
      </c>
      <c r="Z93" s="266">
        <f t="shared" ca="1" si="7"/>
        <v>0</v>
      </c>
    </row>
    <row r="94" spans="1:26" x14ac:dyDescent="0.35">
      <c r="B94" s="66">
        <f ca="1">IFERROR(INDIRECT(CONCATENATE("Field!D",A91+4)),"")</f>
        <v>3</v>
      </c>
      <c r="C94" s="66">
        <f ca="1">IFERROR(INDIRECT(CONCATENATE("Field!e",A91+4)),"")</f>
        <v>7</v>
      </c>
      <c r="D94" s="85" t="str">
        <f ca="1">IFERROR(INDIRECT(CONCATENATE("Field!f",A91+4)),"")</f>
        <v>Layla HALL</v>
      </c>
      <c r="E94" s="85" t="str">
        <f ca="1">IFERROR(INDIRECT(CONCATENATE("Field!g",A91+4)),"")</f>
        <v>Wigan</v>
      </c>
      <c r="F94" s="65">
        <f ca="1">IFERROR(INDIRECT(CONCATENATE("Field!h",A91+4)),"")</f>
        <v>1.1499999999999999</v>
      </c>
      <c r="G94" s="108">
        <f ca="1">IFERROR(INDIRECT(CONCATENATE("Field!i",A91+4)),"")</f>
        <v>4</v>
      </c>
      <c r="H94" s="66"/>
      <c r="I94" s="66" t="str">
        <f ca="1">IFERROR(INDIRECT(CONCATENATE("Field!k",A91+4)),"")</f>
        <v>2=</v>
      </c>
      <c r="J94" s="66">
        <f ca="1">IFERROR(INDIRECT(CONCATENATE("Field!l",A91+4)),"")</f>
        <v>33</v>
      </c>
      <c r="K94" s="85" t="str">
        <f ca="1">IFERROR(INDIRECT(CONCATENATE("Field!m",A91+4)),"")</f>
        <v>Maddison PENDLEBURY</v>
      </c>
      <c r="L94" s="85" t="str">
        <f ca="1">IFERROR(INDIRECT(CONCATENATE("Field!n",A91+4)),"")</f>
        <v>Leigh</v>
      </c>
      <c r="M94" s="65">
        <f ca="1">IFERROR(INDIRECT(CONCATENATE("Field!o",A91+4)),"")</f>
        <v>1.1000000000000001</v>
      </c>
      <c r="N94" s="108">
        <f ca="1">IFERROR(INDIRECT(CONCATENATE("Field!p",A91+4)),"")</f>
        <v>3</v>
      </c>
      <c r="T94" s="64">
        <f t="shared" ca="1" si="4"/>
        <v>3</v>
      </c>
      <c r="U94" s="64">
        <f t="shared" ca="1" si="5"/>
        <v>2</v>
      </c>
      <c r="V94" s="266">
        <f ca="1">IF(OR(D94=0,D94="",D94="Athlete"),"",COUNTIF($D$4:$D94,D94))</f>
        <v>1</v>
      </c>
      <c r="W94" s="266" t="str">
        <f t="shared" ca="1" si="6"/>
        <v>Wigan</v>
      </c>
      <c r="Z94" s="266">
        <f t="shared" ca="1" si="7"/>
        <v>0</v>
      </c>
    </row>
    <row r="95" spans="1:26" x14ac:dyDescent="0.35">
      <c r="B95" s="66" t="str">
        <f ca="1">IFERROR(INDIRECT(CONCATENATE("Field!D",A91+5)),"")</f>
        <v>4=</v>
      </c>
      <c r="C95" s="66">
        <f ca="1">IFERROR(INDIRECT(CONCATENATE("Field!e",A91+5)),"")</f>
        <v>3</v>
      </c>
      <c r="D95" s="85" t="str">
        <f ca="1">IFERROR(INDIRECT(CONCATENATE("Field!f",A91+5)),"")</f>
        <v>Lois MELLING</v>
      </c>
      <c r="E95" s="85" t="str">
        <f ca="1">IFERROR(INDIRECT(CONCATENATE("Field!g",A91+5)),"")</f>
        <v>Leigh</v>
      </c>
      <c r="F95" s="65">
        <f ca="1">IFERROR(INDIRECT(CONCATENATE("Field!h",A91+5)),"")</f>
        <v>1.1000000000000001</v>
      </c>
      <c r="G95" s="108">
        <f ca="1">IFERROR(INDIRECT(CONCATENATE("Field!i",A91+5)),"")</f>
        <v>3</v>
      </c>
      <c r="H95" s="66"/>
      <c r="I95" s="66">
        <f ca="1">IFERROR(INDIRECT(CONCATENATE("Field!k",A91+5)),"")</f>
        <v>4</v>
      </c>
      <c r="J95" s="66">
        <f ca="1">IFERROR(INDIRECT(CONCATENATE("Field!l",A91+5)),"")</f>
        <v>1</v>
      </c>
      <c r="K95" s="85" t="str">
        <f ca="1">IFERROR(INDIRECT(CONCATENATE("Field!m",A91+5)),"")</f>
        <v>Jasmine COOPER</v>
      </c>
      <c r="L95" s="85" t="str">
        <f ca="1">IFERROR(INDIRECT(CONCATENATE("Field!n",A91+5)),"")</f>
        <v>C&amp;N</v>
      </c>
      <c r="M95" s="65">
        <f ca="1">IFERROR(INDIRECT(CONCATENATE("Field!o",A91+5)),"")</f>
        <v>1.1000000000000001</v>
      </c>
      <c r="N95" s="108">
        <f ca="1">IFERROR(INDIRECT(CONCATENATE("Field!p",A91+5)),"")</f>
        <v>3</v>
      </c>
      <c r="T95" s="64">
        <f t="shared" ca="1" si="4"/>
        <v>3</v>
      </c>
      <c r="U95" s="64">
        <f t="shared" ca="1" si="5"/>
        <v>3</v>
      </c>
      <c r="V95" s="266">
        <f ca="1">IF(OR(D95=0,D95="",D95="Athlete"),"",COUNTIF($D$4:$D95,D95))</f>
        <v>3</v>
      </c>
      <c r="W95" s="266" t="str">
        <f t="shared" ca="1" si="6"/>
        <v>Leigh</v>
      </c>
      <c r="Z95" s="266">
        <f t="shared" ca="1" si="7"/>
        <v>0</v>
      </c>
    </row>
    <row r="96" spans="1:26" x14ac:dyDescent="0.35">
      <c r="B96" s="66" t="str">
        <f ca="1">IFERROR(INDIRECT(CONCATENATE("Field!D",A91+6)),"")</f>
        <v>4=</v>
      </c>
      <c r="C96" s="66">
        <f ca="1">IFERROR(INDIRECT(CONCATENATE("Field!e",A91+6)),"")</f>
        <v>5</v>
      </c>
      <c r="D96" s="85" t="str">
        <f ca="1">IFERROR(INDIRECT(CONCATENATE("Field!f",A91+6)),"")</f>
        <v>Tamsin SEGUIN</v>
      </c>
      <c r="E96" s="85" t="str">
        <f ca="1">IFERROR(INDIRECT(CONCATENATE("Field!g",A91+6)),"")</f>
        <v>Menai</v>
      </c>
      <c r="F96" s="65">
        <f ca="1">IFERROR(INDIRECT(CONCATENATE("Field!h",A91+6)),"")</f>
        <v>1.1000000000000001</v>
      </c>
      <c r="G96" s="108">
        <f ca="1">IFERROR(INDIRECT(CONCATENATE("Field!i",A91+6)),"")</f>
        <v>3</v>
      </c>
      <c r="H96" s="66"/>
      <c r="I96" s="66">
        <f ca="1">IFERROR(INDIRECT(CONCATENATE("Field!k",A91+6)),"")</f>
        <v>5</v>
      </c>
      <c r="J96" s="66">
        <f ca="1">IFERROR(INDIRECT(CONCATENATE("Field!l",A91+6)),"")</f>
        <v>44</v>
      </c>
      <c r="K96" s="85" t="str">
        <f ca="1">IFERROR(INDIRECT(CONCATENATE("Field!m",A91+6)),"")</f>
        <v>Lauren HARPER</v>
      </c>
      <c r="L96" s="85" t="str">
        <f ca="1">IFERROR(INDIRECT(CONCATENATE("Field!n",A91+6)),"")</f>
        <v>Macc</v>
      </c>
      <c r="M96" s="65" t="str">
        <f ca="1">IFERROR(INDIRECT(CONCATENATE("Field!o",A91+6)),"")</f>
        <v>x</v>
      </c>
      <c r="N96" s="108">
        <f ca="1">IFERROR(INDIRECT(CONCATENATE("Field!p",A91+6)),"")</f>
        <v>9</v>
      </c>
      <c r="T96" s="64">
        <f t="shared" ca="1" si="4"/>
        <v>3</v>
      </c>
      <c r="U96" s="64">
        <f t="shared" ca="1" si="5"/>
        <v>3</v>
      </c>
      <c r="V96" s="266">
        <f ca="1">IF(OR(D96=0,D96="",D96="Athlete"),"",COUNTIF($D$4:$D96,D96))</f>
        <v>1</v>
      </c>
      <c r="W96" s="266" t="str">
        <f t="shared" ca="1" si="6"/>
        <v>Menai</v>
      </c>
      <c r="Z96" s="266">
        <f t="shared" ca="1" si="7"/>
        <v>0</v>
      </c>
    </row>
    <row r="97" spans="1:26" x14ac:dyDescent="0.35">
      <c r="B97" s="66">
        <f ca="1">IFERROR(INDIRECT(CONCATENATE("Field!D",A91+7)),"")</f>
        <v>6</v>
      </c>
      <c r="C97" s="66">
        <f ca="1">IFERROR(INDIRECT(CONCATENATE("Field!e",A91+7)),"")</f>
        <v>4</v>
      </c>
      <c r="D97" s="85" t="str">
        <f ca="1">IFERROR(INDIRECT(CONCATENATE("Field!f",A91+7)),"")</f>
        <v>Eve O'DONNELL</v>
      </c>
      <c r="E97" s="85" t="str">
        <f ca="1">IFERROR(INDIRECT(CONCATENATE("Field!g",A91+7)),"")</f>
        <v>Macc</v>
      </c>
      <c r="F97" s="65">
        <f ca="1">IFERROR(INDIRECT(CONCATENATE("Field!h",A91+7)),"")</f>
        <v>1.1000000000000001</v>
      </c>
      <c r="G97" s="108">
        <f ca="1">IFERROR(INDIRECT(CONCATENATE("Field!i",A91+7)),"")</f>
        <v>3</v>
      </c>
      <c r="H97" s="66"/>
      <c r="I97" s="66" t="str">
        <f ca="1">IFERROR(INDIRECT(CONCATENATE("Field!k",A91+7)),"")</f>
        <v/>
      </c>
      <c r="J97" s="66" t="str">
        <f ca="1">IFERROR(INDIRECT(CONCATENATE("Field!l",A91+7)),"")</f>
        <v/>
      </c>
      <c r="K97" s="85" t="str">
        <f ca="1">IFERROR(INDIRECT(CONCATENATE("Field!m",A91+7)),"")</f>
        <v/>
      </c>
      <c r="L97" s="85" t="str">
        <f ca="1">IFERROR(INDIRECT(CONCATENATE("Field!n",A91+7)),"")</f>
        <v/>
      </c>
      <c r="M97" s="65">
        <f ca="1">IFERROR(INDIRECT(CONCATENATE("Field!o",A91+7)),"")</f>
        <v>0</v>
      </c>
      <c r="N97" s="108" t="str">
        <f ca="1">IFERROR(INDIRECT(CONCATENATE("Field!p",A91+7)),"")</f>
        <v/>
      </c>
      <c r="T97" s="64">
        <f t="shared" ca="1" si="4"/>
        <v>3</v>
      </c>
      <c r="U97" s="64" t="str">
        <f t="shared" ca="1" si="5"/>
        <v/>
      </c>
      <c r="V97" s="266">
        <f ca="1">IF(OR(D97=0,D97="",D97="Athlete"),"",COUNTIF($D$4:$D97,D97))</f>
        <v>1</v>
      </c>
      <c r="W97" s="266" t="str">
        <f t="shared" ca="1" si="6"/>
        <v>Macc</v>
      </c>
      <c r="Z97" s="266">
        <f t="shared" ca="1" si="7"/>
        <v>0</v>
      </c>
    </row>
    <row r="98" spans="1:26" x14ac:dyDescent="0.35">
      <c r="B98" s="66" t="str">
        <f ca="1">IFERROR(INDIRECT(CONCATENATE("Field!D",A91+8)),"")</f>
        <v/>
      </c>
      <c r="C98" s="66" t="str">
        <f ca="1">IFERROR(INDIRECT(CONCATENATE("Field!e",A91+8)),"")</f>
        <v/>
      </c>
      <c r="D98" s="85" t="str">
        <f ca="1">IFERROR(INDIRECT(CONCATENATE("Field!f",A91+8)),"")</f>
        <v/>
      </c>
      <c r="E98" s="85" t="str">
        <f ca="1">IFERROR(INDIRECT(CONCATENATE("Field!g",A91+8)),"")</f>
        <v/>
      </c>
      <c r="F98" s="65">
        <f ca="1">IFERROR(INDIRECT(CONCATENATE("Field!h",A91+8)),"")</f>
        <v>0</v>
      </c>
      <c r="G98" s="108" t="str">
        <f ca="1">IFERROR(INDIRECT(CONCATENATE("Field!i",A91+8)),"")</f>
        <v/>
      </c>
      <c r="H98" s="66"/>
      <c r="I98" s="66" t="str">
        <f ca="1">IFERROR(INDIRECT(CONCATENATE("Field!k",A91+8)),"")</f>
        <v/>
      </c>
      <c r="J98" s="66" t="str">
        <f ca="1">IFERROR(INDIRECT(CONCATENATE("Field!l",A91+8)),"")</f>
        <v/>
      </c>
      <c r="K98" s="85" t="str">
        <f ca="1">IFERROR(INDIRECT(CONCATENATE("Field!m",A91+8)),"")</f>
        <v/>
      </c>
      <c r="L98" s="85" t="str">
        <f ca="1">IFERROR(INDIRECT(CONCATENATE("Field!n",A91+8)),"")</f>
        <v/>
      </c>
      <c r="M98" s="65">
        <f ca="1">IFERROR(INDIRECT(CONCATENATE("Field!o",A91+8)),"")</f>
        <v>0</v>
      </c>
      <c r="N98" s="108" t="str">
        <f ca="1">IFERROR(INDIRECT(CONCATENATE("Field!p",A91+8)),"")</f>
        <v/>
      </c>
      <c r="T98" s="64" t="str">
        <f t="shared" ca="1" si="4"/>
        <v/>
      </c>
      <c r="U98" s="64" t="str">
        <f t="shared" ca="1" si="5"/>
        <v/>
      </c>
      <c r="V98" s="266" t="str">
        <f ca="1">IF(OR(D98=0,D98="",D98="Athlete"),"",COUNTIF($D$4:$D98,D98))</f>
        <v/>
      </c>
      <c r="W98" s="266" t="str">
        <f t="shared" ca="1" si="6"/>
        <v/>
      </c>
      <c r="Z98" s="266" t="str">
        <f t="shared" ca="1" si="7"/>
        <v/>
      </c>
    </row>
    <row r="99" spans="1:26" x14ac:dyDescent="0.35">
      <c r="B99" s="66" t="str">
        <f ca="1">IFERROR(INDIRECT(CONCATENATE("Field!D",A91+9)),"")</f>
        <v/>
      </c>
      <c r="C99" s="66" t="str">
        <f ca="1">IFERROR(INDIRECT(CONCATENATE("Field!e",A91+9)),"")</f>
        <v/>
      </c>
      <c r="D99" s="85" t="str">
        <f ca="1">IFERROR(INDIRECT(CONCATENATE("Field!f",A91+9)),"")</f>
        <v/>
      </c>
      <c r="E99" s="85" t="str">
        <f ca="1">IFERROR(INDIRECT(CONCATENATE("Field!g",A91+9)),"")</f>
        <v/>
      </c>
      <c r="F99" s="65">
        <f ca="1">IFERROR(INDIRECT(CONCATENATE("Field!h",A91+9)),"")</f>
        <v>0</v>
      </c>
      <c r="G99" s="108" t="str">
        <f ca="1">IFERROR(INDIRECT(CONCATENATE("Field!i",A91+9)),"")</f>
        <v/>
      </c>
      <c r="H99" s="66"/>
      <c r="I99" s="66" t="str">
        <f ca="1">IFERROR(INDIRECT(CONCATENATE("Field!k",A91+9)),"")</f>
        <v/>
      </c>
      <c r="J99" s="66" t="str">
        <f ca="1">IFERROR(INDIRECT(CONCATENATE("Field!l",A91+9)),"")</f>
        <v/>
      </c>
      <c r="K99" s="85" t="str">
        <f ca="1">IFERROR(INDIRECT(CONCATENATE("Field!m",A91+9)),"")</f>
        <v/>
      </c>
      <c r="L99" s="85" t="str">
        <f ca="1">IFERROR(INDIRECT(CONCATENATE("Field!n",A91+9)),"")</f>
        <v/>
      </c>
      <c r="M99" s="65">
        <f ca="1">IFERROR(INDIRECT(CONCATENATE("Field!o",A91+9)),"")</f>
        <v>0</v>
      </c>
      <c r="N99" s="108" t="str">
        <f ca="1">IFERROR(INDIRECT(CONCATENATE("Field!p",A91+9)),"")</f>
        <v/>
      </c>
      <c r="T99" s="64" t="str">
        <f t="shared" ca="1" si="4"/>
        <v/>
      </c>
      <c r="U99" s="64" t="str">
        <f t="shared" ca="1" si="5"/>
        <v/>
      </c>
      <c r="V99" s="266" t="str">
        <f ca="1">IF(OR(D99=0,D99="",D99="Athlete"),"",COUNTIF($D$4:$D99,D99))</f>
        <v/>
      </c>
      <c r="W99" s="266" t="str">
        <f t="shared" ca="1" si="6"/>
        <v/>
      </c>
      <c r="Z99" s="266" t="str">
        <f t="shared" ca="1" si="7"/>
        <v/>
      </c>
    </row>
    <row r="100" spans="1:26" x14ac:dyDescent="0.35">
      <c r="T100" s="64" t="str">
        <f t="shared" si="4"/>
        <v/>
      </c>
      <c r="U100" s="64" t="str">
        <f t="shared" si="5"/>
        <v/>
      </c>
      <c r="V100" s="266" t="str">
        <f>IF(OR(D100=0,D100="",D100="Athlete"),"",COUNTIF($D$4:$D100,D100))</f>
        <v/>
      </c>
      <c r="W100" s="266" t="str">
        <f t="shared" si="6"/>
        <v/>
      </c>
      <c r="Z100" s="266" t="str">
        <f t="shared" si="7"/>
        <v/>
      </c>
    </row>
    <row r="101" spans="1:26" x14ac:dyDescent="0.35">
      <c r="A101" s="66" t="s">
        <v>183</v>
      </c>
      <c r="B101" s="102" t="str">
        <f ca="1">IFERROR(INDIRECT(CONCATENATE("Field!D",A102)),"")</f>
        <v>Shot U13 Girls A</v>
      </c>
      <c r="G101" s="108" t="str">
        <f ca="1">IFERROR(INDIRECT(CONCATENATE("Field!i",A102)),"")</f>
        <v/>
      </c>
      <c r="I101" s="102" t="str">
        <f ca="1">IFERROR(INDIRECT(CONCATENATE("Field!k",A102)),"")</f>
        <v>Shot U13 Girls B</v>
      </c>
      <c r="T101" s="64" t="str">
        <f t="shared" si="4"/>
        <v/>
      </c>
      <c r="U101" s="64" t="str">
        <f t="shared" si="5"/>
        <v/>
      </c>
      <c r="V101" s="266" t="str">
        <f>IF(OR(D101=0,D101="",D101="Athlete"),"",COUNTIF($D$4:$D101,D101))</f>
        <v/>
      </c>
      <c r="W101" s="266" t="str">
        <f t="shared" si="6"/>
        <v/>
      </c>
      <c r="Z101" s="266" t="str">
        <f t="shared" ca="1" si="7"/>
        <v/>
      </c>
    </row>
    <row r="102" spans="1:26" x14ac:dyDescent="0.35">
      <c r="A102" s="66">
        <f>IFERROR(MATCH(A101,Field!C:C,0),"")</f>
        <v>24</v>
      </c>
      <c r="B102" s="45" t="str">
        <f ca="1">IFERROR(INDIRECT(CONCATENATE("Field!D",A102+1)),"")</f>
        <v>Posn</v>
      </c>
      <c r="C102" s="45" t="str">
        <f ca="1">IFERROR(INDIRECT(CONCATENATE("Field!e",A102+1)),"")</f>
        <v>Bib</v>
      </c>
      <c r="D102" s="139" t="str">
        <f ca="1">IFERROR(INDIRECT(CONCATENATE("Field!f",A102+1)),"")</f>
        <v>Athlete</v>
      </c>
      <c r="E102" s="139" t="str">
        <f ca="1">IFERROR(INDIRECT(CONCATENATE("Field!g",A102+1)),"")</f>
        <v>Club</v>
      </c>
      <c r="F102" s="133" t="str">
        <f ca="1">IFERROR(INDIRECT(CONCATENATE("Field!h",A102+1)),"")</f>
        <v>Perf</v>
      </c>
      <c r="G102" s="167" t="str">
        <f ca="1">IFERROR(INDIRECT(CONCATENATE("Field!i",A102+1)),"")</f>
        <v>EA</v>
      </c>
      <c r="H102" s="45"/>
      <c r="I102" s="45" t="str">
        <f ca="1">IFERROR(INDIRECT(CONCATENATE("Field!k",A102+1)),"")</f>
        <v>Posn</v>
      </c>
      <c r="J102" s="45" t="str">
        <f ca="1">IFERROR(INDIRECT(CONCATENATE("Field!l",A102+1)),"")</f>
        <v>Bib</v>
      </c>
      <c r="K102" s="139" t="str">
        <f ca="1">IFERROR(INDIRECT(CONCATENATE("Field!m",A102+1)),"")</f>
        <v>Athlete</v>
      </c>
      <c r="L102" s="139" t="str">
        <f ca="1">IFERROR(INDIRECT(CONCATENATE("Field!n",A102+1)),"")</f>
        <v>Club</v>
      </c>
      <c r="M102" s="133" t="str">
        <f ca="1">IFERROR(INDIRECT(CONCATENATE("Field!o",A102+1)),"")</f>
        <v>Perf</v>
      </c>
      <c r="N102" s="167" t="str">
        <f ca="1">IFERROR(INDIRECT(CONCATENATE("Field!p",A102+1)),"")</f>
        <v>EA</v>
      </c>
      <c r="T102" s="64" t="str">
        <f t="shared" ca="1" si="4"/>
        <v/>
      </c>
      <c r="U102" s="64" t="str">
        <f t="shared" ca="1" si="5"/>
        <v/>
      </c>
      <c r="V102" s="266" t="str">
        <f ca="1">IF(OR(D102=0,D102="",D102="Athlete"),"",COUNTIF($D$4:$D102,D102))</f>
        <v/>
      </c>
      <c r="W102" s="266" t="str">
        <f t="shared" ca="1" si="6"/>
        <v/>
      </c>
      <c r="Z102" s="266">
        <f t="shared" ca="1" si="7"/>
        <v>0</v>
      </c>
    </row>
    <row r="103" spans="1:26" x14ac:dyDescent="0.35">
      <c r="B103" s="66">
        <f ca="1">IFERROR(INDIRECT(CONCATENATE("Field!D",A102+2)),"")</f>
        <v>1</v>
      </c>
      <c r="C103" s="66">
        <f ca="1">IFERROR(INDIRECT(CONCATENATE("Field!e",A102+2)),"")</f>
        <v>6</v>
      </c>
      <c r="D103" s="85" t="str">
        <f ca="1">IFERROR(INDIRECT(CONCATENATE("Field!f",A102+2)),"")</f>
        <v>Sophie LOW</v>
      </c>
      <c r="E103" s="85" t="str">
        <f ca="1">IFERROR(INDIRECT(CONCATENATE("Field!g",A102+2)),"")</f>
        <v>Stock</v>
      </c>
      <c r="F103" s="65">
        <f ca="1">IFERROR(INDIRECT(CONCATENATE("Field!h",A102+2)),"")</f>
        <v>5.93</v>
      </c>
      <c r="G103" s="108">
        <f ca="1">IFERROR(INDIRECT(CONCATENATE("Field!i",A102+2)),"")</f>
        <v>2</v>
      </c>
      <c r="H103" s="66"/>
      <c r="I103" s="66">
        <f ca="1">IFERROR(INDIRECT(CONCATENATE("Field!k",A102+2)),"")</f>
        <v>1</v>
      </c>
      <c r="J103" s="66">
        <f ca="1">IFERROR(INDIRECT(CONCATENATE("Field!l",A102+2)),"")</f>
        <v>22</v>
      </c>
      <c r="K103" s="85" t="str">
        <f ca="1">IFERROR(INDIRECT(CONCATENATE("Field!m",A102+2)),"")</f>
        <v>Erin ROYLE</v>
      </c>
      <c r="L103" s="85" t="str">
        <f ca="1">IFERROR(INDIRECT(CONCATENATE("Field!n",A102+2)),"")</f>
        <v>ECHT</v>
      </c>
      <c r="M103" s="65">
        <f ca="1">IFERROR(INDIRECT(CONCATENATE("Field!o",A102+2)),"")</f>
        <v>5.42</v>
      </c>
      <c r="N103" s="108">
        <f ca="1">IFERROR(INDIRECT(CONCATENATE("Field!p",A102+2)),"")</f>
        <v>1</v>
      </c>
      <c r="R103" s="168">
        <f ca="1">IFERROR(INDIRECT(CONCATENATE("Field!r",A102+2)),"")</f>
        <v>10</v>
      </c>
      <c r="T103" s="64">
        <f t="shared" ca="1" si="4"/>
        <v>3</v>
      </c>
      <c r="U103" s="64">
        <f t="shared" ca="1" si="5"/>
        <v>1</v>
      </c>
      <c r="V103" s="266">
        <f ca="1">IF(OR(D103=0,D103="",D103="Athlete"),"",COUNTIF($D$4:$D103,D103))</f>
        <v>2</v>
      </c>
      <c r="W103" s="266" t="str">
        <f t="shared" ca="1" si="6"/>
        <v>Stock</v>
      </c>
      <c r="Z103" s="266">
        <f t="shared" ca="1" si="7"/>
        <v>0</v>
      </c>
    </row>
    <row r="104" spans="1:26" x14ac:dyDescent="0.35">
      <c r="B104" s="66">
        <f ca="1">IFERROR(INDIRECT(CONCATENATE("Field!D",A102+3)),"")</f>
        <v>2</v>
      </c>
      <c r="C104" s="66">
        <f ca="1">IFERROR(INDIRECT(CONCATENATE("Field!e",A102+3)),"")</f>
        <v>5</v>
      </c>
      <c r="D104" s="85" t="str">
        <f ca="1">IFERROR(INDIRECT(CONCATENATE("Field!f",A102+3)),"")</f>
        <v>Martha BOWN</v>
      </c>
      <c r="E104" s="85" t="str">
        <f ca="1">IFERROR(INDIRECT(CONCATENATE("Field!g",A102+3)),"")</f>
        <v>Menai</v>
      </c>
      <c r="F104" s="65">
        <f ca="1">IFERROR(INDIRECT(CONCATENATE("Field!h",A102+3)),"")</f>
        <v>5.73</v>
      </c>
      <c r="G104" s="108">
        <f ca="1">IFERROR(INDIRECT(CONCATENATE("Field!i",A102+3)),"")</f>
        <v>2</v>
      </c>
      <c r="H104" s="66"/>
      <c r="I104" s="66">
        <f ca="1">IFERROR(INDIRECT(CONCATENATE("Field!k",A102+3)),"")</f>
        <v>2</v>
      </c>
      <c r="J104" s="66">
        <f ca="1">IFERROR(INDIRECT(CONCATENATE("Field!l",A102+3)),"")</f>
        <v>66</v>
      </c>
      <c r="K104" s="85" t="str">
        <f ca="1">IFERROR(INDIRECT(CONCATENATE("Field!m",A102+3)),"")</f>
        <v>Emily WALTON</v>
      </c>
      <c r="L104" s="85" t="str">
        <f ca="1">IFERROR(INDIRECT(CONCATENATE("Field!n",A102+3)),"")</f>
        <v>Stock</v>
      </c>
      <c r="M104" s="65">
        <f ca="1">IFERROR(INDIRECT(CONCATENATE("Field!o",A102+3)),"")</f>
        <v>5.01</v>
      </c>
      <c r="N104" s="108">
        <f ca="1">IFERROR(INDIRECT(CONCATENATE("Field!p",A102+3)),"")</f>
        <v>1</v>
      </c>
      <c r="T104" s="64">
        <f t="shared" ca="1" si="4"/>
        <v>3</v>
      </c>
      <c r="U104" s="64">
        <f t="shared" ca="1" si="5"/>
        <v>3</v>
      </c>
      <c r="V104" s="266">
        <f ca="1">IF(OR(D104=0,D104="",D104="Athlete"),"",COUNTIF($D$4:$D104,D104))</f>
        <v>2</v>
      </c>
      <c r="W104" s="266" t="str">
        <f t="shared" ca="1" si="6"/>
        <v>Menai</v>
      </c>
      <c r="Z104" s="266">
        <f t="shared" ca="1" si="7"/>
        <v>0</v>
      </c>
    </row>
    <row r="105" spans="1:26" x14ac:dyDescent="0.35">
      <c r="B105" s="66">
        <f ca="1">IFERROR(INDIRECT(CONCATENATE("Field!D",A102+4)),"")</f>
        <v>3</v>
      </c>
      <c r="C105" s="66">
        <f ca="1">IFERROR(INDIRECT(CONCATENATE("Field!e",A102+4)),"")</f>
        <v>2</v>
      </c>
      <c r="D105" s="85" t="str">
        <f ca="1">IFERROR(INDIRECT(CONCATENATE("Field!f",A102+4)),"")</f>
        <v>Imogen MCBURNIE</v>
      </c>
      <c r="E105" s="85" t="str">
        <f ca="1">IFERROR(INDIRECT(CONCATENATE("Field!g",A102+4)),"")</f>
        <v>ECHT</v>
      </c>
      <c r="F105" s="65">
        <f ca="1">IFERROR(INDIRECT(CONCATENATE("Field!h",A102+4)),"")</f>
        <v>5.52</v>
      </c>
      <c r="G105" s="108">
        <f ca="1">IFERROR(INDIRECT(CONCATENATE("Field!i",A102+4)),"")</f>
        <v>2</v>
      </c>
      <c r="H105" s="66"/>
      <c r="I105" s="66">
        <f ca="1">IFERROR(INDIRECT(CONCATENATE("Field!k",A102+4)),"")</f>
        <v>3</v>
      </c>
      <c r="J105" s="66">
        <f ca="1">IFERROR(INDIRECT(CONCATENATE("Field!l",A102+4)),"")</f>
        <v>4</v>
      </c>
      <c r="K105" s="85" t="str">
        <f ca="1">IFERROR(INDIRECT(CONCATENATE("Field!m",A102+4)),"")</f>
        <v>Holly WALKER</v>
      </c>
      <c r="L105" s="85" t="str">
        <f ca="1">IFERROR(INDIRECT(CONCATENATE("Field!n",A102+4)),"")</f>
        <v>Macc</v>
      </c>
      <c r="M105" s="65">
        <f ca="1">IFERROR(INDIRECT(CONCATENATE("Field!o",A102+4)),"")</f>
        <v>4.4400000000000004</v>
      </c>
      <c r="N105" s="108" t="str">
        <f ca="1">IFERROR(INDIRECT(CONCATENATE("Field!p",A102+4)),"")</f>
        <v/>
      </c>
      <c r="T105" s="64">
        <f t="shared" ca="1" si="4"/>
        <v>3</v>
      </c>
      <c r="U105" s="64">
        <f t="shared" ca="1" si="5"/>
        <v>2</v>
      </c>
      <c r="V105" s="266">
        <f ca="1">IF(OR(D105=0,D105="",D105="Athlete"),"",COUNTIF($D$4:$D105,D105))</f>
        <v>1</v>
      </c>
      <c r="W105" s="266" t="str">
        <f t="shared" ca="1" si="6"/>
        <v>ECHT</v>
      </c>
      <c r="Z105" s="266">
        <f t="shared" ca="1" si="7"/>
        <v>0</v>
      </c>
    </row>
    <row r="106" spans="1:26" x14ac:dyDescent="0.35">
      <c r="B106" s="66">
        <f ca="1">IFERROR(INDIRECT(CONCATENATE("Field!D",A102+5)),"")</f>
        <v>4</v>
      </c>
      <c r="C106" s="66">
        <f ca="1">IFERROR(INDIRECT(CONCATENATE("Field!e",A102+5)),"")</f>
        <v>3</v>
      </c>
      <c r="D106" s="85" t="str">
        <f ca="1">IFERROR(INDIRECT(CONCATENATE("Field!f",A102+5)),"")</f>
        <v>Emily ASHTON</v>
      </c>
      <c r="E106" s="85" t="str">
        <f ca="1">IFERROR(INDIRECT(CONCATENATE("Field!g",A102+5)),"")</f>
        <v>Leigh</v>
      </c>
      <c r="F106" s="65">
        <f ca="1">IFERROR(INDIRECT(CONCATENATE("Field!h",A102+5)),"")</f>
        <v>5.31</v>
      </c>
      <c r="G106" s="108">
        <f ca="1">IFERROR(INDIRECT(CONCATENATE("Field!i",A102+5)),"")</f>
        <v>1</v>
      </c>
      <c r="H106" s="66"/>
      <c r="I106" s="66">
        <f ca="1">IFERROR(INDIRECT(CONCATENATE("Field!k",A102+5)),"")</f>
        <v>4</v>
      </c>
      <c r="J106" s="66">
        <f ca="1">IFERROR(INDIRECT(CONCATENATE("Field!l",A102+5)),"")</f>
        <v>33</v>
      </c>
      <c r="K106" s="85" t="str">
        <f ca="1">IFERROR(INDIRECT(CONCATENATE("Field!m",A102+5)),"")</f>
        <v>Aniko BEHARRIE</v>
      </c>
      <c r="L106" s="85" t="str">
        <f ca="1">IFERROR(INDIRECT(CONCATENATE("Field!n",A102+5)),"")</f>
        <v>Leigh</v>
      </c>
      <c r="M106" s="65">
        <f ca="1">IFERROR(INDIRECT(CONCATENATE("Field!o",A102+5)),"")</f>
        <v>4.3899999999999997</v>
      </c>
      <c r="N106" s="108" t="str">
        <f ca="1">IFERROR(INDIRECT(CONCATENATE("Field!p",A102+5)),"")</f>
        <v/>
      </c>
      <c r="T106" s="64">
        <f t="shared" ca="1" si="4"/>
        <v>3</v>
      </c>
      <c r="U106" s="64">
        <f t="shared" ca="1" si="5"/>
        <v>2</v>
      </c>
      <c r="V106" s="266">
        <f ca="1">IF(OR(D106=0,D106="",D106="Athlete"),"",COUNTIF($D$4:$D106,D106))</f>
        <v>1</v>
      </c>
      <c r="W106" s="266" t="str">
        <f t="shared" ca="1" si="6"/>
        <v>Leigh</v>
      </c>
      <c r="Z106" s="266">
        <f t="shared" ca="1" si="7"/>
        <v>0</v>
      </c>
    </row>
    <row r="107" spans="1:26" x14ac:dyDescent="0.35">
      <c r="B107" s="66">
        <f ca="1">IFERROR(INDIRECT(CONCATENATE("Field!D",A102+6)),"")</f>
        <v>5</v>
      </c>
      <c r="C107" s="66">
        <f ca="1">IFERROR(INDIRECT(CONCATENATE("Field!e",A102+6)),"")</f>
        <v>44</v>
      </c>
      <c r="D107" s="85" t="str">
        <f ca="1">IFERROR(INDIRECT(CONCATENATE("Field!f",A102+6)),"")</f>
        <v>Eve O'DONNELL</v>
      </c>
      <c r="E107" s="85" t="str">
        <f ca="1">IFERROR(INDIRECT(CONCATENATE("Field!g",A102+6)),"")</f>
        <v>Macc</v>
      </c>
      <c r="F107" s="65">
        <f ca="1">IFERROR(INDIRECT(CONCATENATE("Field!h",A102+6)),"")</f>
        <v>5.09</v>
      </c>
      <c r="G107" s="108">
        <f ca="1">IFERROR(INDIRECT(CONCATENATE("Field!i",A102+6)),"")</f>
        <v>1</v>
      </c>
      <c r="H107" s="66"/>
      <c r="I107" s="66">
        <f ca="1">IFERROR(INDIRECT(CONCATENATE("Field!k",A102+6)),"")</f>
        <v>5</v>
      </c>
      <c r="J107" s="66">
        <f ca="1">IFERROR(INDIRECT(CONCATENATE("Field!l",A102+6)),"")</f>
        <v>1</v>
      </c>
      <c r="K107" s="85" t="str">
        <f ca="1">IFERROR(INDIRECT(CONCATENATE("Field!m",A102+6)),"")</f>
        <v>Freya HOWELLS</v>
      </c>
      <c r="L107" s="85" t="str">
        <f ca="1">IFERROR(INDIRECT(CONCATENATE("Field!n",A102+6)),"")</f>
        <v>C&amp;N</v>
      </c>
      <c r="M107" s="65">
        <f ca="1">IFERROR(INDIRECT(CONCATENATE("Field!o",A102+6)),"")</f>
        <v>3.53</v>
      </c>
      <c r="N107" s="108" t="str">
        <f ca="1">IFERROR(INDIRECT(CONCATENATE("Field!p",A102+6)),"")</f>
        <v/>
      </c>
      <c r="T107" s="64">
        <f t="shared" ca="1" si="4"/>
        <v>3</v>
      </c>
      <c r="U107" s="64">
        <f t="shared" ca="1" si="5"/>
        <v>3</v>
      </c>
      <c r="V107" s="266">
        <f ca="1">IF(OR(D107=0,D107="",D107="Athlete"),"",COUNTIF($D$4:$D107,D107))</f>
        <v>2</v>
      </c>
      <c r="W107" s="266" t="str">
        <f t="shared" ca="1" si="6"/>
        <v>Macc</v>
      </c>
      <c r="Z107" s="266">
        <f t="shared" ca="1" si="7"/>
        <v>0</v>
      </c>
    </row>
    <row r="108" spans="1:26" x14ac:dyDescent="0.35">
      <c r="B108" s="66">
        <f ca="1">IFERROR(INDIRECT(CONCATENATE("Field!D",A102+7)),"")</f>
        <v>6</v>
      </c>
      <c r="C108" s="66">
        <f ca="1">IFERROR(INDIRECT(CONCATENATE("Field!e",A102+7)),"")</f>
        <v>11</v>
      </c>
      <c r="D108" s="85" t="str">
        <f ca="1">IFERROR(INDIRECT(CONCATENATE("Field!f",A102+7)),"")</f>
        <v>Malkia HENRY</v>
      </c>
      <c r="E108" s="85" t="str">
        <f ca="1">IFERROR(INDIRECT(CONCATENATE("Field!g",A102+7)),"")</f>
        <v>C&amp;N</v>
      </c>
      <c r="F108" s="65">
        <f ca="1">IFERROR(INDIRECT(CONCATENATE("Field!h",A102+7)),"")</f>
        <v>4.8499999999999996</v>
      </c>
      <c r="G108" s="108" t="str">
        <f ca="1">IFERROR(INDIRECT(CONCATENATE("Field!i",A102+7)),"")</f>
        <v/>
      </c>
      <c r="H108" s="66"/>
      <c r="I108" s="66">
        <f ca="1">IFERROR(INDIRECT(CONCATENATE("Field!k",A102+7)),"")</f>
        <v>6</v>
      </c>
      <c r="J108" s="66" t="str">
        <f ca="1">IFERROR(INDIRECT(CONCATENATE("Field!l",A102+7)),"")</f>
        <v/>
      </c>
      <c r="K108" s="85" t="str">
        <f ca="1">IFERROR(INDIRECT(CONCATENATE("Field!m",A102+7)),"")</f>
        <v/>
      </c>
      <c r="L108" s="85" t="str">
        <f ca="1">IFERROR(INDIRECT(CONCATENATE("Field!n",A102+7)),"")</f>
        <v/>
      </c>
      <c r="M108" s="65" t="str">
        <f ca="1">IFERROR(INDIRECT(CONCATENATE("Field!o",A102+7)),"")</f>
        <v/>
      </c>
      <c r="N108" s="108" t="str">
        <f ca="1">IFERROR(INDIRECT(CONCATENATE("Field!p",A102+7)),"")</f>
        <v/>
      </c>
      <c r="T108" s="64">
        <f t="shared" ca="1" si="4"/>
        <v>3</v>
      </c>
      <c r="U108" s="64" t="str">
        <f t="shared" ca="1" si="5"/>
        <v/>
      </c>
      <c r="V108" s="266">
        <f ca="1">IF(OR(D108=0,D108="",D108="Athlete"),"",COUNTIF($D$4:$D108,D108))</f>
        <v>1</v>
      </c>
      <c r="W108" s="266" t="str">
        <f t="shared" ca="1" si="6"/>
        <v>C&amp;N</v>
      </c>
      <c r="Z108" s="266" t="str">
        <f t="shared" ca="1" si="7"/>
        <v/>
      </c>
    </row>
    <row r="109" spans="1:26" x14ac:dyDescent="0.35">
      <c r="B109" s="66">
        <f ca="1">IFERROR(INDIRECT(CONCATENATE("Field!D",A102+8)),"")</f>
        <v>7</v>
      </c>
      <c r="C109" s="66">
        <f ca="1">IFERROR(INDIRECT(CONCATENATE("Field!e",A102+8)),"")</f>
        <v>7</v>
      </c>
      <c r="D109" s="85" t="str">
        <f ca="1">IFERROR(INDIRECT(CONCATENATE("Field!f",A102+8)),"")</f>
        <v>Layla HALL</v>
      </c>
      <c r="E109" s="85" t="str">
        <f ca="1">IFERROR(INDIRECT(CONCATENATE("Field!g",A102+8)),"")</f>
        <v>Wigan</v>
      </c>
      <c r="F109" s="65">
        <f ca="1">IFERROR(INDIRECT(CONCATENATE("Field!h",A102+8)),"")</f>
        <v>3.77</v>
      </c>
      <c r="G109" s="108" t="str">
        <f ca="1">IFERROR(INDIRECT(CONCATENATE("Field!i",A102+8)),"")</f>
        <v/>
      </c>
      <c r="H109" s="66"/>
      <c r="I109" s="66">
        <f ca="1">IFERROR(INDIRECT(CONCATENATE("Field!k",A102+8)),"")</f>
        <v>7</v>
      </c>
      <c r="J109" s="66" t="str">
        <f ca="1">IFERROR(INDIRECT(CONCATENATE("Field!l",A102+8)),"")</f>
        <v/>
      </c>
      <c r="K109" s="85" t="str">
        <f ca="1">IFERROR(INDIRECT(CONCATENATE("Field!m",A102+8)),"")</f>
        <v/>
      </c>
      <c r="L109" s="85" t="str">
        <f ca="1">IFERROR(INDIRECT(CONCATENATE("Field!n",A102+8)),"")</f>
        <v/>
      </c>
      <c r="M109" s="65" t="str">
        <f ca="1">IFERROR(INDIRECT(CONCATENATE("Field!o",A102+8)),"")</f>
        <v/>
      </c>
      <c r="N109" s="108" t="str">
        <f ca="1">IFERROR(INDIRECT(CONCATENATE("Field!p",A102+8)),"")</f>
        <v/>
      </c>
      <c r="T109" s="64">
        <f t="shared" ca="1" si="4"/>
        <v>3</v>
      </c>
      <c r="U109" s="64" t="str">
        <f t="shared" ca="1" si="5"/>
        <v/>
      </c>
      <c r="V109" s="266">
        <f ca="1">IF(OR(D109=0,D109="",D109="Athlete"),"",COUNTIF($D$4:$D109,D109))</f>
        <v>2</v>
      </c>
      <c r="W109" s="266" t="str">
        <f t="shared" ca="1" si="6"/>
        <v>Wigan</v>
      </c>
      <c r="Z109" s="266" t="str">
        <f t="shared" ca="1" si="7"/>
        <v/>
      </c>
    </row>
    <row r="110" spans="1:26" x14ac:dyDescent="0.35">
      <c r="B110" s="66">
        <f ca="1">IFERROR(INDIRECT(CONCATENATE("Field!D",A102+9)),"")</f>
        <v>8</v>
      </c>
      <c r="C110" s="66" t="str">
        <f ca="1">IFERROR(INDIRECT(CONCATENATE("Field!e",A102+9)),"")</f>
        <v/>
      </c>
      <c r="D110" s="85" t="str">
        <f ca="1">IFERROR(INDIRECT(CONCATENATE("Field!f",A102+9)),"")</f>
        <v/>
      </c>
      <c r="E110" s="85" t="str">
        <f ca="1">IFERROR(INDIRECT(CONCATENATE("Field!g",A102+9)),"")</f>
        <v/>
      </c>
      <c r="F110" s="65" t="str">
        <f ca="1">IFERROR(INDIRECT(CONCATENATE("Field!h",A102+9)),"")</f>
        <v/>
      </c>
      <c r="G110" s="108" t="str">
        <f ca="1">IFERROR(INDIRECT(CONCATENATE("Field!i",A102+9)),"")</f>
        <v/>
      </c>
      <c r="H110" s="66"/>
      <c r="I110" s="66">
        <f ca="1">IFERROR(INDIRECT(CONCATENATE("Field!k",A102+9)),"")</f>
        <v>8</v>
      </c>
      <c r="J110" s="66" t="str">
        <f ca="1">IFERROR(INDIRECT(CONCATENATE("Field!l",A102+9)),"")</f>
        <v/>
      </c>
      <c r="K110" s="85" t="str">
        <f ca="1">IFERROR(INDIRECT(CONCATENATE("Field!m",A102+9)),"")</f>
        <v/>
      </c>
      <c r="L110" s="85" t="str">
        <f ca="1">IFERROR(INDIRECT(CONCATENATE("Field!n",A102+9)),"")</f>
        <v/>
      </c>
      <c r="M110" s="65" t="str">
        <f ca="1">IFERROR(INDIRECT(CONCATENATE("Field!o",A102+9)),"")</f>
        <v/>
      </c>
      <c r="N110" s="108" t="str">
        <f ca="1">IFERROR(INDIRECT(CONCATENATE("Field!p",A102+9)),"")</f>
        <v/>
      </c>
      <c r="T110" s="64" t="str">
        <f t="shared" ca="1" si="4"/>
        <v/>
      </c>
      <c r="U110" s="64" t="str">
        <f t="shared" ca="1" si="5"/>
        <v/>
      </c>
      <c r="V110" s="266" t="str">
        <f ca="1">IF(OR(D110=0,D110="",D110="Athlete"),"",COUNTIF($D$4:$D110,D110))</f>
        <v/>
      </c>
      <c r="W110" s="266" t="str">
        <f t="shared" ca="1" si="6"/>
        <v/>
      </c>
      <c r="Z110" s="266" t="str">
        <f t="shared" ca="1" si="7"/>
        <v/>
      </c>
    </row>
    <row r="111" spans="1:26" x14ac:dyDescent="0.35">
      <c r="T111" s="64" t="str">
        <f t="shared" si="4"/>
        <v/>
      </c>
      <c r="U111" s="64" t="str">
        <f t="shared" si="5"/>
        <v/>
      </c>
      <c r="V111" s="266" t="str">
        <f>IF(OR(D111=0,D111="",D111="Athlete"),"",COUNTIF($D$4:$D111,D111))</f>
        <v/>
      </c>
      <c r="W111" s="266" t="str">
        <f t="shared" si="6"/>
        <v/>
      </c>
      <c r="Z111" s="266" t="str">
        <f t="shared" si="7"/>
        <v/>
      </c>
    </row>
    <row r="112" spans="1:26" x14ac:dyDescent="0.35">
      <c r="A112" s="66" t="s">
        <v>195</v>
      </c>
      <c r="B112" s="102" t="str">
        <f ca="1">IFERROR(INDIRECT(CONCATENATE("Field!D",A113)),"")</f>
        <v>Javelin U13 Girls A</v>
      </c>
      <c r="G112" s="108" t="str">
        <f ca="1">IFERROR(INDIRECT(CONCATENATE("Field!i",A113)),"")</f>
        <v/>
      </c>
      <c r="I112" s="102" t="str">
        <f ca="1">IFERROR(INDIRECT(CONCATENATE("Field!k",A113)),"")</f>
        <v>Javelin U13 Girls B</v>
      </c>
      <c r="T112" s="64" t="str">
        <f t="shared" si="4"/>
        <v/>
      </c>
      <c r="U112" s="64" t="str">
        <f t="shared" si="5"/>
        <v/>
      </c>
      <c r="V112" s="266" t="str">
        <f>IF(OR(D112=0,D112="",D112="Athlete"),"",COUNTIF($D$4:$D112,D112))</f>
        <v/>
      </c>
      <c r="W112" s="266" t="str">
        <f t="shared" si="6"/>
        <v/>
      </c>
      <c r="Z112" s="266" t="str">
        <f t="shared" ca="1" si="7"/>
        <v/>
      </c>
    </row>
    <row r="113" spans="1:26" x14ac:dyDescent="0.35">
      <c r="A113" s="66">
        <f>IFERROR(MATCH(A112,Field!C:C,0),"")</f>
        <v>123</v>
      </c>
      <c r="B113" s="45" t="str">
        <f ca="1">IFERROR(INDIRECT(CONCATENATE("Field!D",A113+1)),"")</f>
        <v>Posn</v>
      </c>
      <c r="C113" s="45" t="str">
        <f ca="1">IFERROR(INDIRECT(CONCATENATE("Field!e",A113+1)),"")</f>
        <v>Bib</v>
      </c>
      <c r="D113" s="139" t="str">
        <f ca="1">IFERROR(INDIRECT(CONCATENATE("Field!f",A113+1)),"")</f>
        <v>Athlete</v>
      </c>
      <c r="E113" s="139" t="str">
        <f ca="1">IFERROR(INDIRECT(CONCATENATE("Field!g",A113+1)),"")</f>
        <v>Club</v>
      </c>
      <c r="F113" s="133" t="str">
        <f ca="1">IFERROR(INDIRECT(CONCATENATE("Field!h",A113+1)),"")</f>
        <v>Perf</v>
      </c>
      <c r="G113" s="167" t="str">
        <f ca="1">IFERROR(INDIRECT(CONCATENATE("Field!i",A113+1)),"")</f>
        <v>EA</v>
      </c>
      <c r="H113" s="45"/>
      <c r="I113" s="45" t="str">
        <f ca="1">IFERROR(INDIRECT(CONCATENATE("Field!k",A113+1)),"")</f>
        <v>Posn</v>
      </c>
      <c r="J113" s="45" t="str">
        <f ca="1">IFERROR(INDIRECT(CONCATENATE("Field!l",A113+1)),"")</f>
        <v>Bib</v>
      </c>
      <c r="K113" s="139" t="str">
        <f ca="1">IFERROR(INDIRECT(CONCATENATE("Field!m",A113+1)),"")</f>
        <v>Athlete</v>
      </c>
      <c r="L113" s="139" t="str">
        <f ca="1">IFERROR(INDIRECT(CONCATENATE("Field!n",A113+1)),"")</f>
        <v>Club</v>
      </c>
      <c r="M113" s="133" t="str">
        <f ca="1">IFERROR(INDIRECT(CONCATENATE("Field!o",A113+1)),"")</f>
        <v>Perf</v>
      </c>
      <c r="N113" s="167" t="str">
        <f ca="1">IFERROR(INDIRECT(CONCATENATE("Field!p",A113+1)),"")</f>
        <v>EA</v>
      </c>
      <c r="T113" s="64" t="str">
        <f t="shared" ca="1" si="4"/>
        <v/>
      </c>
      <c r="U113" s="64" t="str">
        <f t="shared" ca="1" si="5"/>
        <v/>
      </c>
      <c r="V113" s="266" t="str">
        <f ca="1">IF(OR(D113=0,D113="",D113="Athlete"),"",COUNTIF($D$4:$D113,D113))</f>
        <v/>
      </c>
      <c r="W113" s="266" t="str">
        <f t="shared" ca="1" si="6"/>
        <v/>
      </c>
      <c r="Z113" s="266">
        <f t="shared" ca="1" si="7"/>
        <v>0</v>
      </c>
    </row>
    <row r="114" spans="1:26" x14ac:dyDescent="0.35">
      <c r="B114" s="66">
        <f ca="1">IFERROR(INDIRECT(CONCATENATE("Field!D",A113+2)),"")</f>
        <v>1</v>
      </c>
      <c r="C114" s="66">
        <f ca="1">IFERROR(INDIRECT(CONCATENATE("Field!e",A113+2)),"")</f>
        <v>1</v>
      </c>
      <c r="D114" s="85" t="str">
        <f ca="1">IFERROR(INDIRECT(CONCATENATE("Field!f",A113+2)),"")</f>
        <v>Ruby WILKINS</v>
      </c>
      <c r="E114" s="85" t="str">
        <f ca="1">IFERROR(INDIRECT(CONCATENATE("Field!g",A113+2)),"")</f>
        <v>C&amp;N</v>
      </c>
      <c r="F114" s="65">
        <f ca="1">IFERROR(INDIRECT(CONCATENATE("Field!h",A113+2)),"")</f>
        <v>15.32</v>
      </c>
      <c r="G114" s="108">
        <f ca="1">IFERROR(INDIRECT(CONCATENATE("Field!i",A113+2)),"")</f>
        <v>3</v>
      </c>
      <c r="H114" s="66"/>
      <c r="I114" s="66">
        <f ca="1">IFERROR(INDIRECT(CONCATENATE("Field!k",A113+2)),"")</f>
        <v>1</v>
      </c>
      <c r="J114" s="66">
        <f ca="1">IFERROR(INDIRECT(CONCATENATE("Field!l",A113+2)),"")</f>
        <v>33</v>
      </c>
      <c r="K114" s="85" t="str">
        <f ca="1">IFERROR(INDIRECT(CONCATENATE("Field!m",A113+2)),"")</f>
        <v>Aniko BEHARRIE</v>
      </c>
      <c r="L114" s="85" t="str">
        <f ca="1">IFERROR(INDIRECT(CONCATENATE("Field!n",A113+2)),"")</f>
        <v>Leigh</v>
      </c>
      <c r="M114" s="65">
        <f ca="1">IFERROR(INDIRECT(CONCATENATE("Field!o",A113+2)),"")</f>
        <v>13.7</v>
      </c>
      <c r="N114" s="108">
        <f ca="1">IFERROR(INDIRECT(CONCATENATE("Field!p",A113+2)),"")</f>
        <v>2</v>
      </c>
      <c r="R114" s="168">
        <f ca="1">IFERROR(INDIRECT(CONCATENATE("Field!r",A113+2)),"")</f>
        <v>10</v>
      </c>
      <c r="T114" s="64">
        <f t="shared" ca="1" si="4"/>
        <v>3</v>
      </c>
      <c r="U114" s="64">
        <f t="shared" ca="1" si="5"/>
        <v>2</v>
      </c>
      <c r="V114" s="266">
        <f ca="1">IF(OR(D114=0,D114="",D114="Athlete"),"",COUNTIF($D$4:$D114,D114))</f>
        <v>3</v>
      </c>
      <c r="W114" s="266" t="str">
        <f t="shared" ca="1" si="6"/>
        <v>C&amp;N</v>
      </c>
      <c r="Z114" s="266">
        <f t="shared" ca="1" si="7"/>
        <v>0</v>
      </c>
    </row>
    <row r="115" spans="1:26" x14ac:dyDescent="0.35">
      <c r="B115" s="66">
        <f ca="1">IFERROR(INDIRECT(CONCATENATE("Field!D",A113+3)),"")</f>
        <v>2</v>
      </c>
      <c r="C115" s="66">
        <f ca="1">IFERROR(INDIRECT(CONCATENATE("Field!e",A113+3)),"")</f>
        <v>3</v>
      </c>
      <c r="D115" s="85" t="str">
        <f ca="1">IFERROR(INDIRECT(CONCATENATE("Field!f",A113+3)),"")</f>
        <v>Emily ASHTON</v>
      </c>
      <c r="E115" s="85" t="str">
        <f ca="1">IFERROR(INDIRECT(CONCATENATE("Field!g",A113+3)),"")</f>
        <v>Leigh</v>
      </c>
      <c r="F115" s="65">
        <f ca="1">IFERROR(INDIRECT(CONCATENATE("Field!h",A113+3)),"")</f>
        <v>15.31</v>
      </c>
      <c r="G115" s="108">
        <f ca="1">IFERROR(INDIRECT(CONCATENATE("Field!i",A113+3)),"")</f>
        <v>3</v>
      </c>
      <c r="H115" s="66"/>
      <c r="I115" s="66">
        <f ca="1">IFERROR(INDIRECT(CONCATENATE("Field!k",A113+3)),"")</f>
        <v>2</v>
      </c>
      <c r="J115" s="66">
        <f ca="1">IFERROR(INDIRECT(CONCATENATE("Field!l",A113+3)),"")</f>
        <v>11</v>
      </c>
      <c r="K115" s="85" t="str">
        <f ca="1">IFERROR(INDIRECT(CONCATENATE("Field!m",A113+3)),"")</f>
        <v>Malkia HENRY</v>
      </c>
      <c r="L115" s="85" t="str">
        <f ca="1">IFERROR(INDIRECT(CONCATENATE("Field!n",A113+3)),"")</f>
        <v>C&amp;N</v>
      </c>
      <c r="M115" s="65">
        <f ca="1">IFERROR(INDIRECT(CONCATENATE("Field!o",A113+3)),"")</f>
        <v>12.62</v>
      </c>
      <c r="N115" s="108">
        <f ca="1">IFERROR(INDIRECT(CONCATENATE("Field!p",A113+3)),"")</f>
        <v>2</v>
      </c>
      <c r="T115" s="64">
        <f t="shared" ca="1" si="4"/>
        <v>3</v>
      </c>
      <c r="U115" s="64">
        <f t="shared" ca="1" si="5"/>
        <v>3</v>
      </c>
      <c r="V115" s="266">
        <f ca="1">IF(OR(D115=0,D115="",D115="Athlete"),"",COUNTIF($D$4:$D115,D115))</f>
        <v>2</v>
      </c>
      <c r="W115" s="266" t="str">
        <f t="shared" ca="1" si="6"/>
        <v>Leigh</v>
      </c>
      <c r="Z115" s="266">
        <f t="shared" ca="1" si="7"/>
        <v>0</v>
      </c>
    </row>
    <row r="116" spans="1:26" x14ac:dyDescent="0.35">
      <c r="B116" s="66">
        <f ca="1">IFERROR(INDIRECT(CONCATENATE("Field!D",A113+4)),"")</f>
        <v>3</v>
      </c>
      <c r="C116" s="66">
        <f ca="1">IFERROR(INDIRECT(CONCATENATE("Field!e",A113+4)),"")</f>
        <v>2</v>
      </c>
      <c r="D116" s="85" t="str">
        <f ca="1">IFERROR(INDIRECT(CONCATENATE("Field!f",A113+4)),"")</f>
        <v>Imogen MCBURNIE</v>
      </c>
      <c r="E116" s="85" t="str">
        <f ca="1">IFERROR(INDIRECT(CONCATENATE("Field!g",A113+4)),"")</f>
        <v>ECHT</v>
      </c>
      <c r="F116" s="65">
        <f ca="1">IFERROR(INDIRECT(CONCATENATE("Field!h",A113+4)),"")</f>
        <v>14.02</v>
      </c>
      <c r="G116" s="108">
        <f ca="1">IFERROR(INDIRECT(CONCATENATE("Field!i",A113+4)),"")</f>
        <v>3</v>
      </c>
      <c r="H116" s="66"/>
      <c r="I116" s="66">
        <f ca="1">IFERROR(INDIRECT(CONCATENATE("Field!k",A113+4)),"")</f>
        <v>3</v>
      </c>
      <c r="J116" s="66">
        <f ca="1">IFERROR(INDIRECT(CONCATENATE("Field!l",A113+4)),"")</f>
        <v>22</v>
      </c>
      <c r="K116" s="85" t="str">
        <f ca="1">IFERROR(INDIRECT(CONCATENATE("Field!m",A113+4)),"")</f>
        <v>Demi BAXTER</v>
      </c>
      <c r="L116" s="85" t="str">
        <f ca="1">IFERROR(INDIRECT(CONCATENATE("Field!n",A113+4)),"")</f>
        <v>ECHT</v>
      </c>
      <c r="M116" s="65">
        <f ca="1">IFERROR(INDIRECT(CONCATENATE("Field!o",A113+4)),"")</f>
        <v>12.17</v>
      </c>
      <c r="N116" s="108">
        <f ca="1">IFERROR(INDIRECT(CONCATENATE("Field!p",A113+4)),"")</f>
        <v>2</v>
      </c>
      <c r="T116" s="64">
        <f t="shared" ca="1" si="4"/>
        <v>3</v>
      </c>
      <c r="U116" s="64">
        <f t="shared" ca="1" si="5"/>
        <v>2</v>
      </c>
      <c r="V116" s="266">
        <f ca="1">IF(OR(D116=0,D116="",D116="Athlete"),"",COUNTIF($D$4:$D116,D116))</f>
        <v>2</v>
      </c>
      <c r="W116" s="266" t="str">
        <f t="shared" ca="1" si="6"/>
        <v>ECHT</v>
      </c>
      <c r="Z116" s="266">
        <f t="shared" ca="1" si="7"/>
        <v>0</v>
      </c>
    </row>
    <row r="117" spans="1:26" x14ac:dyDescent="0.35">
      <c r="B117" s="66">
        <f ca="1">IFERROR(INDIRECT(CONCATENATE("Field!D",A113+5)),"")</f>
        <v>4</v>
      </c>
      <c r="C117" s="66">
        <f ca="1">IFERROR(INDIRECT(CONCATENATE("Field!e",A113+5)),"")</f>
        <v>7</v>
      </c>
      <c r="D117" s="85" t="str">
        <f ca="1">IFERROR(INDIRECT(CONCATENATE("Field!f",A113+5)),"")</f>
        <v>Maisie CADMAN</v>
      </c>
      <c r="E117" s="85" t="str">
        <f ca="1">IFERROR(INDIRECT(CONCATENATE("Field!g",A113+5)),"")</f>
        <v>Wigan</v>
      </c>
      <c r="F117" s="65">
        <f ca="1">IFERROR(INDIRECT(CONCATENATE("Field!h",A113+5)),"")</f>
        <v>11.2</v>
      </c>
      <c r="G117" s="108">
        <f ca="1">IFERROR(INDIRECT(CONCATENATE("Field!i",A113+5)),"")</f>
        <v>1</v>
      </c>
      <c r="H117" s="66"/>
      <c r="I117" s="66">
        <f ca="1">IFERROR(INDIRECT(CONCATENATE("Field!k",A113+5)),"")</f>
        <v>4</v>
      </c>
      <c r="J117" s="66">
        <f ca="1">IFERROR(INDIRECT(CONCATENATE("Field!l",A113+5)),"")</f>
        <v>77</v>
      </c>
      <c r="K117" s="85" t="str">
        <f ca="1">IFERROR(INDIRECT(CONCATENATE("Field!m",A113+5)),"")</f>
        <v>Grace HARRIS</v>
      </c>
      <c r="L117" s="85" t="str">
        <f ca="1">IFERROR(INDIRECT(CONCATENATE("Field!n",A113+5)),"")</f>
        <v>Wigan</v>
      </c>
      <c r="M117" s="65">
        <f ca="1">IFERROR(INDIRECT(CONCATENATE("Field!o",A113+5)),"")</f>
        <v>3.9</v>
      </c>
      <c r="N117" s="108" t="str">
        <f ca="1">IFERROR(INDIRECT(CONCATENATE("Field!p",A113+5)),"")</f>
        <v/>
      </c>
      <c r="T117" s="64">
        <f t="shared" ca="1" si="4"/>
        <v>2</v>
      </c>
      <c r="U117" s="64">
        <f t="shared" ca="1" si="5"/>
        <v>3</v>
      </c>
      <c r="V117" s="266">
        <f ca="1">IF(OR(D117=0,D117="",D117="Athlete"),"",COUNTIF($D$4:$D117,D117))</f>
        <v>2</v>
      </c>
      <c r="W117" s="266" t="str">
        <f t="shared" ca="1" si="6"/>
        <v>Wigan</v>
      </c>
      <c r="Z117" s="266">
        <f t="shared" ca="1" si="7"/>
        <v>0</v>
      </c>
    </row>
    <row r="118" spans="1:26" x14ac:dyDescent="0.35">
      <c r="B118" s="66">
        <f ca="1">IFERROR(INDIRECT(CONCATENATE("Field!D",A113+6)),"")</f>
        <v>5</v>
      </c>
      <c r="C118" s="66">
        <f ca="1">IFERROR(INDIRECT(CONCATENATE("Field!e",A113+6)),"")</f>
        <v>4</v>
      </c>
      <c r="D118" s="85" t="str">
        <f ca="1">IFERROR(INDIRECT(CONCATENATE("Field!f",A113+6)),"")</f>
        <v>Lauren HARPER</v>
      </c>
      <c r="E118" s="85" t="str">
        <f ca="1">IFERROR(INDIRECT(CONCATENATE("Field!g",A113+6)),"")</f>
        <v>Macc</v>
      </c>
      <c r="F118" s="65">
        <f ca="1">IFERROR(INDIRECT(CONCATENATE("Field!h",A113+6)),"")</f>
        <v>8.4</v>
      </c>
      <c r="G118" s="108" t="str">
        <f ca="1">IFERROR(INDIRECT(CONCATENATE("Field!i",A113+6)),"")</f>
        <v/>
      </c>
      <c r="H118" s="66"/>
      <c r="I118" s="66">
        <f ca="1">IFERROR(INDIRECT(CONCATENATE("Field!k",A113+6)),"")</f>
        <v>5</v>
      </c>
      <c r="J118" s="66">
        <f ca="1">IFERROR(INDIRECT(CONCATENATE("Field!l",A113+6)),"")</f>
        <v>44</v>
      </c>
      <c r="K118" s="85" t="str">
        <f ca="1">IFERROR(INDIRECT(CONCATENATE("Field!m",A113+6)),"")</f>
        <v>Charlotte RHODES</v>
      </c>
      <c r="L118" s="85" t="str">
        <f ca="1">IFERROR(INDIRECT(CONCATENATE("Field!n",A113+6)),"")</f>
        <v>Macc</v>
      </c>
      <c r="M118" s="65">
        <f ca="1">IFERROR(INDIRECT(CONCATENATE("Field!o",A113+6)),"")</f>
        <v>3.15</v>
      </c>
      <c r="N118" s="108" t="str">
        <f ca="1">IFERROR(INDIRECT(CONCATENATE("Field!p",A113+6)),"")</f>
        <v/>
      </c>
      <c r="T118" s="64">
        <f t="shared" ca="1" si="4"/>
        <v>3</v>
      </c>
      <c r="U118" s="64">
        <f t="shared" ca="1" si="5"/>
        <v>2</v>
      </c>
      <c r="V118" s="266">
        <f ca="1">IF(OR(D118=0,D118="",D118="Athlete"),"",COUNTIF($D$4:$D118,D118))</f>
        <v>2</v>
      </c>
      <c r="W118" s="266" t="str">
        <f t="shared" ca="1" si="6"/>
        <v>Macc</v>
      </c>
      <c r="Z118" s="266" t="str">
        <f t="shared" ca="1" si="7"/>
        <v/>
      </c>
    </row>
    <row r="119" spans="1:26" x14ac:dyDescent="0.35">
      <c r="B119" s="66">
        <f ca="1">IFERROR(INDIRECT(CONCATENATE("Field!D",A113+7)),"")</f>
        <v>6</v>
      </c>
      <c r="C119" s="66" t="str">
        <f ca="1">IFERROR(INDIRECT(CONCATENATE("Field!e",A113+7)),"")</f>
        <v/>
      </c>
      <c r="D119" s="85" t="str">
        <f ca="1">IFERROR(INDIRECT(CONCATENATE("Field!f",A113+7)),"")</f>
        <v/>
      </c>
      <c r="E119" s="85" t="str">
        <f ca="1">IFERROR(INDIRECT(CONCATENATE("Field!g",A113+7)),"")</f>
        <v/>
      </c>
      <c r="F119" s="65" t="str">
        <f ca="1">IFERROR(INDIRECT(CONCATENATE("Field!h",A113+7)),"")</f>
        <v/>
      </c>
      <c r="G119" s="108" t="str">
        <f ca="1">IFERROR(INDIRECT(CONCATENATE("Field!i",A113+7)),"")</f>
        <v/>
      </c>
      <c r="H119" s="66"/>
      <c r="I119" s="66">
        <f ca="1">IFERROR(INDIRECT(CONCATENATE("Field!k",A113+7)),"")</f>
        <v>6</v>
      </c>
      <c r="J119" s="66" t="str">
        <f ca="1">IFERROR(INDIRECT(CONCATENATE("Field!l",A113+7)),"")</f>
        <v/>
      </c>
      <c r="K119" s="85" t="str">
        <f ca="1">IFERROR(INDIRECT(CONCATENATE("Field!m",A113+7)),"")</f>
        <v/>
      </c>
      <c r="L119" s="85" t="str">
        <f ca="1">IFERROR(INDIRECT(CONCATENATE("Field!n",A113+7)),"")</f>
        <v/>
      </c>
      <c r="M119" s="65" t="str">
        <f ca="1">IFERROR(INDIRECT(CONCATENATE("Field!o",A113+7)),"")</f>
        <v/>
      </c>
      <c r="N119" s="108" t="str">
        <f ca="1">IFERROR(INDIRECT(CONCATENATE("Field!p",A113+7)),"")</f>
        <v/>
      </c>
      <c r="T119" s="64" t="str">
        <f t="shared" ca="1" si="4"/>
        <v/>
      </c>
      <c r="U119" s="64" t="str">
        <f t="shared" ca="1" si="5"/>
        <v/>
      </c>
      <c r="V119" s="266" t="str">
        <f ca="1">IF(OR(D119=0,D119="",D119="Athlete"),"",COUNTIF($D$4:$D119,D119))</f>
        <v/>
      </c>
      <c r="W119" s="266" t="str">
        <f t="shared" ca="1" si="6"/>
        <v/>
      </c>
      <c r="Z119" s="266" t="str">
        <f t="shared" ca="1" si="7"/>
        <v/>
      </c>
    </row>
    <row r="120" spans="1:26" x14ac:dyDescent="0.35">
      <c r="B120" s="66">
        <f ca="1">IFERROR(INDIRECT(CONCATENATE("Field!D",A113+8)),"")</f>
        <v>7</v>
      </c>
      <c r="C120" s="66" t="str">
        <f ca="1">IFERROR(INDIRECT(CONCATENATE("Field!e",A113+8)),"")</f>
        <v/>
      </c>
      <c r="D120" s="85" t="str">
        <f ca="1">IFERROR(INDIRECT(CONCATENATE("Field!f",A113+8)),"")</f>
        <v/>
      </c>
      <c r="E120" s="85" t="str">
        <f ca="1">IFERROR(INDIRECT(CONCATENATE("Field!g",A113+8)),"")</f>
        <v/>
      </c>
      <c r="F120" s="65" t="str">
        <f ca="1">IFERROR(INDIRECT(CONCATENATE("Field!h",A113+8)),"")</f>
        <v/>
      </c>
      <c r="G120" s="108" t="str">
        <f ca="1">IFERROR(INDIRECT(CONCATENATE("Field!i",A113+8)),"")</f>
        <v/>
      </c>
      <c r="H120" s="66"/>
      <c r="I120" s="66">
        <f ca="1">IFERROR(INDIRECT(CONCATENATE("Field!k",A113+8)),"")</f>
        <v>7</v>
      </c>
      <c r="J120" s="66" t="str">
        <f ca="1">IFERROR(INDIRECT(CONCATENATE("Field!l",A113+8)),"")</f>
        <v/>
      </c>
      <c r="K120" s="85" t="str">
        <f ca="1">IFERROR(INDIRECT(CONCATENATE("Field!m",A113+8)),"")</f>
        <v/>
      </c>
      <c r="L120" s="85" t="str">
        <f ca="1">IFERROR(INDIRECT(CONCATENATE("Field!n",A113+8)),"")</f>
        <v/>
      </c>
      <c r="M120" s="65" t="str">
        <f ca="1">IFERROR(INDIRECT(CONCATENATE("Field!o",A113+8)),"")</f>
        <v/>
      </c>
      <c r="N120" s="108" t="str">
        <f ca="1">IFERROR(INDIRECT(CONCATENATE("Field!p",A113+8)),"")</f>
        <v/>
      </c>
      <c r="T120" s="64" t="str">
        <f t="shared" ca="1" si="4"/>
        <v/>
      </c>
      <c r="U120" s="64" t="str">
        <f t="shared" ca="1" si="5"/>
        <v/>
      </c>
      <c r="V120" s="266" t="str">
        <f ca="1">IF(OR(D120=0,D120="",D120="Athlete"),"",COUNTIF($D$4:$D120,D120))</f>
        <v/>
      </c>
      <c r="W120" s="266" t="str">
        <f t="shared" ca="1" si="6"/>
        <v/>
      </c>
      <c r="Z120" s="266" t="str">
        <f t="shared" ca="1" si="7"/>
        <v/>
      </c>
    </row>
    <row r="121" spans="1:26" x14ac:dyDescent="0.35">
      <c r="B121" s="66">
        <f ca="1">IFERROR(INDIRECT(CONCATENATE("Field!D",A113+9)),"")</f>
        <v>8</v>
      </c>
      <c r="C121" s="66" t="str">
        <f ca="1">IFERROR(INDIRECT(CONCATENATE("Field!e",A113+9)),"")</f>
        <v/>
      </c>
      <c r="D121" s="85" t="str">
        <f ca="1">IFERROR(INDIRECT(CONCATENATE("Field!f",A113+9)),"")</f>
        <v/>
      </c>
      <c r="E121" s="85" t="str">
        <f ca="1">IFERROR(INDIRECT(CONCATENATE("Field!g",A113+9)),"")</f>
        <v/>
      </c>
      <c r="F121" s="65" t="str">
        <f ca="1">IFERROR(INDIRECT(CONCATENATE("Field!h",A113+9)),"")</f>
        <v/>
      </c>
      <c r="G121" s="108" t="str">
        <f ca="1">IFERROR(INDIRECT(CONCATENATE("Field!i",A113+9)),"")</f>
        <v/>
      </c>
      <c r="H121" s="66"/>
      <c r="I121" s="66">
        <f ca="1">IFERROR(INDIRECT(CONCATENATE("Field!k",A113+9)),"")</f>
        <v>8</v>
      </c>
      <c r="J121" s="66" t="str">
        <f ca="1">IFERROR(INDIRECT(CONCATENATE("Field!l",A113+9)),"")</f>
        <v/>
      </c>
      <c r="K121" s="85" t="str">
        <f ca="1">IFERROR(INDIRECT(CONCATENATE("Field!m",A113+9)),"")</f>
        <v/>
      </c>
      <c r="L121" s="85" t="str">
        <f ca="1">IFERROR(INDIRECT(CONCATENATE("Field!n",A113+9)),"")</f>
        <v/>
      </c>
      <c r="M121" s="65" t="str">
        <f ca="1">IFERROR(INDIRECT(CONCATENATE("Field!o",A113+9)),"")</f>
        <v/>
      </c>
      <c r="N121" s="108" t="str">
        <f ca="1">IFERROR(INDIRECT(CONCATENATE("Field!p",A113+9)),"")</f>
        <v/>
      </c>
      <c r="T121" s="64" t="str">
        <f t="shared" ca="1" si="4"/>
        <v/>
      </c>
      <c r="U121" s="64" t="str">
        <f t="shared" ca="1" si="5"/>
        <v/>
      </c>
      <c r="V121" s="266" t="str">
        <f ca="1">IF(OR(D121=0,D121="",D121="Athlete"),"",COUNTIF($D$4:$D121,D121))</f>
        <v/>
      </c>
      <c r="W121" s="266" t="str">
        <f t="shared" ca="1" si="6"/>
        <v/>
      </c>
      <c r="Z121" s="266" t="str">
        <f t="shared" ca="1" si="7"/>
        <v/>
      </c>
    </row>
    <row r="122" spans="1:26" x14ac:dyDescent="0.35">
      <c r="T122" s="64" t="str">
        <f t="shared" si="4"/>
        <v/>
      </c>
      <c r="U122" s="64" t="str">
        <f t="shared" si="5"/>
        <v/>
      </c>
      <c r="V122" s="266" t="str">
        <f>IF(OR(D122=0,D122="",D122="Athlete"),"",COUNTIF($D$4:$D122,D122))</f>
        <v/>
      </c>
      <c r="W122" s="266" t="str">
        <f t="shared" si="6"/>
        <v/>
      </c>
      <c r="Z122" s="266" t="str">
        <f t="shared" si="7"/>
        <v/>
      </c>
    </row>
    <row r="123" spans="1:26" x14ac:dyDescent="0.35">
      <c r="A123" s="66" t="s">
        <v>262</v>
      </c>
      <c r="B123" s="102" t="str">
        <f ca="1">IFERROR(INDIRECT(CONCATENATE("Relays!b",A124)),"")</f>
        <v xml:space="preserve"> 4 x 100m U13 Girls A</v>
      </c>
      <c r="M123" s="133" t="str">
        <f ca="1">IFERROR(INDIRECT(CONCATENATE("Relays!i",A124)),"")</f>
        <v/>
      </c>
      <c r="T123" s="64" t="str">
        <f t="shared" si="4"/>
        <v/>
      </c>
      <c r="U123" s="64" t="str">
        <f t="shared" si="5"/>
        <v/>
      </c>
      <c r="V123" s="266" t="str">
        <f>IF(OR(D123=0,D123="",D123="Athlete"),"",COUNTIF($D$4:$D123,D123))</f>
        <v/>
      </c>
      <c r="W123" s="266" t="str">
        <f t="shared" si="6"/>
        <v/>
      </c>
      <c r="Z123" s="266" t="str">
        <f t="shared" si="7"/>
        <v/>
      </c>
    </row>
    <row r="124" spans="1:26" x14ac:dyDescent="0.35">
      <c r="A124" s="66">
        <f>IFERROR(MATCH(A123,Relays!A:A,0),"")</f>
        <v>2</v>
      </c>
      <c r="B124" s="45" t="str">
        <f ca="1">IFERROR(INDIRECT(CONCATENATE("Relays!b",A124+1)),"")</f>
        <v>Posn</v>
      </c>
      <c r="C124" s="45" t="str">
        <f ca="1">IFERROR(INDIRECT(CONCATENATE("Relays!c",A124+1)),"")</f>
        <v>No.</v>
      </c>
      <c r="D124" s="139" t="s">
        <v>539</v>
      </c>
      <c r="G124" s="45"/>
      <c r="K124" s="45"/>
      <c r="L124" s="139" t="str">
        <f ca="1">IFERROR(INDIRECT(CONCATENATE("Relays!D",A124+1)),"")</f>
        <v>Club</v>
      </c>
      <c r="M124" s="133" t="str">
        <f ca="1">IFERROR(INDIRECT(CONCATENATE("Relays!i",A124+1)),"")</f>
        <v>Perf</v>
      </c>
      <c r="T124" s="64">
        <f t="shared" ref="T124:T132" ca="1" si="8">IF(OR(L124=0,L124="",L124="Athlete"),"",COUNTIF($D$4:$D$352,L124))</f>
        <v>0</v>
      </c>
      <c r="U124" s="64" t="str">
        <f t="shared" si="5"/>
        <v/>
      </c>
      <c r="V124" s="266">
        <f ca="1">IF(OR(L124=0,L124="",L124="Athlete"),"",COUNTIF($D$4:$D123,L124))</f>
        <v>0</v>
      </c>
      <c r="W124" s="266" t="str">
        <f t="shared" ref="W124:W132" ca="1" si="9">IF(OR(L124=0,L124="",L124="Athlete"),"",D124)</f>
        <v>Runners</v>
      </c>
      <c r="Z124" s="266" t="str">
        <f t="shared" si="7"/>
        <v/>
      </c>
    </row>
    <row r="125" spans="1:26" x14ac:dyDescent="0.35">
      <c r="B125" s="66">
        <f ca="1">IFERROR(INDIRECT(CONCATENATE("Relays!b",A124+2)),"")</f>
        <v>1</v>
      </c>
      <c r="C125" s="66">
        <f ca="1">IFERROR(INDIRECT(CONCATENATE("Relays!c",A124+2)),"")</f>
        <v>3</v>
      </c>
      <c r="D125" s="85" t="str">
        <f ca="1">IFERROR(IF(INDIRECT(CONCATENATE("Relays!e",A124+2))="","",INDIRECT(CONCATENATE("Relays!e",A124+2))),"")</f>
        <v>Isabella GORMAN, Ava BROOMES, Maddison PENDLEBURY, Lois MELLING</v>
      </c>
      <c r="G125" s="66"/>
      <c r="K125" s="66"/>
      <c r="L125" s="85" t="str">
        <f ca="1">IFERROR(INDIRECT(CONCATENATE("Relays!D",A124+2)),"")</f>
        <v>Leigh</v>
      </c>
      <c r="M125" s="395">
        <f ca="1">IFERROR(INDIRECT(CONCATENATE("Relays!i",A124+2)),"")</f>
        <v>57.9</v>
      </c>
      <c r="R125" s="66">
        <f ca="1">IFERROR(INDIRECT(CONCATENATE("Relays!M",A124+2)),"")</f>
        <v>1</v>
      </c>
      <c r="T125" s="64">
        <f t="shared" ca="1" si="8"/>
        <v>0</v>
      </c>
      <c r="U125" s="64" t="str">
        <f t="shared" si="5"/>
        <v/>
      </c>
      <c r="V125" s="266">
        <f ca="1">IF(OR(L125=0,L125="",L125="Athlete"),"",COUNTIF($D$4:$D123,L125))</f>
        <v>0</v>
      </c>
      <c r="W125" s="266" t="str">
        <f t="shared" ca="1" si="9"/>
        <v>Isabella GORMAN, Ava BROOMES, Maddison PENDLEBURY, Lois MELLING</v>
      </c>
      <c r="Z125" s="266" t="str">
        <f t="shared" si="7"/>
        <v/>
      </c>
    </row>
    <row r="126" spans="1:26" x14ac:dyDescent="0.35">
      <c r="B126" s="66">
        <f ca="1">IFERROR(INDIRECT(CONCATENATE("Relays!b",A124+3)),"")</f>
        <v>2</v>
      </c>
      <c r="C126" s="66">
        <f ca="1">IFERROR(INDIRECT(CONCATENATE("Relays!c",A124+3)),"")</f>
        <v>1</v>
      </c>
      <c r="D126" s="85" t="str">
        <f ca="1">IFERROR(IF(INDIRECT(CONCATENATE("Relays!e",A124+3))="","",INDIRECT(CONCATENATE("Relays!e",A124+3))),"")</f>
        <v>Freya HOWELLS, Lucy HOWARTH, Jasmine COOPER, Sofiya HARE</v>
      </c>
      <c r="G126" s="66"/>
      <c r="K126" s="66"/>
      <c r="L126" s="85" t="str">
        <f ca="1">IFERROR(INDIRECT(CONCATENATE("Relays!D",A124+3)),"")</f>
        <v>C&amp;N</v>
      </c>
      <c r="M126" s="395">
        <f ca="1">IFERROR(INDIRECT(CONCATENATE("Relays!i",A124+3)),"")</f>
        <v>58.9</v>
      </c>
      <c r="T126" s="64">
        <f t="shared" ca="1" si="8"/>
        <v>0</v>
      </c>
      <c r="U126" s="64" t="str">
        <f t="shared" si="5"/>
        <v/>
      </c>
      <c r="V126" s="266">
        <f ca="1">IF(OR(L126=0,L126="",L126="Athlete"),"",COUNTIF($D$4:$D123,L126))</f>
        <v>0</v>
      </c>
      <c r="W126" s="266" t="str">
        <f t="shared" ca="1" si="9"/>
        <v>Freya HOWELLS, Lucy HOWARTH, Jasmine COOPER, Sofiya HARE</v>
      </c>
      <c r="Z126" s="266" t="str">
        <f t="shared" si="7"/>
        <v/>
      </c>
    </row>
    <row r="127" spans="1:26" x14ac:dyDescent="0.35">
      <c r="B127" s="66">
        <f ca="1">IFERROR(INDIRECT(CONCATENATE("Relays!b",A124+4)),"")</f>
        <v>3</v>
      </c>
      <c r="C127" s="66">
        <f ca="1">IFERROR(INDIRECT(CONCATENATE("Relays!c",A124+4)),"")</f>
        <v>2</v>
      </c>
      <c r="D127" s="85" t="str">
        <f ca="1">IFERROR(IF(INDIRECT(CONCATENATE("Relays!e",A124+4))="","",INDIRECT(CONCATENATE("Relays!e",A124+4))),"")</f>
        <v>Imogen MCBURNIE, Madaline BURKE, Demi BAXTER, Olivia JONES</v>
      </c>
      <c r="G127" s="66"/>
      <c r="K127" s="66"/>
      <c r="L127" s="85" t="str">
        <f ca="1">IFERROR(INDIRECT(CONCATENATE("Relays!D",A124+4)),"")</f>
        <v>ECHT</v>
      </c>
      <c r="M127" s="395">
        <f ca="1">IFERROR(INDIRECT(CONCATENATE("Relays!i",A124+4)),"")</f>
        <v>60.2</v>
      </c>
      <c r="T127" s="64">
        <f t="shared" ca="1" si="8"/>
        <v>0</v>
      </c>
      <c r="U127" s="64" t="str">
        <f t="shared" si="5"/>
        <v/>
      </c>
      <c r="V127" s="266">
        <f ca="1">IF(OR(L127=0,L127="",L127="Athlete"),"",COUNTIF($D$4:$D123,L127))</f>
        <v>0</v>
      </c>
      <c r="W127" s="266" t="str">
        <f t="shared" ca="1" si="9"/>
        <v>Imogen MCBURNIE, Madaline BURKE, Demi BAXTER, Olivia JONES</v>
      </c>
      <c r="Z127" s="266" t="str">
        <f t="shared" si="7"/>
        <v/>
      </c>
    </row>
    <row r="128" spans="1:26" x14ac:dyDescent="0.35">
      <c r="B128" s="66">
        <f ca="1">IFERROR(INDIRECT(CONCATENATE("Relays!b",A124+5)),"")</f>
        <v>4</v>
      </c>
      <c r="C128" s="66">
        <f ca="1">IFERROR(INDIRECT(CONCATENATE("Relays!c",A124+5)),"")</f>
        <v>5</v>
      </c>
      <c r="D128" s="85" t="str">
        <f ca="1">IFERROR(IF(INDIRECT(CONCATENATE("Relays!e",A124+5))="","",INDIRECT(CONCATENATE("Relays!e",A124+5))),"")</f>
        <v>Ela EDWARDS, Tamsin SEGUIN, Holly WORTH, Martha BOWN</v>
      </c>
      <c r="G128" s="66"/>
      <c r="K128" s="66"/>
      <c r="L128" s="85" t="str">
        <f ca="1">IFERROR(INDIRECT(CONCATENATE("Relays!D",A124+5)),"")</f>
        <v>Menai</v>
      </c>
      <c r="M128" s="395">
        <f ca="1">IFERROR(INDIRECT(CONCATENATE("Relays!i",A124+5)),"")</f>
        <v>60.3</v>
      </c>
      <c r="T128" s="64">
        <f t="shared" ca="1" si="8"/>
        <v>0</v>
      </c>
      <c r="U128" s="64" t="str">
        <f t="shared" si="5"/>
        <v/>
      </c>
      <c r="V128" s="266">
        <f ca="1">IF(OR(L128=0,L128="",L128="Athlete"),"",COUNTIF($D$4:$D123,L128))</f>
        <v>0</v>
      </c>
      <c r="W128" s="266" t="str">
        <f t="shared" ca="1" si="9"/>
        <v>Ela EDWARDS, Tamsin SEGUIN, Holly WORTH, Martha BOWN</v>
      </c>
      <c r="Z128" s="266" t="str">
        <f t="shared" si="7"/>
        <v/>
      </c>
    </row>
    <row r="129" spans="2:26" x14ac:dyDescent="0.35">
      <c r="B129" s="66">
        <f ca="1">IFERROR(INDIRECT(CONCATENATE("Relays!b",A124+6)),"")</f>
        <v>5</v>
      </c>
      <c r="C129" s="66">
        <f ca="1">IFERROR(INDIRECT(CONCATENATE("Relays!c",A124+6)),"")</f>
        <v>7</v>
      </c>
      <c r="D129" s="85" t="str">
        <f ca="1">IFERROR(IF(INDIRECT(CONCATENATE("Relays!e",A124+6))="","",INDIRECT(CONCATENATE("Relays!e",A124+6))&amp;", "&amp;INDIRECT(CONCATENATE("Relays!f",A124+6))&amp;", "&amp;INDIRECT(CONCATENATE("Relays!g",A124+6))&amp;", "&amp;INDIRECT(CONCATENATE("Relays!h",A124+6))),"")</f>
        <v xml:space="preserve">Sophia BOWDEN-MCKAY, Elody HILL, Mia LACEY, Katie-lou MALLEY, , , </v>
      </c>
      <c r="G129" s="66"/>
      <c r="K129" s="66"/>
      <c r="L129" s="85" t="str">
        <f ca="1">IFERROR(INDIRECT(CONCATENATE("Relays!D",A124+6)),"")</f>
        <v>Wigan</v>
      </c>
      <c r="M129" s="395">
        <f ca="1">IFERROR(INDIRECT(CONCATENATE("Relays!i",A124+6)),"")</f>
        <v>60.9</v>
      </c>
      <c r="T129" s="64">
        <f t="shared" ca="1" si="8"/>
        <v>0</v>
      </c>
      <c r="U129" s="64" t="str">
        <f t="shared" si="5"/>
        <v/>
      </c>
      <c r="V129" s="266">
        <f ca="1">IF(OR(L129=0,L129="",L129="Athlete"),"",COUNTIF($D$4:$D123,L129))</f>
        <v>0</v>
      </c>
      <c r="W129" s="266" t="str">
        <f t="shared" ca="1" si="9"/>
        <v xml:space="preserve">Sophia BOWDEN-MCKAY, Elody HILL, Mia LACEY, Katie-lou MALLEY, , , </v>
      </c>
      <c r="Z129" s="266" t="str">
        <f t="shared" si="7"/>
        <v/>
      </c>
    </row>
    <row r="130" spans="2:26" x14ac:dyDescent="0.35">
      <c r="B130" s="66">
        <f ca="1">IFERROR(INDIRECT(CONCATENATE("Relays!b",A124+7)),"")</f>
        <v>6</v>
      </c>
      <c r="C130" s="66">
        <f ca="1">IFERROR(INDIRECT(CONCATENATE("Relays!c",A124+7)),"")</f>
        <v>4</v>
      </c>
      <c r="D130" s="85" t="str">
        <f ca="1">IFERROR(IF(INDIRECT(CONCATENATE("Relays!e",A124+7))="","",INDIRECT(CONCATENATE("Relays!e",A124+7))&amp;", "&amp;INDIRECT(CONCATENATE("Relays!f",A124+7))&amp;", "&amp;INDIRECT(CONCATENATE("Relays!g",A124+7))&amp;", "&amp;INDIRECT(CONCATENATE("Relays!h",A124+7))),"")</f>
        <v xml:space="preserve">Iona FISHER, Charlotte RHODES, Molly KENT, Lara ADU-GYAMFI, , , </v>
      </c>
      <c r="G130" s="66"/>
      <c r="K130" s="66"/>
      <c r="L130" s="85" t="str">
        <f ca="1">IFERROR(INDIRECT(CONCATENATE("Relays!D",A124+7)),"")</f>
        <v>Macc</v>
      </c>
      <c r="M130" s="395">
        <f ca="1">IFERROR(INDIRECT(CONCATENATE("Relays!i",A124+7)),"")</f>
        <v>66</v>
      </c>
      <c r="T130" s="64">
        <f t="shared" ca="1" si="8"/>
        <v>0</v>
      </c>
      <c r="U130" s="64" t="str">
        <f t="shared" si="5"/>
        <v/>
      </c>
      <c r="V130" s="266">
        <f ca="1">IF(OR(L130=0,L130="",L130="Athlete"),"",COUNTIF($D$4:$D123,L130))</f>
        <v>0</v>
      </c>
      <c r="W130" s="266" t="str">
        <f t="shared" ca="1" si="9"/>
        <v xml:space="preserve">Iona FISHER, Charlotte RHODES, Molly KENT, Lara ADU-GYAMFI, , , </v>
      </c>
      <c r="Z130" s="266" t="str">
        <f t="shared" si="7"/>
        <v/>
      </c>
    </row>
    <row r="131" spans="2:26" x14ac:dyDescent="0.35">
      <c r="B131" s="66">
        <f ca="1">IFERROR(INDIRECT(CONCATENATE("Relays!b",A124+8)),"")</f>
        <v>7</v>
      </c>
      <c r="C131" s="66">
        <f ca="1">IFERROR(INDIRECT(CONCATENATE("Relays!c",A124+8)),"")</f>
        <v>0</v>
      </c>
      <c r="D131" s="85" t="str">
        <f ca="1">IFERROR(IF(INDIRECT(CONCATENATE("Relays!e",A124+8))="","",INDIRECT(CONCATENATE("Relays!e",A124+8))&amp;", "&amp;INDIRECT(CONCATENATE("Relays!f",A124+8))&amp;", "&amp;INDIRECT(CONCATENATE("Relays!g",A124+8))&amp;", "&amp;INDIRECT(CONCATENATE("Relays!h",A124+8))),"")</f>
        <v/>
      </c>
      <c r="G131" s="66"/>
      <c r="K131" s="66"/>
      <c r="L131" s="85" t="str">
        <f ca="1">IFERROR(INDIRECT(CONCATENATE("Relays!D",A124+8)),"")</f>
        <v/>
      </c>
      <c r="M131" s="395">
        <f ca="1">IFERROR(INDIRECT(CONCATENATE("Relays!i",A124+8)),"")</f>
        <v>0</v>
      </c>
      <c r="T131" s="64" t="str">
        <f t="shared" ca="1" si="8"/>
        <v/>
      </c>
      <c r="U131" s="64" t="str">
        <f t="shared" si="5"/>
        <v/>
      </c>
      <c r="V131" s="266" t="str">
        <f ca="1">IF(OR(L131=0,L131="",L131="Athlete"),"",COUNTIF($D$4:$D123,L131))</f>
        <v/>
      </c>
      <c r="W131" s="266" t="str">
        <f t="shared" ca="1" si="9"/>
        <v/>
      </c>
      <c r="Z131" s="266" t="str">
        <f t="shared" si="7"/>
        <v/>
      </c>
    </row>
    <row r="132" spans="2:26" x14ac:dyDescent="0.35">
      <c r="B132" s="66">
        <f ca="1">IFERROR(INDIRECT(CONCATENATE("Relays!b",A124+9)),"")</f>
        <v>8</v>
      </c>
      <c r="C132" s="66">
        <f ca="1">IFERROR(INDIRECT(CONCATENATE("Relays!c",A124+9)),"")</f>
        <v>0</v>
      </c>
      <c r="D132" s="85" t="str">
        <f ca="1">IFERROR(IF(INDIRECT(CONCATENATE("Relays!e",A124+9))="","",INDIRECT(CONCATENATE("Relays!e",A124+9))&amp;", "&amp;INDIRECT(CONCATENATE("Relays!f",A124+9))&amp;", "&amp;INDIRECT(CONCATENATE("Relays!g",A124+9))&amp;", "&amp;INDIRECT(CONCATENATE("Relays!h",A124+9))),"")</f>
        <v/>
      </c>
      <c r="G132" s="66"/>
      <c r="K132" s="66"/>
      <c r="L132" s="85" t="str">
        <f ca="1">IFERROR(INDIRECT(CONCATENATE("Relays!D",A124+9)),"")</f>
        <v/>
      </c>
      <c r="M132" s="395">
        <f ca="1">IFERROR(INDIRECT(CONCATENATE("Relays!i",A124+9)),"")</f>
        <v>0</v>
      </c>
      <c r="T132" s="64" t="str">
        <f t="shared" ca="1" si="8"/>
        <v/>
      </c>
      <c r="U132" s="64" t="str">
        <f t="shared" si="5"/>
        <v/>
      </c>
      <c r="V132" s="266" t="str">
        <f ca="1">IF(OR(L132=0,L132="",L132="Athlete"),"",COUNTIF($D$4:$D132,L132))</f>
        <v/>
      </c>
      <c r="W132" s="266" t="str">
        <f t="shared" ca="1" si="9"/>
        <v/>
      </c>
      <c r="Z132" s="266" t="str">
        <f t="shared" si="7"/>
        <v/>
      </c>
    </row>
    <row r="133" spans="2:26" x14ac:dyDescent="0.35">
      <c r="T133" s="64" t="str">
        <f t="shared" ref="T133:T196" si="10">IF(OR(D133=0,D133="",D133="Athlete"),"",COUNTIF($D$4:$D$352,D133))</f>
        <v/>
      </c>
      <c r="U133" s="64" t="str">
        <f t="shared" ref="U133:U196" si="11">IF(OR(K133=0,K133="",K133="Athlete"),"",COUNTIF($D$4:$D$352,K133))</f>
        <v/>
      </c>
      <c r="V133" s="266" t="str">
        <f>IF(OR(D133=0,D133="",D133="Athlete"),"",COUNTIF($D$4:$D133,D133))</f>
        <v/>
      </c>
      <c r="W133" s="266" t="str">
        <f t="shared" ref="W133:W165" si="12">IF(OR(D133=0,D133="",D133="Athlete"),"",E133)</f>
        <v/>
      </c>
      <c r="Z133" s="266" t="str">
        <f t="shared" ref="Z133:Z165" si="13">IF(OR(G133=0,G133="",G133="Athlete"),"",H133)</f>
        <v/>
      </c>
    </row>
    <row r="134" spans="2:26" x14ac:dyDescent="0.35">
      <c r="T134" s="64" t="str">
        <f t="shared" si="10"/>
        <v/>
      </c>
      <c r="U134" s="64" t="str">
        <f t="shared" si="11"/>
        <v/>
      </c>
      <c r="V134" s="266" t="str">
        <f>IF(OR(D134=0,D134="",D134="Athlete"),"",COUNTIF($D$4:$D134,D134))</f>
        <v/>
      </c>
      <c r="W134" s="266" t="str">
        <f t="shared" si="12"/>
        <v/>
      </c>
      <c r="Z134" s="266" t="str">
        <f t="shared" si="13"/>
        <v/>
      </c>
    </row>
    <row r="135" spans="2:26" x14ac:dyDescent="0.35">
      <c r="T135" s="64" t="str">
        <f t="shared" si="10"/>
        <v/>
      </c>
      <c r="U135" s="64" t="str">
        <f t="shared" si="11"/>
        <v/>
      </c>
      <c r="V135" s="266" t="str">
        <f>IF(OR(D135=0,D135="",D135="Athlete"),"",COUNTIF($D$4:$D135,D135))</f>
        <v/>
      </c>
      <c r="W135" s="266" t="str">
        <f t="shared" si="12"/>
        <v/>
      </c>
      <c r="Z135" s="266" t="str">
        <f t="shared" si="13"/>
        <v/>
      </c>
    </row>
    <row r="136" spans="2:26" x14ac:dyDescent="0.35">
      <c r="T136" s="64" t="str">
        <f t="shared" si="10"/>
        <v/>
      </c>
      <c r="U136" s="64" t="str">
        <f t="shared" si="11"/>
        <v/>
      </c>
      <c r="V136" s="266" t="str">
        <f>IF(OR(D136=0,D136="",D136="Athlete"),"",COUNTIF($D$4:$D136,D136))</f>
        <v/>
      </c>
      <c r="W136" s="266" t="str">
        <f t="shared" si="12"/>
        <v/>
      </c>
      <c r="Z136" s="266" t="str">
        <f t="shared" si="13"/>
        <v/>
      </c>
    </row>
    <row r="137" spans="2:26" x14ac:dyDescent="0.35">
      <c r="T137" s="64" t="str">
        <f t="shared" si="10"/>
        <v/>
      </c>
      <c r="U137" s="64" t="str">
        <f t="shared" si="11"/>
        <v/>
      </c>
      <c r="V137" s="266" t="str">
        <f>IF(OR(D137=0,D137="",D137="Athlete"),"",COUNTIF($D$4:$D137,D137))</f>
        <v/>
      </c>
      <c r="W137" s="266" t="str">
        <f t="shared" si="12"/>
        <v/>
      </c>
      <c r="Z137" s="266" t="str">
        <f t="shared" si="13"/>
        <v/>
      </c>
    </row>
    <row r="138" spans="2:26" x14ac:dyDescent="0.35">
      <c r="T138" s="64" t="str">
        <f t="shared" si="10"/>
        <v/>
      </c>
      <c r="U138" s="64" t="str">
        <f t="shared" si="11"/>
        <v/>
      </c>
      <c r="V138" s="266" t="str">
        <f>IF(OR(D138=0,D138="",D138="Athlete"),"",COUNTIF($D$4:$D138,D138))</f>
        <v/>
      </c>
      <c r="W138" s="266" t="str">
        <f t="shared" si="12"/>
        <v/>
      </c>
      <c r="Z138" s="266" t="str">
        <f t="shared" si="13"/>
        <v/>
      </c>
    </row>
    <row r="139" spans="2:26" x14ac:dyDescent="0.35">
      <c r="T139" s="64" t="str">
        <f t="shared" si="10"/>
        <v/>
      </c>
      <c r="U139" s="64" t="str">
        <f t="shared" si="11"/>
        <v/>
      </c>
      <c r="V139" s="266" t="str">
        <f>IF(OR(D139=0,D139="",D139="Athlete"),"",COUNTIF($D$4:$D139,D139))</f>
        <v/>
      </c>
      <c r="W139" s="266" t="str">
        <f t="shared" si="12"/>
        <v/>
      </c>
      <c r="Z139" s="266" t="str">
        <f t="shared" si="13"/>
        <v/>
      </c>
    </row>
    <row r="140" spans="2:26" x14ac:dyDescent="0.35">
      <c r="T140" s="64" t="str">
        <f t="shared" si="10"/>
        <v/>
      </c>
      <c r="U140" s="64" t="str">
        <f t="shared" si="11"/>
        <v/>
      </c>
      <c r="V140" s="266" t="str">
        <f>IF(OR(D140=0,D140="",D140="Athlete"),"",COUNTIF($D$4:$D140,D140))</f>
        <v/>
      </c>
      <c r="W140" s="266" t="str">
        <f t="shared" si="12"/>
        <v/>
      </c>
      <c r="Z140" s="266" t="str">
        <f t="shared" si="13"/>
        <v/>
      </c>
    </row>
    <row r="141" spans="2:26" x14ac:dyDescent="0.35">
      <c r="T141" s="64" t="str">
        <f t="shared" si="10"/>
        <v/>
      </c>
      <c r="U141" s="64" t="str">
        <f t="shared" si="11"/>
        <v/>
      </c>
      <c r="V141" s="266" t="str">
        <f>IF(OR(D141=0,D141="",D141="Athlete"),"",COUNTIF($D$4:$D141,D141))</f>
        <v/>
      </c>
      <c r="W141" s="266" t="str">
        <f t="shared" si="12"/>
        <v/>
      </c>
      <c r="Z141" s="266" t="str">
        <f t="shared" si="13"/>
        <v/>
      </c>
    </row>
    <row r="142" spans="2:26" x14ac:dyDescent="0.35">
      <c r="T142" s="64" t="str">
        <f t="shared" si="10"/>
        <v/>
      </c>
      <c r="U142" s="64" t="str">
        <f t="shared" si="11"/>
        <v/>
      </c>
      <c r="V142" s="266" t="str">
        <f>IF(OR(D142=0,D142="",D142="Athlete"),"",COUNTIF($D$4:$D142,D142))</f>
        <v/>
      </c>
      <c r="W142" s="266" t="str">
        <f t="shared" si="12"/>
        <v/>
      </c>
      <c r="Z142" s="266" t="str">
        <f t="shared" si="13"/>
        <v/>
      </c>
    </row>
    <row r="143" spans="2:26" x14ac:dyDescent="0.35">
      <c r="T143" s="64" t="str">
        <f t="shared" si="10"/>
        <v/>
      </c>
      <c r="U143" s="64" t="str">
        <f t="shared" si="11"/>
        <v/>
      </c>
      <c r="V143" s="266" t="str">
        <f>IF(OR(D143=0,D143="",D143="Athlete"),"",COUNTIF($D$4:$D143,D143))</f>
        <v/>
      </c>
      <c r="W143" s="266" t="str">
        <f t="shared" si="12"/>
        <v/>
      </c>
      <c r="Z143" s="266" t="str">
        <f t="shared" si="13"/>
        <v/>
      </c>
    </row>
    <row r="144" spans="2:26" x14ac:dyDescent="0.35">
      <c r="T144" s="64" t="str">
        <f t="shared" si="10"/>
        <v/>
      </c>
      <c r="U144" s="64" t="str">
        <f t="shared" si="11"/>
        <v/>
      </c>
      <c r="V144" s="266" t="str">
        <f>IF(OR(D144=0,D144="",D144="Athlete"),"",COUNTIF($D$4:$D144,D144))</f>
        <v/>
      </c>
      <c r="W144" s="266" t="str">
        <f t="shared" si="12"/>
        <v/>
      </c>
      <c r="Z144" s="266" t="str">
        <f t="shared" si="13"/>
        <v/>
      </c>
    </row>
    <row r="145" spans="20:26" x14ac:dyDescent="0.35">
      <c r="T145" s="64" t="str">
        <f t="shared" si="10"/>
        <v/>
      </c>
      <c r="U145" s="64" t="str">
        <f t="shared" si="11"/>
        <v/>
      </c>
      <c r="V145" s="266" t="str">
        <f>IF(OR(D145=0,D145="",D145="Athlete"),"",COUNTIF($D$4:$D145,D145))</f>
        <v/>
      </c>
      <c r="W145" s="266" t="str">
        <f t="shared" si="12"/>
        <v/>
      </c>
      <c r="Z145" s="266" t="str">
        <f t="shared" si="13"/>
        <v/>
      </c>
    </row>
    <row r="146" spans="20:26" x14ac:dyDescent="0.35">
      <c r="T146" s="64" t="str">
        <f t="shared" si="10"/>
        <v/>
      </c>
      <c r="U146" s="64" t="str">
        <f t="shared" si="11"/>
        <v/>
      </c>
      <c r="V146" s="266" t="str">
        <f>IF(OR(D146=0,D146="",D146="Athlete"),"",COUNTIF($D$4:$D146,D146))</f>
        <v/>
      </c>
      <c r="W146" s="266" t="str">
        <f t="shared" si="12"/>
        <v/>
      </c>
      <c r="Z146" s="266" t="str">
        <f t="shared" si="13"/>
        <v/>
      </c>
    </row>
    <row r="147" spans="20:26" x14ac:dyDescent="0.35">
      <c r="T147" s="64" t="str">
        <f t="shared" si="10"/>
        <v/>
      </c>
      <c r="U147" s="64" t="str">
        <f t="shared" si="11"/>
        <v/>
      </c>
      <c r="V147" s="266" t="str">
        <f>IF(OR(D147=0,D147="",D147="Athlete"),"",COUNTIF($D$4:$D147,D147))</f>
        <v/>
      </c>
      <c r="W147" s="266" t="str">
        <f t="shared" si="12"/>
        <v/>
      </c>
      <c r="Z147" s="266" t="str">
        <f t="shared" si="13"/>
        <v/>
      </c>
    </row>
    <row r="148" spans="20:26" x14ac:dyDescent="0.35">
      <c r="T148" s="64" t="str">
        <f t="shared" si="10"/>
        <v/>
      </c>
      <c r="U148" s="64" t="str">
        <f t="shared" si="11"/>
        <v/>
      </c>
      <c r="V148" s="266" t="str">
        <f>IF(OR(D148=0,D148="",D148="Athlete"),"",COUNTIF($D$4:$D148,D148))</f>
        <v/>
      </c>
      <c r="W148" s="266" t="str">
        <f t="shared" si="12"/>
        <v/>
      </c>
      <c r="Z148" s="266" t="str">
        <f t="shared" si="13"/>
        <v/>
      </c>
    </row>
    <row r="149" spans="20:26" x14ac:dyDescent="0.35">
      <c r="T149" s="64" t="str">
        <f t="shared" si="10"/>
        <v/>
      </c>
      <c r="U149" s="64" t="str">
        <f t="shared" si="11"/>
        <v/>
      </c>
      <c r="V149" s="266" t="str">
        <f>IF(OR(D149=0,D149="",D149="Athlete"),"",COUNTIF($D$4:$D149,D149))</f>
        <v/>
      </c>
      <c r="W149" s="266" t="str">
        <f t="shared" si="12"/>
        <v/>
      </c>
      <c r="Z149" s="266" t="str">
        <f t="shared" si="13"/>
        <v/>
      </c>
    </row>
    <row r="150" spans="20:26" x14ac:dyDescent="0.35">
      <c r="T150" s="64" t="str">
        <f t="shared" si="10"/>
        <v/>
      </c>
      <c r="U150" s="64" t="str">
        <f t="shared" si="11"/>
        <v/>
      </c>
      <c r="V150" s="266" t="str">
        <f>IF(OR(D150=0,D150="",D150="Athlete"),"",COUNTIF($D$4:$D150,D150))</f>
        <v/>
      </c>
      <c r="W150" s="266" t="str">
        <f t="shared" si="12"/>
        <v/>
      </c>
      <c r="Z150" s="266" t="str">
        <f t="shared" si="13"/>
        <v/>
      </c>
    </row>
    <row r="151" spans="20:26" x14ac:dyDescent="0.35">
      <c r="T151" s="64" t="str">
        <f t="shared" si="10"/>
        <v/>
      </c>
      <c r="U151" s="64" t="str">
        <f t="shared" si="11"/>
        <v/>
      </c>
      <c r="V151" s="266" t="str">
        <f>IF(OR(D151=0,D151="",D151="Athlete"),"",COUNTIF($D$4:$D151,D151))</f>
        <v/>
      </c>
      <c r="W151" s="266" t="str">
        <f t="shared" si="12"/>
        <v/>
      </c>
      <c r="Z151" s="266" t="str">
        <f t="shared" si="13"/>
        <v/>
      </c>
    </row>
    <row r="152" spans="20:26" x14ac:dyDescent="0.35">
      <c r="T152" s="64" t="str">
        <f t="shared" si="10"/>
        <v/>
      </c>
      <c r="U152" s="64" t="str">
        <f t="shared" si="11"/>
        <v/>
      </c>
      <c r="V152" s="266" t="str">
        <f>IF(OR(D152=0,D152="",D152="Athlete"),"",COUNTIF($D$4:$D152,D152))</f>
        <v/>
      </c>
      <c r="W152" s="266" t="str">
        <f t="shared" si="12"/>
        <v/>
      </c>
      <c r="Z152" s="266" t="str">
        <f t="shared" si="13"/>
        <v/>
      </c>
    </row>
    <row r="153" spans="20:26" x14ac:dyDescent="0.35">
      <c r="T153" s="64" t="str">
        <f t="shared" si="10"/>
        <v/>
      </c>
      <c r="U153" s="64" t="str">
        <f t="shared" si="11"/>
        <v/>
      </c>
      <c r="V153" s="266" t="str">
        <f>IF(OR(D153=0,D153="",D153="Athlete"),"",COUNTIF($D$4:$D153,D153))</f>
        <v/>
      </c>
      <c r="W153" s="266" t="str">
        <f t="shared" si="12"/>
        <v/>
      </c>
      <c r="Z153" s="266" t="str">
        <f t="shared" si="13"/>
        <v/>
      </c>
    </row>
    <row r="154" spans="20:26" x14ac:dyDescent="0.35">
      <c r="T154" s="64" t="str">
        <f t="shared" si="10"/>
        <v/>
      </c>
      <c r="U154" s="64" t="str">
        <f t="shared" si="11"/>
        <v/>
      </c>
      <c r="V154" s="266" t="str">
        <f>IF(OR(D154=0,D154="",D154="Athlete"),"",COUNTIF($D$4:$D154,D154))</f>
        <v/>
      </c>
      <c r="W154" s="266" t="str">
        <f t="shared" si="12"/>
        <v/>
      </c>
      <c r="Z154" s="266" t="str">
        <f t="shared" si="13"/>
        <v/>
      </c>
    </row>
    <row r="155" spans="20:26" x14ac:dyDescent="0.35">
      <c r="T155" s="64" t="str">
        <f t="shared" si="10"/>
        <v/>
      </c>
      <c r="U155" s="64" t="str">
        <f t="shared" si="11"/>
        <v/>
      </c>
      <c r="V155" s="266" t="str">
        <f>IF(OR(D155=0,D155="",D155="Athlete"),"",COUNTIF($D$4:$D155,D155))</f>
        <v/>
      </c>
      <c r="W155" s="266" t="str">
        <f t="shared" si="12"/>
        <v/>
      </c>
      <c r="Z155" s="266" t="str">
        <f t="shared" si="13"/>
        <v/>
      </c>
    </row>
    <row r="156" spans="20:26" x14ac:dyDescent="0.35">
      <c r="T156" s="64" t="str">
        <f t="shared" si="10"/>
        <v/>
      </c>
      <c r="U156" s="64" t="str">
        <f t="shared" si="11"/>
        <v/>
      </c>
      <c r="V156" s="266" t="str">
        <f>IF(OR(D156=0,D156="",D156="Athlete"),"",COUNTIF($D$4:$D156,D156))</f>
        <v/>
      </c>
      <c r="W156" s="266" t="str">
        <f t="shared" si="12"/>
        <v/>
      </c>
      <c r="Z156" s="266" t="str">
        <f t="shared" si="13"/>
        <v/>
      </c>
    </row>
    <row r="157" spans="20:26" x14ac:dyDescent="0.35">
      <c r="T157" s="64" t="str">
        <f t="shared" si="10"/>
        <v/>
      </c>
      <c r="U157" s="64" t="str">
        <f t="shared" si="11"/>
        <v/>
      </c>
      <c r="V157" s="266" t="str">
        <f>IF(OR(D157=0,D157="",D157="Athlete"),"",COUNTIF($D$4:$D157,D157))</f>
        <v/>
      </c>
      <c r="W157" s="266" t="str">
        <f t="shared" si="12"/>
        <v/>
      </c>
      <c r="Z157" s="266" t="str">
        <f t="shared" si="13"/>
        <v/>
      </c>
    </row>
    <row r="158" spans="20:26" x14ac:dyDescent="0.35">
      <c r="T158" s="64" t="str">
        <f t="shared" si="10"/>
        <v/>
      </c>
      <c r="U158" s="64" t="str">
        <f t="shared" si="11"/>
        <v/>
      </c>
      <c r="V158" s="266" t="str">
        <f>IF(OR(D158=0,D158="",D158="Athlete"),"",COUNTIF($D$4:$D158,D158))</f>
        <v/>
      </c>
      <c r="W158" s="266" t="str">
        <f t="shared" si="12"/>
        <v/>
      </c>
      <c r="Z158" s="266" t="str">
        <f t="shared" si="13"/>
        <v/>
      </c>
    </row>
    <row r="159" spans="20:26" x14ac:dyDescent="0.35">
      <c r="T159" s="64" t="str">
        <f t="shared" si="10"/>
        <v/>
      </c>
      <c r="U159" s="64" t="str">
        <f t="shared" si="11"/>
        <v/>
      </c>
      <c r="V159" s="266" t="str">
        <f>IF(OR(D159=0,D159="",D159="Athlete"),"",COUNTIF($D$4:$D159,D159))</f>
        <v/>
      </c>
      <c r="W159" s="266" t="str">
        <f t="shared" si="12"/>
        <v/>
      </c>
      <c r="Z159" s="266" t="str">
        <f t="shared" si="13"/>
        <v/>
      </c>
    </row>
    <row r="160" spans="20:26" x14ac:dyDescent="0.35">
      <c r="T160" s="64" t="str">
        <f t="shared" si="10"/>
        <v/>
      </c>
      <c r="U160" s="64" t="str">
        <f t="shared" si="11"/>
        <v/>
      </c>
      <c r="V160" s="266" t="str">
        <f>IF(OR(D160=0,D160="",D160="Athlete"),"",COUNTIF($D$4:$D160,D160))</f>
        <v/>
      </c>
      <c r="W160" s="266" t="str">
        <f t="shared" si="12"/>
        <v/>
      </c>
      <c r="Z160" s="266" t="str">
        <f t="shared" si="13"/>
        <v/>
      </c>
    </row>
    <row r="161" spans="20:26" x14ac:dyDescent="0.35">
      <c r="T161" s="64" t="str">
        <f t="shared" si="10"/>
        <v/>
      </c>
      <c r="U161" s="64" t="str">
        <f t="shared" si="11"/>
        <v/>
      </c>
      <c r="V161" s="266" t="str">
        <f>IF(OR(D161=0,D161="",D161="Athlete"),"",COUNTIF($D$4:$D161,D161))</f>
        <v/>
      </c>
      <c r="W161" s="266" t="str">
        <f t="shared" si="12"/>
        <v/>
      </c>
      <c r="Z161" s="266" t="str">
        <f t="shared" si="13"/>
        <v/>
      </c>
    </row>
    <row r="162" spans="20:26" x14ac:dyDescent="0.35">
      <c r="T162" s="64" t="str">
        <f t="shared" si="10"/>
        <v/>
      </c>
      <c r="U162" s="64" t="str">
        <f t="shared" si="11"/>
        <v/>
      </c>
      <c r="V162" s="266" t="str">
        <f>IF(OR(D162=0,D162="",D162="Athlete"),"",COUNTIF($D$4:$D162,D162))</f>
        <v/>
      </c>
      <c r="W162" s="266" t="str">
        <f t="shared" si="12"/>
        <v/>
      </c>
      <c r="Z162" s="266" t="str">
        <f t="shared" si="13"/>
        <v/>
      </c>
    </row>
    <row r="163" spans="20:26" x14ac:dyDescent="0.35">
      <c r="T163" s="64" t="str">
        <f t="shared" si="10"/>
        <v/>
      </c>
      <c r="U163" s="64" t="str">
        <f t="shared" si="11"/>
        <v/>
      </c>
      <c r="V163" s="266" t="str">
        <f>IF(OR(D163=0,D163="",D163="Athlete"),"",COUNTIF($D$4:$D163,D163))</f>
        <v/>
      </c>
      <c r="W163" s="266" t="str">
        <f t="shared" si="12"/>
        <v/>
      </c>
      <c r="Z163" s="266" t="str">
        <f t="shared" si="13"/>
        <v/>
      </c>
    </row>
    <row r="164" spans="20:26" x14ac:dyDescent="0.35">
      <c r="T164" s="64" t="str">
        <f t="shared" si="10"/>
        <v/>
      </c>
      <c r="U164" s="64" t="str">
        <f t="shared" si="11"/>
        <v/>
      </c>
      <c r="V164" s="266" t="str">
        <f>IF(OR(D164=0,D164="",D164="Athlete"),"",COUNTIF($D$4:$D164,D164))</f>
        <v/>
      </c>
      <c r="W164" s="266" t="str">
        <f t="shared" si="12"/>
        <v/>
      </c>
      <c r="Z164" s="266" t="str">
        <f t="shared" si="13"/>
        <v/>
      </c>
    </row>
    <row r="165" spans="20:26" x14ac:dyDescent="0.35">
      <c r="T165" s="64" t="str">
        <f t="shared" si="10"/>
        <v/>
      </c>
      <c r="U165" s="64" t="str">
        <f t="shared" si="11"/>
        <v/>
      </c>
      <c r="V165" s="266" t="str">
        <f>IF(OR(D165=0,D165="",D165="Athlete"),"",COUNTIF($D$4:$D165,D165))</f>
        <v/>
      </c>
      <c r="W165" s="266" t="str">
        <f t="shared" si="12"/>
        <v/>
      </c>
      <c r="Z165" s="266" t="str">
        <f t="shared" si="13"/>
        <v/>
      </c>
    </row>
    <row r="166" spans="20:26" x14ac:dyDescent="0.35">
      <c r="T166" s="64" t="str">
        <f t="shared" si="10"/>
        <v/>
      </c>
      <c r="U166" s="64" t="str">
        <f t="shared" si="11"/>
        <v/>
      </c>
      <c r="V166" s="266" t="str">
        <f>IF(OR(D166=0,D166="",D166="Athlete"),"",COUNTIF($D$4:$D166,D166))</f>
        <v/>
      </c>
    </row>
    <row r="167" spans="20:26" x14ac:dyDescent="0.35">
      <c r="T167" s="64" t="str">
        <f t="shared" si="10"/>
        <v/>
      </c>
      <c r="U167" s="64" t="str">
        <f t="shared" si="11"/>
        <v/>
      </c>
      <c r="V167" s="266" t="str">
        <f>IF(OR(D167=0,D167="",D167="Athlete"),"",COUNTIF($D$4:$D167,D167))</f>
        <v/>
      </c>
    </row>
    <row r="168" spans="20:26" x14ac:dyDescent="0.35">
      <c r="T168" s="64" t="str">
        <f t="shared" si="10"/>
        <v/>
      </c>
      <c r="U168" s="64" t="str">
        <f t="shared" si="11"/>
        <v/>
      </c>
    </row>
    <row r="169" spans="20:26" x14ac:dyDescent="0.35">
      <c r="T169" s="64" t="str">
        <f t="shared" si="10"/>
        <v/>
      </c>
      <c r="U169" s="64" t="str">
        <f t="shared" si="11"/>
        <v/>
      </c>
    </row>
    <row r="170" spans="20:26" x14ac:dyDescent="0.35">
      <c r="T170" s="64" t="str">
        <f t="shared" si="10"/>
        <v/>
      </c>
      <c r="U170" s="64" t="str">
        <f t="shared" si="11"/>
        <v/>
      </c>
    </row>
    <row r="171" spans="20:26" x14ac:dyDescent="0.35">
      <c r="T171" s="64" t="str">
        <f t="shared" si="10"/>
        <v/>
      </c>
      <c r="U171" s="64" t="str">
        <f t="shared" si="11"/>
        <v/>
      </c>
    </row>
    <row r="172" spans="20:26" x14ac:dyDescent="0.35">
      <c r="T172" s="64" t="str">
        <f t="shared" si="10"/>
        <v/>
      </c>
      <c r="U172" s="64" t="str">
        <f t="shared" si="11"/>
        <v/>
      </c>
    </row>
    <row r="173" spans="20:26" x14ac:dyDescent="0.35">
      <c r="T173" s="64" t="str">
        <f t="shared" si="10"/>
        <v/>
      </c>
      <c r="U173" s="64" t="str">
        <f t="shared" si="11"/>
        <v/>
      </c>
    </row>
    <row r="174" spans="20:26" x14ac:dyDescent="0.35">
      <c r="T174" s="64" t="str">
        <f t="shared" si="10"/>
        <v/>
      </c>
      <c r="U174" s="64" t="str">
        <f t="shared" si="11"/>
        <v/>
      </c>
    </row>
    <row r="175" spans="20:26" x14ac:dyDescent="0.35">
      <c r="T175" s="64" t="str">
        <f t="shared" si="10"/>
        <v/>
      </c>
      <c r="U175" s="64" t="str">
        <f t="shared" si="11"/>
        <v/>
      </c>
    </row>
    <row r="176" spans="20:26" x14ac:dyDescent="0.35">
      <c r="T176" s="64" t="str">
        <f t="shared" si="10"/>
        <v/>
      </c>
      <c r="U176" s="64" t="str">
        <f t="shared" si="11"/>
        <v/>
      </c>
    </row>
    <row r="177" spans="4:22" x14ac:dyDescent="0.35">
      <c r="T177" s="64" t="str">
        <f t="shared" si="10"/>
        <v/>
      </c>
      <c r="U177" s="64" t="str">
        <f t="shared" si="11"/>
        <v/>
      </c>
    </row>
    <row r="178" spans="4:22" x14ac:dyDescent="0.35">
      <c r="T178" s="64" t="str">
        <f t="shared" si="10"/>
        <v/>
      </c>
      <c r="U178" s="64" t="str">
        <f t="shared" si="11"/>
        <v/>
      </c>
    </row>
    <row r="179" spans="4:22" x14ac:dyDescent="0.35">
      <c r="T179" s="64" t="str">
        <f t="shared" si="10"/>
        <v/>
      </c>
      <c r="U179" s="64" t="str">
        <f t="shared" si="11"/>
        <v/>
      </c>
    </row>
    <row r="180" spans="4:22" x14ac:dyDescent="0.35">
      <c r="T180" s="64" t="str">
        <f t="shared" si="10"/>
        <v/>
      </c>
      <c r="U180" s="64" t="str">
        <f t="shared" si="11"/>
        <v/>
      </c>
    </row>
    <row r="181" spans="4:22" x14ac:dyDescent="0.35">
      <c r="T181" s="64" t="str">
        <f t="shared" si="10"/>
        <v/>
      </c>
      <c r="U181" s="64" t="str">
        <f t="shared" si="11"/>
        <v/>
      </c>
    </row>
    <row r="182" spans="4:22" x14ac:dyDescent="0.35">
      <c r="T182" s="64" t="str">
        <f t="shared" si="10"/>
        <v/>
      </c>
      <c r="U182" s="64" t="str">
        <f t="shared" si="11"/>
        <v/>
      </c>
    </row>
    <row r="183" spans="4:22" x14ac:dyDescent="0.35">
      <c r="T183" s="64" t="str">
        <f t="shared" si="10"/>
        <v/>
      </c>
      <c r="U183" s="64" t="str">
        <f t="shared" si="11"/>
        <v/>
      </c>
    </row>
    <row r="184" spans="4:22" x14ac:dyDescent="0.35">
      <c r="T184" s="64" t="str">
        <f t="shared" si="10"/>
        <v/>
      </c>
      <c r="U184" s="64" t="str">
        <f t="shared" si="11"/>
        <v/>
      </c>
    </row>
    <row r="185" spans="4:22" x14ac:dyDescent="0.35">
      <c r="T185" s="64" t="str">
        <f t="shared" si="10"/>
        <v/>
      </c>
      <c r="U185" s="64" t="str">
        <f t="shared" si="11"/>
        <v/>
      </c>
    </row>
    <row r="186" spans="4:22" x14ac:dyDescent="0.35">
      <c r="T186" s="64" t="str">
        <f t="shared" si="10"/>
        <v/>
      </c>
      <c r="U186" s="64" t="str">
        <f t="shared" si="11"/>
        <v/>
      </c>
    </row>
    <row r="187" spans="4:22" x14ac:dyDescent="0.35">
      <c r="T187" s="64" t="str">
        <f t="shared" si="10"/>
        <v/>
      </c>
      <c r="U187" s="64" t="str">
        <f t="shared" si="11"/>
        <v/>
      </c>
    </row>
    <row r="188" spans="4:22" x14ac:dyDescent="0.35">
      <c r="T188" s="64" t="str">
        <f t="shared" si="10"/>
        <v/>
      </c>
      <c r="U188" s="64" t="str">
        <f t="shared" si="11"/>
        <v/>
      </c>
      <c r="V188" s="266" t="str">
        <f>IF(OR(D188=0,D188="",D188="Athlete"),"",COUNTIF($D$4:$D188,D188))</f>
        <v/>
      </c>
    </row>
    <row r="189" spans="4:22" x14ac:dyDescent="0.35">
      <c r="T189" s="64" t="str">
        <f t="shared" si="10"/>
        <v/>
      </c>
      <c r="U189" s="64" t="str">
        <f t="shared" si="11"/>
        <v/>
      </c>
      <c r="V189" s="266" t="str">
        <f>IF(OR(D189=0,D189="",D189="Athlete"),"",COUNTIF($D$4:$D189,D189))</f>
        <v/>
      </c>
    </row>
    <row r="190" spans="4:22" x14ac:dyDescent="0.35">
      <c r="T190" s="64" t="str">
        <f t="shared" si="10"/>
        <v/>
      </c>
      <c r="U190" s="64" t="str">
        <f t="shared" si="11"/>
        <v/>
      </c>
      <c r="V190" s="266" t="str">
        <f>IF(OR(D190=0,D190="",D190="Athlete"),"",COUNTIF($D$4:$D190,D190))</f>
        <v/>
      </c>
    </row>
    <row r="191" spans="4:22" hidden="1" x14ac:dyDescent="0.35">
      <c r="D191" s="85" t="str">
        <f ca="1">K4</f>
        <v>Elody HILL</v>
      </c>
      <c r="E191" s="85" t="str">
        <f ca="1">L4</f>
        <v>Wigan</v>
      </c>
      <c r="T191" s="64">
        <f t="shared" ca="1" si="10"/>
        <v>2</v>
      </c>
      <c r="U191" s="64" t="str">
        <f t="shared" si="11"/>
        <v/>
      </c>
      <c r="V191" s="266">
        <f ca="1">IF(OR(D191=0,D191="",D191="Athlete"),"",COUNTIF($D$4:$D191,D191))</f>
        <v>2</v>
      </c>
    </row>
    <row r="192" spans="4:22" hidden="1" x14ac:dyDescent="0.35">
      <c r="D192" s="85" t="str">
        <f t="shared" ref="D192:E192" ca="1" si="14">K5</f>
        <v>Holly WORTH</v>
      </c>
      <c r="E192" s="85" t="str">
        <f t="shared" ca="1" si="14"/>
        <v>Menai</v>
      </c>
      <c r="T192" s="64">
        <f t="shared" ca="1" si="10"/>
        <v>3</v>
      </c>
      <c r="U192" s="64" t="str">
        <f t="shared" si="11"/>
        <v/>
      </c>
      <c r="V192" s="266">
        <f ca="1">IF(OR(D192=0,D192="",D192="Athlete"),"",COUNTIF($D$4:$D192,D192))</f>
        <v>3</v>
      </c>
    </row>
    <row r="193" spans="4:22" hidden="1" x14ac:dyDescent="0.35">
      <c r="D193" s="85" t="str">
        <f t="shared" ref="D193:E193" ca="1" si="15">K6</f>
        <v>Isabella GORMAN</v>
      </c>
      <c r="E193" s="85" t="str">
        <f t="shared" ca="1" si="15"/>
        <v>Leigh</v>
      </c>
      <c r="T193" s="64">
        <f t="shared" ca="1" si="10"/>
        <v>2</v>
      </c>
      <c r="U193" s="64" t="str">
        <f t="shared" si="11"/>
        <v/>
      </c>
      <c r="V193" s="266">
        <f ca="1">IF(OR(D193=0,D193="",D193="Athlete"),"",COUNTIF($D$4:$D193,D193))</f>
        <v>1</v>
      </c>
    </row>
    <row r="194" spans="4:22" hidden="1" x14ac:dyDescent="0.35">
      <c r="D194" s="85" t="str">
        <f t="shared" ref="D194:E194" ca="1" si="16">K7</f>
        <v>Madaline BURKE</v>
      </c>
      <c r="E194" s="85" t="str">
        <f t="shared" ca="1" si="16"/>
        <v>ECHT</v>
      </c>
      <c r="T194" s="64">
        <f t="shared" ca="1" si="10"/>
        <v>3</v>
      </c>
      <c r="U194" s="64" t="str">
        <f t="shared" si="11"/>
        <v/>
      </c>
      <c r="V194" s="266">
        <f ca="1">IF(OR(D194=0,D194="",D194="Athlete"),"",COUNTIF($D$4:$D194,D194))</f>
        <v>1</v>
      </c>
    </row>
    <row r="195" spans="4:22" hidden="1" x14ac:dyDescent="0.35">
      <c r="D195" s="85" t="str">
        <f t="shared" ref="D195:E195" ca="1" si="17">K8</f>
        <v>Sophie LOW</v>
      </c>
      <c r="E195" s="85" t="str">
        <f t="shared" ca="1" si="17"/>
        <v>Stock</v>
      </c>
      <c r="T195" s="64">
        <f t="shared" ca="1" si="10"/>
        <v>3</v>
      </c>
      <c r="U195" s="64" t="str">
        <f t="shared" si="11"/>
        <v/>
      </c>
      <c r="V195" s="266">
        <f ca="1">IF(OR(D195=0,D195="",D195="Athlete"),"",COUNTIF($D$4:$D195,D195))</f>
        <v>3</v>
      </c>
    </row>
    <row r="196" spans="4:22" hidden="1" x14ac:dyDescent="0.35">
      <c r="D196" s="85" t="str">
        <f t="shared" ref="D196:E196" ca="1" si="18">K9</f>
        <v>Molly KENT</v>
      </c>
      <c r="E196" s="85" t="str">
        <f t="shared" ca="1" si="18"/>
        <v>Macc</v>
      </c>
      <c r="T196" s="64">
        <f t="shared" ca="1" si="10"/>
        <v>2</v>
      </c>
      <c r="U196" s="64" t="str">
        <f t="shared" si="11"/>
        <v/>
      </c>
      <c r="V196" s="266">
        <f ca="1">IF(OR(D196=0,D196="",D196="Athlete"),"",COUNTIF($D$4:$D196,D196))</f>
        <v>1</v>
      </c>
    </row>
    <row r="197" spans="4:22" hidden="1" x14ac:dyDescent="0.35">
      <c r="D197" s="85" t="str">
        <f t="shared" ref="D197:E197" ca="1" si="19">K10</f>
        <v>Malkia HENRY</v>
      </c>
      <c r="E197" s="85" t="str">
        <f t="shared" ca="1" si="19"/>
        <v>C&amp;N</v>
      </c>
      <c r="T197" s="64">
        <f t="shared" ref="T197:T260" ca="1" si="20">IF(OR(D197=0,D197="",D197="Athlete"),"",COUNTIF($D$4:$D$352,D197))</f>
        <v>3</v>
      </c>
      <c r="U197" s="64" t="str">
        <f t="shared" ref="U197:U260" si="21">IF(OR(K197=0,K197="",K197="Athlete"),"",COUNTIF($D$4:$D$352,K197))</f>
        <v/>
      </c>
      <c r="V197" s="266">
        <f ca="1">IF(OR(D197=0,D197="",D197="Athlete"),"",COUNTIF($D$4:$D197,D197))</f>
        <v>2</v>
      </c>
    </row>
    <row r="198" spans="4:22" hidden="1" x14ac:dyDescent="0.35">
      <c r="D198" s="85" t="str">
        <f t="shared" ref="D198:E198" ca="1" si="22">K11</f>
        <v/>
      </c>
      <c r="E198" s="85" t="str">
        <f t="shared" ca="1" si="22"/>
        <v/>
      </c>
      <c r="T198" s="64" t="str">
        <f t="shared" ca="1" si="20"/>
        <v/>
      </c>
      <c r="U198" s="64" t="str">
        <f t="shared" si="21"/>
        <v/>
      </c>
      <c r="V198" s="266" t="str">
        <f ca="1">IF(OR(D198=0,D198="",D198="Athlete"),"",COUNTIF($D$4:$D198,D198))</f>
        <v/>
      </c>
    </row>
    <row r="199" spans="4:22" hidden="1" x14ac:dyDescent="0.35">
      <c r="D199" s="85">
        <f t="shared" ref="D199:E199" si="23">K12</f>
        <v>0</v>
      </c>
      <c r="E199" s="85">
        <f t="shared" si="23"/>
        <v>0</v>
      </c>
      <c r="T199" s="64" t="str">
        <f t="shared" si="20"/>
        <v/>
      </c>
      <c r="U199" s="64" t="str">
        <f t="shared" si="21"/>
        <v/>
      </c>
      <c r="V199" s="266" t="str">
        <f>IF(OR(D199=0,D199="",D199="Athlete"),"",COUNTIF($D$4:$D199,D199))</f>
        <v/>
      </c>
    </row>
    <row r="200" spans="4:22" hidden="1" x14ac:dyDescent="0.35">
      <c r="D200" s="85">
        <f t="shared" ref="D200:E200" si="24">K13</f>
        <v>0</v>
      </c>
      <c r="E200" s="85" t="str">
        <f t="shared" si="24"/>
        <v>Wind</v>
      </c>
      <c r="T200" s="64" t="str">
        <f t="shared" si="20"/>
        <v/>
      </c>
      <c r="U200" s="64" t="str">
        <f t="shared" si="21"/>
        <v/>
      </c>
      <c r="V200" s="266" t="str">
        <f>IF(OR(D200=0,D200="",D200="Athlete"),"",COUNTIF($D$4:$D200,D200))</f>
        <v/>
      </c>
    </row>
    <row r="201" spans="4:22" hidden="1" x14ac:dyDescent="0.35">
      <c r="D201" s="85" t="str">
        <f t="shared" ref="D201:E201" ca="1" si="25">K14</f>
        <v>Athlete</v>
      </c>
      <c r="E201" s="85" t="str">
        <f t="shared" ca="1" si="25"/>
        <v>Club</v>
      </c>
      <c r="T201" s="64" t="str">
        <f t="shared" ca="1" si="20"/>
        <v/>
      </c>
      <c r="U201" s="64" t="str">
        <f t="shared" si="21"/>
        <v/>
      </c>
      <c r="V201" s="266" t="str">
        <f ca="1">IF(OR(D201=0,D201="",D201="Athlete"),"",COUNTIF($D$4:$D201,D201))</f>
        <v/>
      </c>
    </row>
    <row r="202" spans="4:22" hidden="1" x14ac:dyDescent="0.35">
      <c r="D202" s="85" t="str">
        <f t="shared" ref="D202:E202" ca="1" si="26">K15</f>
        <v>Jasmine COOPER</v>
      </c>
      <c r="E202" s="85" t="str">
        <f t="shared" ca="1" si="26"/>
        <v>C&amp;N</v>
      </c>
      <c r="T202" s="64">
        <f t="shared" ca="1" si="20"/>
        <v>3</v>
      </c>
      <c r="U202" s="64" t="str">
        <f t="shared" si="21"/>
        <v/>
      </c>
      <c r="V202" s="266">
        <f ca="1">IF(OR(D202=0,D202="",D202="Athlete"),"",COUNTIF($D$4:$D202,D202))</f>
        <v>1</v>
      </c>
    </row>
    <row r="203" spans="4:22" hidden="1" x14ac:dyDescent="0.35">
      <c r="D203" s="85" t="str">
        <f t="shared" ref="D203:E203" ca="1" si="27">K16</f>
        <v>Martha BOWN</v>
      </c>
      <c r="E203" s="85" t="str">
        <f t="shared" ca="1" si="27"/>
        <v>Menai</v>
      </c>
      <c r="T203" s="64">
        <f t="shared" ca="1" si="20"/>
        <v>3</v>
      </c>
      <c r="U203" s="64" t="str">
        <f t="shared" si="21"/>
        <v/>
      </c>
      <c r="V203" s="266">
        <f ca="1">IF(OR(D203=0,D203="",D203="Athlete"),"",COUNTIF($D$4:$D203,D203))</f>
        <v>3</v>
      </c>
    </row>
    <row r="204" spans="4:22" hidden="1" x14ac:dyDescent="0.35">
      <c r="D204" s="85" t="str">
        <f t="shared" ref="D204:E204" ca="1" si="28">K17</f>
        <v>Scarlett LYNE</v>
      </c>
      <c r="E204" s="85" t="str">
        <f t="shared" ca="1" si="28"/>
        <v>ECHT</v>
      </c>
      <c r="T204" s="64">
        <f t="shared" ca="1" si="20"/>
        <v>3</v>
      </c>
      <c r="U204" s="64" t="str">
        <f t="shared" si="21"/>
        <v/>
      </c>
      <c r="V204" s="266">
        <f ca="1">IF(OR(D204=0,D204="",D204="Athlete"),"",COUNTIF($D$4:$D204,D204))</f>
        <v>2</v>
      </c>
    </row>
    <row r="205" spans="4:22" hidden="1" x14ac:dyDescent="0.35">
      <c r="D205" s="85" t="str">
        <f t="shared" ref="D205:E205" ca="1" si="29">K18</f>
        <v>Charlotte RHODES</v>
      </c>
      <c r="E205" s="85" t="str">
        <f t="shared" ca="1" si="29"/>
        <v>Macc</v>
      </c>
      <c r="T205" s="64">
        <f t="shared" ca="1" si="20"/>
        <v>2</v>
      </c>
      <c r="U205" s="64" t="str">
        <f t="shared" si="21"/>
        <v/>
      </c>
      <c r="V205" s="266">
        <f ca="1">IF(OR(D205=0,D205="",D205="Athlete"),"",COUNTIF($D$4:$D205,D205))</f>
        <v>1</v>
      </c>
    </row>
    <row r="206" spans="4:22" hidden="1" x14ac:dyDescent="0.35">
      <c r="D206" s="85" t="str">
        <f t="shared" ref="D206:E206" ca="1" si="30">K19</f>
        <v/>
      </c>
      <c r="E206" s="85" t="str">
        <f t="shared" ca="1" si="30"/>
        <v/>
      </c>
      <c r="T206" s="64" t="str">
        <f t="shared" ca="1" si="20"/>
        <v/>
      </c>
      <c r="U206" s="64" t="str">
        <f t="shared" si="21"/>
        <v/>
      </c>
      <c r="V206" s="266" t="str">
        <f ca="1">IF(OR(D206=0,D206="",D206="Athlete"),"",COUNTIF($D$4:$D206,D206))</f>
        <v/>
      </c>
    </row>
    <row r="207" spans="4:22" hidden="1" x14ac:dyDescent="0.35">
      <c r="D207" s="85" t="str">
        <f t="shared" ref="D207:E207" ca="1" si="31">K20</f>
        <v/>
      </c>
      <c r="E207" s="85" t="str">
        <f t="shared" ca="1" si="31"/>
        <v/>
      </c>
      <c r="T207" s="64" t="str">
        <f t="shared" ca="1" si="20"/>
        <v/>
      </c>
      <c r="U207" s="64" t="str">
        <f t="shared" si="21"/>
        <v/>
      </c>
      <c r="V207" s="266" t="str">
        <f ca="1">IF(OR(D207=0,D207="",D207="Athlete"),"",COUNTIF($D$4:$D207,D207))</f>
        <v/>
      </c>
    </row>
    <row r="208" spans="4:22" hidden="1" x14ac:dyDescent="0.35">
      <c r="D208" s="85" t="str">
        <f t="shared" ref="D208:E208" ca="1" si="32">K21</f>
        <v/>
      </c>
      <c r="E208" s="85" t="str">
        <f t="shared" ca="1" si="32"/>
        <v/>
      </c>
      <c r="T208" s="64" t="str">
        <f t="shared" ca="1" si="20"/>
        <v/>
      </c>
      <c r="U208" s="64" t="str">
        <f t="shared" si="21"/>
        <v/>
      </c>
      <c r="V208" s="266" t="str">
        <f ca="1">IF(OR(D208=0,D208="",D208="Athlete"),"",COUNTIF($D$4:$D208,D208))</f>
        <v/>
      </c>
    </row>
    <row r="209" spans="4:22" hidden="1" x14ac:dyDescent="0.35">
      <c r="D209" s="85" t="str">
        <f t="shared" ref="D209:E209" ca="1" si="33">K22</f>
        <v/>
      </c>
      <c r="E209" s="85" t="str">
        <f t="shared" ca="1" si="33"/>
        <v/>
      </c>
      <c r="T209" s="64" t="str">
        <f t="shared" ca="1" si="20"/>
        <v/>
      </c>
      <c r="U209" s="64" t="str">
        <f t="shared" si="21"/>
        <v/>
      </c>
      <c r="V209" s="266" t="str">
        <f ca="1">IF(OR(D209=0,D209="",D209="Athlete"),"",COUNTIF($D$4:$D209,D209))</f>
        <v/>
      </c>
    </row>
    <row r="210" spans="4:22" hidden="1" x14ac:dyDescent="0.35">
      <c r="D210" s="85">
        <f t="shared" ref="D210:E210" si="34">K23</f>
        <v>0</v>
      </c>
      <c r="E210" s="85">
        <f t="shared" si="34"/>
        <v>0</v>
      </c>
      <c r="T210" s="64" t="str">
        <f t="shared" si="20"/>
        <v/>
      </c>
      <c r="U210" s="64" t="str">
        <f t="shared" si="21"/>
        <v/>
      </c>
      <c r="V210" s="266" t="str">
        <f>IF(OR(D210=0,D210="",D210="Athlete"),"",COUNTIF($D$4:$D210,D210))</f>
        <v/>
      </c>
    </row>
    <row r="211" spans="4:22" hidden="1" x14ac:dyDescent="0.35">
      <c r="D211" s="85">
        <f t="shared" ref="D211:E211" si="35">K24</f>
        <v>0</v>
      </c>
      <c r="E211" s="85" t="str">
        <f t="shared" si="35"/>
        <v>Wind</v>
      </c>
      <c r="T211" s="64" t="str">
        <f t="shared" si="20"/>
        <v/>
      </c>
      <c r="U211" s="64" t="str">
        <f t="shared" si="21"/>
        <v/>
      </c>
      <c r="V211" s="266" t="str">
        <f>IF(OR(D211=0,D211="",D211="Athlete"),"",COUNTIF($D$4:$D211,D211))</f>
        <v/>
      </c>
    </row>
    <row r="212" spans="4:22" hidden="1" x14ac:dyDescent="0.35">
      <c r="D212" s="85" t="str">
        <f t="shared" ref="D212:E212" ca="1" si="36">K25</f>
        <v>Athlete</v>
      </c>
      <c r="E212" s="85" t="str">
        <f t="shared" ca="1" si="36"/>
        <v>Club</v>
      </c>
      <c r="T212" s="64" t="str">
        <f t="shared" ca="1" si="20"/>
        <v/>
      </c>
      <c r="U212" s="64" t="str">
        <f t="shared" si="21"/>
        <v/>
      </c>
      <c r="V212" s="266" t="str">
        <f ca="1">IF(OR(D212=0,D212="",D212="Athlete"),"",COUNTIF($D$4:$D212,D212))</f>
        <v/>
      </c>
    </row>
    <row r="213" spans="4:22" hidden="1" x14ac:dyDescent="0.35">
      <c r="D213" s="85" t="str">
        <f t="shared" ref="D213:E213" ca="1" si="37">K26</f>
        <v>Freya HOWELLS</v>
      </c>
      <c r="E213" s="85" t="str">
        <f t="shared" ca="1" si="37"/>
        <v>C&amp;N</v>
      </c>
      <c r="T213" s="64">
        <f t="shared" ca="1" si="20"/>
        <v>3</v>
      </c>
      <c r="U213" s="64" t="str">
        <f t="shared" si="21"/>
        <v/>
      </c>
      <c r="V213" s="266">
        <f ca="1">IF(OR(D213=0,D213="",D213="Athlete"),"",COUNTIF($D$4:$D213,D213))</f>
        <v>2</v>
      </c>
    </row>
    <row r="214" spans="4:22" hidden="1" x14ac:dyDescent="0.35">
      <c r="D214" s="85" t="str">
        <f t="shared" ref="D214:E214" ca="1" si="38">K27</f>
        <v>Tamsin SEGUIN</v>
      </c>
      <c r="E214" s="85" t="str">
        <f t="shared" ca="1" si="38"/>
        <v>Menai</v>
      </c>
      <c r="T214" s="64">
        <f t="shared" ca="1" si="20"/>
        <v>3</v>
      </c>
      <c r="U214" s="64" t="str">
        <f t="shared" si="21"/>
        <v/>
      </c>
      <c r="V214" s="266">
        <f ca="1">IF(OR(D214=0,D214="",D214="Athlete"),"",COUNTIF($D$4:$D214,D214))</f>
        <v>2</v>
      </c>
    </row>
    <row r="215" spans="4:22" hidden="1" x14ac:dyDescent="0.35">
      <c r="D215" s="85" t="str">
        <f t="shared" ref="D215:E215" ca="1" si="39">K28</f>
        <v>Katie-lou MALLEY</v>
      </c>
      <c r="E215" s="85" t="str">
        <f t="shared" ca="1" si="39"/>
        <v>Wigan</v>
      </c>
      <c r="T215" s="64">
        <f t="shared" ca="1" si="20"/>
        <v>3</v>
      </c>
      <c r="U215" s="64" t="str">
        <f t="shared" si="21"/>
        <v/>
      </c>
      <c r="V215" s="266">
        <f ca="1">IF(OR(D215=0,D215="",D215="Athlete"),"",COUNTIF($D$4:$D215,D215))</f>
        <v>1</v>
      </c>
    </row>
    <row r="216" spans="4:22" hidden="1" x14ac:dyDescent="0.35">
      <c r="D216" s="85" t="str">
        <f t="shared" ref="D216:E216" ca="1" si="40">K29</f>
        <v>Emily ASHTON</v>
      </c>
      <c r="E216" s="85" t="str">
        <f t="shared" ca="1" si="40"/>
        <v>Leigh</v>
      </c>
      <c r="T216" s="64">
        <f t="shared" ca="1" si="20"/>
        <v>3</v>
      </c>
      <c r="U216" s="64" t="str">
        <f t="shared" si="21"/>
        <v/>
      </c>
      <c r="V216" s="266">
        <f ca="1">IF(OR(D216=0,D216="",D216="Athlete"),"",COUNTIF($D$4:$D216,D216))</f>
        <v>3</v>
      </c>
    </row>
    <row r="217" spans="4:22" hidden="1" x14ac:dyDescent="0.35">
      <c r="D217" s="85" t="str">
        <f t="shared" ref="D217:E217" ca="1" si="41">K30</f>
        <v>Madaline BURKE</v>
      </c>
      <c r="E217" s="85" t="str">
        <f t="shared" ca="1" si="41"/>
        <v>ECHT</v>
      </c>
      <c r="T217" s="64">
        <f t="shared" ca="1" si="20"/>
        <v>3</v>
      </c>
      <c r="U217" s="64" t="str">
        <f t="shared" si="21"/>
        <v/>
      </c>
      <c r="V217" s="266">
        <f ca="1">IF(OR(D217=0,D217="",D217="Athlete"),"",COUNTIF($D$4:$D217,D217))</f>
        <v>2</v>
      </c>
    </row>
    <row r="218" spans="4:22" hidden="1" x14ac:dyDescent="0.35">
      <c r="D218" s="85" t="str">
        <f t="shared" ref="D218:E218" ca="1" si="42">K31</f>
        <v>Molly KENT</v>
      </c>
      <c r="E218" s="85" t="str">
        <f t="shared" ca="1" si="42"/>
        <v>Macc</v>
      </c>
      <c r="T218" s="64">
        <f t="shared" ca="1" si="20"/>
        <v>2</v>
      </c>
      <c r="U218" s="64" t="str">
        <f t="shared" si="21"/>
        <v/>
      </c>
      <c r="V218" s="266">
        <f ca="1">IF(OR(D218=0,D218="",D218="Athlete"),"",COUNTIF($D$4:$D218,D218))</f>
        <v>2</v>
      </c>
    </row>
    <row r="219" spans="4:22" hidden="1" x14ac:dyDescent="0.35">
      <c r="D219" s="85" t="str">
        <f t="shared" ref="D219:E219" ca="1" si="43">K32</f>
        <v/>
      </c>
      <c r="E219" s="85" t="str">
        <f t="shared" ca="1" si="43"/>
        <v/>
      </c>
      <c r="T219" s="64" t="str">
        <f t="shared" ca="1" si="20"/>
        <v/>
      </c>
      <c r="U219" s="64" t="str">
        <f t="shared" si="21"/>
        <v/>
      </c>
      <c r="V219" s="266" t="str">
        <f ca="1">IF(OR(D219=0,D219="",D219="Athlete"),"",COUNTIF($D$4:$D219,D219))</f>
        <v/>
      </c>
    </row>
    <row r="220" spans="4:22" hidden="1" x14ac:dyDescent="0.35">
      <c r="D220" s="85" t="str">
        <f t="shared" ref="D220:E220" ca="1" si="44">K33</f>
        <v/>
      </c>
      <c r="E220" s="85" t="str">
        <f t="shared" ca="1" si="44"/>
        <v/>
      </c>
      <c r="T220" s="64" t="str">
        <f t="shared" ca="1" si="20"/>
        <v/>
      </c>
      <c r="U220" s="64" t="str">
        <f t="shared" si="21"/>
        <v/>
      </c>
      <c r="V220" s="266" t="str">
        <f ca="1">IF(OR(D220=0,D220="",D220="Athlete"),"",COUNTIF($D$4:$D220,D220))</f>
        <v/>
      </c>
    </row>
    <row r="221" spans="4:22" hidden="1" x14ac:dyDescent="0.35">
      <c r="D221" s="85">
        <f t="shared" ref="D221:E221" si="45">K34</f>
        <v>0</v>
      </c>
      <c r="E221" s="85">
        <f t="shared" si="45"/>
        <v>0</v>
      </c>
      <c r="T221" s="64" t="str">
        <f t="shared" si="20"/>
        <v/>
      </c>
      <c r="U221" s="64" t="str">
        <f t="shared" si="21"/>
        <v/>
      </c>
      <c r="V221" s="266" t="str">
        <f>IF(OR(D221=0,D221="",D221="Athlete"),"",COUNTIF($D$4:$D221,D221))</f>
        <v/>
      </c>
    </row>
    <row r="222" spans="4:22" hidden="1" x14ac:dyDescent="0.35">
      <c r="D222" s="85">
        <f t="shared" ref="D222:E222" si="46">K35</f>
        <v>0</v>
      </c>
      <c r="E222" s="85">
        <f t="shared" si="46"/>
        <v>0</v>
      </c>
      <c r="T222" s="64" t="str">
        <f t="shared" si="20"/>
        <v/>
      </c>
      <c r="U222" s="64" t="str">
        <f t="shared" si="21"/>
        <v/>
      </c>
      <c r="V222" s="266" t="str">
        <f>IF(OR(D222=0,D222="",D222="Athlete"),"",COUNTIF($D$4:$D222,D222))</f>
        <v/>
      </c>
    </row>
    <row r="223" spans="4:22" hidden="1" x14ac:dyDescent="0.35">
      <c r="D223" s="85" t="str">
        <f t="shared" ref="D223:E223" ca="1" si="47">K36</f>
        <v>Athlete</v>
      </c>
      <c r="E223" s="85" t="str">
        <f t="shared" ca="1" si="47"/>
        <v>Club</v>
      </c>
      <c r="T223" s="64" t="str">
        <f t="shared" ca="1" si="20"/>
        <v/>
      </c>
      <c r="U223" s="64" t="str">
        <f t="shared" si="21"/>
        <v/>
      </c>
      <c r="V223" s="266" t="str">
        <f ca="1">IF(OR(D223=0,D223="",D223="Athlete"),"",COUNTIF($D$4:$D223,D223))</f>
        <v/>
      </c>
    </row>
    <row r="224" spans="4:22" hidden="1" x14ac:dyDescent="0.35">
      <c r="D224" s="85" t="str">
        <f t="shared" ref="D224:E224" ca="1" si="48">K37</f>
        <v>Katie-lou MALLEY</v>
      </c>
      <c r="E224" s="85" t="str">
        <f t="shared" ca="1" si="48"/>
        <v>Wigan</v>
      </c>
      <c r="T224" s="64">
        <f t="shared" ca="1" si="20"/>
        <v>3</v>
      </c>
      <c r="U224" s="64" t="str">
        <f t="shared" si="21"/>
        <v/>
      </c>
      <c r="V224" s="266">
        <f ca="1">IF(OR(D224=0,D224="",D224="Athlete"),"",COUNTIF($D$4:$D224,D224))</f>
        <v>2</v>
      </c>
    </row>
    <row r="225" spans="4:22" hidden="1" x14ac:dyDescent="0.35">
      <c r="D225" s="85" t="str">
        <f t="shared" ref="D225:E225" ca="1" si="49">K38</f>
        <v>Erin MCMAHON</v>
      </c>
      <c r="E225" s="85" t="str">
        <f t="shared" ca="1" si="49"/>
        <v>ECHT</v>
      </c>
      <c r="T225" s="64">
        <f t="shared" ca="1" si="20"/>
        <v>1</v>
      </c>
      <c r="U225" s="64" t="str">
        <f t="shared" si="21"/>
        <v/>
      </c>
      <c r="V225" s="266">
        <f ca="1">IF(OR(D225=0,D225="",D225="Athlete"),"",COUNTIF($D$4:$D225,D225))</f>
        <v>1</v>
      </c>
    </row>
    <row r="226" spans="4:22" hidden="1" x14ac:dyDescent="0.35">
      <c r="D226" s="85" t="str">
        <f t="shared" ref="D226:E226" ca="1" si="50">K39</f>
        <v>Sophie MARTIN</v>
      </c>
      <c r="E226" s="85" t="str">
        <f t="shared" ca="1" si="50"/>
        <v>Macc</v>
      </c>
      <c r="T226" s="64">
        <f t="shared" ca="1" si="20"/>
        <v>1</v>
      </c>
      <c r="U226" s="64" t="str">
        <f t="shared" si="21"/>
        <v/>
      </c>
      <c r="V226" s="266">
        <f ca="1">IF(OR(D226=0,D226="",D226="Athlete"),"",COUNTIF($D$4:$D226,D226))</f>
        <v>1</v>
      </c>
    </row>
    <row r="227" spans="4:22" hidden="1" x14ac:dyDescent="0.35">
      <c r="D227" s="85" t="str">
        <f t="shared" ref="D227:E227" ca="1" si="51">K40</f>
        <v>Mia WILKINSON</v>
      </c>
      <c r="E227" s="85" t="str">
        <f t="shared" ca="1" si="51"/>
        <v>Leigh</v>
      </c>
      <c r="T227" s="64">
        <f t="shared" ca="1" si="20"/>
        <v>1</v>
      </c>
      <c r="U227" s="64" t="str">
        <f t="shared" si="21"/>
        <v/>
      </c>
      <c r="V227" s="266">
        <f ca="1">IF(OR(D227=0,D227="",D227="Athlete"),"",COUNTIF($D$4:$D227,D227))</f>
        <v>1</v>
      </c>
    </row>
    <row r="228" spans="4:22" hidden="1" x14ac:dyDescent="0.35">
      <c r="D228" s="85" t="str">
        <f t="shared" ref="D228:E228" ca="1" si="52">K41</f>
        <v>Jasmine COOPER</v>
      </c>
      <c r="E228" s="85" t="str">
        <f t="shared" ca="1" si="52"/>
        <v>C&amp;N</v>
      </c>
      <c r="T228" s="64">
        <f t="shared" ca="1" si="20"/>
        <v>3</v>
      </c>
      <c r="U228" s="64" t="str">
        <f t="shared" si="21"/>
        <v/>
      </c>
      <c r="V228" s="266">
        <f ca="1">IF(OR(D228=0,D228="",D228="Athlete"),"",COUNTIF($D$4:$D228,D228))</f>
        <v>2</v>
      </c>
    </row>
    <row r="229" spans="4:22" hidden="1" x14ac:dyDescent="0.35">
      <c r="D229" s="85" t="str">
        <f t="shared" ref="D229:E229" ca="1" si="53">K42</f>
        <v/>
      </c>
      <c r="E229" s="85" t="str">
        <f t="shared" ca="1" si="53"/>
        <v/>
      </c>
      <c r="T229" s="64" t="str">
        <f t="shared" ca="1" si="20"/>
        <v/>
      </c>
      <c r="U229" s="64" t="str">
        <f t="shared" si="21"/>
        <v/>
      </c>
      <c r="V229" s="266" t="str">
        <f ca="1">IF(OR(D229=0,D229="",D229="Athlete"),"",COUNTIF($D$4:$D229,D229))</f>
        <v/>
      </c>
    </row>
    <row r="230" spans="4:22" hidden="1" x14ac:dyDescent="0.35">
      <c r="D230" s="85" t="str">
        <f t="shared" ref="D230:E230" ca="1" si="54">K43</f>
        <v/>
      </c>
      <c r="E230" s="85" t="str">
        <f t="shared" ca="1" si="54"/>
        <v/>
      </c>
      <c r="T230" s="64" t="str">
        <f t="shared" ca="1" si="20"/>
        <v/>
      </c>
      <c r="U230" s="64" t="str">
        <f t="shared" si="21"/>
        <v/>
      </c>
      <c r="V230" s="266" t="str">
        <f ca="1">IF(OR(D230=0,D230="",D230="Athlete"),"",COUNTIF($D$4:$D230,D230))</f>
        <v/>
      </c>
    </row>
    <row r="231" spans="4:22" hidden="1" x14ac:dyDescent="0.35">
      <c r="D231" s="85" t="str">
        <f t="shared" ref="D231:E231" ca="1" si="55">K44</f>
        <v/>
      </c>
      <c r="E231" s="85" t="str">
        <f t="shared" ca="1" si="55"/>
        <v/>
      </c>
      <c r="T231" s="64" t="str">
        <f t="shared" ca="1" si="20"/>
        <v/>
      </c>
      <c r="U231" s="64" t="str">
        <f t="shared" si="21"/>
        <v/>
      </c>
      <c r="V231" s="266" t="str">
        <f ca="1">IF(OR(D231=0,D231="",D231="Athlete"),"",COUNTIF($D$4:$D231,D231))</f>
        <v/>
      </c>
    </row>
    <row r="232" spans="4:22" hidden="1" x14ac:dyDescent="0.35">
      <c r="D232" s="85">
        <f t="shared" ref="D232:E232" si="56">K45</f>
        <v>0</v>
      </c>
      <c r="E232" s="85">
        <f t="shared" si="56"/>
        <v>0</v>
      </c>
      <c r="T232" s="64" t="str">
        <f t="shared" si="20"/>
        <v/>
      </c>
      <c r="U232" s="64" t="str">
        <f t="shared" si="21"/>
        <v/>
      </c>
      <c r="V232" s="266" t="str">
        <f>IF(OR(D232=0,D232="",D232="Athlete"),"",COUNTIF($D$4:$D232,D232))</f>
        <v/>
      </c>
    </row>
    <row r="233" spans="4:22" hidden="1" x14ac:dyDescent="0.35">
      <c r="D233" s="85">
        <f t="shared" ref="D233:E233" si="57">K46</f>
        <v>0</v>
      </c>
      <c r="E233" s="85">
        <f t="shared" si="57"/>
        <v>0</v>
      </c>
      <c r="T233" s="64" t="str">
        <f t="shared" si="20"/>
        <v/>
      </c>
      <c r="U233" s="64" t="str">
        <f t="shared" si="21"/>
        <v/>
      </c>
      <c r="V233" s="266" t="str">
        <f>IF(OR(D233=0,D233="",D233="Athlete"),"",COUNTIF($D$4:$D233,D233))</f>
        <v/>
      </c>
    </row>
    <row r="234" spans="4:22" hidden="1" x14ac:dyDescent="0.35">
      <c r="D234" s="85" t="str">
        <f t="shared" ref="D234:E234" ca="1" si="58">K47</f>
        <v>Athlete</v>
      </c>
      <c r="E234" s="85" t="str">
        <f t="shared" ca="1" si="58"/>
        <v>Club</v>
      </c>
      <c r="T234" s="64" t="str">
        <f t="shared" ca="1" si="20"/>
        <v/>
      </c>
      <c r="U234" s="64" t="str">
        <f t="shared" si="21"/>
        <v/>
      </c>
      <c r="V234" s="266" t="str">
        <f ca="1">IF(OR(D234=0,D234="",D234="Athlete"),"",COUNTIF($D$4:$D234,D234))</f>
        <v/>
      </c>
    </row>
    <row r="235" spans="4:22" hidden="1" x14ac:dyDescent="0.35">
      <c r="D235" s="85" t="str">
        <f t="shared" ref="D235:E235" ca="1" si="59">K48</f>
        <v/>
      </c>
      <c r="E235" s="85" t="str">
        <f t="shared" ca="1" si="59"/>
        <v>No Competitors</v>
      </c>
      <c r="T235" s="64" t="str">
        <f t="shared" ca="1" si="20"/>
        <v/>
      </c>
      <c r="U235" s="64" t="str">
        <f t="shared" si="21"/>
        <v/>
      </c>
      <c r="V235" s="266" t="str">
        <f ca="1">IF(OR(D235=0,D235="",D235="Athlete"),"",COUNTIF($D$4:$D235,D235))</f>
        <v/>
      </c>
    </row>
    <row r="236" spans="4:22" hidden="1" x14ac:dyDescent="0.35">
      <c r="D236" s="85" t="str">
        <f t="shared" ref="D236:E236" ca="1" si="60">K49</f>
        <v/>
      </c>
      <c r="E236" s="85" t="str">
        <f t="shared" ca="1" si="60"/>
        <v/>
      </c>
      <c r="T236" s="64" t="str">
        <f t="shared" ca="1" si="20"/>
        <v/>
      </c>
      <c r="U236" s="64" t="str">
        <f t="shared" si="21"/>
        <v/>
      </c>
      <c r="V236" s="266" t="str">
        <f ca="1">IF(OR(D236=0,D236="",D236="Athlete"),"",COUNTIF($D$4:$D236,D236))</f>
        <v/>
      </c>
    </row>
    <row r="237" spans="4:22" hidden="1" x14ac:dyDescent="0.35">
      <c r="D237" s="85" t="str">
        <f t="shared" ref="D237:E237" ca="1" si="61">K50</f>
        <v/>
      </c>
      <c r="E237" s="85" t="str">
        <f t="shared" ca="1" si="61"/>
        <v/>
      </c>
      <c r="T237" s="64" t="str">
        <f t="shared" ca="1" si="20"/>
        <v/>
      </c>
      <c r="U237" s="64" t="str">
        <f t="shared" si="21"/>
        <v/>
      </c>
      <c r="V237" s="266" t="str">
        <f ca="1">IF(OR(D237=0,D237="",D237="Athlete"),"",COUNTIF($D$4:$D237,D237))</f>
        <v/>
      </c>
    </row>
    <row r="238" spans="4:22" hidden="1" x14ac:dyDescent="0.35">
      <c r="D238" s="85" t="str">
        <f t="shared" ref="D238:E238" ca="1" si="62">K51</f>
        <v/>
      </c>
      <c r="E238" s="85" t="str">
        <f t="shared" ca="1" si="62"/>
        <v/>
      </c>
      <c r="T238" s="64" t="str">
        <f t="shared" ca="1" si="20"/>
        <v/>
      </c>
      <c r="U238" s="64" t="str">
        <f t="shared" si="21"/>
        <v/>
      </c>
      <c r="V238" s="266" t="str">
        <f ca="1">IF(OR(D238=0,D238="",D238="Athlete"),"",COUNTIF($D$4:$D238,D238))</f>
        <v/>
      </c>
    </row>
    <row r="239" spans="4:22" hidden="1" x14ac:dyDescent="0.35">
      <c r="D239" s="85" t="str">
        <f t="shared" ref="D239:E239" ca="1" si="63">K52</f>
        <v/>
      </c>
      <c r="E239" s="85" t="str">
        <f t="shared" ca="1" si="63"/>
        <v/>
      </c>
      <c r="T239" s="64" t="str">
        <f t="shared" ca="1" si="20"/>
        <v/>
      </c>
      <c r="U239" s="64" t="str">
        <f t="shared" si="21"/>
        <v/>
      </c>
      <c r="V239" s="266" t="str">
        <f ca="1">IF(OR(D239=0,D239="",D239="Athlete"),"",COUNTIF($D$4:$D239,D239))</f>
        <v/>
      </c>
    </row>
    <row r="240" spans="4:22" hidden="1" x14ac:dyDescent="0.35">
      <c r="D240" s="85" t="str">
        <f t="shared" ref="D240:E240" ca="1" si="64">K53</f>
        <v/>
      </c>
      <c r="E240" s="85" t="str">
        <f t="shared" ca="1" si="64"/>
        <v/>
      </c>
      <c r="T240" s="64" t="str">
        <f t="shared" ca="1" si="20"/>
        <v/>
      </c>
      <c r="U240" s="64" t="str">
        <f t="shared" si="21"/>
        <v/>
      </c>
      <c r="V240" s="266" t="str">
        <f ca="1">IF(OR(D240=0,D240="",D240="Athlete"),"",COUNTIF($D$4:$D240,D240))</f>
        <v/>
      </c>
    </row>
    <row r="241" spans="4:22" hidden="1" x14ac:dyDescent="0.35">
      <c r="D241" s="85" t="str">
        <f t="shared" ref="D241:E241" ca="1" si="65">K54</f>
        <v/>
      </c>
      <c r="E241" s="85" t="str">
        <f t="shared" ca="1" si="65"/>
        <v/>
      </c>
      <c r="T241" s="64" t="str">
        <f t="shared" ca="1" si="20"/>
        <v/>
      </c>
      <c r="U241" s="64" t="str">
        <f t="shared" si="21"/>
        <v/>
      </c>
      <c r="V241" s="266" t="str">
        <f ca="1">IF(OR(D241=0,D241="",D241="Athlete"),"",COUNTIF($D$4:$D241,D241))</f>
        <v/>
      </c>
    </row>
    <row r="242" spans="4:22" hidden="1" x14ac:dyDescent="0.35">
      <c r="D242" s="85" t="str">
        <f t="shared" ref="D242:E242" ca="1" si="66">K55</f>
        <v/>
      </c>
      <c r="E242" s="85" t="str">
        <f t="shared" ca="1" si="66"/>
        <v/>
      </c>
      <c r="T242" s="64" t="str">
        <f t="shared" ca="1" si="20"/>
        <v/>
      </c>
      <c r="U242" s="64" t="str">
        <f t="shared" si="21"/>
        <v/>
      </c>
      <c r="V242" s="266" t="str">
        <f ca="1">IF(OR(D242=0,D242="",D242="Athlete"),"",COUNTIF($D$4:$D242,D242))</f>
        <v/>
      </c>
    </row>
    <row r="243" spans="4:22" hidden="1" x14ac:dyDescent="0.35">
      <c r="D243" s="85">
        <f t="shared" ref="D243:E243" si="67">K56</f>
        <v>0</v>
      </c>
      <c r="E243" s="85">
        <f t="shared" si="67"/>
        <v>0</v>
      </c>
      <c r="T243" s="64" t="str">
        <f t="shared" si="20"/>
        <v/>
      </c>
      <c r="U243" s="64" t="str">
        <f t="shared" si="21"/>
        <v/>
      </c>
      <c r="V243" s="266" t="str">
        <f>IF(OR(D243=0,D243="",D243="Athlete"),"",COUNTIF($D$4:$D243,D243))</f>
        <v/>
      </c>
    </row>
    <row r="244" spans="4:22" hidden="1" x14ac:dyDescent="0.35">
      <c r="D244" s="85">
        <f t="shared" ref="D244:E244" si="68">K57</f>
        <v>0</v>
      </c>
      <c r="E244" s="85">
        <f t="shared" si="68"/>
        <v>0</v>
      </c>
      <c r="T244" s="64" t="str">
        <f t="shared" si="20"/>
        <v/>
      </c>
      <c r="U244" s="64" t="str">
        <f t="shared" si="21"/>
        <v/>
      </c>
      <c r="V244" s="266" t="str">
        <f>IF(OR(D244=0,D244="",D244="Athlete"),"",COUNTIF($D$4:$D244,D244))</f>
        <v/>
      </c>
    </row>
    <row r="245" spans="4:22" hidden="1" x14ac:dyDescent="0.35">
      <c r="D245" s="85" t="str">
        <f t="shared" ref="D245:E245" ca="1" si="69">K58</f>
        <v>Athlete</v>
      </c>
      <c r="E245" s="85" t="str">
        <f t="shared" ca="1" si="69"/>
        <v>Club</v>
      </c>
      <c r="T245" s="64" t="str">
        <f t="shared" ca="1" si="20"/>
        <v/>
      </c>
      <c r="U245" s="64" t="str">
        <f t="shared" si="21"/>
        <v/>
      </c>
      <c r="V245" s="266" t="str">
        <f ca="1">IF(OR(D245=0,D245="",D245="Athlete"),"",COUNTIF($D$4:$D245,D245))</f>
        <v/>
      </c>
    </row>
    <row r="246" spans="4:22" hidden="1" x14ac:dyDescent="0.35">
      <c r="D246" s="85" t="str">
        <f t="shared" ref="D246:E246" ca="1" si="70">K59</f>
        <v>Tamsin SEGUIN</v>
      </c>
      <c r="E246" s="85" t="str">
        <f t="shared" ca="1" si="70"/>
        <v>Menai</v>
      </c>
      <c r="T246" s="64">
        <f t="shared" ca="1" si="20"/>
        <v>3</v>
      </c>
      <c r="U246" s="64" t="str">
        <f t="shared" si="21"/>
        <v/>
      </c>
      <c r="V246" s="266">
        <f ca="1">IF(OR(D246=0,D246="",D246="Athlete"),"",COUNTIF($D$4:$D246,D246))</f>
        <v>3</v>
      </c>
    </row>
    <row r="247" spans="4:22" hidden="1" x14ac:dyDescent="0.35">
      <c r="D247" s="85" t="str">
        <f t="shared" ref="D247:E247" ca="1" si="71">K60</f>
        <v>Sofiya HARE</v>
      </c>
      <c r="E247" s="85" t="str">
        <f t="shared" ca="1" si="71"/>
        <v>C&amp;N</v>
      </c>
      <c r="T247" s="64">
        <f t="shared" ca="1" si="20"/>
        <v>2</v>
      </c>
      <c r="U247" s="64" t="str">
        <f t="shared" si="21"/>
        <v/>
      </c>
      <c r="V247" s="266">
        <f ca="1">IF(OR(D247=0,D247="",D247="Athlete"),"",COUNTIF($D$4:$D247,D247))</f>
        <v>2</v>
      </c>
    </row>
    <row r="248" spans="4:22" hidden="1" x14ac:dyDescent="0.35">
      <c r="D248" s="85" t="str">
        <f t="shared" ref="D248:E248" ca="1" si="72">K61</f>
        <v>Rae VAUGHAN</v>
      </c>
      <c r="E248" s="85" t="str">
        <f t="shared" ca="1" si="72"/>
        <v>Leigh</v>
      </c>
      <c r="T248" s="64">
        <f t="shared" ca="1" si="20"/>
        <v>1</v>
      </c>
      <c r="U248" s="64" t="str">
        <f t="shared" si="21"/>
        <v/>
      </c>
      <c r="V248" s="266">
        <f ca="1">IF(OR(D248=0,D248="",D248="Athlete"),"",COUNTIF($D$4:$D248,D248))</f>
        <v>1</v>
      </c>
    </row>
    <row r="249" spans="4:22" hidden="1" x14ac:dyDescent="0.35">
      <c r="D249" s="85" t="str">
        <f t="shared" ref="D249:E249" ca="1" si="73">K62</f>
        <v>Layla HALL</v>
      </c>
      <c r="E249" s="85" t="str">
        <f t="shared" ca="1" si="73"/>
        <v>Wigan</v>
      </c>
      <c r="T249" s="64">
        <f t="shared" ca="1" si="20"/>
        <v>3</v>
      </c>
      <c r="U249" s="64" t="str">
        <f t="shared" si="21"/>
        <v/>
      </c>
      <c r="V249" s="266">
        <f ca="1">IF(OR(D249=0,D249="",D249="Athlete"),"",COUNTIF($D$4:$D249,D249))</f>
        <v>3</v>
      </c>
    </row>
    <row r="250" spans="4:22" hidden="1" x14ac:dyDescent="0.35">
      <c r="D250" s="85" t="str">
        <f t="shared" ref="D250:E250" ca="1" si="74">K63</f>
        <v>Scarlett LYNE</v>
      </c>
      <c r="E250" s="85" t="str">
        <f t="shared" ca="1" si="74"/>
        <v>ECHT</v>
      </c>
      <c r="T250" s="64">
        <f t="shared" ca="1" si="20"/>
        <v>3</v>
      </c>
      <c r="U250" s="64" t="str">
        <f t="shared" si="21"/>
        <v/>
      </c>
      <c r="V250" s="266">
        <f ca="1">IF(OR(D250=0,D250="",D250="Athlete"),"",COUNTIF($D$4:$D250,D250))</f>
        <v>3</v>
      </c>
    </row>
    <row r="251" spans="4:22" hidden="1" x14ac:dyDescent="0.35">
      <c r="D251" s="85" t="str">
        <f t="shared" ref="D251:E251" ca="1" si="75">K64</f>
        <v>Holly WALKER</v>
      </c>
      <c r="E251" s="85" t="str">
        <f t="shared" ca="1" si="75"/>
        <v>Macc</v>
      </c>
      <c r="T251" s="64">
        <f t="shared" ca="1" si="20"/>
        <v>2</v>
      </c>
      <c r="U251" s="64" t="str">
        <f t="shared" si="21"/>
        <v/>
      </c>
      <c r="V251" s="266">
        <f ca="1">IF(OR(D251=0,D251="",D251="Athlete"),"",COUNTIF($D$4:$D251,D251))</f>
        <v>1</v>
      </c>
    </row>
    <row r="252" spans="4:22" hidden="1" x14ac:dyDescent="0.35">
      <c r="D252" s="85" t="str">
        <f t="shared" ref="D252:E252" ca="1" si="76">K65</f>
        <v/>
      </c>
      <c r="E252" s="85" t="str">
        <f t="shared" ca="1" si="76"/>
        <v/>
      </c>
      <c r="T252" s="64" t="str">
        <f t="shared" ca="1" si="20"/>
        <v/>
      </c>
      <c r="U252" s="64" t="str">
        <f t="shared" si="21"/>
        <v/>
      </c>
      <c r="V252" s="266" t="str">
        <f ca="1">IF(OR(D252=0,D252="",D252="Athlete"),"",COUNTIF($D$4:$D252,D252))</f>
        <v/>
      </c>
    </row>
    <row r="253" spans="4:22" hidden="1" x14ac:dyDescent="0.35">
      <c r="D253" s="85" t="str">
        <f t="shared" ref="D253:E253" ca="1" si="77">K66</f>
        <v/>
      </c>
      <c r="E253" s="85" t="str">
        <f t="shared" ca="1" si="77"/>
        <v/>
      </c>
      <c r="T253" s="64" t="str">
        <f t="shared" ca="1" si="20"/>
        <v/>
      </c>
      <c r="U253" s="64" t="str">
        <f t="shared" si="21"/>
        <v/>
      </c>
      <c r="V253" s="266" t="str">
        <f ca="1">IF(OR(D253=0,D253="",D253="Athlete"),"",COUNTIF($D$4:$D253,D253))</f>
        <v/>
      </c>
    </row>
    <row r="254" spans="4:22" hidden="1" x14ac:dyDescent="0.35">
      <c r="D254" s="85">
        <f t="shared" ref="D254:E254" si="78">K67</f>
        <v>0</v>
      </c>
      <c r="E254" s="85">
        <f t="shared" si="78"/>
        <v>0</v>
      </c>
      <c r="T254" s="64" t="str">
        <f t="shared" si="20"/>
        <v/>
      </c>
      <c r="U254" s="64" t="str">
        <f t="shared" si="21"/>
        <v/>
      </c>
      <c r="V254" s="266" t="str">
        <f>IF(OR(D254=0,D254="",D254="Athlete"),"",COUNTIF($D$4:$D254,D254))</f>
        <v/>
      </c>
    </row>
    <row r="255" spans="4:22" hidden="1" x14ac:dyDescent="0.35">
      <c r="D255" s="85">
        <f t="shared" ref="D255:E255" si="79">K68</f>
        <v>0</v>
      </c>
      <c r="E255" s="85" t="str">
        <f t="shared" si="79"/>
        <v>Wind</v>
      </c>
      <c r="T255" s="64" t="str">
        <f t="shared" si="20"/>
        <v/>
      </c>
      <c r="U255" s="64" t="str">
        <f t="shared" si="21"/>
        <v/>
      </c>
      <c r="V255" s="266" t="str">
        <f>IF(OR(D255=0,D255="",D255="Athlete"),"",COUNTIF($D$4:$D255,D255))</f>
        <v/>
      </c>
    </row>
    <row r="256" spans="4:22" hidden="1" x14ac:dyDescent="0.35">
      <c r="D256" s="85" t="str">
        <f t="shared" ref="D256:E256" ca="1" si="80">K69</f>
        <v>Athlete</v>
      </c>
      <c r="E256" s="85" t="str">
        <f t="shared" ca="1" si="80"/>
        <v>Club</v>
      </c>
      <c r="T256" s="64" t="str">
        <f t="shared" ca="1" si="20"/>
        <v/>
      </c>
      <c r="U256" s="64" t="str">
        <f t="shared" si="21"/>
        <v/>
      </c>
      <c r="V256" s="266" t="str">
        <f ca="1">IF(OR(D256=0,D256="",D256="Athlete"),"",COUNTIF($D$4:$D256,D256))</f>
        <v/>
      </c>
    </row>
    <row r="257" spans="4:22" hidden="1" x14ac:dyDescent="0.35">
      <c r="D257" s="85" t="str">
        <f t="shared" ref="D257:E257" ca="1" si="81">K70</f>
        <v>Ava BROOMES</v>
      </c>
      <c r="E257" s="85" t="str">
        <f t="shared" ca="1" si="81"/>
        <v>Leigh</v>
      </c>
      <c r="T257" s="64">
        <f t="shared" ca="1" si="20"/>
        <v>3</v>
      </c>
      <c r="U257" s="64" t="str">
        <f t="shared" si="21"/>
        <v/>
      </c>
      <c r="V257" s="266">
        <f ca="1">IF(OR(D257=0,D257="",D257="Athlete"),"",COUNTIF($D$4:$D257,D257))</f>
        <v>3</v>
      </c>
    </row>
    <row r="258" spans="4:22" hidden="1" x14ac:dyDescent="0.35">
      <c r="D258" s="85" t="str">
        <f t="shared" ref="D258:E258" ca="1" si="82">K71</f>
        <v>Lucy HOWARTH</v>
      </c>
      <c r="E258" s="85" t="str">
        <f t="shared" ca="1" si="82"/>
        <v>C&amp;N</v>
      </c>
      <c r="T258" s="64">
        <f t="shared" ca="1" si="20"/>
        <v>3</v>
      </c>
      <c r="U258" s="64" t="str">
        <f t="shared" si="21"/>
        <v/>
      </c>
      <c r="V258" s="266">
        <f ca="1">IF(OR(D258=0,D258="",D258="Athlete"),"",COUNTIF($D$4:$D258,D258))</f>
        <v>3</v>
      </c>
    </row>
    <row r="259" spans="4:22" hidden="1" x14ac:dyDescent="0.35">
      <c r="D259" s="85" t="str">
        <f t="shared" ref="D259:E259" ca="1" si="83">K72</f>
        <v>Sophia BOWDEN-MCKAY</v>
      </c>
      <c r="E259" s="85" t="str">
        <f t="shared" ca="1" si="83"/>
        <v>Wigan</v>
      </c>
      <c r="T259" s="64">
        <f t="shared" ca="1" si="20"/>
        <v>2</v>
      </c>
      <c r="U259" s="64" t="str">
        <f t="shared" si="21"/>
        <v/>
      </c>
      <c r="V259" s="266">
        <f ca="1">IF(OR(D259=0,D259="",D259="Athlete"),"",COUNTIF($D$4:$D259,D259))</f>
        <v>2</v>
      </c>
    </row>
    <row r="260" spans="4:22" hidden="1" x14ac:dyDescent="0.35">
      <c r="D260" s="85" t="str">
        <f t="shared" ref="D260:E260" ca="1" si="84">K73</f>
        <v>Eve O'DONNELL</v>
      </c>
      <c r="E260" s="85" t="str">
        <f t="shared" ca="1" si="84"/>
        <v>Macc</v>
      </c>
      <c r="T260" s="64">
        <f t="shared" ca="1" si="20"/>
        <v>3</v>
      </c>
      <c r="U260" s="64" t="str">
        <f t="shared" si="21"/>
        <v/>
      </c>
      <c r="V260" s="266">
        <f ca="1">IF(OR(D260=0,D260="",D260="Athlete"),"",COUNTIF($D$4:$D260,D260))</f>
        <v>3</v>
      </c>
    </row>
    <row r="261" spans="4:22" hidden="1" x14ac:dyDescent="0.35">
      <c r="D261" s="85" t="str">
        <f t="shared" ref="D261:E261" ca="1" si="85">K74</f>
        <v/>
      </c>
      <c r="E261" s="85" t="str">
        <f t="shared" ca="1" si="85"/>
        <v/>
      </c>
      <c r="T261" s="64" t="str">
        <f t="shared" ref="T261:T324" ca="1" si="86">IF(OR(D261=0,D261="",D261="Athlete"),"",COUNTIF($D$4:$D$352,D261))</f>
        <v/>
      </c>
      <c r="U261" s="64" t="str">
        <f t="shared" ref="U261:U324" si="87">IF(OR(K261=0,K261="",K261="Athlete"),"",COUNTIF($D$4:$D$352,K261))</f>
        <v/>
      </c>
      <c r="V261" s="266" t="str">
        <f ca="1">IF(OR(D261=0,D261="",D261="Athlete"),"",COUNTIF($D$4:$D261,D261))</f>
        <v/>
      </c>
    </row>
    <row r="262" spans="4:22" hidden="1" x14ac:dyDescent="0.35">
      <c r="D262" s="85" t="str">
        <f t="shared" ref="D262:E262" ca="1" si="88">K75</f>
        <v/>
      </c>
      <c r="E262" s="85" t="str">
        <f t="shared" ca="1" si="88"/>
        <v/>
      </c>
      <c r="T262" s="64" t="str">
        <f t="shared" ca="1" si="86"/>
        <v/>
      </c>
      <c r="U262" s="64" t="str">
        <f t="shared" si="87"/>
        <v/>
      </c>
      <c r="V262" s="266" t="str">
        <f ca="1">IF(OR(D262=0,D262="",D262="Athlete"),"",COUNTIF($D$4:$D262,D262))</f>
        <v/>
      </c>
    </row>
    <row r="263" spans="4:22" hidden="1" x14ac:dyDescent="0.35">
      <c r="D263" s="85" t="str">
        <f t="shared" ref="D263:E263" ca="1" si="89">K76</f>
        <v/>
      </c>
      <c r="E263" s="85" t="str">
        <f t="shared" ca="1" si="89"/>
        <v/>
      </c>
      <c r="T263" s="64" t="str">
        <f t="shared" ca="1" si="86"/>
        <v/>
      </c>
      <c r="U263" s="64" t="str">
        <f t="shared" si="87"/>
        <v/>
      </c>
      <c r="V263" s="266" t="str">
        <f ca="1">IF(OR(D263=0,D263="",D263="Athlete"),"",COUNTIF($D$4:$D263,D263))</f>
        <v/>
      </c>
    </row>
    <row r="264" spans="4:22" hidden="1" x14ac:dyDescent="0.35">
      <c r="D264" s="85" t="str">
        <f t="shared" ref="D264:E264" ca="1" si="90">K77</f>
        <v/>
      </c>
      <c r="E264" s="85" t="str">
        <f t="shared" ca="1" si="90"/>
        <v/>
      </c>
      <c r="T264" s="64" t="str">
        <f t="shared" ca="1" si="86"/>
        <v/>
      </c>
      <c r="U264" s="64" t="str">
        <f t="shared" si="87"/>
        <v/>
      </c>
      <c r="V264" s="266" t="str">
        <f ca="1">IF(OR(D264=0,D264="",D264="Athlete"),"",COUNTIF($D$4:$D264,D264))</f>
        <v/>
      </c>
    </row>
    <row r="265" spans="4:22" hidden="1" x14ac:dyDescent="0.35">
      <c r="D265" s="85">
        <f t="shared" ref="D265:E265" si="91">K78</f>
        <v>0</v>
      </c>
      <c r="E265" s="85">
        <f t="shared" si="91"/>
        <v>0</v>
      </c>
      <c r="T265" s="64" t="str">
        <f t="shared" si="86"/>
        <v/>
      </c>
      <c r="U265" s="64" t="str">
        <f t="shared" si="87"/>
        <v/>
      </c>
      <c r="V265" s="266" t="str">
        <f>IF(OR(D265=0,D265="",D265="Athlete"),"",COUNTIF($D$4:$D265,D265))</f>
        <v/>
      </c>
    </row>
    <row r="266" spans="4:22" hidden="1" x14ac:dyDescent="0.35">
      <c r="D266" s="85">
        <f t="shared" ref="D266:E266" si="92">K79</f>
        <v>0</v>
      </c>
      <c r="E266" s="85">
        <f t="shared" si="92"/>
        <v>0</v>
      </c>
      <c r="T266" s="64" t="str">
        <f t="shared" si="86"/>
        <v/>
      </c>
      <c r="U266" s="64" t="str">
        <f t="shared" si="87"/>
        <v/>
      </c>
      <c r="V266" s="266" t="str">
        <f>IF(OR(D266=0,D266="",D266="Athlete"),"",COUNTIF($D$4:$D266,D266))</f>
        <v/>
      </c>
    </row>
    <row r="267" spans="4:22" hidden="1" x14ac:dyDescent="0.35">
      <c r="D267" s="85" t="str">
        <f t="shared" ref="D267:E267" ca="1" si="93">K80</f>
        <v>Athlete</v>
      </c>
      <c r="E267" s="85" t="str">
        <f t="shared" ca="1" si="93"/>
        <v>Club</v>
      </c>
      <c r="T267" s="64" t="str">
        <f t="shared" ca="1" si="86"/>
        <v/>
      </c>
      <c r="U267" s="64" t="str">
        <f t="shared" si="87"/>
        <v/>
      </c>
      <c r="V267" s="266" t="str">
        <f ca="1">IF(OR(D267=0,D267="",D267="Athlete"),"",COUNTIF($D$4:$D267,D267))</f>
        <v/>
      </c>
    </row>
    <row r="268" spans="4:22" hidden="1" x14ac:dyDescent="0.35">
      <c r="D268" s="85" t="str">
        <f t="shared" ref="D268:E268" ca="1" si="94">K81</f>
        <v>Bethany HALL</v>
      </c>
      <c r="E268" s="85" t="str">
        <f t="shared" ca="1" si="94"/>
        <v>C&amp;N</v>
      </c>
      <c r="T268" s="64">
        <f t="shared" ca="1" si="86"/>
        <v>2</v>
      </c>
      <c r="U268" s="64" t="str">
        <f t="shared" si="87"/>
        <v/>
      </c>
      <c r="V268" s="266">
        <f ca="1">IF(OR(D268=0,D268="",D268="Athlete"),"",COUNTIF($D$4:$D268,D268))</f>
        <v>2</v>
      </c>
    </row>
    <row r="269" spans="4:22" hidden="1" x14ac:dyDescent="0.35">
      <c r="D269" s="85" t="str">
        <f t="shared" ref="D269:E269" ca="1" si="95">K82</f>
        <v>Katie-lou MALLEY</v>
      </c>
      <c r="E269" s="85" t="str">
        <f t="shared" ca="1" si="95"/>
        <v>Wigan</v>
      </c>
      <c r="T269" s="64">
        <f t="shared" ca="1" si="86"/>
        <v>3</v>
      </c>
      <c r="U269" s="64" t="str">
        <f t="shared" si="87"/>
        <v/>
      </c>
      <c r="V269" s="266">
        <f ca="1">IF(OR(D269=0,D269="",D269="Athlete"),"",COUNTIF($D$4:$D269,D269))</f>
        <v>3</v>
      </c>
    </row>
    <row r="270" spans="4:22" hidden="1" x14ac:dyDescent="0.35">
      <c r="D270" s="85" t="str">
        <f t="shared" ref="D270:E270" ca="1" si="96">K83</f>
        <v>Isabella GORMAN</v>
      </c>
      <c r="E270" s="85" t="str">
        <f t="shared" ca="1" si="96"/>
        <v>Leigh</v>
      </c>
      <c r="T270" s="64">
        <f t="shared" ca="1" si="86"/>
        <v>2</v>
      </c>
      <c r="U270" s="64" t="str">
        <f t="shared" si="87"/>
        <v/>
      </c>
      <c r="V270" s="266">
        <f ca="1">IF(OR(D270=0,D270="",D270="Athlete"),"",COUNTIF($D$4:$D270,D270))</f>
        <v>2</v>
      </c>
    </row>
    <row r="271" spans="4:22" hidden="1" x14ac:dyDescent="0.35">
      <c r="D271" s="85" t="str">
        <f t="shared" ref="D271:E271" ca="1" si="97">K84</f>
        <v>Iona FISHER</v>
      </c>
      <c r="E271" s="85" t="str">
        <f t="shared" ca="1" si="97"/>
        <v>Macc</v>
      </c>
      <c r="T271" s="64">
        <f t="shared" ca="1" si="86"/>
        <v>2</v>
      </c>
      <c r="U271" s="64" t="str">
        <f t="shared" si="87"/>
        <v/>
      </c>
      <c r="V271" s="266">
        <f ca="1">IF(OR(D271=0,D271="",D271="Athlete"),"",COUNTIF($D$4:$D271,D271))</f>
        <v>2</v>
      </c>
    </row>
    <row r="272" spans="4:22" hidden="1" x14ac:dyDescent="0.35">
      <c r="D272" s="85" t="str">
        <f t="shared" ref="D272:E272" ca="1" si="98">K85</f>
        <v>Madaline BURKE</v>
      </c>
      <c r="E272" s="85" t="str">
        <f t="shared" ca="1" si="98"/>
        <v>ECHT</v>
      </c>
      <c r="T272" s="64">
        <f t="shared" ca="1" si="86"/>
        <v>3</v>
      </c>
      <c r="U272" s="64" t="str">
        <f t="shared" si="87"/>
        <v/>
      </c>
      <c r="V272" s="266">
        <f ca="1">IF(OR(D272=0,D272="",D272="Athlete"),"",COUNTIF($D$4:$D272,D272))</f>
        <v>3</v>
      </c>
    </row>
    <row r="273" spans="4:22" hidden="1" x14ac:dyDescent="0.35">
      <c r="D273" s="85" t="str">
        <f t="shared" ref="D273:E273" ca="1" si="99">K86</f>
        <v/>
      </c>
      <c r="E273" s="85" t="str">
        <f t="shared" ca="1" si="99"/>
        <v/>
      </c>
      <c r="T273" s="64" t="str">
        <f t="shared" ca="1" si="86"/>
        <v/>
      </c>
      <c r="U273" s="64" t="str">
        <f t="shared" si="87"/>
        <v/>
      </c>
      <c r="V273" s="266" t="str">
        <f ca="1">IF(OR(D273=0,D273="",D273="Athlete"),"",COUNTIF($D$4:$D273,D273))</f>
        <v/>
      </c>
    </row>
    <row r="274" spans="4:22" hidden="1" x14ac:dyDescent="0.35">
      <c r="D274" s="85" t="str">
        <f t="shared" ref="D274:E274" ca="1" si="100">K87</f>
        <v/>
      </c>
      <c r="E274" s="85" t="str">
        <f t="shared" ca="1" si="100"/>
        <v/>
      </c>
      <c r="T274" s="64" t="str">
        <f t="shared" ca="1" si="86"/>
        <v/>
      </c>
      <c r="U274" s="64" t="str">
        <f t="shared" si="87"/>
        <v/>
      </c>
      <c r="V274" s="266" t="str">
        <f ca="1">IF(OR(D274=0,D274="",D274="Athlete"),"",COUNTIF($D$4:$D274,D274))</f>
        <v/>
      </c>
    </row>
    <row r="275" spans="4:22" hidden="1" x14ac:dyDescent="0.35">
      <c r="D275" s="85" t="str">
        <f t="shared" ref="D275:E275" ca="1" si="101">K88</f>
        <v/>
      </c>
      <c r="E275" s="85" t="str">
        <f t="shared" ca="1" si="101"/>
        <v/>
      </c>
      <c r="T275" s="64" t="str">
        <f t="shared" ca="1" si="86"/>
        <v/>
      </c>
      <c r="U275" s="64" t="str">
        <f t="shared" si="87"/>
        <v/>
      </c>
      <c r="V275" s="266" t="str">
        <f ca="1">IF(OR(D275=0,D275="",D275="Athlete"),"",COUNTIF($D$4:$D275,D275))</f>
        <v/>
      </c>
    </row>
    <row r="276" spans="4:22" hidden="1" x14ac:dyDescent="0.35">
      <c r="D276" s="85">
        <f t="shared" ref="D276:E276" si="102">K89</f>
        <v>0</v>
      </c>
      <c r="E276" s="85">
        <f t="shared" si="102"/>
        <v>0</v>
      </c>
      <c r="T276" s="64" t="str">
        <f t="shared" si="86"/>
        <v/>
      </c>
      <c r="U276" s="64" t="str">
        <f t="shared" si="87"/>
        <v/>
      </c>
      <c r="V276" s="266" t="str">
        <f>IF(OR(D276=0,D276="",D276="Athlete"),"",COUNTIF($D$4:$D276,D276))</f>
        <v/>
      </c>
    </row>
    <row r="277" spans="4:22" hidden="1" x14ac:dyDescent="0.35">
      <c r="D277" s="85">
        <f t="shared" ref="D277:E277" si="103">K90</f>
        <v>0</v>
      </c>
      <c r="E277" s="85">
        <f t="shared" si="103"/>
        <v>0</v>
      </c>
      <c r="T277" s="64" t="str">
        <f t="shared" si="86"/>
        <v/>
      </c>
      <c r="U277" s="64" t="str">
        <f t="shared" si="87"/>
        <v/>
      </c>
      <c r="V277" s="266" t="str">
        <f>IF(OR(D277=0,D277="",D277="Athlete"),"",COUNTIF($D$4:$D277,D277))</f>
        <v/>
      </c>
    </row>
    <row r="278" spans="4:22" hidden="1" x14ac:dyDescent="0.35">
      <c r="D278" s="85" t="str">
        <f t="shared" ref="D278:E278" ca="1" si="104">K91</f>
        <v>Athlete</v>
      </c>
      <c r="E278" s="85" t="str">
        <f t="shared" ca="1" si="104"/>
        <v>Club</v>
      </c>
      <c r="T278" s="64" t="str">
        <f t="shared" ca="1" si="86"/>
        <v/>
      </c>
      <c r="U278" s="64" t="str">
        <f t="shared" si="87"/>
        <v/>
      </c>
      <c r="V278" s="266" t="str">
        <f ca="1">IF(OR(D278=0,D278="",D278="Athlete"),"",COUNTIF($D$4:$D278,D278))</f>
        <v/>
      </c>
    </row>
    <row r="279" spans="4:22" hidden="1" x14ac:dyDescent="0.35">
      <c r="D279" s="85" t="str">
        <f t="shared" ref="D279:E279" ca="1" si="105">K92</f>
        <v>Mia LACEY</v>
      </c>
      <c r="E279" s="85" t="str">
        <f t="shared" ca="1" si="105"/>
        <v>Wigan</v>
      </c>
      <c r="T279" s="64">
        <f t="shared" ca="1" si="86"/>
        <v>2</v>
      </c>
      <c r="U279" s="64" t="str">
        <f t="shared" si="87"/>
        <v/>
      </c>
      <c r="V279" s="266">
        <f ca="1">IF(OR(D279=0,D279="",D279="Athlete"),"",COUNTIF($D$4:$D279,D279))</f>
        <v>2</v>
      </c>
    </row>
    <row r="280" spans="4:22" hidden="1" x14ac:dyDescent="0.35">
      <c r="D280" s="85" t="str">
        <f t="shared" ref="D280:E280" ca="1" si="106">K93</f>
        <v>Imogen MCBURNIE</v>
      </c>
      <c r="E280" s="85" t="str">
        <f t="shared" ca="1" si="106"/>
        <v>ECHT</v>
      </c>
      <c r="T280" s="64">
        <f t="shared" ca="1" si="86"/>
        <v>3</v>
      </c>
      <c r="U280" s="64" t="str">
        <f t="shared" si="87"/>
        <v/>
      </c>
      <c r="V280" s="266">
        <f ca="1">IF(OR(D280=0,D280="",D280="Athlete"),"",COUNTIF($D$4:$D280,D280))</f>
        <v>3</v>
      </c>
    </row>
    <row r="281" spans="4:22" hidden="1" x14ac:dyDescent="0.35">
      <c r="D281" s="85" t="str">
        <f t="shared" ref="D281:E281" ca="1" si="107">K94</f>
        <v>Maddison PENDLEBURY</v>
      </c>
      <c r="E281" s="85" t="str">
        <f t="shared" ca="1" si="107"/>
        <v>Leigh</v>
      </c>
      <c r="T281" s="64">
        <f t="shared" ca="1" si="86"/>
        <v>2</v>
      </c>
      <c r="U281" s="64" t="str">
        <f t="shared" si="87"/>
        <v/>
      </c>
      <c r="V281" s="266">
        <f ca="1">IF(OR(D281=0,D281="",D281="Athlete"),"",COUNTIF($D$4:$D281,D281))</f>
        <v>2</v>
      </c>
    </row>
    <row r="282" spans="4:22" hidden="1" x14ac:dyDescent="0.35">
      <c r="D282" s="85" t="str">
        <f t="shared" ref="D282:E282" ca="1" si="108">K95</f>
        <v>Jasmine COOPER</v>
      </c>
      <c r="E282" s="85" t="str">
        <f t="shared" ca="1" si="108"/>
        <v>C&amp;N</v>
      </c>
      <c r="T282" s="64">
        <f t="shared" ca="1" si="86"/>
        <v>3</v>
      </c>
      <c r="U282" s="64" t="str">
        <f t="shared" si="87"/>
        <v/>
      </c>
      <c r="V282" s="266">
        <f ca="1">IF(OR(D282=0,D282="",D282="Athlete"),"",COUNTIF($D$4:$D282,D282))</f>
        <v>3</v>
      </c>
    </row>
    <row r="283" spans="4:22" hidden="1" x14ac:dyDescent="0.35">
      <c r="D283" s="85" t="str">
        <f t="shared" ref="D283:E283" ca="1" si="109">K96</f>
        <v>Lauren HARPER</v>
      </c>
      <c r="E283" s="85" t="str">
        <f t="shared" ca="1" si="109"/>
        <v>Macc</v>
      </c>
      <c r="T283" s="64">
        <f t="shared" ca="1" si="86"/>
        <v>3</v>
      </c>
      <c r="U283" s="64" t="str">
        <f t="shared" si="87"/>
        <v/>
      </c>
      <c r="V283" s="266">
        <f ca="1">IF(OR(D283=0,D283="",D283="Athlete"),"",COUNTIF($D$4:$D283,D283))</f>
        <v>3</v>
      </c>
    </row>
    <row r="284" spans="4:22" hidden="1" x14ac:dyDescent="0.35">
      <c r="D284" s="85" t="str">
        <f t="shared" ref="D284:E284" ca="1" si="110">K97</f>
        <v/>
      </c>
      <c r="E284" s="85" t="str">
        <f t="shared" ca="1" si="110"/>
        <v/>
      </c>
      <c r="T284" s="64" t="str">
        <f t="shared" ca="1" si="86"/>
        <v/>
      </c>
      <c r="U284" s="64" t="str">
        <f t="shared" si="87"/>
        <v/>
      </c>
      <c r="V284" s="266" t="str">
        <f ca="1">IF(OR(D284=0,D284="",D284="Athlete"),"",COUNTIF($D$4:$D284,D284))</f>
        <v/>
      </c>
    </row>
    <row r="285" spans="4:22" hidden="1" x14ac:dyDescent="0.35">
      <c r="D285" s="85" t="str">
        <f t="shared" ref="D285:E285" ca="1" si="111">K98</f>
        <v/>
      </c>
      <c r="E285" s="85" t="str">
        <f t="shared" ca="1" si="111"/>
        <v/>
      </c>
      <c r="T285" s="64" t="str">
        <f t="shared" ca="1" si="86"/>
        <v/>
      </c>
      <c r="U285" s="64" t="str">
        <f t="shared" si="87"/>
        <v/>
      </c>
      <c r="V285" s="266" t="str">
        <f ca="1">IF(OR(D285=0,D285="",D285="Athlete"),"",COUNTIF($D$4:$D285,D285))</f>
        <v/>
      </c>
    </row>
    <row r="286" spans="4:22" hidden="1" x14ac:dyDescent="0.35">
      <c r="D286" s="85" t="str">
        <f t="shared" ref="D286:E286" ca="1" si="112">K99</f>
        <v/>
      </c>
      <c r="E286" s="85" t="str">
        <f t="shared" ca="1" si="112"/>
        <v/>
      </c>
      <c r="T286" s="64" t="str">
        <f t="shared" ca="1" si="86"/>
        <v/>
      </c>
      <c r="U286" s="64" t="str">
        <f t="shared" si="87"/>
        <v/>
      </c>
      <c r="V286" s="266" t="str">
        <f ca="1">IF(OR(D286=0,D286="",D286="Athlete"),"",COUNTIF($D$4:$D286,D286))</f>
        <v/>
      </c>
    </row>
    <row r="287" spans="4:22" hidden="1" x14ac:dyDescent="0.35">
      <c r="D287" s="85">
        <f t="shared" ref="D287:E287" si="113">K100</f>
        <v>0</v>
      </c>
      <c r="E287" s="85">
        <f t="shared" si="113"/>
        <v>0</v>
      </c>
      <c r="T287" s="64" t="str">
        <f t="shared" si="86"/>
        <v/>
      </c>
      <c r="U287" s="64" t="str">
        <f t="shared" si="87"/>
        <v/>
      </c>
      <c r="V287" s="266" t="str">
        <f>IF(OR(D287=0,D287="",D287="Athlete"),"",COUNTIF($D$4:$D287,D287))</f>
        <v/>
      </c>
    </row>
    <row r="288" spans="4:22" hidden="1" x14ac:dyDescent="0.35">
      <c r="D288" s="85">
        <f t="shared" ref="D288:E288" si="114">K101</f>
        <v>0</v>
      </c>
      <c r="E288" s="85">
        <f t="shared" si="114"/>
        <v>0</v>
      </c>
      <c r="T288" s="64" t="str">
        <f t="shared" si="86"/>
        <v/>
      </c>
      <c r="U288" s="64" t="str">
        <f t="shared" si="87"/>
        <v/>
      </c>
      <c r="V288" s="266" t="str">
        <f>IF(OR(D288=0,D288="",D288="Athlete"),"",COUNTIF($D$4:$D288,D288))</f>
        <v/>
      </c>
    </row>
    <row r="289" spans="4:22" hidden="1" x14ac:dyDescent="0.35">
      <c r="D289" s="85" t="str">
        <f t="shared" ref="D289:E289" ca="1" si="115">K102</f>
        <v>Athlete</v>
      </c>
      <c r="E289" s="85" t="str">
        <f t="shared" ca="1" si="115"/>
        <v>Club</v>
      </c>
      <c r="T289" s="64" t="str">
        <f t="shared" ca="1" si="86"/>
        <v/>
      </c>
      <c r="U289" s="64" t="str">
        <f t="shared" si="87"/>
        <v/>
      </c>
      <c r="V289" s="266" t="str">
        <f ca="1">IF(OR(D289=0,D289="",D289="Athlete"),"",COUNTIF($D$4:$D289,D289))</f>
        <v/>
      </c>
    </row>
    <row r="290" spans="4:22" hidden="1" x14ac:dyDescent="0.35">
      <c r="D290" s="85" t="str">
        <f t="shared" ref="D290:E290" ca="1" si="116">K103</f>
        <v>Erin ROYLE</v>
      </c>
      <c r="E290" s="85" t="str">
        <f t="shared" ca="1" si="116"/>
        <v>ECHT</v>
      </c>
      <c r="T290" s="64">
        <f t="shared" ca="1" si="86"/>
        <v>1</v>
      </c>
      <c r="U290" s="64" t="str">
        <f t="shared" si="87"/>
        <v/>
      </c>
      <c r="V290" s="266">
        <f ca="1">IF(OR(D290=0,D290="",D290="Athlete"),"",COUNTIF($D$4:$D290,D290))</f>
        <v>1</v>
      </c>
    </row>
    <row r="291" spans="4:22" hidden="1" x14ac:dyDescent="0.35">
      <c r="D291" s="85" t="str">
        <f t="shared" ref="D291:E291" ca="1" si="117">K104</f>
        <v>Emily WALTON</v>
      </c>
      <c r="E291" s="85" t="str">
        <f t="shared" ca="1" si="117"/>
        <v>Stock</v>
      </c>
      <c r="T291" s="64">
        <f t="shared" ca="1" si="86"/>
        <v>3</v>
      </c>
      <c r="U291" s="64" t="str">
        <f t="shared" si="87"/>
        <v/>
      </c>
      <c r="V291" s="266">
        <f ca="1">IF(OR(D291=0,D291="",D291="Athlete"),"",COUNTIF($D$4:$D291,D291))</f>
        <v>3</v>
      </c>
    </row>
    <row r="292" spans="4:22" hidden="1" x14ac:dyDescent="0.35">
      <c r="D292" s="85" t="str">
        <f t="shared" ref="D292:E292" ca="1" si="118">K105</f>
        <v>Holly WALKER</v>
      </c>
      <c r="E292" s="85" t="str">
        <f t="shared" ca="1" si="118"/>
        <v>Macc</v>
      </c>
      <c r="T292" s="64">
        <f t="shared" ca="1" si="86"/>
        <v>2</v>
      </c>
      <c r="U292" s="64" t="str">
        <f t="shared" si="87"/>
        <v/>
      </c>
      <c r="V292" s="266">
        <f ca="1">IF(OR(D292=0,D292="",D292="Athlete"),"",COUNTIF($D$4:$D292,D292))</f>
        <v>2</v>
      </c>
    </row>
    <row r="293" spans="4:22" hidden="1" x14ac:dyDescent="0.35">
      <c r="D293" s="85" t="str">
        <f t="shared" ref="D293:E293" ca="1" si="119">K106</f>
        <v>Aniko BEHARRIE</v>
      </c>
      <c r="E293" s="85" t="str">
        <f t="shared" ca="1" si="119"/>
        <v>Leigh</v>
      </c>
      <c r="T293" s="64">
        <f t="shared" ca="1" si="86"/>
        <v>2</v>
      </c>
      <c r="U293" s="64" t="str">
        <f t="shared" si="87"/>
        <v/>
      </c>
      <c r="V293" s="266">
        <f ca="1">IF(OR(D293=0,D293="",D293="Athlete"),"",COUNTIF($D$4:$D293,D293))</f>
        <v>1</v>
      </c>
    </row>
    <row r="294" spans="4:22" hidden="1" x14ac:dyDescent="0.35">
      <c r="D294" s="85" t="str">
        <f t="shared" ref="D294:E294" ca="1" si="120">K107</f>
        <v>Freya HOWELLS</v>
      </c>
      <c r="E294" s="85" t="str">
        <f t="shared" ca="1" si="120"/>
        <v>C&amp;N</v>
      </c>
      <c r="T294" s="64">
        <f t="shared" ca="1" si="86"/>
        <v>3</v>
      </c>
      <c r="U294" s="64" t="str">
        <f t="shared" si="87"/>
        <v/>
      </c>
      <c r="V294" s="266">
        <f ca="1">IF(OR(D294=0,D294="",D294="Athlete"),"",COUNTIF($D$4:$D294,D294))</f>
        <v>3</v>
      </c>
    </row>
    <row r="295" spans="4:22" hidden="1" x14ac:dyDescent="0.35">
      <c r="D295" s="85" t="str">
        <f t="shared" ref="D295:E295" ca="1" si="121">K108</f>
        <v/>
      </c>
      <c r="E295" s="85" t="str">
        <f t="shared" ca="1" si="121"/>
        <v/>
      </c>
      <c r="T295" s="64" t="str">
        <f t="shared" ca="1" si="86"/>
        <v/>
      </c>
      <c r="U295" s="64" t="str">
        <f t="shared" si="87"/>
        <v/>
      </c>
      <c r="V295" s="266" t="str">
        <f ca="1">IF(OR(D295=0,D295="",D295="Athlete"),"",COUNTIF($D$4:$D295,D295))</f>
        <v/>
      </c>
    </row>
    <row r="296" spans="4:22" hidden="1" x14ac:dyDescent="0.35">
      <c r="D296" s="85" t="str">
        <f t="shared" ref="D296:E296" ca="1" si="122">K109</f>
        <v/>
      </c>
      <c r="E296" s="85" t="str">
        <f t="shared" ca="1" si="122"/>
        <v/>
      </c>
      <c r="T296" s="64" t="str">
        <f t="shared" ca="1" si="86"/>
        <v/>
      </c>
      <c r="U296" s="64" t="str">
        <f t="shared" si="87"/>
        <v/>
      </c>
      <c r="V296" s="266" t="str">
        <f ca="1">IF(OR(D296=0,D296="",D296="Athlete"),"",COUNTIF($D$4:$D296,D296))</f>
        <v/>
      </c>
    </row>
    <row r="297" spans="4:22" hidden="1" x14ac:dyDescent="0.35">
      <c r="D297" s="85" t="str">
        <f t="shared" ref="D297:E297" ca="1" si="123">K110</f>
        <v/>
      </c>
      <c r="E297" s="85" t="str">
        <f t="shared" ca="1" si="123"/>
        <v/>
      </c>
      <c r="T297" s="64" t="str">
        <f t="shared" ca="1" si="86"/>
        <v/>
      </c>
      <c r="U297" s="64" t="str">
        <f t="shared" si="87"/>
        <v/>
      </c>
      <c r="V297" s="266" t="str">
        <f ca="1">IF(OR(D297=0,D297="",D297="Athlete"),"",COUNTIF($D$4:$D297,D297))</f>
        <v/>
      </c>
    </row>
    <row r="298" spans="4:22" hidden="1" x14ac:dyDescent="0.35">
      <c r="D298" s="85">
        <f t="shared" ref="D298:E298" si="124">K111</f>
        <v>0</v>
      </c>
      <c r="E298" s="85">
        <f t="shared" si="124"/>
        <v>0</v>
      </c>
      <c r="T298" s="64" t="str">
        <f t="shared" si="86"/>
        <v/>
      </c>
      <c r="U298" s="64" t="str">
        <f t="shared" si="87"/>
        <v/>
      </c>
      <c r="V298" s="266" t="str">
        <f>IF(OR(D298=0,D298="",D298="Athlete"),"",COUNTIF($D$4:$D298,D298))</f>
        <v/>
      </c>
    </row>
    <row r="299" spans="4:22" hidden="1" x14ac:dyDescent="0.35">
      <c r="D299" s="85">
        <f t="shared" ref="D299:E299" si="125">K112</f>
        <v>0</v>
      </c>
      <c r="E299" s="85">
        <f t="shared" si="125"/>
        <v>0</v>
      </c>
      <c r="T299" s="64" t="str">
        <f t="shared" si="86"/>
        <v/>
      </c>
      <c r="U299" s="64" t="str">
        <f t="shared" si="87"/>
        <v/>
      </c>
      <c r="V299" s="266" t="str">
        <f>IF(OR(D299=0,D299="",D299="Athlete"),"",COUNTIF($D$4:$D299,D299))</f>
        <v/>
      </c>
    </row>
    <row r="300" spans="4:22" hidden="1" x14ac:dyDescent="0.35">
      <c r="D300" s="85" t="str">
        <f t="shared" ref="D300:E300" ca="1" si="126">K113</f>
        <v>Athlete</v>
      </c>
      <c r="E300" s="85" t="str">
        <f t="shared" ca="1" si="126"/>
        <v>Club</v>
      </c>
      <c r="T300" s="64" t="str">
        <f t="shared" ca="1" si="86"/>
        <v/>
      </c>
      <c r="U300" s="64" t="str">
        <f t="shared" si="87"/>
        <v/>
      </c>
      <c r="V300" s="266" t="str">
        <f ca="1">IF(OR(D300=0,D300="",D300="Athlete"),"",COUNTIF($D$4:$D300,D300))</f>
        <v/>
      </c>
    </row>
    <row r="301" spans="4:22" hidden="1" x14ac:dyDescent="0.35">
      <c r="D301" s="85" t="str">
        <f t="shared" ref="D301:E301" ca="1" si="127">K114</f>
        <v>Aniko BEHARRIE</v>
      </c>
      <c r="E301" s="85" t="str">
        <f t="shared" ca="1" si="127"/>
        <v>Leigh</v>
      </c>
      <c r="T301" s="64">
        <f t="shared" ca="1" si="86"/>
        <v>2</v>
      </c>
      <c r="U301" s="64" t="str">
        <f t="shared" si="87"/>
        <v/>
      </c>
      <c r="V301" s="266">
        <f ca="1">IF(OR(D301=0,D301="",D301="Athlete"),"",COUNTIF($D$4:$D301,D301))</f>
        <v>2</v>
      </c>
    </row>
    <row r="302" spans="4:22" hidden="1" x14ac:dyDescent="0.35">
      <c r="D302" s="85" t="str">
        <f t="shared" ref="D302:E302" ca="1" si="128">K115</f>
        <v>Malkia HENRY</v>
      </c>
      <c r="E302" s="85" t="str">
        <f t="shared" ca="1" si="128"/>
        <v>C&amp;N</v>
      </c>
      <c r="T302" s="64">
        <f t="shared" ca="1" si="86"/>
        <v>3</v>
      </c>
      <c r="U302" s="64" t="str">
        <f t="shared" si="87"/>
        <v/>
      </c>
      <c r="V302" s="266">
        <f ca="1">IF(OR(D302=0,D302="",D302="Athlete"),"",COUNTIF($D$4:$D302,D302))</f>
        <v>3</v>
      </c>
    </row>
    <row r="303" spans="4:22" hidden="1" x14ac:dyDescent="0.35">
      <c r="D303" s="85" t="str">
        <f t="shared" ref="D303:E303" ca="1" si="129">K116</f>
        <v>Demi BAXTER</v>
      </c>
      <c r="E303" s="85" t="str">
        <f t="shared" ca="1" si="129"/>
        <v>ECHT</v>
      </c>
      <c r="T303" s="64">
        <f t="shared" ca="1" si="86"/>
        <v>2</v>
      </c>
      <c r="U303" s="64" t="str">
        <f t="shared" si="87"/>
        <v/>
      </c>
      <c r="V303" s="266">
        <f ca="1">IF(OR(D303=0,D303="",D303="Athlete"),"",COUNTIF($D$4:$D303,D303))</f>
        <v>2</v>
      </c>
    </row>
    <row r="304" spans="4:22" hidden="1" x14ac:dyDescent="0.35">
      <c r="D304" s="85" t="str">
        <f t="shared" ref="D304:E304" ca="1" si="130">K117</f>
        <v>Grace HARRIS</v>
      </c>
      <c r="E304" s="85" t="str">
        <f t="shared" ca="1" si="130"/>
        <v>Wigan</v>
      </c>
      <c r="T304" s="64">
        <f t="shared" ca="1" si="86"/>
        <v>3</v>
      </c>
      <c r="U304" s="64" t="str">
        <f t="shared" si="87"/>
        <v/>
      </c>
      <c r="V304" s="266">
        <f ca="1">IF(OR(D304=0,D304="",D304="Athlete"),"",COUNTIF($D$4:$D304,D304))</f>
        <v>3</v>
      </c>
    </row>
    <row r="305" spans="4:22" hidden="1" x14ac:dyDescent="0.35">
      <c r="D305" s="85" t="str">
        <f t="shared" ref="D305:E305" ca="1" si="131">K118</f>
        <v>Charlotte RHODES</v>
      </c>
      <c r="E305" s="85" t="str">
        <f t="shared" ca="1" si="131"/>
        <v>Macc</v>
      </c>
      <c r="T305" s="64">
        <f t="shared" ca="1" si="86"/>
        <v>2</v>
      </c>
      <c r="U305" s="64" t="str">
        <f t="shared" si="87"/>
        <v/>
      </c>
      <c r="V305" s="266">
        <f ca="1">IF(OR(D305=0,D305="",D305="Athlete"),"",COUNTIF($D$4:$D305,D305))</f>
        <v>2</v>
      </c>
    </row>
    <row r="306" spans="4:22" hidden="1" x14ac:dyDescent="0.35">
      <c r="D306" s="85" t="str">
        <f t="shared" ref="D306:E306" ca="1" si="132">K119</f>
        <v/>
      </c>
      <c r="E306" s="85" t="str">
        <f t="shared" ca="1" si="132"/>
        <v/>
      </c>
      <c r="T306" s="64" t="str">
        <f t="shared" ca="1" si="86"/>
        <v/>
      </c>
      <c r="U306" s="64" t="str">
        <f t="shared" si="87"/>
        <v/>
      </c>
      <c r="V306" s="266" t="str">
        <f ca="1">IF(OR(D306=0,D306="",D306="Athlete"),"",COUNTIF($D$4:$D306,D306))</f>
        <v/>
      </c>
    </row>
    <row r="307" spans="4:22" hidden="1" x14ac:dyDescent="0.35">
      <c r="D307" s="85" t="str">
        <f t="shared" ref="D307:E307" ca="1" si="133">K120</f>
        <v/>
      </c>
      <c r="E307" s="85" t="str">
        <f t="shared" ca="1" si="133"/>
        <v/>
      </c>
      <c r="T307" s="64" t="str">
        <f t="shared" ca="1" si="86"/>
        <v/>
      </c>
      <c r="U307" s="64" t="str">
        <f t="shared" si="87"/>
        <v/>
      </c>
      <c r="V307" s="266" t="str">
        <f ca="1">IF(OR(D307=0,D307="",D307="Athlete"),"",COUNTIF($D$4:$D307,D307))</f>
        <v/>
      </c>
    </row>
    <row r="308" spans="4:22" hidden="1" x14ac:dyDescent="0.35">
      <c r="D308" s="85" t="str">
        <f t="shared" ref="D308:E308" ca="1" si="134">K121</f>
        <v/>
      </c>
      <c r="E308" s="85" t="str">
        <f t="shared" ca="1" si="134"/>
        <v/>
      </c>
      <c r="T308" s="64" t="str">
        <f t="shared" ca="1" si="86"/>
        <v/>
      </c>
      <c r="U308" s="64" t="str">
        <f t="shared" si="87"/>
        <v/>
      </c>
      <c r="V308" s="266" t="str">
        <f ca="1">IF(OR(D308=0,D308="",D308="Athlete"),"",COUNTIF($D$4:$D308,D308))</f>
        <v/>
      </c>
    </row>
    <row r="309" spans="4:22" hidden="1" x14ac:dyDescent="0.35">
      <c r="D309" s="85">
        <f t="shared" ref="D309:E309" si="135">K122</f>
        <v>0</v>
      </c>
      <c r="E309" s="85">
        <f t="shared" si="135"/>
        <v>0</v>
      </c>
      <c r="T309" s="64" t="str">
        <f t="shared" si="86"/>
        <v/>
      </c>
      <c r="U309" s="64" t="str">
        <f t="shared" si="87"/>
        <v/>
      </c>
      <c r="V309" s="266" t="str">
        <f>IF(OR(D309=0,D309="",D309="Athlete"),"",COUNTIF($D$4:$D309,D309))</f>
        <v/>
      </c>
    </row>
    <row r="310" spans="4:22" hidden="1" x14ac:dyDescent="0.35">
      <c r="D310" s="85">
        <f t="shared" ref="D310:E310" si="136">K123</f>
        <v>0</v>
      </c>
      <c r="E310" s="85">
        <f t="shared" si="136"/>
        <v>0</v>
      </c>
      <c r="T310" s="64" t="str">
        <f t="shared" si="86"/>
        <v/>
      </c>
      <c r="U310" s="64" t="str">
        <f t="shared" si="87"/>
        <v/>
      </c>
      <c r="V310" s="266" t="str">
        <f>IF(OR(D310=0,D310="",D310="Athlete"),"",COUNTIF($D$4:$D310,D310))</f>
        <v/>
      </c>
    </row>
    <row r="311" spans="4:22" hidden="1" x14ac:dyDescent="0.35">
      <c r="D311" s="85">
        <f t="shared" ref="D311" si="137">K124</f>
        <v>0</v>
      </c>
      <c r="E311" s="85" t="e">
        <f>#REF!</f>
        <v>#REF!</v>
      </c>
      <c r="T311" s="64" t="str">
        <f t="shared" si="86"/>
        <v/>
      </c>
      <c r="U311" s="64" t="str">
        <f t="shared" si="87"/>
        <v/>
      </c>
      <c r="V311" s="266" t="str">
        <f>IF(OR(D311=0,D311="",D311="Athlete"),"",COUNTIF($D$4:$D311,D311))</f>
        <v/>
      </c>
    </row>
    <row r="312" spans="4:22" hidden="1" x14ac:dyDescent="0.35">
      <c r="D312" s="85">
        <f t="shared" ref="D312" si="138">K125</f>
        <v>0</v>
      </c>
      <c r="E312" s="85" t="e">
        <f>#REF!</f>
        <v>#REF!</v>
      </c>
      <c r="T312" s="64" t="str">
        <f t="shared" si="86"/>
        <v/>
      </c>
      <c r="U312" s="64" t="str">
        <f t="shared" si="87"/>
        <v/>
      </c>
      <c r="V312" s="266" t="str">
        <f>IF(OR(D312=0,D312="",D312="Athlete"),"",COUNTIF($D$4:$D312,D312))</f>
        <v/>
      </c>
    </row>
    <row r="313" spans="4:22" hidden="1" x14ac:dyDescent="0.35">
      <c r="D313" s="85">
        <f t="shared" ref="D313" si="139">K126</f>
        <v>0</v>
      </c>
      <c r="E313" s="85" t="e">
        <f>#REF!</f>
        <v>#REF!</v>
      </c>
      <c r="T313" s="64" t="str">
        <f t="shared" si="86"/>
        <v/>
      </c>
      <c r="U313" s="64" t="str">
        <f t="shared" si="87"/>
        <v/>
      </c>
      <c r="V313" s="266" t="str">
        <f>IF(OR(D313=0,D313="",D313="Athlete"),"",COUNTIF($D$4:$D313,D313))</f>
        <v/>
      </c>
    </row>
    <row r="314" spans="4:22" hidden="1" x14ac:dyDescent="0.35">
      <c r="D314" s="85">
        <f t="shared" ref="D314" si="140">K127</f>
        <v>0</v>
      </c>
      <c r="E314" s="85" t="e">
        <f>#REF!</f>
        <v>#REF!</v>
      </c>
      <c r="T314" s="64" t="str">
        <f t="shared" si="86"/>
        <v/>
      </c>
      <c r="U314" s="64" t="str">
        <f t="shared" si="87"/>
        <v/>
      </c>
      <c r="V314" s="266" t="str">
        <f>IF(OR(D314=0,D314="",D314="Athlete"),"",COUNTIF($D$4:$D314,D314))</f>
        <v/>
      </c>
    </row>
    <row r="315" spans="4:22" hidden="1" x14ac:dyDescent="0.35">
      <c r="D315" s="85">
        <f t="shared" ref="D315" si="141">K128</f>
        <v>0</v>
      </c>
      <c r="E315" s="85" t="e">
        <f>#REF!</f>
        <v>#REF!</v>
      </c>
      <c r="T315" s="64" t="str">
        <f t="shared" si="86"/>
        <v/>
      </c>
      <c r="U315" s="64" t="str">
        <f t="shared" si="87"/>
        <v/>
      </c>
      <c r="V315" s="266" t="str">
        <f>IF(OR(D315=0,D315="",D315="Athlete"),"",COUNTIF($D$4:$D315,D315))</f>
        <v/>
      </c>
    </row>
    <row r="316" spans="4:22" hidden="1" x14ac:dyDescent="0.35">
      <c r="D316" s="85">
        <f t="shared" ref="D316" si="142">K129</f>
        <v>0</v>
      </c>
      <c r="E316" s="85" t="e">
        <f>#REF!</f>
        <v>#REF!</v>
      </c>
      <c r="T316" s="64" t="str">
        <f t="shared" si="86"/>
        <v/>
      </c>
      <c r="U316" s="64" t="str">
        <f t="shared" si="87"/>
        <v/>
      </c>
      <c r="V316" s="266" t="str">
        <f>IF(OR(D316=0,D316="",D316="Athlete"),"",COUNTIF($D$4:$D316,D316))</f>
        <v/>
      </c>
    </row>
    <row r="317" spans="4:22" hidden="1" x14ac:dyDescent="0.35">
      <c r="D317" s="85">
        <f t="shared" ref="D317" si="143">K130</f>
        <v>0</v>
      </c>
      <c r="E317" s="85" t="e">
        <f>#REF!</f>
        <v>#REF!</v>
      </c>
      <c r="T317" s="64" t="str">
        <f t="shared" si="86"/>
        <v/>
      </c>
      <c r="U317" s="64" t="str">
        <f t="shared" si="87"/>
        <v/>
      </c>
      <c r="V317" s="266" t="str">
        <f>IF(OR(D317=0,D317="",D317="Athlete"),"",COUNTIF($D$4:$D317,D317))</f>
        <v/>
      </c>
    </row>
    <row r="318" spans="4:22" hidden="1" x14ac:dyDescent="0.35">
      <c r="D318" s="85">
        <f t="shared" ref="D318" si="144">K131</f>
        <v>0</v>
      </c>
      <c r="E318" s="85" t="e">
        <f>#REF!</f>
        <v>#REF!</v>
      </c>
      <c r="T318" s="64" t="str">
        <f t="shared" si="86"/>
        <v/>
      </c>
      <c r="U318" s="64" t="str">
        <f t="shared" si="87"/>
        <v/>
      </c>
      <c r="V318" s="266" t="str">
        <f>IF(OR(D318=0,D318="",D318="Athlete"),"",COUNTIF($D$4:$D318,D318))</f>
        <v/>
      </c>
    </row>
    <row r="319" spans="4:22" hidden="1" x14ac:dyDescent="0.35">
      <c r="D319" s="85">
        <f t="shared" ref="D319" si="145">K132</f>
        <v>0</v>
      </c>
      <c r="E319" s="85" t="e">
        <f>#REF!</f>
        <v>#REF!</v>
      </c>
      <c r="T319" s="64" t="str">
        <f t="shared" si="86"/>
        <v/>
      </c>
      <c r="U319" s="64" t="str">
        <f t="shared" si="87"/>
        <v/>
      </c>
      <c r="V319" s="266" t="str">
        <f>IF(OR(D319=0,D319="",D319="Athlete"),"",COUNTIF($D$4:$D319,D319))</f>
        <v/>
      </c>
    </row>
    <row r="320" spans="4:22" hidden="1" x14ac:dyDescent="0.35">
      <c r="D320" s="85">
        <f t="shared" ref="D320:E320" si="146">K133</f>
        <v>0</v>
      </c>
      <c r="E320" s="85">
        <f t="shared" si="146"/>
        <v>0</v>
      </c>
      <c r="T320" s="64" t="str">
        <f t="shared" si="86"/>
        <v/>
      </c>
      <c r="U320" s="64" t="str">
        <f t="shared" si="87"/>
        <v/>
      </c>
      <c r="V320" s="266" t="str">
        <f>IF(OR(D320=0,D320="",D320="Athlete"),"",COUNTIF($D$4:$D320,D320))</f>
        <v/>
      </c>
    </row>
    <row r="321" spans="4:22" hidden="1" x14ac:dyDescent="0.35">
      <c r="D321" s="85">
        <f t="shared" ref="D321:E321" si="147">K134</f>
        <v>0</v>
      </c>
      <c r="E321" s="85">
        <f t="shared" si="147"/>
        <v>0</v>
      </c>
      <c r="T321" s="64" t="str">
        <f t="shared" si="86"/>
        <v/>
      </c>
      <c r="U321" s="64" t="str">
        <f t="shared" si="87"/>
        <v/>
      </c>
      <c r="V321" s="266" t="str">
        <f>IF(OR(D321=0,D321="",D321="Athlete"),"",COUNTIF($D$4:$D321,D321))</f>
        <v/>
      </c>
    </row>
    <row r="322" spans="4:22" hidden="1" x14ac:dyDescent="0.35">
      <c r="D322" s="85">
        <f t="shared" ref="D322:E322" si="148">K135</f>
        <v>0</v>
      </c>
      <c r="E322" s="85">
        <f t="shared" si="148"/>
        <v>0</v>
      </c>
      <c r="T322" s="64" t="str">
        <f t="shared" si="86"/>
        <v/>
      </c>
      <c r="U322" s="64" t="str">
        <f t="shared" si="87"/>
        <v/>
      </c>
      <c r="V322" s="266" t="str">
        <f>IF(OR(D322=0,D322="",D322="Athlete"),"",COUNTIF($D$4:$D322,D322))</f>
        <v/>
      </c>
    </row>
    <row r="323" spans="4:22" hidden="1" x14ac:dyDescent="0.35">
      <c r="D323" s="85">
        <f t="shared" ref="D323:E323" si="149">K136</f>
        <v>0</v>
      </c>
      <c r="E323" s="85">
        <f t="shared" si="149"/>
        <v>0</v>
      </c>
      <c r="T323" s="64" t="str">
        <f t="shared" si="86"/>
        <v/>
      </c>
      <c r="U323" s="64" t="str">
        <f t="shared" si="87"/>
        <v/>
      </c>
      <c r="V323" s="266" t="str">
        <f>IF(OR(D323=0,D323="",D323="Athlete"),"",COUNTIF($D$4:$D323,D323))</f>
        <v/>
      </c>
    </row>
    <row r="324" spans="4:22" hidden="1" x14ac:dyDescent="0.35">
      <c r="D324" s="85">
        <f t="shared" ref="D324:E324" si="150">K137</f>
        <v>0</v>
      </c>
      <c r="E324" s="85">
        <f t="shared" si="150"/>
        <v>0</v>
      </c>
      <c r="T324" s="64" t="str">
        <f t="shared" si="86"/>
        <v/>
      </c>
      <c r="U324" s="64" t="str">
        <f t="shared" si="87"/>
        <v/>
      </c>
      <c r="V324" s="266" t="str">
        <f>IF(OR(D324=0,D324="",D324="Athlete"),"",COUNTIF($D$4:$D324,D324))</f>
        <v/>
      </c>
    </row>
    <row r="325" spans="4:22" hidden="1" x14ac:dyDescent="0.35">
      <c r="D325" s="85">
        <f t="shared" ref="D325:E325" si="151">K138</f>
        <v>0</v>
      </c>
      <c r="E325" s="85">
        <f t="shared" si="151"/>
        <v>0</v>
      </c>
      <c r="T325" s="64" t="str">
        <f t="shared" ref="T325:T352" si="152">IF(OR(D325=0,D325="",D325="Athlete"),"",COUNTIF($D$4:$D$352,D325))</f>
        <v/>
      </c>
      <c r="U325" s="64" t="str">
        <f t="shared" ref="U325:U352" si="153">IF(OR(K325=0,K325="",K325="Athlete"),"",COUNTIF($D$4:$D$352,K325))</f>
        <v/>
      </c>
      <c r="V325" s="266" t="str">
        <f>IF(OR(D325=0,D325="",D325="Athlete"),"",COUNTIF($D$4:$D325,D325))</f>
        <v/>
      </c>
    </row>
    <row r="326" spans="4:22" hidden="1" x14ac:dyDescent="0.35">
      <c r="D326" s="85">
        <f t="shared" ref="D326:E326" si="154">K139</f>
        <v>0</v>
      </c>
      <c r="E326" s="85">
        <f t="shared" si="154"/>
        <v>0</v>
      </c>
      <c r="T326" s="64" t="str">
        <f t="shared" si="152"/>
        <v/>
      </c>
      <c r="U326" s="64" t="str">
        <f t="shared" si="153"/>
        <v/>
      </c>
      <c r="V326" s="266" t="str">
        <f>IF(OR(D326=0,D326="",D326="Athlete"),"",COUNTIF($D$4:$D326,D326))</f>
        <v/>
      </c>
    </row>
    <row r="327" spans="4:22" hidden="1" x14ac:dyDescent="0.35">
      <c r="D327" s="85">
        <f t="shared" ref="D327:E327" si="155">K140</f>
        <v>0</v>
      </c>
      <c r="E327" s="85">
        <f t="shared" si="155"/>
        <v>0</v>
      </c>
      <c r="T327" s="64" t="str">
        <f t="shared" si="152"/>
        <v/>
      </c>
      <c r="U327" s="64" t="str">
        <f t="shared" si="153"/>
        <v/>
      </c>
      <c r="V327" s="266" t="str">
        <f>IF(OR(D327=0,D327="",D327="Athlete"),"",COUNTIF($D$4:$D327,D327))</f>
        <v/>
      </c>
    </row>
    <row r="328" spans="4:22" hidden="1" x14ac:dyDescent="0.35">
      <c r="D328" s="85">
        <f t="shared" ref="D328:E328" si="156">K141</f>
        <v>0</v>
      </c>
      <c r="E328" s="85">
        <f t="shared" si="156"/>
        <v>0</v>
      </c>
      <c r="T328" s="64" t="str">
        <f t="shared" si="152"/>
        <v/>
      </c>
      <c r="U328" s="64" t="str">
        <f t="shared" si="153"/>
        <v/>
      </c>
      <c r="V328" s="266" t="str">
        <f>IF(OR(D328=0,D328="",D328="Athlete"),"",COUNTIF($D$4:$D328,D328))</f>
        <v/>
      </c>
    </row>
    <row r="329" spans="4:22" hidden="1" x14ac:dyDescent="0.35">
      <c r="D329" s="85">
        <f t="shared" ref="D329:E329" si="157">K142</f>
        <v>0</v>
      </c>
      <c r="E329" s="85">
        <f t="shared" si="157"/>
        <v>0</v>
      </c>
      <c r="T329" s="64" t="str">
        <f t="shared" si="152"/>
        <v/>
      </c>
      <c r="U329" s="64" t="str">
        <f t="shared" si="153"/>
        <v/>
      </c>
      <c r="V329" s="266" t="str">
        <f>IF(OR(D329=0,D329="",D329="Athlete"),"",COUNTIF($D$4:$D329,D329))</f>
        <v/>
      </c>
    </row>
    <row r="330" spans="4:22" hidden="1" x14ac:dyDescent="0.35">
      <c r="D330" s="85">
        <f t="shared" ref="D330:E330" si="158">K143</f>
        <v>0</v>
      </c>
      <c r="E330" s="85">
        <f t="shared" si="158"/>
        <v>0</v>
      </c>
      <c r="T330" s="64" t="str">
        <f t="shared" si="152"/>
        <v/>
      </c>
      <c r="U330" s="64" t="str">
        <f t="shared" si="153"/>
        <v/>
      </c>
      <c r="V330" s="266" t="str">
        <f>IF(OR(D330=0,D330="",D330="Athlete"),"",COUNTIF($D$4:$D330,D330))</f>
        <v/>
      </c>
    </row>
    <row r="331" spans="4:22" hidden="1" x14ac:dyDescent="0.35">
      <c r="D331" s="85">
        <f t="shared" ref="D331:E331" si="159">K144</f>
        <v>0</v>
      </c>
      <c r="E331" s="85">
        <f t="shared" si="159"/>
        <v>0</v>
      </c>
      <c r="T331" s="64" t="str">
        <f t="shared" si="152"/>
        <v/>
      </c>
      <c r="U331" s="64" t="str">
        <f t="shared" si="153"/>
        <v/>
      </c>
      <c r="V331" s="266" t="str">
        <f>IF(OR(D331=0,D331="",D331="Athlete"),"",COUNTIF($D$4:$D331,D331))</f>
        <v/>
      </c>
    </row>
    <row r="332" spans="4:22" hidden="1" x14ac:dyDescent="0.35">
      <c r="D332" s="85">
        <f t="shared" ref="D332:E332" si="160">K145</f>
        <v>0</v>
      </c>
      <c r="E332" s="85">
        <f t="shared" si="160"/>
        <v>0</v>
      </c>
      <c r="T332" s="64" t="str">
        <f t="shared" si="152"/>
        <v/>
      </c>
      <c r="U332" s="64" t="str">
        <f t="shared" si="153"/>
        <v/>
      </c>
      <c r="V332" s="266" t="str">
        <f>IF(OR(D332=0,D332="",D332="Athlete"),"",COUNTIF($D$4:$D332,D332))</f>
        <v/>
      </c>
    </row>
    <row r="333" spans="4:22" hidden="1" x14ac:dyDescent="0.35">
      <c r="D333" s="85">
        <f t="shared" ref="D333:E333" si="161">K146</f>
        <v>0</v>
      </c>
      <c r="E333" s="85">
        <f t="shared" si="161"/>
        <v>0</v>
      </c>
      <c r="T333" s="64" t="str">
        <f t="shared" si="152"/>
        <v/>
      </c>
      <c r="U333" s="64" t="str">
        <f t="shared" si="153"/>
        <v/>
      </c>
      <c r="V333" s="266" t="str">
        <f>IF(OR(D333=0,D333="",D333="Athlete"),"",COUNTIF($D$4:$D333,D333))</f>
        <v/>
      </c>
    </row>
    <row r="334" spans="4:22" hidden="1" x14ac:dyDescent="0.35">
      <c r="D334" s="85">
        <f t="shared" ref="D334:E334" si="162">K147</f>
        <v>0</v>
      </c>
      <c r="E334" s="85">
        <f t="shared" si="162"/>
        <v>0</v>
      </c>
      <c r="T334" s="64" t="str">
        <f t="shared" si="152"/>
        <v/>
      </c>
      <c r="U334" s="64" t="str">
        <f t="shared" si="153"/>
        <v/>
      </c>
      <c r="V334" s="266" t="str">
        <f>IF(OR(D334=0,D334="",D334="Athlete"),"",COUNTIF($D$4:$D334,D334))</f>
        <v/>
      </c>
    </row>
    <row r="335" spans="4:22" hidden="1" x14ac:dyDescent="0.35">
      <c r="D335" s="85">
        <f t="shared" ref="D335:E335" si="163">K148</f>
        <v>0</v>
      </c>
      <c r="E335" s="85">
        <f t="shared" si="163"/>
        <v>0</v>
      </c>
      <c r="T335" s="64" t="str">
        <f t="shared" si="152"/>
        <v/>
      </c>
      <c r="U335" s="64" t="str">
        <f t="shared" si="153"/>
        <v/>
      </c>
      <c r="V335" s="266" t="str">
        <f>IF(OR(D335=0,D335="",D335="Athlete"),"",COUNTIF($D$4:$D335,D335))</f>
        <v/>
      </c>
    </row>
    <row r="336" spans="4:22" hidden="1" x14ac:dyDescent="0.35">
      <c r="D336" s="85">
        <f t="shared" ref="D336:E336" si="164">K149</f>
        <v>0</v>
      </c>
      <c r="E336" s="85">
        <f t="shared" si="164"/>
        <v>0</v>
      </c>
      <c r="T336" s="64" t="str">
        <f t="shared" si="152"/>
        <v/>
      </c>
      <c r="U336" s="64" t="str">
        <f t="shared" si="153"/>
        <v/>
      </c>
      <c r="V336" s="266" t="str">
        <f>IF(OR(D336=0,D336="",D336="Athlete"),"",COUNTIF($D$4:$D336,D336))</f>
        <v/>
      </c>
    </row>
    <row r="337" spans="4:22" hidden="1" x14ac:dyDescent="0.35">
      <c r="D337" s="85">
        <f t="shared" ref="D337:E337" si="165">K150</f>
        <v>0</v>
      </c>
      <c r="E337" s="85">
        <f t="shared" si="165"/>
        <v>0</v>
      </c>
      <c r="T337" s="64" t="str">
        <f t="shared" si="152"/>
        <v/>
      </c>
      <c r="U337" s="64" t="str">
        <f t="shared" si="153"/>
        <v/>
      </c>
      <c r="V337" s="266" t="str">
        <f>IF(OR(D337=0,D337="",D337="Athlete"),"",COUNTIF($D$4:$D337,D337))</f>
        <v/>
      </c>
    </row>
    <row r="338" spans="4:22" hidden="1" x14ac:dyDescent="0.35">
      <c r="D338" s="85">
        <f t="shared" ref="D338:E338" si="166">K151</f>
        <v>0</v>
      </c>
      <c r="E338" s="85">
        <f t="shared" si="166"/>
        <v>0</v>
      </c>
      <c r="T338" s="64" t="str">
        <f t="shared" si="152"/>
        <v/>
      </c>
      <c r="U338" s="64" t="str">
        <f t="shared" si="153"/>
        <v/>
      </c>
      <c r="V338" s="266" t="str">
        <f>IF(OR(D338=0,D338="",D338="Athlete"),"",COUNTIF($D$4:$D338,D338))</f>
        <v/>
      </c>
    </row>
    <row r="339" spans="4:22" hidden="1" x14ac:dyDescent="0.35">
      <c r="D339" s="85">
        <f t="shared" ref="D339:E339" si="167">K152</f>
        <v>0</v>
      </c>
      <c r="E339" s="85">
        <f t="shared" si="167"/>
        <v>0</v>
      </c>
      <c r="T339" s="64" t="str">
        <f t="shared" si="152"/>
        <v/>
      </c>
      <c r="U339" s="64" t="str">
        <f t="shared" si="153"/>
        <v/>
      </c>
      <c r="V339" s="266" t="str">
        <f>IF(OR(D339=0,D339="",D339="Athlete"),"",COUNTIF($D$4:$D339,D339))</f>
        <v/>
      </c>
    </row>
    <row r="340" spans="4:22" hidden="1" x14ac:dyDescent="0.35">
      <c r="D340" s="85">
        <f t="shared" ref="D340:E340" si="168">K153</f>
        <v>0</v>
      </c>
      <c r="E340" s="85">
        <f t="shared" si="168"/>
        <v>0</v>
      </c>
      <c r="T340" s="64" t="str">
        <f t="shared" si="152"/>
        <v/>
      </c>
      <c r="U340" s="64" t="str">
        <f t="shared" si="153"/>
        <v/>
      </c>
      <c r="V340" s="266" t="str">
        <f>IF(OR(D340=0,D340="",D340="Athlete"),"",COUNTIF($D$4:$D340,D340))</f>
        <v/>
      </c>
    </row>
    <row r="341" spans="4:22" hidden="1" x14ac:dyDescent="0.35">
      <c r="D341" s="85">
        <f t="shared" ref="D341:E341" si="169">K154</f>
        <v>0</v>
      </c>
      <c r="E341" s="85">
        <f t="shared" si="169"/>
        <v>0</v>
      </c>
      <c r="T341" s="64" t="str">
        <f t="shared" si="152"/>
        <v/>
      </c>
      <c r="U341" s="64" t="str">
        <f t="shared" si="153"/>
        <v/>
      </c>
      <c r="V341" s="266" t="str">
        <f>IF(OR(D341=0,D341="",D341="Athlete"),"",COUNTIF($D$4:$D341,D341))</f>
        <v/>
      </c>
    </row>
    <row r="342" spans="4:22" hidden="1" x14ac:dyDescent="0.35">
      <c r="D342" s="85">
        <f t="shared" ref="D342:E342" si="170">K155</f>
        <v>0</v>
      </c>
      <c r="E342" s="85">
        <f t="shared" si="170"/>
        <v>0</v>
      </c>
      <c r="T342" s="64" t="str">
        <f t="shared" si="152"/>
        <v/>
      </c>
      <c r="U342" s="64" t="str">
        <f t="shared" si="153"/>
        <v/>
      </c>
      <c r="V342" s="266" t="str">
        <f>IF(OR(D342=0,D342="",D342="Athlete"),"",COUNTIF($D$4:$D342,D342))</f>
        <v/>
      </c>
    </row>
    <row r="343" spans="4:22" hidden="1" x14ac:dyDescent="0.35">
      <c r="D343" s="85">
        <f t="shared" ref="D343:E343" si="171">K156</f>
        <v>0</v>
      </c>
      <c r="E343" s="85">
        <f t="shared" si="171"/>
        <v>0</v>
      </c>
      <c r="T343" s="64" t="str">
        <f t="shared" si="152"/>
        <v/>
      </c>
      <c r="U343" s="64" t="str">
        <f t="shared" si="153"/>
        <v/>
      </c>
      <c r="V343" s="266" t="str">
        <f>IF(OR(D343=0,D343="",D343="Athlete"),"",COUNTIF($D$4:$D343,D343))</f>
        <v/>
      </c>
    </row>
    <row r="344" spans="4:22" hidden="1" x14ac:dyDescent="0.35">
      <c r="D344" s="85">
        <f t="shared" ref="D344:E344" si="172">K157</f>
        <v>0</v>
      </c>
      <c r="E344" s="85">
        <f t="shared" si="172"/>
        <v>0</v>
      </c>
      <c r="T344" s="64" t="str">
        <f t="shared" si="152"/>
        <v/>
      </c>
      <c r="U344" s="64" t="str">
        <f t="shared" si="153"/>
        <v/>
      </c>
      <c r="V344" s="266" t="str">
        <f>IF(OR(D344=0,D344="",D344="Athlete"),"",COUNTIF($D$4:$D344,D344))</f>
        <v/>
      </c>
    </row>
    <row r="345" spans="4:22" hidden="1" x14ac:dyDescent="0.35">
      <c r="D345" s="85">
        <f t="shared" ref="D345:E345" si="173">K158</f>
        <v>0</v>
      </c>
      <c r="E345" s="85">
        <f t="shared" si="173"/>
        <v>0</v>
      </c>
      <c r="T345" s="64" t="str">
        <f t="shared" si="152"/>
        <v/>
      </c>
      <c r="U345" s="64" t="str">
        <f t="shared" si="153"/>
        <v/>
      </c>
      <c r="V345" s="266" t="str">
        <f>IF(OR(D345=0,D345="",D345="Athlete"),"",COUNTIF($D$4:$D345,D345))</f>
        <v/>
      </c>
    </row>
    <row r="346" spans="4:22" hidden="1" x14ac:dyDescent="0.35">
      <c r="D346" s="85">
        <f t="shared" ref="D346:E346" si="174">K159</f>
        <v>0</v>
      </c>
      <c r="E346" s="85">
        <f t="shared" si="174"/>
        <v>0</v>
      </c>
      <c r="T346" s="64" t="str">
        <f t="shared" si="152"/>
        <v/>
      </c>
      <c r="U346" s="64" t="str">
        <f t="shared" si="153"/>
        <v/>
      </c>
      <c r="V346" s="266" t="str">
        <f>IF(OR(D346=0,D346="",D346="Athlete"),"",COUNTIF($D$4:$D346,D346))</f>
        <v/>
      </c>
    </row>
    <row r="347" spans="4:22" hidden="1" x14ac:dyDescent="0.35">
      <c r="D347" s="85">
        <f t="shared" ref="D347:E347" si="175">K160</f>
        <v>0</v>
      </c>
      <c r="E347" s="85">
        <f t="shared" si="175"/>
        <v>0</v>
      </c>
      <c r="T347" s="64" t="str">
        <f t="shared" si="152"/>
        <v/>
      </c>
      <c r="U347" s="64" t="str">
        <f t="shared" si="153"/>
        <v/>
      </c>
      <c r="V347" s="266" t="str">
        <f>IF(OR(D347=0,D347="",D347="Athlete"),"",COUNTIF($D$4:$D347,D347))</f>
        <v/>
      </c>
    </row>
    <row r="348" spans="4:22" hidden="1" x14ac:dyDescent="0.35">
      <c r="D348" s="85">
        <f t="shared" ref="D348:E348" si="176">K161</f>
        <v>0</v>
      </c>
      <c r="E348" s="85">
        <f t="shared" si="176"/>
        <v>0</v>
      </c>
      <c r="T348" s="64" t="str">
        <f t="shared" si="152"/>
        <v/>
      </c>
      <c r="U348" s="64" t="str">
        <f t="shared" si="153"/>
        <v/>
      </c>
      <c r="V348" s="266" t="str">
        <f>IF(OR(D348=0,D348="",D348="Athlete"),"",COUNTIF($D$4:$D348,D348))</f>
        <v/>
      </c>
    </row>
    <row r="349" spans="4:22" hidden="1" x14ac:dyDescent="0.35">
      <c r="D349" s="85">
        <f t="shared" ref="D349:E349" si="177">K162</f>
        <v>0</v>
      </c>
      <c r="E349" s="85">
        <f t="shared" si="177"/>
        <v>0</v>
      </c>
      <c r="T349" s="64" t="str">
        <f t="shared" si="152"/>
        <v/>
      </c>
      <c r="U349" s="64" t="str">
        <f t="shared" si="153"/>
        <v/>
      </c>
      <c r="V349" s="266" t="str">
        <f>IF(OR(D349=0,D349="",D349="Athlete"),"",COUNTIF($D$4:$D349,D349))</f>
        <v/>
      </c>
    </row>
    <row r="350" spans="4:22" hidden="1" x14ac:dyDescent="0.35">
      <c r="D350" s="85">
        <f t="shared" ref="D350:E350" si="178">K163</f>
        <v>0</v>
      </c>
      <c r="E350" s="85">
        <f t="shared" si="178"/>
        <v>0</v>
      </c>
      <c r="T350" s="64" t="str">
        <f t="shared" si="152"/>
        <v/>
      </c>
      <c r="U350" s="64" t="str">
        <f t="shared" si="153"/>
        <v/>
      </c>
      <c r="V350" s="266" t="str">
        <f>IF(OR(D350=0,D350="",D350="Athlete"),"",COUNTIF($D$4:$D350,D350))</f>
        <v/>
      </c>
    </row>
    <row r="351" spans="4:22" hidden="1" x14ac:dyDescent="0.35">
      <c r="D351" s="85">
        <f t="shared" ref="D351:E351" si="179">K164</f>
        <v>0</v>
      </c>
      <c r="E351" s="85">
        <f t="shared" si="179"/>
        <v>0</v>
      </c>
      <c r="T351" s="64" t="str">
        <f t="shared" si="152"/>
        <v/>
      </c>
      <c r="U351" s="64" t="str">
        <f t="shared" si="153"/>
        <v/>
      </c>
      <c r="V351" s="266" t="str">
        <f>IF(OR(D351=0,D351="",D351="Athlete"),"",COUNTIF($D$4:$D351,D351))</f>
        <v/>
      </c>
    </row>
    <row r="352" spans="4:22" hidden="1" x14ac:dyDescent="0.35">
      <c r="D352" s="85">
        <f t="shared" ref="D352:E352" si="180">K165</f>
        <v>0</v>
      </c>
      <c r="E352" s="85">
        <f t="shared" si="180"/>
        <v>0</v>
      </c>
      <c r="T352" s="64" t="str">
        <f t="shared" si="152"/>
        <v/>
      </c>
      <c r="U352" s="64" t="str">
        <f t="shared" si="153"/>
        <v/>
      </c>
      <c r="V352" s="266" t="str">
        <f>IF(OR(D352=0,D352="",D352="Athlete"),"",COUNTIF($D$4:$D352,D352))</f>
        <v/>
      </c>
    </row>
  </sheetData>
  <sheetProtection algorithmName="SHA-512" hashValue="Y/Bn371J9DAgdglQynMdZl7WH5Q4anRMWHPcB7PMJ4tUkElI4WOVh4xZFiuawjTqR2yqWoTCTejjcqi5yjMunw==" saltValue="k45TyjCiNLKQ9jXpENDGUA==" spinCount="100000" sheet="1" objects="1" scenarios="1" formatCells="0" formatColumns="0" formatRows="0" sort="0" autoFilter="0"/>
  <mergeCells count="1">
    <mergeCell ref="L1:M1"/>
  </mergeCells>
  <printOptions horizontalCentered="1"/>
  <pageMargins left="0.31496062992125984" right="0.31496062992125984" top="0.98425196850393704" bottom="0.74803149606299213" header="0.31496062992125984" footer="0.31496062992125984"/>
  <pageSetup paperSize="9" scale="99" orientation="portrait" r:id="rId1"/>
  <headerFooter>
    <oddHeader>&amp;L&amp;G&amp;CUK ATHLETICS :: YOUTH DEVELOPMENT LEAGUE 2023&amp;R&amp;"+,Regular"&amp;U&amp;A</oddHeader>
    <oddFooter>&amp;L&amp;9&amp;D &amp;T&amp;C&amp;G&amp;R&amp;9Page &amp;P of &amp;N</oddFooter>
  </headerFooter>
  <rowBreaks count="2" manualBreakCount="2">
    <brk id="45" min="1" max="13" man="1"/>
    <brk id="89" min="1" max="13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1">
    <tabColor rgb="FF0070C0"/>
  </sheetPr>
  <dimension ref="A1:V894"/>
  <sheetViews>
    <sheetView showZeros="0" view="pageBreakPreview" topLeftCell="B1" zoomScaleNormal="100" zoomScaleSheetLayoutView="100" workbookViewId="0">
      <pane ySplit="1" topLeftCell="A501" activePane="bottomLeft" state="frozen"/>
      <selection activeCell="F7" sqref="F7"/>
      <selection pane="bottomLeft" activeCell="E510" sqref="E510"/>
    </sheetView>
  </sheetViews>
  <sheetFormatPr defaultColWidth="8.7109375" defaultRowHeight="15" x14ac:dyDescent="0.35"/>
  <cols>
    <col min="1" max="1" width="8.7109375" style="304" hidden="1" customWidth="1"/>
    <col min="2" max="2" width="5.7109375" style="304" customWidth="1"/>
    <col min="3" max="3" width="4.7109375" style="286" customWidth="1"/>
    <col min="4" max="4" width="3.7109375" style="304" customWidth="1"/>
    <col min="5" max="5" width="23.28515625" style="286" bestFit="1" customWidth="1"/>
    <col min="6" max="6" width="7.7109375" style="286" customWidth="1"/>
    <col min="7" max="7" width="5" style="297" bestFit="1" customWidth="1"/>
    <col min="8" max="8" width="1.7109375" style="286" customWidth="1"/>
    <col min="9" max="10" width="3.7109375" style="286" customWidth="1"/>
    <col min="11" max="11" width="23.28515625" style="286" bestFit="1" customWidth="1"/>
    <col min="12" max="12" width="10.42578125" style="286" bestFit="1" customWidth="1"/>
    <col min="13" max="13" width="8.28515625" style="291" bestFit="1" customWidth="1"/>
    <col min="14" max="14" width="4" style="291" customWidth="1"/>
    <col min="15" max="15" width="4" style="286" customWidth="1"/>
    <col min="16" max="16" width="8.7109375" style="286"/>
    <col min="17" max="18" width="8.7109375" style="302" hidden="1" customWidth="1"/>
    <col min="19" max="19" width="8.7109375" style="286" customWidth="1"/>
    <col min="20" max="23" width="15.7109375" style="286" customWidth="1"/>
    <col min="24" max="24" width="10.7109375" style="286" customWidth="1"/>
    <col min="25" max="16384" width="8.7109375" style="286"/>
  </cols>
  <sheetData>
    <row r="1" spans="1:19" ht="32.25" customHeight="1" x14ac:dyDescent="0.35">
      <c r="A1" s="82"/>
      <c r="B1" s="82"/>
      <c r="C1" s="295" t="str">
        <f>MatchDay!C2&amp;" AGE GROUP"&amp;" "&amp;MatchDay!C3&amp;" "&amp;MatchDay!C4</f>
        <v>LOWER AGE GROUP NORTH West 2</v>
      </c>
      <c r="D1" s="288"/>
      <c r="E1" s="289"/>
      <c r="F1" s="289"/>
      <c r="G1" s="290"/>
      <c r="H1" s="456" t="str">
        <f>MatchDay!C8</f>
        <v>Macclesfield Leisure Centre</v>
      </c>
      <c r="I1" s="456"/>
      <c r="J1" s="456"/>
      <c r="K1" s="456"/>
      <c r="L1" s="361">
        <f>MatchDay!C7</f>
        <v>45053</v>
      </c>
      <c r="M1" s="286"/>
      <c r="N1" s="286"/>
      <c r="Q1" s="458" t="s">
        <v>587</v>
      </c>
      <c r="R1" s="458"/>
      <c r="S1" s="304"/>
    </row>
    <row r="2" spans="1:19" ht="15" customHeight="1" x14ac:dyDescent="0.35">
      <c r="A2" s="98" t="str">
        <f ca="1">IFERROR(INDIRECT(CONCATENATE("'Timetables'!A"&amp;A6)),"")</f>
        <v>LT01</v>
      </c>
      <c r="B2" s="304" t="str">
        <f ca="1">IFERROR(TEXT(VLOOKUP(A2,timetables,7-MatchDay!$U$7,FALSE),"hh:mm"),"")</f>
        <v>11:15</v>
      </c>
      <c r="C2" s="292" t="str">
        <f ca="1">IFERROR(VLOOKUP(A2,timetables,2,FALSE)&amp;" "&amp;VLOOKUP(A2,timetables,3,FALSE)&amp;" A","")</f>
        <v>70m Hurdles U13 Girls A</v>
      </c>
      <c r="D2" s="292"/>
      <c r="G2" s="294"/>
      <c r="L2" s="360"/>
      <c r="M2" s="296"/>
      <c r="N2" s="286"/>
      <c r="Q2" s="307"/>
      <c r="R2" s="307"/>
    </row>
    <row r="3" spans="1:19" ht="15" customHeight="1" x14ac:dyDescent="0.35">
      <c r="A3" s="98"/>
      <c r="C3" s="295" t="str">
        <f ca="1">IFERROR("Rec: "&amp;VLOOKUP(A2,records,4,FALSE),"")</f>
        <v>Rec: 10.9 Lia Bonsu, Croydon Harriers, 2018</v>
      </c>
      <c r="D3" s="292"/>
      <c r="G3" s="294"/>
      <c r="I3" s="295"/>
      <c r="L3" s="360"/>
      <c r="M3" s="296"/>
      <c r="N3" s="286"/>
      <c r="Q3" s="307"/>
      <c r="R3" s="307"/>
    </row>
    <row r="4" spans="1:19" ht="15" customHeight="1" x14ac:dyDescent="0.35">
      <c r="A4" s="82" t="str">
        <f ca="1">MID(A2,2,3)</f>
        <v>T01</v>
      </c>
      <c r="B4" s="82"/>
      <c r="C4" s="304" t="s">
        <v>542</v>
      </c>
      <c r="D4" s="304" t="s">
        <v>141</v>
      </c>
      <c r="E4" s="286" t="s">
        <v>174</v>
      </c>
      <c r="F4" s="286" t="s">
        <v>175</v>
      </c>
      <c r="G4" s="291"/>
      <c r="I4" s="304" t="s">
        <v>542</v>
      </c>
      <c r="J4" s="304" t="s">
        <v>141</v>
      </c>
      <c r="K4" s="286" t="s">
        <v>174</v>
      </c>
      <c r="L4" s="286" t="s">
        <v>175</v>
      </c>
      <c r="O4" s="299"/>
      <c r="Q4" s="307"/>
      <c r="R4" s="307"/>
    </row>
    <row r="5" spans="1:19" ht="15" customHeight="1" x14ac:dyDescent="0.35">
      <c r="A5" s="138"/>
      <c r="B5" s="103"/>
      <c r="C5" s="298">
        <v>1</v>
      </c>
      <c r="D5" s="298">
        <f ca="1">IFERROR(IF(C5&gt;MatchDay!$U$2,"",IF(MatchDay!$D$6=2,"",VLOOKUP(A2,Timetables!$A:$EB,MatchDay!$U$4+C5-MatchDay!$D$6,FALSE))),"")</f>
        <v>5</v>
      </c>
      <c r="E5" s="286" t="str">
        <f ca="1">IFERROR(VLOOKUP($A2&amp;D5,downloads!$A$1:$E$1000,2,FALSE),"")</f>
        <v/>
      </c>
      <c r="F5" s="286" t="str">
        <f ca="1">IFERROR(VLOOKUP(D5,teamlookup,5,FALSE),"")</f>
        <v>Menai</v>
      </c>
      <c r="G5" s="291"/>
      <c r="H5" s="297"/>
      <c r="I5" s="298">
        <f>C5</f>
        <v>1</v>
      </c>
      <c r="J5" s="298">
        <f ca="1">IFERROR(D5*11,"")</f>
        <v>55</v>
      </c>
      <c r="K5" s="286" t="str">
        <f ca="1">IFERROR(VLOOKUP($A2&amp;J5,downloads!$A$1:$E$1000,2,FALSE),"")</f>
        <v/>
      </c>
      <c r="L5" s="286" t="str">
        <f t="shared" ref="L5:L12" ca="1" si="0">IFERROR(VLOOKUP(J5,teamlookup,5,FALSE),"")</f>
        <v>Menai</v>
      </c>
      <c r="O5" s="299"/>
      <c r="Q5" s="307" t="str">
        <f ca="1">IFERROR(VLOOKUP($A2&amp;D5,competitors,4,FALSE),"")</f>
        <v/>
      </c>
      <c r="R5" s="307" t="str">
        <f ca="1">IFERROR(VLOOKUP($A2&amp;J5,competitors,4,FALSE),"")</f>
        <v/>
      </c>
    </row>
    <row r="6" spans="1:19" ht="15" customHeight="1" x14ac:dyDescent="0.35">
      <c r="A6" s="304">
        <v>3</v>
      </c>
      <c r="C6" s="298">
        <v>2</v>
      </c>
      <c r="D6" s="298">
        <f ca="1">IFERROR(IF(C6&gt;MatchDay!$U$2+MatchDay!$D$6-1,"",VLOOKUP(A2,Timetables!$A:$EB,MatchDay!$U$4+C6-MatchDay!$D$6,FALSE)),"")</f>
        <v>7</v>
      </c>
      <c r="E6" s="286" t="str">
        <f ca="1">IFERROR(VLOOKUP($A2&amp;D6,downloads!$A$1:$E$1000,2,FALSE),"")</f>
        <v>Grace HARRIS</v>
      </c>
      <c r="F6" s="286" t="str">
        <f t="shared" ref="F6:F12" ca="1" si="1">IFERROR(VLOOKUP(D6,teamlookup,5,FALSE),"")</f>
        <v>Wigan</v>
      </c>
      <c r="G6" s="291"/>
      <c r="H6" s="297"/>
      <c r="I6" s="298">
        <f t="shared" ref="I6:I12" si="2">C6</f>
        <v>2</v>
      </c>
      <c r="J6" s="298">
        <f t="shared" ref="J6:J12" ca="1" si="3">IFERROR(D6*11,"")</f>
        <v>77</v>
      </c>
      <c r="K6" s="286" t="str">
        <f ca="1">IFERROR(VLOOKUP($A2&amp;J6,downloads!$A$1:$E$1000,2,FALSE),"")</f>
        <v>Sophia BOWDEN-MCKAY</v>
      </c>
      <c r="L6" s="286" t="str">
        <f t="shared" ca="1" si="0"/>
        <v>Wigan</v>
      </c>
      <c r="O6" s="299"/>
      <c r="Q6" s="307">
        <f ca="1">IFERROR(VLOOKUP($A2&amp;D6,competitors,4,FALSE),"")</f>
        <v>1</v>
      </c>
      <c r="R6" s="307">
        <f ca="1">IFERROR(VLOOKUP($A2&amp;J6,competitors,4,FALSE),"")</f>
        <v>1</v>
      </c>
    </row>
    <row r="7" spans="1:19" ht="15" customHeight="1" x14ac:dyDescent="0.35">
      <c r="A7" s="105">
        <f ca="1">IFERROR(VLOOKUP(A2,standards,3,FALSE)+0.01,"-")</f>
        <v>14.11</v>
      </c>
      <c r="B7" s="105"/>
      <c r="C7" s="298">
        <v>3</v>
      </c>
      <c r="D7" s="298">
        <f ca="1">IFERROR(IF(C7&gt;MatchDay!$U$2+MatchDay!$D$6-1,"",VLOOKUP(A2,Timetables!$A:$EB,MatchDay!$U$4+C7-MatchDay!$D$6,FALSE)),"")</f>
        <v>6</v>
      </c>
      <c r="E7" s="286" t="str">
        <f ca="1">IFERROR(VLOOKUP($A2&amp;D7,downloads!$A$1:$E$1000,2,FALSE),"")</f>
        <v/>
      </c>
      <c r="F7" s="286" t="str">
        <f t="shared" ca="1" si="1"/>
        <v>Stock</v>
      </c>
      <c r="G7" s="291"/>
      <c r="H7" s="297"/>
      <c r="I7" s="298">
        <f t="shared" si="2"/>
        <v>3</v>
      </c>
      <c r="J7" s="298">
        <f t="shared" ca="1" si="3"/>
        <v>66</v>
      </c>
      <c r="K7" s="286" t="str">
        <f ca="1">IFERROR(VLOOKUP($A2&amp;J7,downloads!$A$1:$E$1000,2,FALSE),"")</f>
        <v/>
      </c>
      <c r="L7" s="286" t="str">
        <f t="shared" ca="1" si="0"/>
        <v>Stock</v>
      </c>
      <c r="O7" s="299"/>
      <c r="Q7" s="307" t="str">
        <f ca="1">IFERROR(VLOOKUP($A2&amp;D7,competitors,4,FALSE),"")</f>
        <v/>
      </c>
      <c r="R7" s="307" t="str">
        <f ca="1">IFERROR(VLOOKUP($A2&amp;J7,competitors,4,FALSE),"")</f>
        <v/>
      </c>
    </row>
    <row r="8" spans="1:19" ht="15" customHeight="1" x14ac:dyDescent="0.35">
      <c r="A8" s="105">
        <f ca="1">IFERROR(VLOOKUP(A2,standards,4,FALSE)+0.01,"-")</f>
        <v>13.709999999999999</v>
      </c>
      <c r="B8" s="105"/>
      <c r="C8" s="298">
        <v>4</v>
      </c>
      <c r="D8" s="298">
        <f ca="1">IFERROR(IF(C8&gt;MatchDay!$U$2+MatchDay!$D$6-1,"",VLOOKUP(A2,Timetables!$A:$EB,MatchDay!$U$4+C8-MatchDay!$D$6,FALSE)),"")</f>
        <v>4</v>
      </c>
      <c r="E8" s="286" t="str">
        <f ca="1">IFERROR(VLOOKUP($A2&amp;D8,downloads!$A$1:$E$1000,2,FALSE),"")</f>
        <v>Lydia HIGGINS</v>
      </c>
      <c r="F8" s="286" t="str">
        <f t="shared" ca="1" si="1"/>
        <v>Macc</v>
      </c>
      <c r="G8" s="291"/>
      <c r="H8" s="297"/>
      <c r="I8" s="298">
        <f t="shared" si="2"/>
        <v>4</v>
      </c>
      <c r="J8" s="298">
        <f t="shared" ca="1" si="3"/>
        <v>44</v>
      </c>
      <c r="K8" s="286" t="str">
        <f ca="1">IFERROR(VLOOKUP($A2&amp;J8,downloads!$A$1:$E$1000,2,FALSE),"")</f>
        <v>Eve O'DONNELL</v>
      </c>
      <c r="L8" s="286" t="str">
        <f t="shared" ca="1" si="0"/>
        <v>Macc</v>
      </c>
      <c r="O8" s="299"/>
      <c r="Q8" s="307">
        <f ca="1">IFERROR(VLOOKUP($A2&amp;D8,competitors,4,FALSE),"")</f>
        <v>1</v>
      </c>
      <c r="R8" s="307">
        <f ca="1">IFERROR(VLOOKUP($A2&amp;J8,competitors,4,FALSE),"")</f>
        <v>1</v>
      </c>
    </row>
    <row r="9" spans="1:19" ht="15" customHeight="1" x14ac:dyDescent="0.35">
      <c r="A9" s="105">
        <f ca="1">IFERROR(VLOOKUP(A2,standards,5,FALSE)+0.01,"-")</f>
        <v>13.31</v>
      </c>
      <c r="B9" s="105"/>
      <c r="C9" s="298">
        <v>5</v>
      </c>
      <c r="D9" s="298">
        <f ca="1">IFERROR(IF(C9&gt;MatchDay!$U$2+MatchDay!$D$6-1,"",VLOOKUP(A2,Timetables!$A:$EB,MatchDay!$U$4+C9-MatchDay!$D$6,FALSE)),"")</f>
        <v>2</v>
      </c>
      <c r="E9" s="286" t="str">
        <f ca="1">IFERROR(VLOOKUP($A2&amp;D9,downloads!$A$1:$E$1000,2,FALSE),"")</f>
        <v>Olivia JONES</v>
      </c>
      <c r="F9" s="286" t="str">
        <f t="shared" ca="1" si="1"/>
        <v>ECHT</v>
      </c>
      <c r="G9" s="291"/>
      <c r="H9" s="297"/>
      <c r="I9" s="298">
        <f t="shared" si="2"/>
        <v>5</v>
      </c>
      <c r="J9" s="298">
        <f t="shared" ca="1" si="3"/>
        <v>22</v>
      </c>
      <c r="K9" s="286" t="str">
        <f ca="1">IFERROR(VLOOKUP($A2&amp;J9,downloads!$A$1:$E$1000,2,FALSE),"")</f>
        <v/>
      </c>
      <c r="L9" s="286" t="str">
        <f t="shared" ca="1" si="0"/>
        <v>ECHT</v>
      </c>
      <c r="O9" s="299"/>
      <c r="Q9" s="307">
        <f ca="1">IFERROR(VLOOKUP($A2&amp;D9,competitors,4,FALSE),"")</f>
        <v>1</v>
      </c>
      <c r="R9" s="307" t="str">
        <f ca="1">IFERROR(VLOOKUP($A2&amp;J9,competitors,4,FALSE),"")</f>
        <v/>
      </c>
    </row>
    <row r="10" spans="1:19" ht="15" customHeight="1" x14ac:dyDescent="0.35">
      <c r="A10" s="105">
        <f ca="1">IFERROR(VLOOKUP(A2,standards,6,FALSE)+0.01,"-")</f>
        <v>13.01</v>
      </c>
      <c r="B10" s="105"/>
      <c r="C10" s="298">
        <v>6</v>
      </c>
      <c r="D10" s="298">
        <f ca="1">IFERROR(IF(C10&gt;MatchDay!$U$2+MatchDay!$D$6-1,"",VLOOKUP(A2,Timetables!$A:$EB,MatchDay!$U$4+C10-MatchDay!$D$6,FALSE)),"")</f>
        <v>1</v>
      </c>
      <c r="E10" s="286" t="str">
        <f ca="1">IFERROR(VLOOKUP($A2&amp;D10,downloads!$A$1:$E$1000,2,FALSE),"")</f>
        <v>Ruby WILKINS</v>
      </c>
      <c r="F10" s="286" t="str">
        <f t="shared" ca="1" si="1"/>
        <v>C&amp;N</v>
      </c>
      <c r="G10" s="291"/>
      <c r="H10" s="297"/>
      <c r="I10" s="298">
        <f t="shared" si="2"/>
        <v>6</v>
      </c>
      <c r="J10" s="298">
        <f t="shared" ca="1" si="3"/>
        <v>11</v>
      </c>
      <c r="K10" s="286" t="str">
        <f ca="1">IFERROR(VLOOKUP($A2&amp;J10,downloads!$A$1:$E$1000,2,FALSE),"")</f>
        <v>Lucy HOWARTH</v>
      </c>
      <c r="L10" s="286" t="str">
        <f t="shared" ca="1" si="0"/>
        <v>C&amp;N</v>
      </c>
      <c r="O10" s="299"/>
      <c r="Q10" s="307">
        <f ca="1">IFERROR(VLOOKUP($A2&amp;D10,competitors,4,FALSE),"")</f>
        <v>1</v>
      </c>
      <c r="R10" s="307">
        <f ca="1">IFERROR(VLOOKUP($A2&amp;J10,competitors,4,FALSE),"")</f>
        <v>1</v>
      </c>
    </row>
    <row r="11" spans="1:19" ht="15" customHeight="1" x14ac:dyDescent="0.35">
      <c r="A11" s="300">
        <f ca="1">IFERROR(SEARCH("Girls",C2),0)</f>
        <v>17</v>
      </c>
      <c r="C11" s="298">
        <v>7</v>
      </c>
      <c r="D11" s="298">
        <f ca="1">IFERROR(IF(C11&gt;MatchDay!$U$2+MatchDay!$D$6-1,"",VLOOKUP(A2,Timetables!$A:$EB,MatchDay!$U$4+C11-MatchDay!$D$6,FALSE)),"")</f>
        <v>3</v>
      </c>
      <c r="E11" s="286" t="str">
        <f ca="1">IFERROR(VLOOKUP($A2&amp;D11,downloads!$A$1:$E$1000,2,FALSE),"")</f>
        <v>Lois MELLING</v>
      </c>
      <c r="F11" s="286" t="str">
        <f t="shared" ca="1" si="1"/>
        <v>Leigh</v>
      </c>
      <c r="G11" s="291"/>
      <c r="H11" s="297"/>
      <c r="I11" s="298">
        <f t="shared" si="2"/>
        <v>7</v>
      </c>
      <c r="J11" s="298">
        <f t="shared" ca="1" si="3"/>
        <v>33</v>
      </c>
      <c r="K11" s="286" t="str">
        <f ca="1">IFERROR(VLOOKUP($A2&amp;J11,downloads!$A$1:$E$1000,2,FALSE),"")</f>
        <v>Ava BROOMES</v>
      </c>
      <c r="L11" s="286" t="str">
        <f t="shared" ca="1" si="0"/>
        <v>Leigh</v>
      </c>
      <c r="O11" s="299"/>
      <c r="Q11" s="307">
        <f ca="1">IFERROR(VLOOKUP($A2&amp;D11,competitors,4,FALSE),"")</f>
        <v>1</v>
      </c>
      <c r="R11" s="307">
        <f ca="1">IFERROR(VLOOKUP($A2&amp;J11,competitors,4,FALSE),"")</f>
        <v>1</v>
      </c>
    </row>
    <row r="12" spans="1:19" ht="15" customHeight="1" x14ac:dyDescent="0.35">
      <c r="A12" s="103">
        <f ca="1">IFERROR(VLOOKUP(A2,records,5,FALSE),"")</f>
        <v>10.9</v>
      </c>
      <c r="B12" s="103"/>
      <c r="C12" s="298">
        <v>8</v>
      </c>
      <c r="D12" s="298" t="str">
        <f>IFERROR(IF(C12&gt;MatchDay!$U$2+MatchDay!$D$6-1,"",VLOOKUP(A2,Timetables!$A:$EB,MatchDay!$U$4+C12-MatchDay!$D$6,FALSE)),"")</f>
        <v/>
      </c>
      <c r="E12" s="286" t="str">
        <f ca="1">IFERROR(VLOOKUP($A2&amp;D12,downloads!$A$1:$E$1000,2,FALSE),"")</f>
        <v/>
      </c>
      <c r="F12" s="286" t="str">
        <f t="shared" si="1"/>
        <v/>
      </c>
      <c r="G12" s="291"/>
      <c r="H12" s="297"/>
      <c r="I12" s="298">
        <f t="shared" si="2"/>
        <v>8</v>
      </c>
      <c r="J12" s="298" t="str">
        <f t="shared" si="3"/>
        <v/>
      </c>
      <c r="K12" s="286" t="str">
        <f ca="1">IFERROR(VLOOKUP($A2&amp;J12,downloads!$A$1:$E$1000,2,FALSE),"")</f>
        <v/>
      </c>
      <c r="L12" s="286" t="str">
        <f t="shared" si="0"/>
        <v/>
      </c>
      <c r="O12" s="299"/>
      <c r="Q12" s="307" t="str">
        <f ca="1">IFERROR(VLOOKUP($A2&amp;D12,competitors,4,FALSE),"")</f>
        <v/>
      </c>
      <c r="R12" s="307" t="str">
        <f ca="1">IFERROR(VLOOKUP($A2&amp;J12,competitors,4,FALSE),"")</f>
        <v/>
      </c>
    </row>
    <row r="13" spans="1:19" ht="15" customHeight="1" x14ac:dyDescent="0.35">
      <c r="Q13" s="307"/>
      <c r="R13" s="307"/>
    </row>
    <row r="14" spans="1:19" ht="15" customHeight="1" x14ac:dyDescent="0.35">
      <c r="A14" s="98" t="str">
        <f ca="1">IFERROR(INDIRECT(CONCATENATE("'Timetables'!A"&amp;A18)),"")</f>
        <v>LT02</v>
      </c>
      <c r="B14" s="304" t="str">
        <f ca="1">IFERROR(TEXT(VLOOKUP(A14,timetables,7-MatchDay!$U$7,FALSE),"hh:mm"),"")</f>
        <v>11:25</v>
      </c>
      <c r="C14" s="292" t="str">
        <f ca="1">IFERROR(VLOOKUP(A14,timetables,2,FALSE)&amp;" "&amp;VLOOKUP(A14,timetables,3,FALSE)&amp;" A","")</f>
        <v>75m Hurdles U13 Boys A</v>
      </c>
      <c r="D14" s="292"/>
      <c r="F14" s="293"/>
      <c r="G14" s="294"/>
      <c r="L14" s="360"/>
      <c r="M14" s="296"/>
      <c r="N14" s="286"/>
      <c r="Q14" s="307"/>
      <c r="R14" s="307"/>
    </row>
    <row r="15" spans="1:19" ht="15" customHeight="1" x14ac:dyDescent="0.35">
      <c r="A15" s="98"/>
      <c r="B15" s="98"/>
      <c r="C15" s="295" t="str">
        <f ca="1">IFERROR("Rec: "&amp;VLOOKUP(A14,records,4,FALSE),"")</f>
        <v>Rec: 11.15 Reggie Lucas-Merry, Basildon, 2018</v>
      </c>
      <c r="D15" s="292"/>
      <c r="F15" s="293"/>
      <c r="G15" s="294"/>
      <c r="I15" s="295"/>
      <c r="L15" s="360"/>
      <c r="M15" s="296"/>
      <c r="N15" s="286"/>
      <c r="Q15" s="307"/>
      <c r="R15" s="307"/>
    </row>
    <row r="16" spans="1:19" ht="15" customHeight="1" x14ac:dyDescent="0.35">
      <c r="A16" s="82" t="str">
        <f ca="1">MID(A14,2,3)</f>
        <v>T02</v>
      </c>
      <c r="B16" s="82"/>
      <c r="C16" s="304" t="s">
        <v>542</v>
      </c>
      <c r="D16" s="304" t="s">
        <v>141</v>
      </c>
      <c r="E16" s="286" t="s">
        <v>174</v>
      </c>
      <c r="F16" s="286" t="s">
        <v>175</v>
      </c>
      <c r="G16" s="291"/>
      <c r="I16" s="304" t="s">
        <v>542</v>
      </c>
      <c r="J16" s="304" t="s">
        <v>141</v>
      </c>
      <c r="K16" s="286" t="s">
        <v>174</v>
      </c>
      <c r="L16" s="286" t="s">
        <v>175</v>
      </c>
      <c r="O16" s="299"/>
      <c r="Q16" s="307"/>
      <c r="R16" s="307"/>
    </row>
    <row r="17" spans="1:18" ht="15" customHeight="1" x14ac:dyDescent="0.35">
      <c r="A17" s="138"/>
      <c r="B17" s="103"/>
      <c r="C17" s="298">
        <v>1</v>
      </c>
      <c r="D17" s="298">
        <f ca="1">IFERROR(IF(C17&gt;MatchDay!$U$2,"",IF(MatchDay!$D$6=2,"",VLOOKUP(A14,Timetables!$A:$EB,MatchDay!$U$4+C17-MatchDay!$D$6,FALSE))),"")</f>
        <v>5</v>
      </c>
      <c r="E17" s="286" t="str">
        <f ca="1">IFERROR(VLOOKUP($A14&amp;D17,downloads!$A$1:$E$1000,2,FALSE),"")</f>
        <v/>
      </c>
      <c r="F17" s="286" t="str">
        <f ca="1">IFERROR(VLOOKUP(D17,teamlookup,5,FALSE),"")</f>
        <v>Menai</v>
      </c>
      <c r="G17" s="291"/>
      <c r="H17" s="297"/>
      <c r="I17" s="298">
        <v>1</v>
      </c>
      <c r="J17" s="298">
        <f ca="1">IFERROR(D17*11,"")</f>
        <v>55</v>
      </c>
      <c r="K17" s="286" t="str">
        <f ca="1">IFERROR(VLOOKUP($A14&amp;J17,downloads!$A$1:$E$1000,2,FALSE),"")</f>
        <v/>
      </c>
      <c r="L17" s="286" t="str">
        <f t="shared" ref="L17:L24" ca="1" si="4">IFERROR(VLOOKUP(J17,teamlookup,5,FALSE),"")</f>
        <v>Menai</v>
      </c>
      <c r="O17" s="299"/>
      <c r="Q17" s="307" t="str">
        <f ca="1">IFERROR(VLOOKUP($A2&amp;D17,competitors,4,FALSE),"")</f>
        <v/>
      </c>
      <c r="R17" s="307" t="str">
        <f ca="1">IFERROR(VLOOKUP($A2&amp;J17,competitors,4,FALSE),"")</f>
        <v/>
      </c>
    </row>
    <row r="18" spans="1:18" ht="15" customHeight="1" x14ac:dyDescent="0.35">
      <c r="A18" s="304">
        <f>A6+1</f>
        <v>4</v>
      </c>
      <c r="C18" s="298">
        <v>2</v>
      </c>
      <c r="D18" s="298">
        <f ca="1">IFERROR(IF(C18&gt;MatchDay!$U$2+MatchDay!$D$6-1,"",VLOOKUP(A14,Timetables!$A:$EB,MatchDay!$U$4+C18-MatchDay!$D$6,FALSE)),"")</f>
        <v>7</v>
      </c>
      <c r="E18" s="286" t="str">
        <f ca="1">IFERROR(VLOOKUP($A14&amp;D18,downloads!$A$1:$E$1000,2,FALSE),"")</f>
        <v/>
      </c>
      <c r="F18" s="286" t="str">
        <f t="shared" ref="F18:F24" ca="1" si="5">IFERROR(VLOOKUP(D18,teamlookup,5,FALSE),"")</f>
        <v>Wigan</v>
      </c>
      <c r="G18" s="291"/>
      <c r="H18" s="297"/>
      <c r="I18" s="298">
        <v>2</v>
      </c>
      <c r="J18" s="298">
        <f t="shared" ref="J18:J24" ca="1" si="6">IFERROR(D18*11,"")</f>
        <v>77</v>
      </c>
      <c r="K18" s="286" t="str">
        <f ca="1">IFERROR(VLOOKUP($A14&amp;J18,downloads!$A$1:$E$1000,2,FALSE),"")</f>
        <v/>
      </c>
      <c r="L18" s="286" t="str">
        <f t="shared" ca="1" si="4"/>
        <v>Wigan</v>
      </c>
      <c r="O18" s="299"/>
      <c r="Q18" s="307">
        <f ca="1">IFERROR(VLOOKUP($A2&amp;D18,competitors,4,FALSE),"")</f>
        <v>1</v>
      </c>
      <c r="R18" s="307">
        <f ca="1">IFERROR(VLOOKUP($A2&amp;J18,competitors,4,FALSE),"")</f>
        <v>1</v>
      </c>
    </row>
    <row r="19" spans="1:18" ht="15" customHeight="1" x14ac:dyDescent="0.35">
      <c r="A19" s="105">
        <f ca="1">IFERROR(VLOOKUP(A14,standards,3,FALSE)+0.01,"-")</f>
        <v>16.510000000000002</v>
      </c>
      <c r="B19" s="105"/>
      <c r="C19" s="298">
        <v>3</v>
      </c>
      <c r="D19" s="298">
        <f ca="1">IFERROR(IF(C19&gt;MatchDay!$U$2+MatchDay!$D$6-1,"",VLOOKUP(A14,Timetables!$A:$EB,MatchDay!$U$4+C19-MatchDay!$D$6,FALSE)),"")</f>
        <v>6</v>
      </c>
      <c r="E19" s="286" t="str">
        <f ca="1">IFERROR(VLOOKUP($A14&amp;D19,downloads!$A$1:$E$1000,2,FALSE),"")</f>
        <v/>
      </c>
      <c r="F19" s="286" t="str">
        <f t="shared" ca="1" si="5"/>
        <v>Stock</v>
      </c>
      <c r="G19" s="291"/>
      <c r="H19" s="297"/>
      <c r="I19" s="298">
        <v>3</v>
      </c>
      <c r="J19" s="298">
        <f t="shared" ca="1" si="6"/>
        <v>66</v>
      </c>
      <c r="K19" s="286" t="str">
        <f ca="1">IFERROR(VLOOKUP($A14&amp;J19,downloads!$A$1:$E$1000,2,FALSE),"")</f>
        <v/>
      </c>
      <c r="L19" s="286" t="str">
        <f t="shared" ca="1" si="4"/>
        <v>Stock</v>
      </c>
      <c r="O19" s="299"/>
      <c r="Q19" s="307" t="str">
        <f ca="1">IFERROR(VLOOKUP($A2&amp;D19,competitors,4,FALSE),"")</f>
        <v/>
      </c>
      <c r="R19" s="307" t="str">
        <f ca="1">IFERROR(VLOOKUP($A2&amp;J19,competitors,4,FALSE),"")</f>
        <v/>
      </c>
    </row>
    <row r="20" spans="1:18" ht="15" customHeight="1" x14ac:dyDescent="0.35">
      <c r="A20" s="105">
        <f ca="1">IFERROR(VLOOKUP(A14,standards,4,FALSE)+0.01,"-")</f>
        <v>15.51</v>
      </c>
      <c r="B20" s="105"/>
      <c r="C20" s="298">
        <v>4</v>
      </c>
      <c r="D20" s="298">
        <f ca="1">IFERROR(IF(C20&gt;MatchDay!$U$2+MatchDay!$D$6-1,"",VLOOKUP(A14,Timetables!$A:$EB,MatchDay!$U$4+C20-MatchDay!$D$6,FALSE)),"")</f>
        <v>4</v>
      </c>
      <c r="E20" s="286" t="str">
        <f ca="1">IFERROR(VLOOKUP($A14&amp;D20,downloads!$A$1:$E$1000,2,FALSE),"")</f>
        <v>Isaac BAKER</v>
      </c>
      <c r="F20" s="286" t="str">
        <f t="shared" ca="1" si="5"/>
        <v>Macc</v>
      </c>
      <c r="G20" s="291"/>
      <c r="H20" s="297"/>
      <c r="I20" s="298">
        <v>4</v>
      </c>
      <c r="J20" s="298">
        <f t="shared" ca="1" si="6"/>
        <v>44</v>
      </c>
      <c r="K20" s="286" t="str">
        <f ca="1">IFERROR(VLOOKUP($A14&amp;J20,downloads!$A$1:$E$1000,2,FALSE),"")</f>
        <v/>
      </c>
      <c r="L20" s="286" t="str">
        <f t="shared" ca="1" si="4"/>
        <v>Macc</v>
      </c>
      <c r="O20" s="299"/>
      <c r="Q20" s="307">
        <f ca="1">IFERROR(VLOOKUP($A2&amp;D20,competitors,4,FALSE),"")</f>
        <v>1</v>
      </c>
      <c r="R20" s="307">
        <f ca="1">IFERROR(VLOOKUP($A2&amp;J20,competitors,4,FALSE),"")</f>
        <v>1</v>
      </c>
    </row>
    <row r="21" spans="1:18" ht="15" customHeight="1" x14ac:dyDescent="0.35">
      <c r="A21" s="105">
        <f ca="1">IFERROR(VLOOKUP(A14,standards,5,FALSE)+0.01,"-")</f>
        <v>15.01</v>
      </c>
      <c r="B21" s="105"/>
      <c r="C21" s="298">
        <v>5</v>
      </c>
      <c r="D21" s="298">
        <f ca="1">IFERROR(IF(C21&gt;MatchDay!$U$2+MatchDay!$D$6-1,"",VLOOKUP(A14,Timetables!$A:$EB,MatchDay!$U$4+C21-MatchDay!$D$6,FALSE)),"")</f>
        <v>2</v>
      </c>
      <c r="E21" s="286" t="str">
        <f ca="1">IFERROR(VLOOKUP($A14&amp;D21,downloads!$A$1:$E$1000,2,FALSE),"")</f>
        <v/>
      </c>
      <c r="F21" s="286" t="str">
        <f t="shared" ca="1" si="5"/>
        <v>ECHT</v>
      </c>
      <c r="G21" s="291"/>
      <c r="H21" s="297"/>
      <c r="I21" s="298">
        <v>5</v>
      </c>
      <c r="J21" s="298">
        <f t="shared" ca="1" si="6"/>
        <v>22</v>
      </c>
      <c r="K21" s="286" t="str">
        <f ca="1">IFERROR(VLOOKUP($A14&amp;J21,downloads!$A$1:$E$1000,2,FALSE),"")</f>
        <v/>
      </c>
      <c r="L21" s="286" t="str">
        <f t="shared" ca="1" si="4"/>
        <v>ECHT</v>
      </c>
      <c r="O21" s="299"/>
      <c r="Q21" s="307">
        <f ca="1">IFERROR(VLOOKUP($A2&amp;D21,competitors,4,FALSE),"")</f>
        <v>1</v>
      </c>
      <c r="R21" s="307" t="str">
        <f ca="1">IFERROR(VLOOKUP($A2&amp;J21,competitors,4,FALSE),"")</f>
        <v/>
      </c>
    </row>
    <row r="22" spans="1:18" ht="15" customHeight="1" x14ac:dyDescent="0.35">
      <c r="A22" s="105">
        <f ca="1">IFERROR(VLOOKUP(A14,standards,6,FALSE)+0.01,"-")</f>
        <v>14.51</v>
      </c>
      <c r="B22" s="105"/>
      <c r="C22" s="298">
        <v>6</v>
      </c>
      <c r="D22" s="298">
        <f ca="1">IFERROR(IF(C22&gt;MatchDay!$U$2+MatchDay!$D$6-1,"",VLOOKUP(A14,Timetables!$A:$EB,MatchDay!$U$4+C22-MatchDay!$D$6,FALSE)),"")</f>
        <v>1</v>
      </c>
      <c r="E22" s="286" t="str">
        <f ca="1">IFERROR(VLOOKUP($A14&amp;D22,downloads!$A$1:$E$1000,2,FALSE),"")</f>
        <v>Ben JEFFS</v>
      </c>
      <c r="F22" s="286" t="str">
        <f t="shared" ca="1" si="5"/>
        <v>C&amp;N</v>
      </c>
      <c r="G22" s="291"/>
      <c r="H22" s="297"/>
      <c r="I22" s="298">
        <v>6</v>
      </c>
      <c r="J22" s="298">
        <f t="shared" ca="1" si="6"/>
        <v>11</v>
      </c>
      <c r="K22" s="286" t="str">
        <f ca="1">IFERROR(VLOOKUP($A14&amp;J22,downloads!$A$1:$E$1000,2,FALSE),"")</f>
        <v/>
      </c>
      <c r="L22" s="286" t="str">
        <f t="shared" ca="1" si="4"/>
        <v>C&amp;N</v>
      </c>
      <c r="O22" s="299"/>
      <c r="Q22" s="307">
        <f ca="1">IFERROR(VLOOKUP($A2&amp;D22,competitors,4,FALSE),"")</f>
        <v>1</v>
      </c>
      <c r="R22" s="307">
        <f ca="1">IFERROR(VLOOKUP($A2&amp;J22,competitors,4,FALSE),"")</f>
        <v>1</v>
      </c>
    </row>
    <row r="23" spans="1:18" ht="15" customHeight="1" x14ac:dyDescent="0.35">
      <c r="A23" s="300">
        <f ca="1">IFERROR(SEARCH("Girls",C14),0)</f>
        <v>0</v>
      </c>
      <c r="C23" s="298">
        <v>7</v>
      </c>
      <c r="D23" s="298">
        <f ca="1">IFERROR(IF(C23&gt;MatchDay!$U$2+MatchDay!$D$6-1,"",VLOOKUP(A14,Timetables!$A:$EB,MatchDay!$U$4+C23-MatchDay!$D$6,FALSE)),"")</f>
        <v>3</v>
      </c>
      <c r="E23" s="286" t="str">
        <f ca="1">IFERROR(VLOOKUP($A14&amp;D23,downloads!$A$1:$E$1000,2,FALSE),"")</f>
        <v>Thierry KERR</v>
      </c>
      <c r="F23" s="286" t="str">
        <f t="shared" ca="1" si="5"/>
        <v>Leigh</v>
      </c>
      <c r="G23" s="291"/>
      <c r="H23" s="297"/>
      <c r="I23" s="298">
        <v>7</v>
      </c>
      <c r="J23" s="298">
        <f t="shared" ca="1" si="6"/>
        <v>33</v>
      </c>
      <c r="K23" s="286" t="str">
        <f ca="1">IFERROR(VLOOKUP($A14&amp;J23,downloads!$A$1:$E$1000,2,FALSE),"")</f>
        <v>Jack FLETCHER</v>
      </c>
      <c r="L23" s="286" t="str">
        <f t="shared" ca="1" si="4"/>
        <v>Leigh</v>
      </c>
      <c r="O23" s="299"/>
      <c r="Q23" s="307">
        <f ca="1">IFERROR(VLOOKUP($A2&amp;D23,competitors,4,FALSE),"")</f>
        <v>1</v>
      </c>
      <c r="R23" s="307">
        <f ca="1">IFERROR(VLOOKUP($A2&amp;J23,competitors,4,FALSE),"")</f>
        <v>1</v>
      </c>
    </row>
    <row r="24" spans="1:18" ht="15" customHeight="1" x14ac:dyDescent="0.35">
      <c r="A24" s="103">
        <f ca="1">IFERROR(VLOOKUP(A14,records,5,FALSE),"")</f>
        <v>11.15</v>
      </c>
      <c r="B24" s="103"/>
      <c r="C24" s="298">
        <v>8</v>
      </c>
      <c r="D24" s="298" t="str">
        <f>IFERROR(IF(C24&gt;MatchDay!$U$2+MatchDay!$D$6-1,"",VLOOKUP(A14,Timetables!$A:$EB,MatchDay!$U$4+C24-MatchDay!$D$6,FALSE)),"")</f>
        <v/>
      </c>
      <c r="E24" s="286" t="str">
        <f ca="1">IFERROR(VLOOKUP($A14&amp;D24,downloads!$A$1:$E$1000,2,FALSE),"")</f>
        <v/>
      </c>
      <c r="F24" s="286" t="str">
        <f t="shared" si="5"/>
        <v/>
      </c>
      <c r="G24" s="291"/>
      <c r="H24" s="297"/>
      <c r="I24" s="298">
        <v>8</v>
      </c>
      <c r="J24" s="298" t="str">
        <f t="shared" si="6"/>
        <v/>
      </c>
      <c r="K24" s="286" t="str">
        <f ca="1">IFERROR(VLOOKUP($A14&amp;J24,downloads!$A$1:$E$1000,2,FALSE),"")</f>
        <v/>
      </c>
      <c r="L24" s="286" t="str">
        <f t="shared" si="4"/>
        <v/>
      </c>
      <c r="O24" s="299"/>
      <c r="Q24" s="307" t="str">
        <f ca="1">IFERROR(VLOOKUP($A2&amp;D24,competitors,4,FALSE),"")</f>
        <v/>
      </c>
      <c r="R24" s="307" t="str">
        <f ca="1">IFERROR(VLOOKUP($A2&amp;J24,competitors,4,FALSE),"")</f>
        <v/>
      </c>
    </row>
    <row r="25" spans="1:18" ht="15" customHeight="1" x14ac:dyDescent="0.35">
      <c r="Q25" s="307"/>
      <c r="R25" s="307"/>
    </row>
    <row r="26" spans="1:18" x14ac:dyDescent="0.35">
      <c r="A26" s="98" t="str">
        <f ca="1">IFERROR(INDIRECT(CONCATENATE("'Timetables'!A"&amp;A30)),"")</f>
        <v>LT03</v>
      </c>
      <c r="B26" s="304" t="str">
        <f ca="1">IFERROR(TEXT(VLOOKUP(A26,timetables,7-MatchDay!$U$7,FALSE),"hh:mm"),"")</f>
        <v>11:35</v>
      </c>
      <c r="C26" s="292" t="str">
        <f ca="1">IFERROR(VLOOKUP(A26,timetables,2,FALSE)&amp;" "&amp;VLOOKUP(A26,timetables,3,FALSE)&amp;" A","")</f>
        <v>75m Hurdles U15 Girls A</v>
      </c>
      <c r="D26" s="292"/>
      <c r="F26" s="293"/>
      <c r="G26" s="294"/>
      <c r="L26" s="360"/>
      <c r="M26" s="296"/>
      <c r="N26" s="286"/>
      <c r="Q26" s="307"/>
      <c r="R26" s="307"/>
    </row>
    <row r="27" spans="1:18" x14ac:dyDescent="0.35">
      <c r="A27" s="98"/>
      <c r="B27" s="98"/>
      <c r="C27" s="295" t="str">
        <f ca="1">IFERROR("Rec: "&amp;VLOOKUP(A26,records,4,FALSE),"")</f>
        <v>Rec: 11.0 Meg Corker, Warrington AC, 2019</v>
      </c>
      <c r="D27" s="292"/>
      <c r="F27" s="293"/>
      <c r="G27" s="294"/>
      <c r="I27" s="295"/>
      <c r="L27" s="360"/>
      <c r="M27" s="296"/>
      <c r="N27" s="286"/>
      <c r="Q27" s="307"/>
      <c r="R27" s="307"/>
    </row>
    <row r="28" spans="1:18" x14ac:dyDescent="0.35">
      <c r="A28" s="82" t="str">
        <f ca="1">MID(A26,2,3)</f>
        <v>T03</v>
      </c>
      <c r="B28" s="82"/>
      <c r="C28" s="304" t="s">
        <v>542</v>
      </c>
      <c r="D28" s="304" t="s">
        <v>141</v>
      </c>
      <c r="E28" s="286" t="s">
        <v>174</v>
      </c>
      <c r="F28" s="286" t="s">
        <v>175</v>
      </c>
      <c r="G28" s="291"/>
      <c r="I28" s="304" t="s">
        <v>542</v>
      </c>
      <c r="J28" s="304" t="s">
        <v>141</v>
      </c>
      <c r="K28" s="286" t="s">
        <v>174</v>
      </c>
      <c r="L28" s="286" t="s">
        <v>175</v>
      </c>
      <c r="O28" s="299"/>
      <c r="Q28" s="307"/>
      <c r="R28" s="307"/>
    </row>
    <row r="29" spans="1:18" x14ac:dyDescent="0.35">
      <c r="A29" s="138"/>
      <c r="B29" s="103"/>
      <c r="C29" s="298">
        <v>1</v>
      </c>
      <c r="D29" s="298">
        <f ca="1">IFERROR(IF(C29&gt;MatchDay!$U$2,"",IF(MatchDay!$D$6=2,"",VLOOKUP(A26,Timetables!$A:$EB,MatchDay!$U$4+C29-MatchDay!$D$6,FALSE))),"")</f>
        <v>5</v>
      </c>
      <c r="E29" s="286" t="str">
        <f ca="1">IFERROR(VLOOKUP($A26&amp;D29,downloads!$A$1:$E$1000,2,FALSE),"")</f>
        <v>Nest OWEN</v>
      </c>
      <c r="F29" s="286" t="str">
        <f ca="1">IFERROR(VLOOKUP(D29,teamlookup,5,FALSE),"")</f>
        <v>Menai</v>
      </c>
      <c r="G29" s="291"/>
      <c r="H29" s="297"/>
      <c r="I29" s="298">
        <v>1</v>
      </c>
      <c r="J29" s="298">
        <f ca="1">IFERROR(D29*11,"")</f>
        <v>55</v>
      </c>
      <c r="K29" s="286" t="str">
        <f ca="1">IFERROR(VLOOKUP($A26&amp;J29,downloads!$A$1:$E$1000,2,FALSE),"")</f>
        <v/>
      </c>
      <c r="L29" s="286" t="str">
        <f t="shared" ref="L29:L36" ca="1" si="7">IFERROR(VLOOKUP(J29,teamlookup,5,FALSE),"")</f>
        <v>Menai</v>
      </c>
      <c r="O29" s="299"/>
      <c r="Q29" s="307">
        <f ca="1">IFERROR(VLOOKUP($A26&amp;D29,competitors,4,FALSE),"")</f>
        <v>1</v>
      </c>
      <c r="R29" s="307" t="str">
        <f ca="1">IFERROR(VLOOKUP($A26&amp;J29,competitors,4,FALSE),"")</f>
        <v/>
      </c>
    </row>
    <row r="30" spans="1:18" x14ac:dyDescent="0.35">
      <c r="A30" s="304">
        <f>A18+1</f>
        <v>5</v>
      </c>
      <c r="C30" s="298">
        <v>2</v>
      </c>
      <c r="D30" s="298">
        <f ca="1">IFERROR(IF(C30&gt;MatchDay!$U$2+MatchDay!$D$6-1,"",VLOOKUP(A26,Timetables!$A:$EB,MatchDay!$U$4+C30-MatchDay!$D$6,FALSE)),"")</f>
        <v>7</v>
      </c>
      <c r="E30" s="286" t="str">
        <f ca="1">IFERROR(VLOOKUP($A26&amp;D30,downloads!$A$1:$E$1000,2,FALSE),"")</f>
        <v>Lauren HEWITT</v>
      </c>
      <c r="F30" s="286" t="str">
        <f t="shared" ref="F30:F36" ca="1" si="8">IFERROR(VLOOKUP(D30,teamlookup,5,FALSE),"")</f>
        <v>Wigan</v>
      </c>
      <c r="G30" s="291"/>
      <c r="H30" s="297"/>
      <c r="I30" s="298">
        <v>2</v>
      </c>
      <c r="J30" s="298">
        <f t="shared" ref="J30:J36" ca="1" si="9">IFERROR(D30*11,"")</f>
        <v>77</v>
      </c>
      <c r="K30" s="286" t="str">
        <f ca="1">IFERROR(VLOOKUP($A26&amp;J30,downloads!$A$1:$E$1000,2,FALSE),"")</f>
        <v/>
      </c>
      <c r="L30" s="286" t="str">
        <f t="shared" ca="1" si="7"/>
        <v>Wigan</v>
      </c>
      <c r="O30" s="299"/>
      <c r="Q30" s="307">
        <f ca="1">IFERROR(VLOOKUP($A26&amp;D30,competitors,4,FALSE),"")</f>
        <v>1</v>
      </c>
      <c r="R30" s="307" t="str">
        <f ca="1">IFERROR(VLOOKUP($A26&amp;J30,competitors,4,FALSE),"")</f>
        <v/>
      </c>
    </row>
    <row r="31" spans="1:18" x14ac:dyDescent="0.35">
      <c r="A31" s="105">
        <f ca="1">IFERROR(VLOOKUP(A26,standards,3,FALSE)+0.01,"-")</f>
        <v>14.11</v>
      </c>
      <c r="B31" s="105"/>
      <c r="C31" s="298">
        <v>3</v>
      </c>
      <c r="D31" s="298">
        <f ca="1">IFERROR(IF(C31&gt;MatchDay!$U$2+MatchDay!$D$6-1,"",VLOOKUP(A26,Timetables!$A:$EB,MatchDay!$U$4+C31-MatchDay!$D$6,FALSE)),"")</f>
        <v>6</v>
      </c>
      <c r="E31" s="286" t="str">
        <f ca="1">IFERROR(VLOOKUP($A26&amp;D31,downloads!$A$1:$E$1000,2,FALSE),"")</f>
        <v>Molly MILLS</v>
      </c>
      <c r="F31" s="286" t="str">
        <f t="shared" ca="1" si="8"/>
        <v>Stock</v>
      </c>
      <c r="G31" s="291"/>
      <c r="H31" s="297"/>
      <c r="I31" s="298">
        <v>3</v>
      </c>
      <c r="J31" s="298">
        <f t="shared" ca="1" si="9"/>
        <v>66</v>
      </c>
      <c r="K31" s="286" t="str">
        <f ca="1">IFERROR(VLOOKUP($A26&amp;J31,downloads!$A$1:$E$1000,2,FALSE),"")</f>
        <v/>
      </c>
      <c r="L31" s="286" t="str">
        <f t="shared" ca="1" si="7"/>
        <v>Stock</v>
      </c>
      <c r="O31" s="299"/>
      <c r="Q31" s="307">
        <f ca="1">IFERROR(VLOOKUP($A26&amp;D31,competitors,4,FALSE),"")</f>
        <v>1</v>
      </c>
      <c r="R31" s="307" t="str">
        <f ca="1">IFERROR(VLOOKUP($A26&amp;J31,competitors,4,FALSE),"")</f>
        <v/>
      </c>
    </row>
    <row r="32" spans="1:18" x14ac:dyDescent="0.35">
      <c r="A32" s="105">
        <f ca="1">IFERROR(VLOOKUP(A26,standards,4,FALSE)+0.01,"-")</f>
        <v>13.709999999999999</v>
      </c>
      <c r="B32" s="105"/>
      <c r="C32" s="298">
        <v>4</v>
      </c>
      <c r="D32" s="298">
        <f ca="1">IFERROR(IF(C32&gt;MatchDay!$U$2+MatchDay!$D$6-1,"",VLOOKUP(A26,Timetables!$A:$EB,MatchDay!$U$4+C32-MatchDay!$D$6,FALSE)),"")</f>
        <v>4</v>
      </c>
      <c r="E32" s="286" t="str">
        <f ca="1">IFERROR(VLOOKUP($A26&amp;D32,downloads!$A$1:$E$1000,2,FALSE),"")</f>
        <v>Elizabeth PENDRILL</v>
      </c>
      <c r="F32" s="286" t="str">
        <f t="shared" ca="1" si="8"/>
        <v>Macc</v>
      </c>
      <c r="G32" s="291"/>
      <c r="H32" s="297"/>
      <c r="I32" s="298">
        <v>4</v>
      </c>
      <c r="J32" s="298">
        <f t="shared" ca="1" si="9"/>
        <v>44</v>
      </c>
      <c r="K32" s="286" t="str">
        <f ca="1">IFERROR(VLOOKUP($A26&amp;J32,downloads!$A$1:$E$1000,2,FALSE),"")</f>
        <v>Tanvi KUTTY</v>
      </c>
      <c r="L32" s="286" t="str">
        <f t="shared" ca="1" si="7"/>
        <v>Macc</v>
      </c>
      <c r="O32" s="299"/>
      <c r="Q32" s="307">
        <f ca="1">IFERROR(VLOOKUP($A26&amp;D32,competitors,4,FALSE),"")</f>
        <v>1</v>
      </c>
      <c r="R32" s="307">
        <f ca="1">IFERROR(VLOOKUP($A26&amp;J32,competitors,4,FALSE),"")</f>
        <v>1</v>
      </c>
    </row>
    <row r="33" spans="1:18" x14ac:dyDescent="0.35">
      <c r="A33" s="105">
        <f ca="1">IFERROR(VLOOKUP(A26,standards,5,FALSE)+0.01,"-")</f>
        <v>13.31</v>
      </c>
      <c r="B33" s="105"/>
      <c r="C33" s="298">
        <v>5</v>
      </c>
      <c r="D33" s="298">
        <f ca="1">IFERROR(IF(C33&gt;MatchDay!$U$2+MatchDay!$D$6-1,"",VLOOKUP(A26,Timetables!$A:$EB,MatchDay!$U$4+C33-MatchDay!$D$6,FALSE)),"")</f>
        <v>2</v>
      </c>
      <c r="E33" s="286" t="str">
        <f ca="1">IFERROR(VLOOKUP($A26&amp;D33,downloads!$A$1:$E$1000,2,FALSE),"")</f>
        <v>Amelia JONES</v>
      </c>
      <c r="F33" s="286" t="str">
        <f t="shared" ca="1" si="8"/>
        <v>ECHT</v>
      </c>
      <c r="G33" s="291"/>
      <c r="H33" s="297"/>
      <c r="I33" s="298">
        <v>5</v>
      </c>
      <c r="J33" s="298">
        <f t="shared" ca="1" si="9"/>
        <v>22</v>
      </c>
      <c r="K33" s="286" t="str">
        <f ca="1">IFERROR(VLOOKUP($A26&amp;J33,downloads!$A$1:$E$1000,2,FALSE),"")</f>
        <v/>
      </c>
      <c r="L33" s="286" t="str">
        <f t="shared" ca="1" si="7"/>
        <v>ECHT</v>
      </c>
      <c r="O33" s="299"/>
      <c r="Q33" s="307">
        <f ca="1">IFERROR(VLOOKUP($A26&amp;D33,competitors,4,FALSE),"")</f>
        <v>1</v>
      </c>
      <c r="R33" s="307" t="str">
        <f ca="1">IFERROR(VLOOKUP($A26&amp;J33,competitors,4,FALSE),"")</f>
        <v/>
      </c>
    </row>
    <row r="34" spans="1:18" x14ac:dyDescent="0.35">
      <c r="A34" s="105">
        <f ca="1">IFERROR(VLOOKUP(A26,standards,6,FALSE)+0.01,"-")</f>
        <v>13.01</v>
      </c>
      <c r="B34" s="105"/>
      <c r="C34" s="298">
        <v>6</v>
      </c>
      <c r="D34" s="298">
        <f ca="1">IFERROR(IF(C34&gt;MatchDay!$U$2+MatchDay!$D$6-1,"",VLOOKUP(A26,Timetables!$A:$EB,MatchDay!$U$4+C34-MatchDay!$D$6,FALSE)),"")</f>
        <v>1</v>
      </c>
      <c r="E34" s="286" t="str">
        <f ca="1">IFERROR(VLOOKUP($A26&amp;D34,downloads!$A$1:$E$1000,2,FALSE),"")</f>
        <v>Bella VARLEY</v>
      </c>
      <c r="F34" s="286" t="str">
        <f t="shared" ca="1" si="8"/>
        <v>C&amp;N</v>
      </c>
      <c r="G34" s="291"/>
      <c r="H34" s="297"/>
      <c r="I34" s="298">
        <v>6</v>
      </c>
      <c r="J34" s="298">
        <f t="shared" ca="1" si="9"/>
        <v>11</v>
      </c>
      <c r="K34" s="286" t="str">
        <f ca="1">IFERROR(VLOOKUP($A26&amp;J34,downloads!$A$1:$E$1000,2,FALSE),"")</f>
        <v>Mia O'DONNELL</v>
      </c>
      <c r="L34" s="286" t="str">
        <f t="shared" ca="1" si="7"/>
        <v>C&amp;N</v>
      </c>
      <c r="O34" s="299"/>
      <c r="Q34" s="307">
        <f ca="1">IFERROR(VLOOKUP($A26&amp;D34,competitors,4,FALSE),"")</f>
        <v>1</v>
      </c>
      <c r="R34" s="307">
        <f ca="1">IFERROR(VLOOKUP($A26&amp;J34,competitors,4,FALSE),"")</f>
        <v>1</v>
      </c>
    </row>
    <row r="35" spans="1:18" x14ac:dyDescent="0.35">
      <c r="A35" s="300">
        <f ca="1">IFERROR(SEARCH("Girls",C26),0)</f>
        <v>17</v>
      </c>
      <c r="C35" s="298">
        <v>7</v>
      </c>
      <c r="D35" s="298">
        <f ca="1">IFERROR(IF(C35&gt;MatchDay!$U$2+MatchDay!$D$6-1,"",VLOOKUP(A26,Timetables!$A:$EB,MatchDay!$U$4+C35-MatchDay!$D$6,FALSE)),"")</f>
        <v>3</v>
      </c>
      <c r="E35" s="286" t="str">
        <f ca="1">IFERROR(VLOOKUP($A26&amp;D35,downloads!$A$1:$E$1000,2,FALSE),"")</f>
        <v>Jessica HODGKINSON</v>
      </c>
      <c r="F35" s="286" t="str">
        <f t="shared" ca="1" si="8"/>
        <v>Leigh</v>
      </c>
      <c r="G35" s="291"/>
      <c r="H35" s="297"/>
      <c r="I35" s="298">
        <v>7</v>
      </c>
      <c r="J35" s="298">
        <f t="shared" ca="1" si="9"/>
        <v>33</v>
      </c>
      <c r="K35" s="286" t="str">
        <f ca="1">IFERROR(VLOOKUP($A26&amp;J35,downloads!$A$1:$E$1000,2,FALSE),"")</f>
        <v>Olivia COPPER</v>
      </c>
      <c r="L35" s="286" t="str">
        <f t="shared" ca="1" si="7"/>
        <v>Leigh</v>
      </c>
      <c r="O35" s="299"/>
      <c r="Q35" s="307">
        <f ca="1">IFERROR(VLOOKUP($A26&amp;D35,competitors,4,FALSE),"")</f>
        <v>1</v>
      </c>
      <c r="R35" s="307">
        <f ca="1">IFERROR(VLOOKUP($A26&amp;J35,competitors,4,FALSE),"")</f>
        <v>1</v>
      </c>
    </row>
    <row r="36" spans="1:18" x14ac:dyDescent="0.35">
      <c r="A36" s="103">
        <f ca="1">IFERROR(VLOOKUP(A26,records,5,FALSE),"")</f>
        <v>11</v>
      </c>
      <c r="B36" s="103"/>
      <c r="C36" s="298">
        <v>8</v>
      </c>
      <c r="D36" s="298" t="str">
        <f>IFERROR(IF(C36&gt;MatchDay!$U$2+MatchDay!$D$6-1,"",VLOOKUP(A26,Timetables!$A:$EB,MatchDay!$U$4+C36-MatchDay!$D$6,FALSE)),"")</f>
        <v/>
      </c>
      <c r="E36" s="286" t="str">
        <f ca="1">IFERROR(VLOOKUP($A26&amp;D36,downloads!$A$1:$E$1000,2,FALSE),"")</f>
        <v/>
      </c>
      <c r="F36" s="286" t="str">
        <f t="shared" si="8"/>
        <v/>
      </c>
      <c r="G36" s="291"/>
      <c r="H36" s="297"/>
      <c r="I36" s="298">
        <v>8</v>
      </c>
      <c r="J36" s="298" t="str">
        <f t="shared" si="9"/>
        <v/>
      </c>
      <c r="K36" s="286" t="str">
        <f ca="1">IFERROR(VLOOKUP($A26&amp;J36,downloads!$A$1:$E$1000,2,FALSE),"")</f>
        <v/>
      </c>
      <c r="L36" s="286" t="str">
        <f t="shared" si="7"/>
        <v/>
      </c>
      <c r="O36" s="299"/>
      <c r="Q36" s="307" t="str">
        <f ca="1">IFERROR(VLOOKUP($A26&amp;D36,competitors,4,FALSE),"")</f>
        <v/>
      </c>
      <c r="R36" s="307" t="str">
        <f ca="1">IFERROR(VLOOKUP($A26&amp;J36,competitors,4,FALSE),"")</f>
        <v/>
      </c>
    </row>
    <row r="37" spans="1:18" x14ac:dyDescent="0.35">
      <c r="Q37" s="307"/>
      <c r="R37" s="307"/>
    </row>
    <row r="38" spans="1:18" x14ac:dyDescent="0.35">
      <c r="A38" s="98" t="str">
        <f ca="1">IFERROR(INDIRECT(CONCATENATE("'Timetables'!A"&amp;A42)),"")</f>
        <v>LT04</v>
      </c>
      <c r="B38" s="304" t="str">
        <f ca="1">IFERROR(TEXT(VLOOKUP(A38,timetables,7-MatchDay!$U$7,FALSE),"hh:mm"),"")</f>
        <v>11:45</v>
      </c>
      <c r="C38" s="292" t="str">
        <f ca="1">IFERROR(VLOOKUP(A38,timetables,2,FALSE)&amp;" "&amp;VLOOKUP(A38,timetables,3,FALSE)&amp;" A","")</f>
        <v>80m Hurdles U15 Boys A</v>
      </c>
      <c r="D38" s="292"/>
      <c r="F38" s="293"/>
      <c r="G38" s="294"/>
      <c r="L38" s="360"/>
      <c r="M38" s="296"/>
      <c r="N38" s="286"/>
      <c r="Q38" s="307"/>
      <c r="R38" s="307"/>
    </row>
    <row r="39" spans="1:18" x14ac:dyDescent="0.35">
      <c r="A39" s="98"/>
      <c r="B39" s="98"/>
      <c r="C39" s="295" t="str">
        <f ca="1">IFERROR("Rec: "&amp;VLOOKUP(A38,records,4,FALSE),"")</f>
        <v>Rec: 11.0 Joseph Harding, Basildon AC, 2017</v>
      </c>
      <c r="D39" s="292"/>
      <c r="F39" s="293"/>
      <c r="G39" s="294"/>
      <c r="I39" s="295"/>
      <c r="L39" s="360"/>
      <c r="M39" s="296"/>
      <c r="N39" s="286"/>
      <c r="Q39" s="307"/>
      <c r="R39" s="307"/>
    </row>
    <row r="40" spans="1:18" x14ac:dyDescent="0.35">
      <c r="A40" s="82" t="str">
        <f ca="1">MID(A38,2,3)</f>
        <v>T04</v>
      </c>
      <c r="B40" s="82"/>
      <c r="C40" s="304" t="s">
        <v>542</v>
      </c>
      <c r="D40" s="304" t="s">
        <v>141</v>
      </c>
      <c r="E40" s="286" t="s">
        <v>174</v>
      </c>
      <c r="F40" s="286" t="s">
        <v>175</v>
      </c>
      <c r="G40" s="291"/>
      <c r="I40" s="304" t="s">
        <v>542</v>
      </c>
      <c r="J40" s="304" t="s">
        <v>141</v>
      </c>
      <c r="K40" s="286" t="s">
        <v>174</v>
      </c>
      <c r="L40" s="286" t="s">
        <v>175</v>
      </c>
      <c r="O40" s="299"/>
      <c r="Q40" s="307"/>
      <c r="R40" s="307"/>
    </row>
    <row r="41" spans="1:18" x14ac:dyDescent="0.35">
      <c r="A41" s="138"/>
      <c r="B41" s="103"/>
      <c r="C41" s="298">
        <v>1</v>
      </c>
      <c r="D41" s="298">
        <f ca="1">IFERROR(IF(C41&gt;MatchDay!$U$2,"",IF(MatchDay!$D$6=2,"",VLOOKUP(A38,Timetables!$A:$EB,MatchDay!$U$4+C41-MatchDay!$D$6,FALSE))),"")</f>
        <v>5</v>
      </c>
      <c r="E41" s="286" t="str">
        <f ca="1">IFERROR(VLOOKUP($A38&amp;D41,downloads!$A$1:$E$1000,2,FALSE),"")</f>
        <v>Morgan JONES</v>
      </c>
      <c r="F41" s="286" t="str">
        <f ca="1">IFERROR(VLOOKUP(D41,teamlookup,5,FALSE),"")</f>
        <v>Menai</v>
      </c>
      <c r="G41" s="291"/>
      <c r="H41" s="297"/>
      <c r="I41" s="298">
        <v>1</v>
      </c>
      <c r="J41" s="298">
        <f ca="1">IFERROR(D41*11,"")</f>
        <v>55</v>
      </c>
      <c r="K41" s="286" t="str">
        <f ca="1">IFERROR(VLOOKUP($A38&amp;J41,downloads!$A$1:$E$1000,2,FALSE),"")</f>
        <v/>
      </c>
      <c r="L41" s="286" t="str">
        <f t="shared" ref="L41:L48" ca="1" si="10">IFERROR(VLOOKUP(J41,teamlookup,5,FALSE),"")</f>
        <v>Menai</v>
      </c>
      <c r="O41" s="299"/>
      <c r="Q41" s="307">
        <f ca="1">IFERROR(VLOOKUP($A38&amp;D41,competitors,4,FALSE),"")</f>
        <v>1</v>
      </c>
      <c r="R41" s="307" t="str">
        <f ca="1">IFERROR(VLOOKUP($A38&amp;J41,competitors,4,FALSE),"")</f>
        <v/>
      </c>
    </row>
    <row r="42" spans="1:18" x14ac:dyDescent="0.35">
      <c r="A42" s="304">
        <f>A30+1</f>
        <v>6</v>
      </c>
      <c r="C42" s="298">
        <v>2</v>
      </c>
      <c r="D42" s="298">
        <f ca="1">IFERROR(IF(C42&gt;MatchDay!$U$2+MatchDay!$D$6-1,"",VLOOKUP(A38,Timetables!$A:$EB,MatchDay!$U$4+C42-MatchDay!$D$6,FALSE)),"")</f>
        <v>7</v>
      </c>
      <c r="E42" s="286" t="str">
        <f ca="1">IFERROR(VLOOKUP($A38&amp;D42,downloads!$A$1:$E$1000,2,FALSE),"")</f>
        <v/>
      </c>
      <c r="F42" s="286" t="str">
        <f t="shared" ref="F42:F48" ca="1" si="11">IFERROR(VLOOKUP(D42,teamlookup,5,FALSE),"")</f>
        <v>Wigan</v>
      </c>
      <c r="G42" s="291"/>
      <c r="H42" s="297"/>
      <c r="I42" s="298">
        <v>2</v>
      </c>
      <c r="J42" s="298">
        <f t="shared" ref="J42:J48" ca="1" si="12">IFERROR(D42*11,"")</f>
        <v>77</v>
      </c>
      <c r="K42" s="286" t="str">
        <f ca="1">IFERROR(VLOOKUP($A38&amp;J42,downloads!$A$1:$E$1000,2,FALSE),"")</f>
        <v/>
      </c>
      <c r="L42" s="286" t="str">
        <f t="shared" ca="1" si="10"/>
        <v>Wigan</v>
      </c>
      <c r="O42" s="299"/>
      <c r="Q42" s="307" t="str">
        <f ca="1">IFERROR(VLOOKUP($A38&amp;D42,competitors,4,FALSE),"")</f>
        <v/>
      </c>
      <c r="R42" s="307" t="str">
        <f ca="1">IFERROR(VLOOKUP($A38&amp;J42,competitors,4,FALSE),"")</f>
        <v/>
      </c>
    </row>
    <row r="43" spans="1:18" x14ac:dyDescent="0.35">
      <c r="A43" s="105">
        <f ca="1">IFERROR(VLOOKUP(A38,standards,3,FALSE)+0.01,"-")</f>
        <v>14.81</v>
      </c>
      <c r="B43" s="105"/>
      <c r="C43" s="298">
        <v>3</v>
      </c>
      <c r="D43" s="298">
        <f ca="1">IFERROR(IF(C43&gt;MatchDay!$U$2+MatchDay!$D$6-1,"",VLOOKUP(A38,Timetables!$A:$EB,MatchDay!$U$4+C43-MatchDay!$D$6,FALSE)),"")</f>
        <v>6</v>
      </c>
      <c r="E43" s="286" t="str">
        <f ca="1">IFERROR(VLOOKUP($A38&amp;D43,downloads!$A$1:$E$1000,2,FALSE),"")</f>
        <v>Quaid SIN</v>
      </c>
      <c r="F43" s="286" t="str">
        <f t="shared" ca="1" si="11"/>
        <v>Stock</v>
      </c>
      <c r="G43" s="291"/>
      <c r="H43" s="297"/>
      <c r="I43" s="298">
        <v>3</v>
      </c>
      <c r="J43" s="298">
        <f t="shared" ca="1" si="12"/>
        <v>66</v>
      </c>
      <c r="K43" s="286" t="str">
        <f ca="1">IFERROR(VLOOKUP($A38&amp;J43,downloads!$A$1:$E$1000,2,FALSE),"")</f>
        <v/>
      </c>
      <c r="L43" s="286" t="str">
        <f t="shared" ca="1" si="10"/>
        <v>Stock</v>
      </c>
      <c r="O43" s="299"/>
      <c r="Q43" s="307">
        <f ca="1">IFERROR(VLOOKUP($A38&amp;D43,competitors,4,FALSE),"")</f>
        <v>1</v>
      </c>
      <c r="R43" s="307" t="str">
        <f ca="1">IFERROR(VLOOKUP($A38&amp;J43,competitors,4,FALSE),"")</f>
        <v/>
      </c>
    </row>
    <row r="44" spans="1:18" x14ac:dyDescent="0.35">
      <c r="A44" s="105">
        <f ca="1">IFERROR(VLOOKUP(A38,standards,4,FALSE)+0.01,"-")</f>
        <v>14.41</v>
      </c>
      <c r="B44" s="105"/>
      <c r="C44" s="298">
        <v>4</v>
      </c>
      <c r="D44" s="298">
        <f ca="1">IFERROR(IF(C44&gt;MatchDay!$U$2+MatchDay!$D$6-1,"",VLOOKUP(A38,Timetables!$A:$EB,MatchDay!$U$4+C44-MatchDay!$D$6,FALSE)),"")</f>
        <v>4</v>
      </c>
      <c r="E44" s="286" t="str">
        <f ca="1">IFERROR(VLOOKUP($A38&amp;D44,downloads!$A$1:$E$1000,2,FALSE),"")</f>
        <v/>
      </c>
      <c r="F44" s="286" t="str">
        <f t="shared" ca="1" si="11"/>
        <v>Macc</v>
      </c>
      <c r="G44" s="291"/>
      <c r="H44" s="297"/>
      <c r="I44" s="298">
        <v>4</v>
      </c>
      <c r="J44" s="298">
        <f t="shared" ca="1" si="12"/>
        <v>44</v>
      </c>
      <c r="K44" s="286" t="str">
        <f ca="1">IFERROR(VLOOKUP($A38&amp;J44,downloads!$A$1:$E$1000,2,FALSE),"")</f>
        <v/>
      </c>
      <c r="L44" s="286" t="str">
        <f t="shared" ca="1" si="10"/>
        <v>Macc</v>
      </c>
      <c r="O44" s="299"/>
      <c r="Q44" s="307" t="str">
        <f ca="1">IFERROR(VLOOKUP($A38&amp;D44,competitors,4,FALSE),"")</f>
        <v/>
      </c>
      <c r="R44" s="307" t="str">
        <f ca="1">IFERROR(VLOOKUP($A38&amp;J44,competitors,4,FALSE),"")</f>
        <v/>
      </c>
    </row>
    <row r="45" spans="1:18" x14ac:dyDescent="0.35">
      <c r="A45" s="105">
        <f ca="1">IFERROR(VLOOKUP(A38,standards,5,FALSE)+0.01,"-")</f>
        <v>14.01</v>
      </c>
      <c r="B45" s="105"/>
      <c r="C45" s="298">
        <v>5</v>
      </c>
      <c r="D45" s="298">
        <f ca="1">IFERROR(IF(C45&gt;MatchDay!$U$2+MatchDay!$D$6-1,"",VLOOKUP(A38,Timetables!$A:$EB,MatchDay!$U$4+C45-MatchDay!$D$6,FALSE)),"")</f>
        <v>2</v>
      </c>
      <c r="E45" s="286" t="str">
        <f ca="1">IFERROR(VLOOKUP($A38&amp;D45,downloads!$A$1:$E$1000,2,FALSE),"")</f>
        <v/>
      </c>
      <c r="F45" s="286" t="str">
        <f t="shared" ca="1" si="11"/>
        <v>ECHT</v>
      </c>
      <c r="G45" s="291"/>
      <c r="H45" s="297"/>
      <c r="I45" s="298">
        <v>5</v>
      </c>
      <c r="J45" s="298">
        <f t="shared" ca="1" si="12"/>
        <v>22</v>
      </c>
      <c r="K45" s="286" t="str">
        <f ca="1">IFERROR(VLOOKUP($A38&amp;J45,downloads!$A$1:$E$1000,2,FALSE),"")</f>
        <v/>
      </c>
      <c r="L45" s="286" t="str">
        <f t="shared" ca="1" si="10"/>
        <v>ECHT</v>
      </c>
      <c r="O45" s="299"/>
      <c r="Q45" s="307" t="str">
        <f ca="1">IFERROR(VLOOKUP($A38&amp;D45,competitors,4,FALSE),"")</f>
        <v/>
      </c>
      <c r="R45" s="307" t="str">
        <f ca="1">IFERROR(VLOOKUP($A38&amp;J45,competitors,4,FALSE),"")</f>
        <v/>
      </c>
    </row>
    <row r="46" spans="1:18" x14ac:dyDescent="0.35">
      <c r="A46" s="105">
        <f ca="1">IFERROR(VLOOKUP(A38,standards,6,FALSE)+0.01,"-")</f>
        <v>13.61</v>
      </c>
      <c r="B46" s="105"/>
      <c r="C46" s="298">
        <v>6</v>
      </c>
      <c r="D46" s="298">
        <f ca="1">IFERROR(IF(C46&gt;MatchDay!$U$2+MatchDay!$D$6-1,"",VLOOKUP(A38,Timetables!$A:$EB,MatchDay!$U$4+C46-MatchDay!$D$6,FALSE)),"")</f>
        <v>1</v>
      </c>
      <c r="E46" s="286" t="str">
        <f ca="1">IFERROR(VLOOKUP($A38&amp;D46,downloads!$A$1:$E$1000,2,FALSE),"")</f>
        <v>James HOWARTH</v>
      </c>
      <c r="F46" s="286" t="str">
        <f t="shared" ca="1" si="11"/>
        <v>C&amp;N</v>
      </c>
      <c r="G46" s="291"/>
      <c r="H46" s="297"/>
      <c r="I46" s="298">
        <v>6</v>
      </c>
      <c r="J46" s="298">
        <f t="shared" ca="1" si="12"/>
        <v>11</v>
      </c>
      <c r="K46" s="286" t="str">
        <f ca="1">IFERROR(VLOOKUP($A38&amp;J46,downloads!$A$1:$E$1000,2,FALSE),"")</f>
        <v>Isaac PICKERING</v>
      </c>
      <c r="L46" s="286" t="str">
        <f t="shared" ca="1" si="10"/>
        <v>C&amp;N</v>
      </c>
      <c r="O46" s="299"/>
      <c r="Q46" s="307">
        <f ca="1">IFERROR(VLOOKUP($A38&amp;D46,competitors,4,FALSE),"")</f>
        <v>1</v>
      </c>
      <c r="R46" s="307">
        <f ca="1">IFERROR(VLOOKUP($A38&amp;J46,competitors,4,FALSE),"")</f>
        <v>1</v>
      </c>
    </row>
    <row r="47" spans="1:18" x14ac:dyDescent="0.35">
      <c r="A47" s="300">
        <f ca="1">IFERROR(SEARCH("Girls",C38),0)</f>
        <v>0</v>
      </c>
      <c r="C47" s="298">
        <v>7</v>
      </c>
      <c r="D47" s="298">
        <f ca="1">IFERROR(IF(C47&gt;MatchDay!$U$2+MatchDay!$D$6-1,"",VLOOKUP(A38,Timetables!$A:$EB,MatchDay!$U$4+C47-MatchDay!$D$6,FALSE)),"")</f>
        <v>3</v>
      </c>
      <c r="E47" s="286" t="str">
        <f ca="1">IFERROR(VLOOKUP($A38&amp;D47,downloads!$A$1:$E$1000,2,FALSE),"")</f>
        <v>Barnaby CROMBLEHOLME</v>
      </c>
      <c r="F47" s="286" t="str">
        <f t="shared" ca="1" si="11"/>
        <v>Leigh</v>
      </c>
      <c r="G47" s="291"/>
      <c r="H47" s="297"/>
      <c r="I47" s="298">
        <v>7</v>
      </c>
      <c r="J47" s="298">
        <f t="shared" ca="1" si="12"/>
        <v>33</v>
      </c>
      <c r="K47" s="286" t="str">
        <f ca="1">IFERROR(VLOOKUP($A38&amp;J47,downloads!$A$1:$E$1000,2,FALSE),"")</f>
        <v/>
      </c>
      <c r="L47" s="286" t="str">
        <f t="shared" ca="1" si="10"/>
        <v>Leigh</v>
      </c>
      <c r="O47" s="299"/>
      <c r="Q47" s="307">
        <f ca="1">IFERROR(VLOOKUP($A38&amp;D47,competitors,4,FALSE),"")</f>
        <v>1</v>
      </c>
      <c r="R47" s="307" t="str">
        <f ca="1">IFERROR(VLOOKUP($A38&amp;J47,competitors,4,FALSE),"")</f>
        <v/>
      </c>
    </row>
    <row r="48" spans="1:18" x14ac:dyDescent="0.35">
      <c r="A48" s="103">
        <f ca="1">IFERROR(VLOOKUP(A38,records,5,FALSE),"")</f>
        <v>11</v>
      </c>
      <c r="B48" s="103"/>
      <c r="C48" s="298">
        <v>8</v>
      </c>
      <c r="D48" s="298" t="str">
        <f>IFERROR(IF(C48&gt;MatchDay!$U$2+MatchDay!$D$6-1,"",VLOOKUP(A38,Timetables!$A:$EB,MatchDay!$U$4+C48-MatchDay!$D$6,FALSE)),"")</f>
        <v/>
      </c>
      <c r="E48" s="286" t="str">
        <f ca="1">IFERROR(VLOOKUP($A38&amp;D48,downloads!$A$1:$E$1000,2,FALSE),"")</f>
        <v/>
      </c>
      <c r="F48" s="286" t="str">
        <f t="shared" si="11"/>
        <v/>
      </c>
      <c r="G48" s="291"/>
      <c r="H48" s="297"/>
      <c r="I48" s="298">
        <v>8</v>
      </c>
      <c r="J48" s="298" t="str">
        <f t="shared" si="12"/>
        <v/>
      </c>
      <c r="K48" s="286" t="str">
        <f ca="1">IFERROR(VLOOKUP($A38&amp;J48,downloads!$A$1:$E$1000,2,FALSE),"")</f>
        <v/>
      </c>
      <c r="L48" s="286" t="str">
        <f t="shared" si="10"/>
        <v/>
      </c>
      <c r="O48" s="299"/>
      <c r="Q48" s="307" t="str">
        <f ca="1">IFERROR(VLOOKUP($A38&amp;D48,competitors,4,FALSE),"")</f>
        <v/>
      </c>
      <c r="R48" s="307" t="str">
        <f ca="1">IFERROR(VLOOKUP($A38&amp;J48,competitors,4,FALSE),"")</f>
        <v/>
      </c>
    </row>
    <row r="49" spans="1:18" x14ac:dyDescent="0.35">
      <c r="Q49" s="307"/>
      <c r="R49" s="307"/>
    </row>
    <row r="50" spans="1:18" ht="15" customHeight="1" x14ac:dyDescent="0.35">
      <c r="A50" s="98" t="str">
        <f ca="1">IFERROR(INDIRECT(CONCATENATE("'Timetables'!A"&amp;A54)),"")</f>
        <v>LT05</v>
      </c>
      <c r="B50" s="304" t="str">
        <f ca="1">IFERROR(TEXT(VLOOKUP(A50,timetables,7-MatchDay!$U$7,FALSE),"hh:mm"),"")</f>
        <v>12:00</v>
      </c>
      <c r="C50" s="292" t="str">
        <f ca="1">IFERROR(VLOOKUP(A50,timetables,2,FALSE)&amp;" "&amp;VLOOKUP(A50,timetables,3,FALSE)&amp;" A","")</f>
        <v>150m U13 Girls A</v>
      </c>
      <c r="D50" s="292"/>
      <c r="F50" s="293"/>
      <c r="G50" s="294"/>
      <c r="L50" s="360"/>
      <c r="M50" s="296"/>
      <c r="N50" s="286"/>
      <c r="Q50" s="307"/>
      <c r="R50" s="307"/>
    </row>
    <row r="51" spans="1:18" ht="15" customHeight="1" x14ac:dyDescent="0.35">
      <c r="A51" s="98"/>
      <c r="B51" s="98"/>
      <c r="C51" s="295" t="str">
        <f ca="1">IFERROR("Rec: "&amp;VLOOKUP(A50,records,4,FALSE),"")</f>
        <v>Rec: 18.7 Alicia Regis, Enfield &amp; Haringey AC, 2014</v>
      </c>
      <c r="D51" s="292"/>
      <c r="F51" s="293"/>
      <c r="G51" s="294"/>
      <c r="I51" s="295"/>
      <c r="L51" s="360"/>
      <c r="M51" s="296"/>
      <c r="N51" s="286"/>
      <c r="Q51" s="307"/>
      <c r="R51" s="307"/>
    </row>
    <row r="52" spans="1:18" ht="15" customHeight="1" x14ac:dyDescent="0.35">
      <c r="A52" s="82" t="str">
        <f ca="1">MID(A50,2,3)</f>
        <v>T05</v>
      </c>
      <c r="B52" s="82"/>
      <c r="C52" s="304" t="s">
        <v>542</v>
      </c>
      <c r="D52" s="304" t="s">
        <v>141</v>
      </c>
      <c r="E52" s="286" t="s">
        <v>174</v>
      </c>
      <c r="F52" s="286" t="s">
        <v>175</v>
      </c>
      <c r="G52" s="291"/>
      <c r="I52" s="304" t="s">
        <v>542</v>
      </c>
      <c r="J52" s="304" t="s">
        <v>141</v>
      </c>
      <c r="K52" s="286" t="s">
        <v>174</v>
      </c>
      <c r="L52" s="286" t="s">
        <v>175</v>
      </c>
      <c r="O52" s="299"/>
      <c r="Q52" s="307"/>
      <c r="R52" s="307"/>
    </row>
    <row r="53" spans="1:18" ht="15" customHeight="1" x14ac:dyDescent="0.35">
      <c r="A53" s="138"/>
      <c r="B53" s="103"/>
      <c r="C53" s="298">
        <v>1</v>
      </c>
      <c r="D53" s="298">
        <f ca="1">IFERROR(IF(C53&gt;MatchDay!$U$2,"",IF(MatchDay!$D$6=2,"",VLOOKUP(A50,Timetables!$A:$EB,MatchDay!$U$4+C53-MatchDay!$D$6,FALSE))),"")</f>
        <v>3</v>
      </c>
      <c r="E53" s="286" t="str">
        <f ca="1">IFERROR(VLOOKUP($A50&amp;D53,downloads!$A$1:$E$1000,2,FALSE),"")</f>
        <v>Lois MELLING</v>
      </c>
      <c r="F53" s="286" t="str">
        <f ca="1">IFERROR(VLOOKUP(D53,teamlookup,5,FALSE),"")</f>
        <v>Leigh</v>
      </c>
      <c r="G53" s="291"/>
      <c r="H53" s="297"/>
      <c r="I53" s="298">
        <v>1</v>
      </c>
      <c r="J53" s="298">
        <f ca="1">IFERROR(D53*11,"")</f>
        <v>33</v>
      </c>
      <c r="K53" s="286" t="str">
        <f ca="1">IFERROR(VLOOKUP($A50&amp;J53,downloads!$A$1:$E$1000,2,FALSE),"")</f>
        <v>Emily ASHTON</v>
      </c>
      <c r="L53" s="286" t="str">
        <f t="shared" ref="L53:L60" ca="1" si="13">IFERROR(VLOOKUP(J53,teamlookup,5,FALSE),"")</f>
        <v>Leigh</v>
      </c>
      <c r="O53" s="299"/>
      <c r="Q53" s="307">
        <f ca="1">IFERROR(VLOOKUP($A50&amp;D53,competitors,4,FALSE),"")</f>
        <v>1</v>
      </c>
      <c r="R53" s="307">
        <f ca="1">IFERROR(VLOOKUP($A50&amp;J53,competitors,4,FALSE),"")</f>
        <v>1</v>
      </c>
    </row>
    <row r="54" spans="1:18" ht="15" customHeight="1" x14ac:dyDescent="0.35">
      <c r="A54" s="304">
        <f>A42+1</f>
        <v>7</v>
      </c>
      <c r="C54" s="298">
        <v>2</v>
      </c>
      <c r="D54" s="298">
        <f ca="1">IFERROR(IF(C54&gt;MatchDay!$U$2+MatchDay!$D$6-1,"",VLOOKUP(A50,Timetables!$A:$EB,MatchDay!$U$4+C54-MatchDay!$D$6,FALSE)),"")</f>
        <v>2</v>
      </c>
      <c r="E54" s="286" t="str">
        <f ca="1">IFERROR(VLOOKUP($A50&amp;D54,downloads!$A$1:$E$1000,2,FALSE),"")</f>
        <v>Olivia JONES</v>
      </c>
      <c r="F54" s="286" t="str">
        <f t="shared" ref="F54:F60" ca="1" si="14">IFERROR(VLOOKUP(D54,teamlookup,5,FALSE),"")</f>
        <v>ECHT</v>
      </c>
      <c r="G54" s="291"/>
      <c r="H54" s="297"/>
      <c r="I54" s="298">
        <v>2</v>
      </c>
      <c r="J54" s="298">
        <f t="shared" ref="J54:J60" ca="1" si="15">IFERROR(D54*11,"")</f>
        <v>22</v>
      </c>
      <c r="K54" s="286" t="str">
        <f ca="1">IFERROR(VLOOKUP($A50&amp;J54,downloads!$A$1:$E$1000,2,FALSE),"")</f>
        <v>Madaline BURKE</v>
      </c>
      <c r="L54" s="286" t="str">
        <f t="shared" ca="1" si="13"/>
        <v>ECHT</v>
      </c>
      <c r="O54" s="299"/>
      <c r="Q54" s="307">
        <f ca="1">IFERROR(VLOOKUP($A50&amp;D54,competitors,4,FALSE),"")</f>
        <v>1</v>
      </c>
      <c r="R54" s="307">
        <f ca="1">IFERROR(VLOOKUP($A50&amp;J54,competitors,4,FALSE),"")</f>
        <v>1</v>
      </c>
    </row>
    <row r="55" spans="1:18" ht="15" customHeight="1" x14ac:dyDescent="0.35">
      <c r="A55" s="105">
        <f ca="1">IFERROR(VLOOKUP(A50,standards,3,FALSE)+0.01,"-")</f>
        <v>25.01</v>
      </c>
      <c r="B55" s="105"/>
      <c r="C55" s="298">
        <v>3</v>
      </c>
      <c r="D55" s="298">
        <f ca="1">IFERROR(IF(C55&gt;MatchDay!$U$2+MatchDay!$D$6-1,"",VLOOKUP(A50,Timetables!$A:$EB,MatchDay!$U$4+C55-MatchDay!$D$6,FALSE)),"")</f>
        <v>6</v>
      </c>
      <c r="E55" s="286" t="str">
        <f ca="1">IFERROR(VLOOKUP($A50&amp;D55,downloads!$A$1:$E$1000,2,FALSE),"")</f>
        <v>Sophie LOW</v>
      </c>
      <c r="F55" s="286" t="str">
        <f t="shared" ca="1" si="14"/>
        <v>Stock</v>
      </c>
      <c r="G55" s="291"/>
      <c r="H55" s="297"/>
      <c r="I55" s="298">
        <v>3</v>
      </c>
      <c r="J55" s="298">
        <f t="shared" ca="1" si="15"/>
        <v>66</v>
      </c>
      <c r="K55" s="286" t="str">
        <f ca="1">IFERROR(VLOOKUP($A50&amp;J55,downloads!$A$1:$E$1000,2,FALSE),"")</f>
        <v>Emily FOX</v>
      </c>
      <c r="L55" s="286" t="str">
        <f t="shared" ca="1" si="13"/>
        <v>Stock</v>
      </c>
      <c r="O55" s="299"/>
      <c r="Q55" s="307">
        <f ca="1">IFERROR(VLOOKUP($A50&amp;D55,competitors,4,FALSE),"")</f>
        <v>1</v>
      </c>
      <c r="R55" s="307">
        <f ca="1">IFERROR(VLOOKUP($A50&amp;J55,competitors,4,FALSE),"")</f>
        <v>1</v>
      </c>
    </row>
    <row r="56" spans="1:18" ht="15" customHeight="1" x14ac:dyDescent="0.35">
      <c r="A56" s="105">
        <f ca="1">IFERROR(VLOOKUP(A50,standards,4,FALSE)+0.01,"-")</f>
        <v>24.41</v>
      </c>
      <c r="B56" s="105"/>
      <c r="C56" s="298">
        <v>4</v>
      </c>
      <c r="D56" s="298">
        <f ca="1">IFERROR(IF(C56&gt;MatchDay!$U$2+MatchDay!$D$6-1,"",VLOOKUP(A50,Timetables!$A:$EB,MatchDay!$U$4+C56-MatchDay!$D$6,FALSE)),"")</f>
        <v>1</v>
      </c>
      <c r="E56" s="286" t="str">
        <f ca="1">IFERROR(VLOOKUP($A50&amp;D56,downloads!$A$1:$E$1000,2,FALSE),"")</f>
        <v>Lucy HOWARTH</v>
      </c>
      <c r="F56" s="286" t="str">
        <f t="shared" ca="1" si="14"/>
        <v>C&amp;N</v>
      </c>
      <c r="G56" s="291"/>
      <c r="H56" s="297"/>
      <c r="I56" s="298">
        <v>4</v>
      </c>
      <c r="J56" s="298">
        <f t="shared" ca="1" si="15"/>
        <v>11</v>
      </c>
      <c r="K56" s="286" t="str">
        <f ca="1">IFERROR(VLOOKUP($A50&amp;J56,downloads!$A$1:$E$1000,2,FALSE),"")</f>
        <v>Freya HOWELLS</v>
      </c>
      <c r="L56" s="286" t="str">
        <f t="shared" ca="1" si="13"/>
        <v>C&amp;N</v>
      </c>
      <c r="O56" s="299"/>
      <c r="Q56" s="307">
        <f ca="1">IFERROR(VLOOKUP($A50&amp;D56,competitors,4,FALSE),"")</f>
        <v>1</v>
      </c>
      <c r="R56" s="307">
        <f ca="1">IFERROR(VLOOKUP($A50&amp;J56,competitors,4,FALSE),"")</f>
        <v>1</v>
      </c>
    </row>
    <row r="57" spans="1:18" ht="15" customHeight="1" x14ac:dyDescent="0.35">
      <c r="A57" s="105">
        <f ca="1">IFERROR(VLOOKUP(A50,standards,5,FALSE)+0.01,"-")</f>
        <v>23.810000000000002</v>
      </c>
      <c r="B57" s="105"/>
      <c r="C57" s="298">
        <v>5</v>
      </c>
      <c r="D57" s="298">
        <f ca="1">IFERROR(IF(C57&gt;MatchDay!$U$2+MatchDay!$D$6-1,"",VLOOKUP(A50,Timetables!$A:$EB,MatchDay!$U$4+C57-MatchDay!$D$6,FALSE)),"")</f>
        <v>5</v>
      </c>
      <c r="E57" s="286" t="str">
        <f ca="1">IFERROR(VLOOKUP($A50&amp;D57,downloads!$A$1:$E$1000,2,FALSE),"")</f>
        <v>Ela EDWARDS</v>
      </c>
      <c r="F57" s="286" t="str">
        <f t="shared" ca="1" si="14"/>
        <v>Menai</v>
      </c>
      <c r="G57" s="291"/>
      <c r="H57" s="297"/>
      <c r="I57" s="298">
        <v>5</v>
      </c>
      <c r="J57" s="298">
        <f t="shared" ca="1" si="15"/>
        <v>55</v>
      </c>
      <c r="K57" s="286" t="str">
        <f ca="1">IFERROR(VLOOKUP($A50&amp;J57,downloads!$A$1:$E$1000,2,FALSE),"")</f>
        <v>Tamsin SEGUIN</v>
      </c>
      <c r="L57" s="286" t="str">
        <f t="shared" ca="1" si="13"/>
        <v>Menai</v>
      </c>
      <c r="O57" s="299"/>
      <c r="Q57" s="307">
        <f ca="1">IFERROR(VLOOKUP($A50&amp;D57,competitors,4,FALSE),"")</f>
        <v>1</v>
      </c>
      <c r="R57" s="307">
        <f ca="1">IFERROR(VLOOKUP($A50&amp;J57,competitors,4,FALSE),"")</f>
        <v>1</v>
      </c>
    </row>
    <row r="58" spans="1:18" ht="15" customHeight="1" x14ac:dyDescent="0.35">
      <c r="A58" s="105">
        <f ca="1">IFERROR(VLOOKUP(A50,standards,6,FALSE)+0.01,"-")</f>
        <v>23.21</v>
      </c>
      <c r="B58" s="105"/>
      <c r="C58" s="298">
        <v>6</v>
      </c>
      <c r="D58" s="298">
        <f ca="1">IFERROR(IF(C58&gt;MatchDay!$U$2+MatchDay!$D$6-1,"",VLOOKUP(A50,Timetables!$A:$EB,MatchDay!$U$4+C58-MatchDay!$D$6,FALSE)),"")</f>
        <v>4</v>
      </c>
      <c r="E58" s="286" t="str">
        <f ca="1">IFERROR(VLOOKUP($A50&amp;D58,downloads!$A$1:$E$1000,2,FALSE),"")</f>
        <v>Lara ADU-GYAMFI</v>
      </c>
      <c r="F58" s="286" t="str">
        <f t="shared" ca="1" si="14"/>
        <v>Macc</v>
      </c>
      <c r="G58" s="291"/>
      <c r="H58" s="297"/>
      <c r="I58" s="298">
        <v>6</v>
      </c>
      <c r="J58" s="298">
        <f t="shared" ca="1" si="15"/>
        <v>44</v>
      </c>
      <c r="K58" s="286" t="str">
        <f ca="1">IFERROR(VLOOKUP($A50&amp;J58,downloads!$A$1:$E$1000,2,FALSE),"")</f>
        <v>Molly KENT</v>
      </c>
      <c r="L58" s="286" t="str">
        <f t="shared" ca="1" si="13"/>
        <v>Macc</v>
      </c>
      <c r="O58" s="299"/>
      <c r="Q58" s="307">
        <f ca="1">IFERROR(VLOOKUP($A50&amp;D58,competitors,4,FALSE),"")</f>
        <v>1</v>
      </c>
      <c r="R58" s="307">
        <f ca="1">IFERROR(VLOOKUP($A50&amp;J58,competitors,4,FALSE),"")</f>
        <v>1</v>
      </c>
    </row>
    <row r="59" spans="1:18" ht="15" customHeight="1" x14ac:dyDescent="0.35">
      <c r="A59" s="300">
        <f ca="1">IFERROR(SEARCH("Girls",C50),0)</f>
        <v>10</v>
      </c>
      <c r="C59" s="298">
        <v>7</v>
      </c>
      <c r="D59" s="298">
        <f ca="1">IFERROR(IF(C59&gt;MatchDay!$U$2+MatchDay!$D$6-1,"",VLOOKUP(A50,Timetables!$A:$EB,MatchDay!$U$4+C59-MatchDay!$D$6,FALSE)),"")</f>
        <v>7</v>
      </c>
      <c r="E59" s="286" t="str">
        <f ca="1">IFERROR(VLOOKUP($A50&amp;D59,downloads!$A$1:$E$1000,2,FALSE),"")</f>
        <v>Sophia BOWDEN-MCKAY</v>
      </c>
      <c r="F59" s="286" t="str">
        <f t="shared" ca="1" si="14"/>
        <v>Wigan</v>
      </c>
      <c r="G59" s="291"/>
      <c r="H59" s="297"/>
      <c r="I59" s="298">
        <v>7</v>
      </c>
      <c r="J59" s="298">
        <f t="shared" ca="1" si="15"/>
        <v>77</v>
      </c>
      <c r="K59" s="286" t="str">
        <f ca="1">IFERROR(VLOOKUP($A50&amp;J59,downloads!$A$1:$E$1000,2,FALSE),"")</f>
        <v>Katie-lou MALLEY</v>
      </c>
      <c r="L59" s="286" t="str">
        <f t="shared" ca="1" si="13"/>
        <v>Wigan</v>
      </c>
      <c r="O59" s="299"/>
      <c r="Q59" s="307">
        <f ca="1">IFERROR(VLOOKUP($A50&amp;D59,competitors,4,FALSE),"")</f>
        <v>1</v>
      </c>
      <c r="R59" s="307">
        <f ca="1">IFERROR(VLOOKUP($A50&amp;J59,competitors,4,FALSE),"")</f>
        <v>1</v>
      </c>
    </row>
    <row r="60" spans="1:18" ht="15" customHeight="1" x14ac:dyDescent="0.35">
      <c r="A60" s="103">
        <f ca="1">IFERROR(VLOOKUP(A50,records,5,FALSE),"")</f>
        <v>18.7</v>
      </c>
      <c r="B60" s="103"/>
      <c r="C60" s="298">
        <v>8</v>
      </c>
      <c r="D60" s="298" t="str">
        <f>IFERROR(IF(C60&gt;MatchDay!$U$2+MatchDay!$D$6-1,"",VLOOKUP(A50,Timetables!$A:$EB,MatchDay!$U$4+C60-MatchDay!$D$6,FALSE)),"")</f>
        <v/>
      </c>
      <c r="E60" s="286" t="str">
        <f ca="1">IFERROR(VLOOKUP($A50&amp;D60,downloads!$A$1:$E$1000,2,FALSE),"")</f>
        <v/>
      </c>
      <c r="F60" s="286" t="str">
        <f t="shared" si="14"/>
        <v/>
      </c>
      <c r="G60" s="291"/>
      <c r="H60" s="297"/>
      <c r="I60" s="298">
        <v>8</v>
      </c>
      <c r="J60" s="298" t="str">
        <f t="shared" si="15"/>
        <v/>
      </c>
      <c r="K60" s="286" t="str">
        <f ca="1">IFERROR(VLOOKUP($A50&amp;J60,downloads!$A$1:$E$1000,2,FALSE),"")</f>
        <v/>
      </c>
      <c r="L60" s="286" t="str">
        <f t="shared" si="13"/>
        <v/>
      </c>
      <c r="O60" s="299"/>
      <c r="Q60" s="307" t="str">
        <f ca="1">IFERROR(VLOOKUP($A50&amp;D60,competitors,4,FALSE),"")</f>
        <v/>
      </c>
      <c r="R60" s="307" t="str">
        <f ca="1">IFERROR(VLOOKUP($A50&amp;J60,competitors,4,FALSE),"")</f>
        <v/>
      </c>
    </row>
    <row r="61" spans="1:18" ht="15" customHeight="1" x14ac:dyDescent="0.35">
      <c r="Q61" s="307"/>
      <c r="R61" s="307"/>
    </row>
    <row r="62" spans="1:18" ht="15" customHeight="1" x14ac:dyDescent="0.35">
      <c r="A62" s="98" t="str">
        <f ca="1">IFERROR(INDIRECT(CONCATENATE("'Timetables'!A"&amp;A66)),"")</f>
        <v>LT06</v>
      </c>
      <c r="B62" s="304" t="str">
        <f ca="1">IFERROR(TEXT(VLOOKUP(A62,timetables,7-MatchDay!$U$7,FALSE),"hh:mm"),"")</f>
        <v>12:10</v>
      </c>
      <c r="C62" s="292" t="str">
        <f ca="1">IFERROR(VLOOKUP(A62,timetables,2,FALSE)&amp;" "&amp;VLOOKUP(A62,timetables,3,FALSE)&amp;" A","")</f>
        <v>150m U13 Boys A</v>
      </c>
      <c r="D62" s="292"/>
      <c r="F62" s="293"/>
      <c r="G62" s="294"/>
      <c r="L62" s="360"/>
      <c r="M62" s="296"/>
      <c r="N62" s="286"/>
      <c r="Q62" s="307"/>
      <c r="R62" s="307"/>
    </row>
    <row r="63" spans="1:18" ht="15" customHeight="1" x14ac:dyDescent="0.35">
      <c r="A63" s="98"/>
      <c r="B63" s="98"/>
      <c r="C63" s="295" t="str">
        <f ca="1">IFERROR("Rec: "&amp;VLOOKUP(A62,records,4,FALSE),"")</f>
        <v>Rec: 18.4 Elliott Turbin/Joel Ige, Hercules Wimbledon/Horwich, 2021</v>
      </c>
      <c r="D63" s="292"/>
      <c r="F63" s="293"/>
      <c r="G63" s="294"/>
      <c r="I63" s="295"/>
      <c r="L63" s="360"/>
      <c r="M63" s="296"/>
      <c r="N63" s="286"/>
      <c r="Q63" s="307"/>
      <c r="R63" s="307"/>
    </row>
    <row r="64" spans="1:18" ht="15" customHeight="1" x14ac:dyDescent="0.35">
      <c r="A64" s="82" t="str">
        <f ca="1">MID(A62,2,3)</f>
        <v>T06</v>
      </c>
      <c r="B64" s="82"/>
      <c r="C64" s="304" t="s">
        <v>542</v>
      </c>
      <c r="D64" s="304" t="s">
        <v>141</v>
      </c>
      <c r="E64" s="286" t="s">
        <v>174</v>
      </c>
      <c r="F64" s="286" t="s">
        <v>175</v>
      </c>
      <c r="G64" s="291"/>
      <c r="I64" s="304" t="s">
        <v>542</v>
      </c>
      <c r="J64" s="304" t="s">
        <v>141</v>
      </c>
      <c r="K64" s="286" t="s">
        <v>174</v>
      </c>
      <c r="L64" s="286" t="s">
        <v>175</v>
      </c>
      <c r="O64" s="299"/>
      <c r="Q64" s="307"/>
      <c r="R64" s="307"/>
    </row>
    <row r="65" spans="1:18" ht="15" customHeight="1" x14ac:dyDescent="0.35">
      <c r="A65" s="138"/>
      <c r="B65" s="103"/>
      <c r="C65" s="298">
        <v>1</v>
      </c>
      <c r="D65" s="298">
        <f ca="1">IFERROR(IF(C65&gt;MatchDay!$U$2,"",IF(MatchDay!$D$6=2,"",VLOOKUP(A62,Timetables!$A:$EB,MatchDay!$U$4+C65-MatchDay!$D$6,FALSE))),"")</f>
        <v>3</v>
      </c>
      <c r="E65" s="286" t="str">
        <f ca="1">IFERROR(VLOOKUP($A62&amp;D65,downloads!$A$1:$E$1000,2,FALSE),"")</f>
        <v>Thierry KERR</v>
      </c>
      <c r="F65" s="286" t="str">
        <f ca="1">IFERROR(VLOOKUP(D65,teamlookup,5,FALSE),"")</f>
        <v>Leigh</v>
      </c>
      <c r="G65" s="291"/>
      <c r="H65" s="297"/>
      <c r="I65" s="298">
        <v>1</v>
      </c>
      <c r="J65" s="298">
        <f ca="1">IFERROR(D65*11,"")</f>
        <v>33</v>
      </c>
      <c r="K65" s="286" t="str">
        <f ca="1">IFERROR(VLOOKUP($A62&amp;J65,downloads!$A$1:$E$1000,2,FALSE),"")</f>
        <v>Jesse WAI IP CHAN</v>
      </c>
      <c r="L65" s="286" t="str">
        <f t="shared" ref="L65:L72" ca="1" si="16">IFERROR(VLOOKUP(J65,teamlookup,5,FALSE),"")</f>
        <v>Leigh</v>
      </c>
      <c r="O65" s="299"/>
      <c r="Q65" s="307">
        <f ca="1">IFERROR(VLOOKUP($A62&amp;D65,competitors,4,FALSE),"")</f>
        <v>1</v>
      </c>
      <c r="R65" s="307">
        <f ca="1">IFERROR(VLOOKUP($A62&amp;J65,competitors,4,FALSE),"")</f>
        <v>0</v>
      </c>
    </row>
    <row r="66" spans="1:18" ht="15" customHeight="1" x14ac:dyDescent="0.35">
      <c r="A66" s="304">
        <f>A54+1</f>
        <v>8</v>
      </c>
      <c r="C66" s="298">
        <v>2</v>
      </c>
      <c r="D66" s="298">
        <f ca="1">IFERROR(IF(C66&gt;MatchDay!$U$2+MatchDay!$D$6-1,"",VLOOKUP(A62,Timetables!$A:$EB,MatchDay!$U$4+C66-MatchDay!$D$6,FALSE)),"")</f>
        <v>2</v>
      </c>
      <c r="E66" s="286" t="str">
        <f ca="1">IFERROR(VLOOKUP($A62&amp;D66,downloads!$A$1:$E$1000,2,FALSE),"")</f>
        <v>Ryan MCCARTHY</v>
      </c>
      <c r="F66" s="286" t="str">
        <f t="shared" ref="F66:F72" ca="1" si="17">IFERROR(VLOOKUP(D66,teamlookup,5,FALSE),"")</f>
        <v>ECHT</v>
      </c>
      <c r="G66" s="291"/>
      <c r="H66" s="297"/>
      <c r="I66" s="298">
        <v>2</v>
      </c>
      <c r="J66" s="298">
        <f t="shared" ref="J66:J72" ca="1" si="18">IFERROR(D66*11,"")</f>
        <v>22</v>
      </c>
      <c r="K66" s="286" t="str">
        <f ca="1">IFERROR(VLOOKUP($A62&amp;J66,downloads!$A$1:$E$1000,2,FALSE),"")</f>
        <v>Jake REANEY</v>
      </c>
      <c r="L66" s="286" t="str">
        <f t="shared" ca="1" si="16"/>
        <v>ECHT</v>
      </c>
      <c r="O66" s="299"/>
      <c r="Q66" s="307">
        <f ca="1">IFERROR(VLOOKUP($A62&amp;D66,competitors,4,FALSE),"")</f>
        <v>1</v>
      </c>
      <c r="R66" s="307">
        <f ca="1">IFERROR(VLOOKUP($A62&amp;J66,competitors,4,FALSE),"")</f>
        <v>1</v>
      </c>
    </row>
    <row r="67" spans="1:18" ht="15" customHeight="1" x14ac:dyDescent="0.35">
      <c r="A67" s="105">
        <f ca="1">IFERROR(VLOOKUP(A62,standards,3,FALSE)+0.01,"-")</f>
        <v>23.51</v>
      </c>
      <c r="B67" s="105"/>
      <c r="C67" s="298">
        <v>3</v>
      </c>
      <c r="D67" s="298">
        <f ca="1">IFERROR(IF(C67&gt;MatchDay!$U$2+MatchDay!$D$6-1,"",VLOOKUP(A62,Timetables!$A:$EB,MatchDay!$U$4+C67-MatchDay!$D$6,FALSE)),"")</f>
        <v>6</v>
      </c>
      <c r="E67" s="286" t="str">
        <f ca="1">IFERROR(VLOOKUP($A62&amp;D67,downloads!$A$1:$E$1000,2,FALSE),"")</f>
        <v>Alex KITCHEN</v>
      </c>
      <c r="F67" s="286" t="str">
        <f t="shared" ca="1" si="17"/>
        <v>Stock</v>
      </c>
      <c r="G67" s="291"/>
      <c r="H67" s="297"/>
      <c r="I67" s="298">
        <v>3</v>
      </c>
      <c r="J67" s="298">
        <f t="shared" ca="1" si="18"/>
        <v>66</v>
      </c>
      <c r="K67" s="286" t="str">
        <f ca="1">IFERROR(VLOOKUP($A62&amp;J67,downloads!$A$1:$E$1000,2,FALSE),"")</f>
        <v>Arthur CAMPBELL</v>
      </c>
      <c r="L67" s="286" t="str">
        <f t="shared" ca="1" si="16"/>
        <v>Stock</v>
      </c>
      <c r="O67" s="299"/>
      <c r="Q67" s="307">
        <f ca="1">IFERROR(VLOOKUP($A62&amp;D67,competitors,4,FALSE),"")</f>
        <v>1</v>
      </c>
      <c r="R67" s="307">
        <f ca="1">IFERROR(VLOOKUP($A62&amp;J67,competitors,4,FALSE),"")</f>
        <v>1</v>
      </c>
    </row>
    <row r="68" spans="1:18" ht="15" customHeight="1" x14ac:dyDescent="0.35">
      <c r="A68" s="105">
        <f ca="1">IFERROR(VLOOKUP(A62,standards,4,FALSE)+0.01,"-")</f>
        <v>23.01</v>
      </c>
      <c r="B68" s="105"/>
      <c r="C68" s="298">
        <v>4</v>
      </c>
      <c r="D68" s="298">
        <f ca="1">IFERROR(IF(C68&gt;MatchDay!$U$2+MatchDay!$D$6-1,"",VLOOKUP(A62,Timetables!$A:$EB,MatchDay!$U$4+C68-MatchDay!$D$6,FALSE)),"")</f>
        <v>1</v>
      </c>
      <c r="E68" s="286" t="str">
        <f ca="1">IFERROR(VLOOKUP($A62&amp;D68,downloads!$A$1:$E$1000,2,FALSE),"")</f>
        <v>Ben JEFFS</v>
      </c>
      <c r="F68" s="286" t="str">
        <f t="shared" ca="1" si="17"/>
        <v>C&amp;N</v>
      </c>
      <c r="G68" s="291"/>
      <c r="H68" s="297"/>
      <c r="I68" s="298">
        <v>4</v>
      </c>
      <c r="J68" s="298">
        <f t="shared" ca="1" si="18"/>
        <v>11</v>
      </c>
      <c r="K68" s="286" t="str">
        <f ca="1">IFERROR(VLOOKUP($A62&amp;J68,downloads!$A$1:$E$1000,2,FALSE),"")</f>
        <v>Gabriel BRZEZINSKI</v>
      </c>
      <c r="L68" s="286" t="str">
        <f t="shared" ca="1" si="16"/>
        <v>C&amp;N</v>
      </c>
      <c r="O68" s="299"/>
      <c r="Q68" s="307">
        <f ca="1">IFERROR(VLOOKUP($A62&amp;D68,competitors,4,FALSE),"")</f>
        <v>1</v>
      </c>
      <c r="R68" s="307">
        <f ca="1">IFERROR(VLOOKUP($A62&amp;J68,competitors,4,FALSE),"")</f>
        <v>1</v>
      </c>
    </row>
    <row r="69" spans="1:18" ht="15" customHeight="1" x14ac:dyDescent="0.35">
      <c r="A69" s="105">
        <f ca="1">IFERROR(VLOOKUP(A62,standards,5,FALSE)+0.01,"-")</f>
        <v>22.51</v>
      </c>
      <c r="B69" s="105"/>
      <c r="C69" s="298">
        <v>5</v>
      </c>
      <c r="D69" s="298">
        <f ca="1">IFERROR(IF(C69&gt;MatchDay!$U$2+MatchDay!$D$6-1,"",VLOOKUP(A62,Timetables!$A:$EB,MatchDay!$U$4+C69-MatchDay!$D$6,FALSE)),"")</f>
        <v>5</v>
      </c>
      <c r="E69" s="286" t="str">
        <f ca="1">IFERROR(VLOOKUP($A62&amp;D69,downloads!$A$1:$E$1000,2,FALSE),"")</f>
        <v>Perry MARSLAND</v>
      </c>
      <c r="F69" s="286" t="str">
        <f t="shared" ca="1" si="17"/>
        <v>Menai</v>
      </c>
      <c r="G69" s="291"/>
      <c r="H69" s="297"/>
      <c r="I69" s="298">
        <v>5</v>
      </c>
      <c r="J69" s="298">
        <f t="shared" ca="1" si="18"/>
        <v>55</v>
      </c>
      <c r="K69" s="286" t="str">
        <f ca="1">IFERROR(VLOOKUP($A62&amp;J69,downloads!$A$1:$E$1000,2,FALSE),"")</f>
        <v/>
      </c>
      <c r="L69" s="286" t="str">
        <f t="shared" ca="1" si="16"/>
        <v>Menai</v>
      </c>
      <c r="O69" s="299"/>
      <c r="Q69" s="307">
        <f ca="1">IFERROR(VLOOKUP($A62&amp;D69,competitors,4,FALSE),"")</f>
        <v>1</v>
      </c>
      <c r="R69" s="307" t="str">
        <f ca="1">IFERROR(VLOOKUP($A62&amp;J69,competitors,4,FALSE),"")</f>
        <v/>
      </c>
    </row>
    <row r="70" spans="1:18" ht="15" customHeight="1" x14ac:dyDescent="0.35">
      <c r="A70" s="105">
        <f ca="1">IFERROR(VLOOKUP(A62,standards,6,FALSE)+0.01,"-")</f>
        <v>22.01</v>
      </c>
      <c r="B70" s="105"/>
      <c r="C70" s="298">
        <v>6</v>
      </c>
      <c r="D70" s="298">
        <f ca="1">IFERROR(IF(C70&gt;MatchDay!$U$2+MatchDay!$D$6-1,"",VLOOKUP(A62,Timetables!$A:$EB,MatchDay!$U$4+C70-MatchDay!$D$6,FALSE)),"")</f>
        <v>4</v>
      </c>
      <c r="E70" s="286" t="str">
        <f ca="1">IFERROR(VLOOKUP($A62&amp;D70,downloads!$A$1:$E$1000,2,FALSE),"")</f>
        <v>Samuel SAVAGE</v>
      </c>
      <c r="F70" s="286" t="str">
        <f t="shared" ca="1" si="17"/>
        <v>Macc</v>
      </c>
      <c r="G70" s="291"/>
      <c r="H70" s="297"/>
      <c r="I70" s="298">
        <v>6</v>
      </c>
      <c r="J70" s="298">
        <f t="shared" ca="1" si="18"/>
        <v>44</v>
      </c>
      <c r="K70" s="286" t="str">
        <f ca="1">IFERROR(VLOOKUP($A62&amp;J70,downloads!$A$1:$E$1000,2,FALSE),"")</f>
        <v>Alexander MCLAREN</v>
      </c>
      <c r="L70" s="286" t="str">
        <f t="shared" ca="1" si="16"/>
        <v>Macc</v>
      </c>
      <c r="O70" s="299"/>
      <c r="Q70" s="307">
        <f ca="1">IFERROR(VLOOKUP($A62&amp;D70,competitors,4,FALSE),"")</f>
        <v>1</v>
      </c>
      <c r="R70" s="307">
        <f ca="1">IFERROR(VLOOKUP($A62&amp;J70,competitors,4,FALSE),"")</f>
        <v>1</v>
      </c>
    </row>
    <row r="71" spans="1:18" ht="15" customHeight="1" x14ac:dyDescent="0.35">
      <c r="A71" s="300">
        <f ca="1">IFERROR(SEARCH("Girls",C62),0)</f>
        <v>0</v>
      </c>
      <c r="C71" s="298">
        <v>7</v>
      </c>
      <c r="D71" s="298">
        <f ca="1">IFERROR(IF(C71&gt;MatchDay!$U$2+MatchDay!$D$6-1,"",VLOOKUP(A62,Timetables!$A:$EB,MatchDay!$U$4+C71-MatchDay!$D$6,FALSE)),"")</f>
        <v>7</v>
      </c>
      <c r="E71" s="286" t="str">
        <f ca="1">IFERROR(VLOOKUP($A62&amp;D71,downloads!$A$1:$E$1000,2,FALSE),"")</f>
        <v>Henry MORRIS</v>
      </c>
      <c r="F71" s="286" t="str">
        <f t="shared" ca="1" si="17"/>
        <v>Wigan</v>
      </c>
      <c r="G71" s="291"/>
      <c r="H71" s="297"/>
      <c r="I71" s="298">
        <v>7</v>
      </c>
      <c r="J71" s="298">
        <f t="shared" ca="1" si="18"/>
        <v>77</v>
      </c>
      <c r="K71" s="286" t="str">
        <f ca="1">IFERROR(VLOOKUP($A62&amp;J71,downloads!$A$1:$E$1000,2,FALSE),"")</f>
        <v>James DARBY</v>
      </c>
      <c r="L71" s="286" t="str">
        <f t="shared" ca="1" si="16"/>
        <v>Wigan</v>
      </c>
      <c r="O71" s="299"/>
      <c r="Q71" s="307">
        <f ca="1">IFERROR(VLOOKUP($A62&amp;D71,competitors,4,FALSE),"")</f>
        <v>1</v>
      </c>
      <c r="R71" s="307">
        <f ca="1">IFERROR(VLOOKUP($A62&amp;J71,competitors,4,FALSE),"")</f>
        <v>1</v>
      </c>
    </row>
    <row r="72" spans="1:18" ht="15" customHeight="1" x14ac:dyDescent="0.35">
      <c r="A72" s="103">
        <f ca="1">IFERROR(VLOOKUP(A62,records,5,FALSE),"")</f>
        <v>18.399999999999999</v>
      </c>
      <c r="B72" s="103"/>
      <c r="C72" s="298">
        <v>8</v>
      </c>
      <c r="D72" s="298" t="str">
        <f>IFERROR(IF(C72&gt;MatchDay!$U$2+MatchDay!$D$6-1,"",VLOOKUP(A62,Timetables!$A:$EB,MatchDay!$U$4+C72-MatchDay!$D$6,FALSE)),"")</f>
        <v/>
      </c>
      <c r="E72" s="286" t="str">
        <f ca="1">IFERROR(VLOOKUP($A62&amp;D72,downloads!$A$1:$E$1000,2,FALSE),"")</f>
        <v/>
      </c>
      <c r="F72" s="286" t="str">
        <f t="shared" si="17"/>
        <v/>
      </c>
      <c r="G72" s="291"/>
      <c r="H72" s="297"/>
      <c r="I72" s="298">
        <v>8</v>
      </c>
      <c r="J72" s="298" t="str">
        <f t="shared" si="18"/>
        <v/>
      </c>
      <c r="K72" s="286" t="str">
        <f ca="1">IFERROR(VLOOKUP($A62&amp;J72,downloads!$A$1:$E$1000,2,FALSE),"")</f>
        <v/>
      </c>
      <c r="L72" s="286" t="str">
        <f t="shared" si="16"/>
        <v/>
      </c>
      <c r="O72" s="299"/>
      <c r="Q72" s="307" t="str">
        <f ca="1">IFERROR(VLOOKUP($A62&amp;D72,competitors,4,FALSE),"")</f>
        <v/>
      </c>
      <c r="R72" s="307" t="str">
        <f ca="1">IFERROR(VLOOKUP($A62&amp;J72,competitors,4,FALSE),"")</f>
        <v/>
      </c>
    </row>
    <row r="73" spans="1:18" ht="15" customHeight="1" x14ac:dyDescent="0.35">
      <c r="Q73" s="307"/>
      <c r="R73" s="307"/>
    </row>
    <row r="74" spans="1:18" ht="15" customHeight="1" x14ac:dyDescent="0.35">
      <c r="A74" s="98" t="str">
        <f ca="1">IFERROR(INDIRECT(CONCATENATE("'Timetables'!A"&amp;A78)),"")</f>
        <v>LT07</v>
      </c>
      <c r="B74" s="304" t="str">
        <f ca="1">IFERROR(TEXT(VLOOKUP(A74,timetables,7-MatchDay!$U$7,FALSE),"hh:mm"),"")</f>
        <v>12:20</v>
      </c>
      <c r="C74" s="292" t="str">
        <f ca="1">IFERROR(VLOOKUP(A74,timetables,2,FALSE)&amp;" "&amp;VLOOKUP(A74,timetables,3,FALSE)&amp;" A","")</f>
        <v>200m U15 Girls A</v>
      </c>
      <c r="D74" s="292"/>
      <c r="F74" s="293"/>
      <c r="G74" s="294"/>
      <c r="L74" s="360"/>
      <c r="M74" s="296"/>
      <c r="N74" s="286"/>
      <c r="Q74" s="307"/>
      <c r="R74" s="307"/>
    </row>
    <row r="75" spans="1:18" ht="15" customHeight="1" x14ac:dyDescent="0.35">
      <c r="A75" s="98"/>
      <c r="B75" s="98"/>
      <c r="C75" s="295" t="str">
        <f ca="1">IFERROR("Rec: "&amp;VLOOKUP(A74,records,4,FALSE),"")</f>
        <v>Rec: 24.55 Success Eduan, Sale Harriers, 2019</v>
      </c>
      <c r="D75" s="292"/>
      <c r="F75" s="293"/>
      <c r="G75" s="294"/>
      <c r="I75" s="295"/>
      <c r="L75" s="360"/>
      <c r="M75" s="296"/>
      <c r="N75" s="286"/>
      <c r="Q75" s="307"/>
      <c r="R75" s="307"/>
    </row>
    <row r="76" spans="1:18" ht="15" customHeight="1" x14ac:dyDescent="0.35">
      <c r="A76" s="82" t="str">
        <f ca="1">MID(A74,2,3)</f>
        <v>T07</v>
      </c>
      <c r="B76" s="82"/>
      <c r="C76" s="304" t="s">
        <v>542</v>
      </c>
      <c r="D76" s="304" t="s">
        <v>141</v>
      </c>
      <c r="E76" s="286" t="s">
        <v>174</v>
      </c>
      <c r="F76" s="286" t="s">
        <v>175</v>
      </c>
      <c r="G76" s="291"/>
      <c r="I76" s="304" t="s">
        <v>542</v>
      </c>
      <c r="J76" s="304" t="s">
        <v>141</v>
      </c>
      <c r="K76" s="286" t="s">
        <v>174</v>
      </c>
      <c r="L76" s="286" t="s">
        <v>175</v>
      </c>
      <c r="O76" s="299"/>
      <c r="Q76" s="307"/>
      <c r="R76" s="307"/>
    </row>
    <row r="77" spans="1:18" ht="15" customHeight="1" x14ac:dyDescent="0.35">
      <c r="A77" s="138"/>
      <c r="B77" s="103"/>
      <c r="C77" s="298">
        <v>1</v>
      </c>
      <c r="D77" s="298">
        <f ca="1">IFERROR(IF(C77&gt;MatchDay!$U$2,"",IF(MatchDay!$D$6=2,"",VLOOKUP(A74,Timetables!$A:$EB,MatchDay!$U$4+C77-MatchDay!$D$6,FALSE))),"")</f>
        <v>3</v>
      </c>
      <c r="E77" s="286" t="str">
        <f ca="1">IFERROR(VLOOKUP($A74&amp;D77,downloads!$A$1:$E$1000,2,FALSE),"")</f>
        <v>Freya CASH</v>
      </c>
      <c r="F77" s="286" t="str">
        <f ca="1">IFERROR(VLOOKUP(D77,teamlookup,5,FALSE),"")</f>
        <v>Leigh</v>
      </c>
      <c r="G77" s="291"/>
      <c r="H77" s="297"/>
      <c r="I77" s="298">
        <v>1</v>
      </c>
      <c r="J77" s="298">
        <f ca="1">IFERROR(D77*11,"")</f>
        <v>33</v>
      </c>
      <c r="K77" s="286" t="str">
        <f ca="1">IFERROR(VLOOKUP($A74&amp;J77,downloads!$A$1:$E$1000,2,FALSE),"")</f>
        <v>Lexie SHANNON</v>
      </c>
      <c r="L77" s="286" t="str">
        <f t="shared" ref="L77:L84" ca="1" si="19">IFERROR(VLOOKUP(J77,teamlookup,5,FALSE),"")</f>
        <v>Leigh</v>
      </c>
      <c r="O77" s="299"/>
      <c r="Q77" s="307">
        <f ca="1">IFERROR(VLOOKUP($A74&amp;D77,competitors,4,FALSE),"")</f>
        <v>1</v>
      </c>
      <c r="R77" s="307">
        <f ca="1">IFERROR(VLOOKUP($A74&amp;J77,competitors,4,FALSE),"")</f>
        <v>0</v>
      </c>
    </row>
    <row r="78" spans="1:18" ht="15" customHeight="1" x14ac:dyDescent="0.35">
      <c r="A78" s="304">
        <f>A66+1</f>
        <v>9</v>
      </c>
      <c r="C78" s="298">
        <v>2</v>
      </c>
      <c r="D78" s="298">
        <f ca="1">IFERROR(IF(C78&gt;MatchDay!$U$2+MatchDay!$D$6-1,"",VLOOKUP(A74,Timetables!$A:$EB,MatchDay!$U$4+C78-MatchDay!$D$6,FALSE)),"")</f>
        <v>2</v>
      </c>
      <c r="E78" s="286" t="str">
        <f ca="1">IFERROR(VLOOKUP($A74&amp;D78,downloads!$A$1:$E$1000,2,FALSE),"")</f>
        <v>Amelia JONES</v>
      </c>
      <c r="F78" s="286" t="str">
        <f t="shared" ref="F78:F84" ca="1" si="20">IFERROR(VLOOKUP(D78,teamlookup,5,FALSE),"")</f>
        <v>ECHT</v>
      </c>
      <c r="G78" s="291"/>
      <c r="H78" s="297"/>
      <c r="I78" s="298">
        <v>2</v>
      </c>
      <c r="J78" s="298">
        <f t="shared" ref="J78:J84" ca="1" si="21">IFERROR(D78*11,"")</f>
        <v>22</v>
      </c>
      <c r="K78" s="286" t="str">
        <f ca="1">IFERROR(VLOOKUP($A74&amp;J78,downloads!$A$1:$E$1000,2,FALSE),"")</f>
        <v>Ava ROYLE</v>
      </c>
      <c r="L78" s="286" t="str">
        <f t="shared" ca="1" si="19"/>
        <v>ECHT</v>
      </c>
      <c r="O78" s="299"/>
      <c r="Q78" s="307">
        <f ca="1">IFERROR(VLOOKUP($A74&amp;D78,competitors,4,FALSE),"")</f>
        <v>1</v>
      </c>
      <c r="R78" s="307">
        <f ca="1">IFERROR(VLOOKUP($A74&amp;J78,competitors,4,FALSE),"")</f>
        <v>1</v>
      </c>
    </row>
    <row r="79" spans="1:18" ht="15" customHeight="1" x14ac:dyDescent="0.35">
      <c r="A79" s="105">
        <f ca="1">IFERROR(VLOOKUP(A74,standards,3,FALSE)+0.01,"-")</f>
        <v>32.71</v>
      </c>
      <c r="B79" s="105"/>
      <c r="C79" s="298">
        <v>3</v>
      </c>
      <c r="D79" s="298">
        <f ca="1">IFERROR(IF(C79&gt;MatchDay!$U$2+MatchDay!$D$6-1,"",VLOOKUP(A74,Timetables!$A:$EB,MatchDay!$U$4+C79-MatchDay!$D$6,FALSE)),"")</f>
        <v>6</v>
      </c>
      <c r="E79" s="286" t="str">
        <f ca="1">IFERROR(VLOOKUP($A74&amp;D79,downloads!$A$1:$E$1000,2,FALSE),"")</f>
        <v/>
      </c>
      <c r="F79" s="286" t="str">
        <f t="shared" ca="1" si="20"/>
        <v>Stock</v>
      </c>
      <c r="G79" s="291"/>
      <c r="H79" s="297"/>
      <c r="I79" s="298">
        <v>3</v>
      </c>
      <c r="J79" s="298">
        <f t="shared" ca="1" si="21"/>
        <v>66</v>
      </c>
      <c r="K79" s="286" t="str">
        <f ca="1">IFERROR(VLOOKUP($A74&amp;J79,downloads!$A$1:$E$1000,2,FALSE),"")</f>
        <v/>
      </c>
      <c r="L79" s="286" t="str">
        <f t="shared" ca="1" si="19"/>
        <v>Stock</v>
      </c>
      <c r="O79" s="299"/>
      <c r="Q79" s="307" t="str">
        <f ca="1">IFERROR(VLOOKUP($A74&amp;D79,competitors,4,FALSE),"")</f>
        <v/>
      </c>
      <c r="R79" s="307" t="str">
        <f ca="1">IFERROR(VLOOKUP($A74&amp;J79,competitors,4,FALSE),"")</f>
        <v/>
      </c>
    </row>
    <row r="80" spans="1:18" ht="15" customHeight="1" x14ac:dyDescent="0.35">
      <c r="A80" s="105">
        <f ca="1">IFERROR(VLOOKUP(A74,standards,4,FALSE)+0.01,"-")</f>
        <v>31.71</v>
      </c>
      <c r="B80" s="105"/>
      <c r="C80" s="298">
        <v>4</v>
      </c>
      <c r="D80" s="298">
        <f ca="1">IFERROR(IF(C80&gt;MatchDay!$U$2+MatchDay!$D$6-1,"",VLOOKUP(A74,Timetables!$A:$EB,MatchDay!$U$4+C80-MatchDay!$D$6,FALSE)),"")</f>
        <v>1</v>
      </c>
      <c r="E80" s="286" t="str">
        <f ca="1">IFERROR(VLOOKUP($A74&amp;D80,downloads!$A$1:$E$1000,2,FALSE),"")</f>
        <v>Sophie STAINSBY</v>
      </c>
      <c r="F80" s="286" t="str">
        <f t="shared" ca="1" si="20"/>
        <v>C&amp;N</v>
      </c>
      <c r="G80" s="291"/>
      <c r="H80" s="297"/>
      <c r="I80" s="298">
        <v>4</v>
      </c>
      <c r="J80" s="298">
        <f t="shared" ca="1" si="21"/>
        <v>11</v>
      </c>
      <c r="K80" s="286" t="str">
        <f ca="1">IFERROR(VLOOKUP($A74&amp;J80,downloads!$A$1:$E$1000,2,FALSE),"")</f>
        <v>Lola-mae WILKINS</v>
      </c>
      <c r="L80" s="286" t="str">
        <f t="shared" ca="1" si="19"/>
        <v>C&amp;N</v>
      </c>
      <c r="O80" s="299"/>
      <c r="Q80" s="307">
        <f ca="1">IFERROR(VLOOKUP($A74&amp;D80,competitors,4,FALSE),"")</f>
        <v>1</v>
      </c>
      <c r="R80" s="307">
        <f ca="1">IFERROR(VLOOKUP($A74&amp;J80,competitors,4,FALSE),"")</f>
        <v>1</v>
      </c>
    </row>
    <row r="81" spans="1:18" ht="15" customHeight="1" x14ac:dyDescent="0.35">
      <c r="A81" s="105">
        <f ca="1">IFERROR(VLOOKUP(A74,standards,5,FALSE)+0.01,"-")</f>
        <v>30.810000000000002</v>
      </c>
      <c r="B81" s="105"/>
      <c r="C81" s="298">
        <v>5</v>
      </c>
      <c r="D81" s="298">
        <f ca="1">IFERROR(IF(C81&gt;MatchDay!$U$2+MatchDay!$D$6-1,"",VLOOKUP(A74,Timetables!$A:$EB,MatchDay!$U$4+C81-MatchDay!$D$6,FALSE)),"")</f>
        <v>5</v>
      </c>
      <c r="E81" s="286" t="str">
        <f ca="1">IFERROR(VLOOKUP($A74&amp;D81,downloads!$A$1:$E$1000,2,FALSE),"")</f>
        <v>Mabli WILLIAMS</v>
      </c>
      <c r="F81" s="286" t="str">
        <f t="shared" ca="1" si="20"/>
        <v>Menai</v>
      </c>
      <c r="G81" s="291"/>
      <c r="H81" s="297"/>
      <c r="I81" s="298">
        <v>5</v>
      </c>
      <c r="J81" s="298">
        <f t="shared" ca="1" si="21"/>
        <v>55</v>
      </c>
      <c r="K81" s="286" t="str">
        <f ca="1">IFERROR(VLOOKUP($A74&amp;J81,downloads!$A$1:$E$1000,2,FALSE),"")</f>
        <v>Krista JONES</v>
      </c>
      <c r="L81" s="286" t="str">
        <f t="shared" ca="1" si="19"/>
        <v>Menai</v>
      </c>
      <c r="O81" s="299"/>
      <c r="Q81" s="307">
        <f ca="1">IFERROR(VLOOKUP($A74&amp;D81,competitors,4,FALSE),"")</f>
        <v>1</v>
      </c>
      <c r="R81" s="307">
        <f ca="1">IFERROR(VLOOKUP($A74&amp;J81,competitors,4,FALSE),"")</f>
        <v>1</v>
      </c>
    </row>
    <row r="82" spans="1:18" ht="15" customHeight="1" x14ac:dyDescent="0.35">
      <c r="A82" s="105">
        <f ca="1">IFERROR(VLOOKUP(A74,standards,6,FALSE)+0.01,"-")</f>
        <v>30.51</v>
      </c>
      <c r="B82" s="105"/>
      <c r="C82" s="298">
        <v>6</v>
      </c>
      <c r="D82" s="298">
        <f ca="1">IFERROR(IF(C82&gt;MatchDay!$U$2+MatchDay!$D$6-1,"",VLOOKUP(A74,Timetables!$A:$EB,MatchDay!$U$4+C82-MatchDay!$D$6,FALSE)),"")</f>
        <v>4</v>
      </c>
      <c r="E82" s="286" t="str">
        <f ca="1">IFERROR(VLOOKUP($A74&amp;D82,downloads!$A$1:$E$1000,2,FALSE),"")</f>
        <v>Elizabeth PENDRILL</v>
      </c>
      <c r="F82" s="286" t="str">
        <f t="shared" ca="1" si="20"/>
        <v>Macc</v>
      </c>
      <c r="G82" s="291"/>
      <c r="H82" s="297"/>
      <c r="I82" s="298">
        <v>6</v>
      </c>
      <c r="J82" s="298">
        <f t="shared" ca="1" si="21"/>
        <v>44</v>
      </c>
      <c r="K82" s="286" t="str">
        <f ca="1">IFERROR(VLOOKUP($A74&amp;J82,downloads!$A$1:$E$1000,2,FALSE),"")</f>
        <v>Annabel BROWN</v>
      </c>
      <c r="L82" s="286" t="str">
        <f t="shared" ca="1" si="19"/>
        <v>Macc</v>
      </c>
      <c r="O82" s="299"/>
      <c r="Q82" s="307">
        <f ca="1">IFERROR(VLOOKUP($A74&amp;D82,competitors,4,FALSE),"")</f>
        <v>1</v>
      </c>
      <c r="R82" s="307">
        <f ca="1">IFERROR(VLOOKUP($A74&amp;J82,competitors,4,FALSE),"")</f>
        <v>1</v>
      </c>
    </row>
    <row r="83" spans="1:18" ht="15" customHeight="1" x14ac:dyDescent="0.35">
      <c r="A83" s="300">
        <f ca="1">IFERROR(SEARCH("Girls",C74),0)</f>
        <v>10</v>
      </c>
      <c r="C83" s="298">
        <v>7</v>
      </c>
      <c r="D83" s="298">
        <f ca="1">IFERROR(IF(C83&gt;MatchDay!$U$2+MatchDay!$D$6-1,"",VLOOKUP(A74,Timetables!$A:$EB,MatchDay!$U$4+C83-MatchDay!$D$6,FALSE)),"")</f>
        <v>7</v>
      </c>
      <c r="E83" s="286" t="str">
        <f ca="1">IFERROR(VLOOKUP($A74&amp;D83,downloads!$A$1:$E$1000,2,FALSE),"")</f>
        <v>Kady HALL</v>
      </c>
      <c r="F83" s="286" t="str">
        <f t="shared" ca="1" si="20"/>
        <v>Wigan</v>
      </c>
      <c r="G83" s="291"/>
      <c r="H83" s="297"/>
      <c r="I83" s="298">
        <v>7</v>
      </c>
      <c r="J83" s="298">
        <f t="shared" ca="1" si="21"/>
        <v>77</v>
      </c>
      <c r="K83" s="286" t="str">
        <f ca="1">IFERROR(VLOOKUP($A74&amp;J83,downloads!$A$1:$E$1000,2,FALSE),"")</f>
        <v>Emma PIMBLETT</v>
      </c>
      <c r="L83" s="286" t="str">
        <f t="shared" ca="1" si="19"/>
        <v>Wigan</v>
      </c>
      <c r="O83" s="299"/>
      <c r="Q83" s="307">
        <f ca="1">IFERROR(VLOOKUP($A74&amp;D83,competitors,4,FALSE),"")</f>
        <v>1</v>
      </c>
      <c r="R83" s="307">
        <f ca="1">IFERROR(VLOOKUP($A74&amp;J83,competitors,4,FALSE),"")</f>
        <v>1</v>
      </c>
    </row>
    <row r="84" spans="1:18" ht="15" customHeight="1" x14ac:dyDescent="0.35">
      <c r="A84" s="103">
        <f ca="1">IFERROR(VLOOKUP(A74,records,5,FALSE),"")</f>
        <v>24.55</v>
      </c>
      <c r="B84" s="103"/>
      <c r="C84" s="298">
        <v>8</v>
      </c>
      <c r="D84" s="298" t="str">
        <f>IFERROR(IF(C84&gt;MatchDay!$U$2+MatchDay!$D$6-1,"",VLOOKUP(A74,Timetables!$A:$EB,MatchDay!$U$4+C84-MatchDay!$D$6,FALSE)),"")</f>
        <v/>
      </c>
      <c r="E84" s="286" t="str">
        <f ca="1">IFERROR(VLOOKUP($A74&amp;D84,downloads!$A$1:$E$1000,2,FALSE),"")</f>
        <v/>
      </c>
      <c r="F84" s="286" t="str">
        <f t="shared" si="20"/>
        <v/>
      </c>
      <c r="G84" s="291"/>
      <c r="H84" s="297"/>
      <c r="I84" s="298">
        <v>8</v>
      </c>
      <c r="J84" s="298" t="str">
        <f t="shared" si="21"/>
        <v/>
      </c>
      <c r="K84" s="286" t="str">
        <f ca="1">IFERROR(VLOOKUP($A74&amp;J84,downloads!$A$1:$E$1000,2,FALSE),"")</f>
        <v/>
      </c>
      <c r="L84" s="286" t="str">
        <f t="shared" si="19"/>
        <v/>
      </c>
      <c r="O84" s="299"/>
      <c r="Q84" s="307" t="str">
        <f ca="1">IFERROR(VLOOKUP($A74&amp;D84,competitors,4,FALSE),"")</f>
        <v/>
      </c>
      <c r="R84" s="307" t="str">
        <f ca="1">IFERROR(VLOOKUP($A74&amp;J84,competitors,4,FALSE),"")</f>
        <v/>
      </c>
    </row>
    <row r="85" spans="1:18" ht="15" customHeight="1" x14ac:dyDescent="0.35">
      <c r="Q85" s="307"/>
      <c r="R85" s="307"/>
    </row>
    <row r="86" spans="1:18" ht="15" customHeight="1" x14ac:dyDescent="0.35">
      <c r="A86" s="98" t="str">
        <f ca="1">IFERROR(INDIRECT(CONCATENATE("'Timetables'!A"&amp;A90)),"")</f>
        <v>LT08</v>
      </c>
      <c r="B86" s="304" t="str">
        <f ca="1">IFERROR(TEXT(VLOOKUP(A86,timetables,7-MatchDay!$U$7,FALSE),"hh:mm"),"")</f>
        <v>12:30</v>
      </c>
      <c r="C86" s="292" t="str">
        <f ca="1">IFERROR(VLOOKUP(A86,timetables,2,FALSE)&amp;" "&amp;VLOOKUP(A86,timetables,3,FALSE)&amp;" A","")</f>
        <v>200m U15 Boys A</v>
      </c>
      <c r="D86" s="292"/>
      <c r="F86" s="293"/>
      <c r="G86" s="294"/>
      <c r="L86" s="360"/>
      <c r="M86" s="296"/>
      <c r="N86" s="286"/>
      <c r="Q86" s="307"/>
      <c r="R86" s="307"/>
    </row>
    <row r="87" spans="1:18" ht="15" customHeight="1" x14ac:dyDescent="0.35">
      <c r="A87" s="98"/>
      <c r="B87" s="98"/>
      <c r="C87" s="295" t="str">
        <f ca="1">IFERROR("Rec: "&amp;VLOOKUP(A86,records,4,FALSE),"")</f>
        <v>Rec: 22.2 Jona Efoloko, Sale Harriers, 2014</v>
      </c>
      <c r="D87" s="292"/>
      <c r="F87" s="293"/>
      <c r="G87" s="294"/>
      <c r="I87" s="295"/>
      <c r="L87" s="360"/>
      <c r="M87" s="296"/>
      <c r="N87" s="286"/>
      <c r="Q87" s="307"/>
      <c r="R87" s="307"/>
    </row>
    <row r="88" spans="1:18" ht="15" customHeight="1" x14ac:dyDescent="0.35">
      <c r="A88" s="82" t="str">
        <f ca="1">MID(A86,2,3)</f>
        <v>T08</v>
      </c>
      <c r="B88" s="82"/>
      <c r="C88" s="304" t="s">
        <v>542</v>
      </c>
      <c r="D88" s="304" t="s">
        <v>141</v>
      </c>
      <c r="E88" s="286" t="s">
        <v>174</v>
      </c>
      <c r="F88" s="286" t="s">
        <v>175</v>
      </c>
      <c r="G88" s="291"/>
      <c r="I88" s="304" t="s">
        <v>542</v>
      </c>
      <c r="J88" s="304" t="s">
        <v>141</v>
      </c>
      <c r="K88" s="286" t="s">
        <v>174</v>
      </c>
      <c r="L88" s="286" t="s">
        <v>175</v>
      </c>
      <c r="O88" s="299"/>
      <c r="Q88" s="307"/>
      <c r="R88" s="307"/>
    </row>
    <row r="89" spans="1:18" ht="15" customHeight="1" x14ac:dyDescent="0.35">
      <c r="A89" s="138"/>
      <c r="B89" s="103"/>
      <c r="C89" s="298">
        <v>1</v>
      </c>
      <c r="D89" s="298">
        <f ca="1">IFERROR(IF(C89&gt;MatchDay!$U$2,"",IF(MatchDay!$D$6=2,"",VLOOKUP(A86,Timetables!$A:$EB,MatchDay!$U$4+C89-MatchDay!$D$6,FALSE))),"")</f>
        <v>3</v>
      </c>
      <c r="E89" s="286" t="str">
        <f ca="1">IFERROR(VLOOKUP($A86&amp;D89,downloads!$A$1:$E$1000,2,FALSE),"")</f>
        <v>Hugo JAMES</v>
      </c>
      <c r="F89" s="286" t="str">
        <f ca="1">IFERROR(VLOOKUP(D89,teamlookup,5,FALSE),"")</f>
        <v>Leigh</v>
      </c>
      <c r="G89" s="291"/>
      <c r="H89" s="297"/>
      <c r="I89" s="298">
        <v>1</v>
      </c>
      <c r="J89" s="298">
        <f ca="1">IFERROR(D89*11,"")</f>
        <v>33</v>
      </c>
      <c r="K89" s="286" t="str">
        <f ca="1">IFERROR(VLOOKUP($A86&amp;J89,downloads!$A$1:$E$1000,2,FALSE),"")</f>
        <v>Barnaby CROMBLEHOLME</v>
      </c>
      <c r="L89" s="286" t="str">
        <f t="shared" ref="L89:L96" ca="1" si="22">IFERROR(VLOOKUP(J89,teamlookup,5,FALSE),"")</f>
        <v>Leigh</v>
      </c>
      <c r="O89" s="299"/>
      <c r="Q89" s="307">
        <f ca="1">IFERROR(VLOOKUP($A74&amp;D89,competitors,4,FALSE),"")</f>
        <v>1</v>
      </c>
      <c r="R89" s="307">
        <f ca="1">IFERROR(VLOOKUP($A74&amp;J89,competitors,4,FALSE),"")</f>
        <v>0</v>
      </c>
    </row>
    <row r="90" spans="1:18" ht="15" customHeight="1" x14ac:dyDescent="0.35">
      <c r="A90" s="304">
        <f>A78+1</f>
        <v>10</v>
      </c>
      <c r="C90" s="298">
        <v>2</v>
      </c>
      <c r="D90" s="298">
        <f ca="1">IFERROR(IF(C90&gt;MatchDay!$U$2+MatchDay!$D$6-1,"",VLOOKUP(A86,Timetables!$A:$EB,MatchDay!$U$4+C90-MatchDay!$D$6,FALSE)),"")</f>
        <v>2</v>
      </c>
      <c r="E90" s="286" t="str">
        <f ca="1">IFERROR(VLOOKUP($A86&amp;D90,downloads!$A$1:$E$1000,2,FALSE),"")</f>
        <v>Max ORMSTON</v>
      </c>
      <c r="F90" s="286" t="str">
        <f t="shared" ref="F90:F96" ca="1" si="23">IFERROR(VLOOKUP(D90,teamlookup,5,FALSE),"")</f>
        <v>ECHT</v>
      </c>
      <c r="G90" s="291"/>
      <c r="H90" s="297"/>
      <c r="I90" s="298">
        <v>2</v>
      </c>
      <c r="J90" s="298">
        <f t="shared" ref="J90:J96" ca="1" si="24">IFERROR(D90*11,"")</f>
        <v>22</v>
      </c>
      <c r="K90" s="286" t="str">
        <f ca="1">IFERROR(VLOOKUP($A86&amp;J90,downloads!$A$1:$E$1000,2,FALSE),"")</f>
        <v>James ROOK</v>
      </c>
      <c r="L90" s="286" t="str">
        <f t="shared" ca="1" si="22"/>
        <v>ECHT</v>
      </c>
      <c r="O90" s="299"/>
      <c r="Q90" s="307">
        <f ca="1">IFERROR(VLOOKUP($A74&amp;D90,competitors,4,FALSE),"")</f>
        <v>1</v>
      </c>
      <c r="R90" s="307">
        <f ca="1">IFERROR(VLOOKUP($A74&amp;J90,competitors,4,FALSE),"")</f>
        <v>1</v>
      </c>
    </row>
    <row r="91" spans="1:18" ht="15" customHeight="1" x14ac:dyDescent="0.35">
      <c r="A91" s="105">
        <f ca="1">IFERROR(VLOOKUP(A86,standards,3,FALSE)+0.01,"-")</f>
        <v>29.01</v>
      </c>
      <c r="B91" s="105"/>
      <c r="C91" s="298">
        <v>3</v>
      </c>
      <c r="D91" s="298">
        <f ca="1">IFERROR(IF(C91&gt;MatchDay!$U$2+MatchDay!$D$6-1,"",VLOOKUP(A86,Timetables!$A:$EB,MatchDay!$U$4+C91-MatchDay!$D$6,FALSE)),"")</f>
        <v>6</v>
      </c>
      <c r="E91" s="286" t="str">
        <f ca="1">IFERROR(VLOOKUP($A86&amp;D91,downloads!$A$1:$E$1000,2,FALSE),"")</f>
        <v>Joshua KANDA</v>
      </c>
      <c r="F91" s="286" t="str">
        <f t="shared" ca="1" si="23"/>
        <v>Stock</v>
      </c>
      <c r="G91" s="291"/>
      <c r="H91" s="297"/>
      <c r="I91" s="298">
        <v>3</v>
      </c>
      <c r="J91" s="298">
        <f t="shared" ca="1" si="24"/>
        <v>66</v>
      </c>
      <c r="K91" s="286" t="str">
        <f ca="1">IFERROR(VLOOKUP($A86&amp;J91,downloads!$A$1:$E$1000,2,FALSE),"")</f>
        <v>Luc BRADBURY</v>
      </c>
      <c r="L91" s="286" t="str">
        <f t="shared" ca="1" si="22"/>
        <v>Stock</v>
      </c>
      <c r="O91" s="299"/>
      <c r="Q91" s="307" t="str">
        <f ca="1">IFERROR(VLOOKUP($A74&amp;D91,competitors,4,FALSE),"")</f>
        <v/>
      </c>
      <c r="R91" s="307" t="str">
        <f ca="1">IFERROR(VLOOKUP($A74&amp;J91,competitors,4,FALSE),"")</f>
        <v/>
      </c>
    </row>
    <row r="92" spans="1:18" ht="15" customHeight="1" x14ac:dyDescent="0.35">
      <c r="A92" s="105">
        <f ca="1">IFERROR(VLOOKUP(A86,standards,4,FALSE)+0.01,"-")</f>
        <v>28.01</v>
      </c>
      <c r="B92" s="105"/>
      <c r="C92" s="298">
        <v>4</v>
      </c>
      <c r="D92" s="298">
        <f ca="1">IFERROR(IF(C92&gt;MatchDay!$U$2+MatchDay!$D$6-1,"",VLOOKUP(A86,Timetables!$A:$EB,MatchDay!$U$4+C92-MatchDay!$D$6,FALSE)),"")</f>
        <v>1</v>
      </c>
      <c r="E92" s="286" t="str">
        <f ca="1">IFERROR(VLOOKUP($A86&amp;D92,downloads!$A$1:$E$1000,2,FALSE),"")</f>
        <v>William CATTELL</v>
      </c>
      <c r="F92" s="286" t="str">
        <f t="shared" ca="1" si="23"/>
        <v>C&amp;N</v>
      </c>
      <c r="G92" s="291"/>
      <c r="H92" s="297"/>
      <c r="I92" s="298">
        <v>4</v>
      </c>
      <c r="J92" s="298">
        <f t="shared" ca="1" si="24"/>
        <v>11</v>
      </c>
      <c r="K92" s="286" t="str">
        <f ca="1">IFERROR(VLOOKUP($A86&amp;J92,downloads!$A$1:$E$1000,2,FALSE),"")</f>
        <v>Lucas BEECH</v>
      </c>
      <c r="L92" s="286" t="str">
        <f t="shared" ca="1" si="22"/>
        <v>C&amp;N</v>
      </c>
      <c r="O92" s="299"/>
      <c r="Q92" s="307">
        <f ca="1">IFERROR(VLOOKUP($A74&amp;D92,competitors,4,FALSE),"")</f>
        <v>1</v>
      </c>
      <c r="R92" s="307">
        <f ca="1">IFERROR(VLOOKUP($A74&amp;J92,competitors,4,FALSE),"")</f>
        <v>1</v>
      </c>
    </row>
    <row r="93" spans="1:18" ht="15" customHeight="1" x14ac:dyDescent="0.35">
      <c r="A93" s="105">
        <f ca="1">IFERROR(VLOOKUP(A86,standards,5,FALSE)+0.01,"-")</f>
        <v>27.01</v>
      </c>
      <c r="B93" s="105"/>
      <c r="C93" s="298">
        <v>5</v>
      </c>
      <c r="D93" s="298">
        <f ca="1">IFERROR(IF(C93&gt;MatchDay!$U$2+MatchDay!$D$6-1,"",VLOOKUP(A86,Timetables!$A:$EB,MatchDay!$U$4+C93-MatchDay!$D$6,FALSE)),"")</f>
        <v>5</v>
      </c>
      <c r="E93" s="286" t="str">
        <f ca="1">IFERROR(VLOOKUP($A86&amp;D93,downloads!$A$1:$E$1000,2,FALSE),"")</f>
        <v>Owain WILLIAMS</v>
      </c>
      <c r="F93" s="286" t="str">
        <f t="shared" ca="1" si="23"/>
        <v>Menai</v>
      </c>
      <c r="G93" s="291"/>
      <c r="H93" s="297"/>
      <c r="I93" s="298">
        <v>5</v>
      </c>
      <c r="J93" s="298">
        <f t="shared" ca="1" si="24"/>
        <v>55</v>
      </c>
      <c r="K93" s="286" t="str">
        <f ca="1">IFERROR(VLOOKUP($A86&amp;J93,downloads!$A$1:$E$1000,2,FALSE),"")</f>
        <v/>
      </c>
      <c r="L93" s="286" t="str">
        <f t="shared" ca="1" si="22"/>
        <v>Menai</v>
      </c>
      <c r="O93" s="299"/>
      <c r="Q93" s="307">
        <f ca="1">IFERROR(VLOOKUP($A74&amp;D93,competitors,4,FALSE),"")</f>
        <v>1</v>
      </c>
      <c r="R93" s="307">
        <f ca="1">IFERROR(VLOOKUP($A74&amp;J93,competitors,4,FALSE),"")</f>
        <v>1</v>
      </c>
    </row>
    <row r="94" spans="1:18" ht="15" customHeight="1" x14ac:dyDescent="0.35">
      <c r="A94" s="105">
        <f ca="1">IFERROR(VLOOKUP(A86,standards,6,FALSE)+0.01,"-")</f>
        <v>26.01</v>
      </c>
      <c r="B94" s="105"/>
      <c r="C94" s="298">
        <v>6</v>
      </c>
      <c r="D94" s="298">
        <f ca="1">IFERROR(IF(C94&gt;MatchDay!$U$2+MatchDay!$D$6-1,"",VLOOKUP(A86,Timetables!$A:$EB,MatchDay!$U$4+C94-MatchDay!$D$6,FALSE)),"")</f>
        <v>4</v>
      </c>
      <c r="E94" s="286" t="str">
        <f ca="1">IFERROR(VLOOKUP($A86&amp;D94,downloads!$A$1:$E$1000,2,FALSE),"")</f>
        <v>Finley HAYES</v>
      </c>
      <c r="F94" s="286" t="str">
        <f t="shared" ca="1" si="23"/>
        <v>Macc</v>
      </c>
      <c r="G94" s="291"/>
      <c r="H94" s="297"/>
      <c r="I94" s="298">
        <v>6</v>
      </c>
      <c r="J94" s="298">
        <f t="shared" ca="1" si="24"/>
        <v>44</v>
      </c>
      <c r="K94" s="286" t="str">
        <f ca="1">IFERROR(VLOOKUP($A86&amp;J94,downloads!$A$1:$E$1000,2,FALSE),"")</f>
        <v>Oliver STEWART</v>
      </c>
      <c r="L94" s="286" t="str">
        <f t="shared" ca="1" si="22"/>
        <v>Macc</v>
      </c>
      <c r="O94" s="299"/>
      <c r="Q94" s="307">
        <f ca="1">IFERROR(VLOOKUP($A74&amp;D94,competitors,4,FALSE),"")</f>
        <v>1</v>
      </c>
      <c r="R94" s="307">
        <f ca="1">IFERROR(VLOOKUP($A74&amp;J94,competitors,4,FALSE),"")</f>
        <v>1</v>
      </c>
    </row>
    <row r="95" spans="1:18" ht="15" customHeight="1" x14ac:dyDescent="0.35">
      <c r="A95" s="300">
        <f ca="1">IFERROR(SEARCH("Girls",C86),0)</f>
        <v>0</v>
      </c>
      <c r="C95" s="298">
        <v>7</v>
      </c>
      <c r="D95" s="298">
        <f ca="1">IFERROR(IF(C95&gt;MatchDay!$U$2+MatchDay!$D$6-1,"",VLOOKUP(A86,Timetables!$A:$EB,MatchDay!$U$4+C95-MatchDay!$D$6,FALSE)),"")</f>
        <v>7</v>
      </c>
      <c r="E95" s="286" t="str">
        <f ca="1">IFERROR(VLOOKUP($A86&amp;D95,downloads!$A$1:$E$1000,2,FALSE),"")</f>
        <v>Joshua ROBERTS</v>
      </c>
      <c r="F95" s="286" t="str">
        <f t="shared" ca="1" si="23"/>
        <v>Wigan</v>
      </c>
      <c r="G95" s="291"/>
      <c r="H95" s="297"/>
      <c r="I95" s="298">
        <v>7</v>
      </c>
      <c r="J95" s="298">
        <f t="shared" ca="1" si="24"/>
        <v>77</v>
      </c>
      <c r="K95" s="286" t="str">
        <f ca="1">IFERROR(VLOOKUP($A86&amp;J95,downloads!$A$1:$E$1000,2,FALSE),"")</f>
        <v>Matthew HAYTON</v>
      </c>
      <c r="L95" s="286" t="str">
        <f t="shared" ca="1" si="22"/>
        <v>Wigan</v>
      </c>
      <c r="O95" s="299"/>
      <c r="Q95" s="307">
        <f ca="1">IFERROR(VLOOKUP($A74&amp;D95,competitors,4,FALSE),"")</f>
        <v>1</v>
      </c>
      <c r="R95" s="307">
        <f ca="1">IFERROR(VLOOKUP($A74&amp;J95,competitors,4,FALSE),"")</f>
        <v>1</v>
      </c>
    </row>
    <row r="96" spans="1:18" ht="15" customHeight="1" x14ac:dyDescent="0.35">
      <c r="A96" s="103">
        <f ca="1">IFERROR(VLOOKUP(A86,records,5,FALSE),"")</f>
        <v>22.2</v>
      </c>
      <c r="B96" s="103"/>
      <c r="C96" s="298">
        <v>8</v>
      </c>
      <c r="D96" s="298" t="str">
        <f>IFERROR(IF(C96&gt;MatchDay!$U$2+MatchDay!$D$6-1,"",VLOOKUP(A86,Timetables!$A:$EB,MatchDay!$U$4+C96-MatchDay!$D$6,FALSE)),"")</f>
        <v/>
      </c>
      <c r="E96" s="286" t="str">
        <f ca="1">IFERROR(VLOOKUP($A86&amp;D96,downloads!$A$1:$E$1000,2,FALSE),"")</f>
        <v/>
      </c>
      <c r="F96" s="286" t="str">
        <f t="shared" si="23"/>
        <v/>
      </c>
      <c r="G96" s="291"/>
      <c r="H96" s="297"/>
      <c r="I96" s="298">
        <v>8</v>
      </c>
      <c r="J96" s="298" t="str">
        <f t="shared" si="24"/>
        <v/>
      </c>
      <c r="K96" s="286" t="str">
        <f ca="1">IFERROR(VLOOKUP($A86&amp;J96,downloads!$A$1:$E$1000,2,FALSE),"")</f>
        <v/>
      </c>
      <c r="L96" s="286" t="str">
        <f t="shared" si="22"/>
        <v/>
      </c>
      <c r="O96" s="299"/>
      <c r="Q96" s="307" t="str">
        <f ca="1">IFERROR(VLOOKUP($A74&amp;D96,competitors,4,FALSE),"")</f>
        <v/>
      </c>
      <c r="R96" s="307" t="str">
        <f ca="1">IFERROR(VLOOKUP($A74&amp;J96,competitors,4,FALSE),"")</f>
        <v/>
      </c>
    </row>
    <row r="97" spans="1:18" ht="15" customHeight="1" x14ac:dyDescent="0.35">
      <c r="Q97" s="307"/>
      <c r="R97" s="307"/>
    </row>
    <row r="98" spans="1:18" ht="15" customHeight="1" x14ac:dyDescent="0.35">
      <c r="A98" s="98" t="str">
        <f ca="1">IFERROR(INDIRECT(CONCATENATE("'Timetables'!A"&amp;A102)),"")</f>
        <v>LTD81</v>
      </c>
      <c r="B98" s="304" t="str">
        <f ca="1">IFERROR(TEXT(VLOOKUP(A98,timetables,7-MatchDay!$U$7,FALSE),"hh:mm"),"")</f>
        <v>12:45</v>
      </c>
      <c r="C98" s="292" t="str">
        <f ca="1">IFERROR(VLOOKUP(A98,timetables,2,FALSE)&amp;" "&amp;VLOOKUP(A98,timetables,3,FALSE)&amp;" A","")</f>
        <v>800m U13 Girls A</v>
      </c>
      <c r="D98" s="292"/>
      <c r="F98" s="293"/>
      <c r="G98" s="294"/>
      <c r="L98" s="360"/>
      <c r="M98" s="296"/>
      <c r="N98" s="286"/>
      <c r="Q98" s="307"/>
      <c r="R98" s="307"/>
    </row>
    <row r="99" spans="1:18" ht="15" customHeight="1" x14ac:dyDescent="0.35">
      <c r="A99" s="98"/>
      <c r="B99" s="98"/>
      <c r="C99" s="295" t="str">
        <f ca="1">IFERROR("Rec: "&amp;VLOOKUP(A98,records,4,FALSE),"")</f>
        <v>Rec: 02:19.6 Francesca Baxter, Chiltern Harriers AC, 2019</v>
      </c>
      <c r="D99" s="292"/>
      <c r="F99" s="293"/>
      <c r="G99" s="294"/>
      <c r="I99" s="295"/>
      <c r="L99" s="360"/>
      <c r="M99" s="296"/>
      <c r="N99" s="286"/>
      <c r="Q99" s="307"/>
      <c r="R99" s="307"/>
    </row>
    <row r="100" spans="1:18" ht="15" customHeight="1" x14ac:dyDescent="0.35">
      <c r="A100" s="82" t="str">
        <f ca="1">MID(A98,2,3)</f>
        <v>TD8</v>
      </c>
      <c r="B100" s="82"/>
      <c r="C100" s="304" t="s">
        <v>542</v>
      </c>
      <c r="D100" s="304" t="s">
        <v>141</v>
      </c>
      <c r="E100" s="286" t="s">
        <v>174</v>
      </c>
      <c r="F100" s="286" t="s">
        <v>175</v>
      </c>
      <c r="G100" s="291"/>
      <c r="I100" s="304" t="s">
        <v>542</v>
      </c>
      <c r="J100" s="304" t="s">
        <v>141</v>
      </c>
      <c r="K100" s="286" t="s">
        <v>174</v>
      </c>
      <c r="L100" s="286" t="s">
        <v>175</v>
      </c>
      <c r="O100" s="299"/>
      <c r="Q100" s="307"/>
      <c r="R100" s="307"/>
    </row>
    <row r="101" spans="1:18" ht="15" customHeight="1" x14ac:dyDescent="0.35">
      <c r="A101" s="138"/>
      <c r="B101" s="103"/>
      <c r="C101" s="298">
        <v>1</v>
      </c>
      <c r="D101" s="298">
        <f ca="1">IFERROR(IF(C101&gt;MatchDay!$U$2,"",IF(MatchDay!$D$6=2,"",VLOOKUP(A98,Timetables!$A:$EB,MatchDay!$U$4+C101-MatchDay!$D$6,FALSE))),"")</f>
        <v>6</v>
      </c>
      <c r="E101" s="286" t="str">
        <f ca="1">IFERROR(VLOOKUP($A98&amp;D101,downloads!$A$1:$E$1000,2,FALSE),"")</f>
        <v>Emily WALTON</v>
      </c>
      <c r="F101" s="286" t="str">
        <f ca="1">IFERROR(VLOOKUP(D101,teamlookup,5,FALSE),"")</f>
        <v>Stock</v>
      </c>
      <c r="G101" s="291"/>
      <c r="H101" s="297"/>
      <c r="I101" s="298">
        <v>1</v>
      </c>
      <c r="J101" s="298">
        <f ca="1">IFERROR(D101*11,"")</f>
        <v>66</v>
      </c>
      <c r="K101" s="286" t="str">
        <f ca="1">IFERROR(VLOOKUP($A98&amp;J101,downloads!$A$1:$E$1000,2,FALSE),"")</f>
        <v/>
      </c>
      <c r="L101" s="286" t="str">
        <f t="shared" ref="L101:L108" ca="1" si="25">IFERROR(VLOOKUP(J101,teamlookup,5,FALSE),"")</f>
        <v>Stock</v>
      </c>
      <c r="O101" s="299"/>
      <c r="Q101" s="307">
        <f ca="1">IFERROR(VLOOKUP($A98&amp;D101,competitors,4,FALSE),"")</f>
        <v>1</v>
      </c>
      <c r="R101" s="307" t="str">
        <f ca="1">IFERROR(VLOOKUP($A98&amp;J101,competitors,4,FALSE),"")</f>
        <v/>
      </c>
    </row>
    <row r="102" spans="1:18" ht="15" customHeight="1" x14ac:dyDescent="0.35">
      <c r="A102" s="304">
        <f>A90+1</f>
        <v>11</v>
      </c>
      <c r="C102" s="298">
        <v>2</v>
      </c>
      <c r="D102" s="298">
        <f ca="1">IFERROR(IF(C102&gt;MatchDay!$U$2+MatchDay!$D$6-1,"",VLOOKUP(A98,Timetables!$A:$EB,MatchDay!$U$4+C102-MatchDay!$D$6,FALSE)),"")</f>
        <v>2</v>
      </c>
      <c r="E102" s="286" t="str">
        <f ca="1">IFERROR(VLOOKUP($A98&amp;D102,downloads!$A$1:$E$1000,2,FALSE),"")</f>
        <v>Olivia GOFF</v>
      </c>
      <c r="F102" s="286" t="str">
        <f t="shared" ref="F102:F108" ca="1" si="26">IFERROR(VLOOKUP(D102,teamlookup,5,FALSE),"")</f>
        <v>ECHT</v>
      </c>
      <c r="G102" s="291"/>
      <c r="H102" s="297"/>
      <c r="I102" s="298">
        <v>2</v>
      </c>
      <c r="J102" s="298">
        <f t="shared" ref="J102:J108" ca="1" si="27">IFERROR(D102*11,"")</f>
        <v>22</v>
      </c>
      <c r="K102" s="286" t="str">
        <f ca="1">IFERROR(VLOOKUP($A98&amp;J102,downloads!$A$1:$E$1000,2,FALSE),"")</f>
        <v>Erin MCMAHON</v>
      </c>
      <c r="L102" s="286" t="str">
        <f t="shared" ca="1" si="25"/>
        <v>ECHT</v>
      </c>
      <c r="O102" s="299"/>
      <c r="Q102" s="307">
        <f ca="1">IFERROR(VLOOKUP($A98&amp;D102,competitors,4,FALSE),"")</f>
        <v>1</v>
      </c>
      <c r="R102" s="307">
        <f ca="1">IFERROR(VLOOKUP($A98&amp;J102,competitors,4,FALSE),"")</f>
        <v>1</v>
      </c>
    </row>
    <row r="103" spans="1:18" ht="15" customHeight="1" x14ac:dyDescent="0.35">
      <c r="A103" s="105">
        <f ca="1">IFERROR(VLOOKUP(A98,standards,3,FALSE)+0.01,"-")</f>
        <v>1.2199074074074074E-2</v>
      </c>
      <c r="B103" s="105"/>
      <c r="C103" s="298">
        <v>3</v>
      </c>
      <c r="D103" s="298">
        <f ca="1">IFERROR(IF(C103&gt;MatchDay!$U$2+MatchDay!$D$6-1,"",VLOOKUP(A98,Timetables!$A:$EB,MatchDay!$U$4+C103-MatchDay!$D$6,FALSE)),"")</f>
        <v>4</v>
      </c>
      <c r="E103" s="286" t="str">
        <f ca="1">IFERROR(VLOOKUP($A98&amp;D103,downloads!$A$1:$E$1000,2,FALSE),"")</f>
        <v>Lydia HIGGINS</v>
      </c>
      <c r="F103" s="286" t="str">
        <f t="shared" ca="1" si="26"/>
        <v>Macc</v>
      </c>
      <c r="G103" s="291"/>
      <c r="H103" s="297"/>
      <c r="I103" s="298">
        <v>3</v>
      </c>
      <c r="J103" s="298">
        <f t="shared" ca="1" si="27"/>
        <v>44</v>
      </c>
      <c r="K103" s="286" t="str">
        <f ca="1">IFERROR(VLOOKUP($A98&amp;J103,downloads!$A$1:$E$1000,2,FALSE),"")</f>
        <v>Sophie MARTIN</v>
      </c>
      <c r="L103" s="286" t="str">
        <f t="shared" ca="1" si="25"/>
        <v>Macc</v>
      </c>
      <c r="O103" s="299"/>
      <c r="Q103" s="307">
        <f ca="1">IFERROR(VLOOKUP($A98&amp;D103,competitors,4,FALSE),"")</f>
        <v>1</v>
      </c>
      <c r="R103" s="307">
        <f ca="1">IFERROR(VLOOKUP($A98&amp;J103,competitors,4,FALSE),"")</f>
        <v>1</v>
      </c>
    </row>
    <row r="104" spans="1:18" ht="15" customHeight="1" x14ac:dyDescent="0.35">
      <c r="A104" s="105">
        <f ca="1">IFERROR(VLOOKUP(A98,standards,4,FALSE)+0.01,"-")</f>
        <v>1.2083333333333333E-2</v>
      </c>
      <c r="B104" s="105"/>
      <c r="C104" s="298">
        <v>4</v>
      </c>
      <c r="D104" s="298">
        <f ca="1">IFERROR(IF(C104&gt;MatchDay!$U$2+MatchDay!$D$6-1,"",VLOOKUP(A98,Timetables!$A:$EB,MatchDay!$U$4+C104-MatchDay!$D$6,FALSE)),"")</f>
        <v>3</v>
      </c>
      <c r="E104" s="286" t="str">
        <f ca="1">IFERROR(VLOOKUP($A98&amp;D104,downloads!$A$1:$E$1000,2,FALSE),"")</f>
        <v>Maddison PENDLEBURY</v>
      </c>
      <c r="F104" s="286" t="str">
        <f t="shared" ca="1" si="26"/>
        <v>Leigh</v>
      </c>
      <c r="G104" s="291"/>
      <c r="H104" s="297"/>
      <c r="I104" s="298">
        <v>4</v>
      </c>
      <c r="J104" s="298">
        <f t="shared" ca="1" si="27"/>
        <v>33</v>
      </c>
      <c r="K104" s="286" t="str">
        <f ca="1">IFERROR(VLOOKUP($A98&amp;J104,downloads!$A$1:$E$1000,2,FALSE),"")</f>
        <v>Mia WILKINSON</v>
      </c>
      <c r="L104" s="286" t="str">
        <f t="shared" ca="1" si="25"/>
        <v>Leigh</v>
      </c>
      <c r="O104" s="299"/>
      <c r="Q104" s="307">
        <f ca="1">IFERROR(VLOOKUP($A98&amp;D104,competitors,4,FALSE),"")</f>
        <v>1</v>
      </c>
      <c r="R104" s="307">
        <f ca="1">IFERROR(VLOOKUP($A98&amp;J104,competitors,4,FALSE),"")</f>
        <v>0</v>
      </c>
    </row>
    <row r="105" spans="1:18" ht="15" customHeight="1" x14ac:dyDescent="0.35">
      <c r="A105" s="105">
        <f ca="1">IFERROR(VLOOKUP(A98,standards,5,FALSE)+0.01,"-")</f>
        <v>1.2025462962962963E-2</v>
      </c>
      <c r="B105" s="105"/>
      <c r="C105" s="298">
        <v>5</v>
      </c>
      <c r="D105" s="298">
        <f ca="1">IFERROR(IF(C105&gt;MatchDay!$U$2+MatchDay!$D$6-1,"",VLOOKUP(A98,Timetables!$A:$EB,MatchDay!$U$4+C105-MatchDay!$D$6,FALSE)),"")</f>
        <v>1</v>
      </c>
      <c r="E105" s="286" t="str">
        <f ca="1">IFERROR(VLOOKUP($A98&amp;D105,downloads!$A$1:$E$1000,2,FALSE),"")</f>
        <v>Freya HOWELLS</v>
      </c>
      <c r="F105" s="286" t="str">
        <f t="shared" ca="1" si="26"/>
        <v>C&amp;N</v>
      </c>
      <c r="G105" s="291"/>
      <c r="H105" s="297"/>
      <c r="I105" s="298">
        <v>5</v>
      </c>
      <c r="J105" s="298">
        <f t="shared" ca="1" si="27"/>
        <v>11</v>
      </c>
      <c r="K105" s="286" t="str">
        <f ca="1">IFERROR(VLOOKUP($A98&amp;J105,downloads!$A$1:$E$1000,2,FALSE),"")</f>
        <v>Jasmine COOPER</v>
      </c>
      <c r="L105" s="286" t="str">
        <f t="shared" ca="1" si="25"/>
        <v>C&amp;N</v>
      </c>
      <c r="O105" s="299"/>
      <c r="Q105" s="307">
        <f ca="1">IFERROR(VLOOKUP($A98&amp;D105,competitors,4,FALSE),"")</f>
        <v>1</v>
      </c>
      <c r="R105" s="307">
        <f ca="1">IFERROR(VLOOKUP($A98&amp;J105,competitors,4,FALSE),"")</f>
        <v>1</v>
      </c>
    </row>
    <row r="106" spans="1:18" ht="15" customHeight="1" x14ac:dyDescent="0.35">
      <c r="A106" s="105">
        <f ca="1">IFERROR(VLOOKUP(A98,standards,6,FALSE)+0.01,"-")</f>
        <v>1.1967592592592592E-2</v>
      </c>
      <c r="B106" s="105"/>
      <c r="C106" s="298">
        <v>6</v>
      </c>
      <c r="D106" s="298">
        <f ca="1">IFERROR(IF(C106&gt;MatchDay!$U$2+MatchDay!$D$6-1,"",VLOOKUP(A98,Timetables!$A:$EB,MatchDay!$U$4+C106-MatchDay!$D$6,FALSE)),"")</f>
        <v>5</v>
      </c>
      <c r="E106" s="286" t="str">
        <f ca="1">IFERROR(VLOOKUP($A98&amp;D106,downloads!$A$1:$E$1000,2,FALSE),"")</f>
        <v>Holly WORTH</v>
      </c>
      <c r="F106" s="286" t="str">
        <f t="shared" ca="1" si="26"/>
        <v>Menai</v>
      </c>
      <c r="G106" s="291"/>
      <c r="H106" s="297"/>
      <c r="I106" s="298">
        <v>6</v>
      </c>
      <c r="J106" s="298">
        <f t="shared" ca="1" si="27"/>
        <v>55</v>
      </c>
      <c r="K106" s="286" t="str">
        <f ca="1">IFERROR(VLOOKUP($A98&amp;J106,downloads!$A$1:$E$1000,2,FALSE),"")</f>
        <v/>
      </c>
      <c r="L106" s="286" t="str">
        <f t="shared" ca="1" si="25"/>
        <v>Menai</v>
      </c>
      <c r="O106" s="299"/>
      <c r="Q106" s="307">
        <f ca="1">IFERROR(VLOOKUP($A98&amp;D106,competitors,4,FALSE),"")</f>
        <v>1</v>
      </c>
      <c r="R106" s="307" t="str">
        <f ca="1">IFERROR(VLOOKUP($A98&amp;J106,competitors,4,FALSE),"")</f>
        <v/>
      </c>
    </row>
    <row r="107" spans="1:18" ht="15" customHeight="1" x14ac:dyDescent="0.35">
      <c r="A107" s="300">
        <f ca="1">IFERROR(SEARCH("Girls",C98),0)</f>
        <v>10</v>
      </c>
      <c r="C107" s="298">
        <v>7</v>
      </c>
      <c r="D107" s="298">
        <f ca="1">IFERROR(IF(C107&gt;MatchDay!$U$2+MatchDay!$D$6-1,"",VLOOKUP(A98,Timetables!$A:$EB,MatchDay!$U$4+C107-MatchDay!$D$6,FALSE)),"")</f>
        <v>7</v>
      </c>
      <c r="E107" s="286" t="str">
        <f ca="1">IFERROR(VLOOKUP($A98&amp;D107,downloads!$A$1:$E$1000,2,FALSE),"")</f>
        <v>Carly MCGRATH</v>
      </c>
      <c r="F107" s="286" t="str">
        <f t="shared" ca="1" si="26"/>
        <v>Wigan</v>
      </c>
      <c r="G107" s="291"/>
      <c r="H107" s="297"/>
      <c r="I107" s="298">
        <v>7</v>
      </c>
      <c r="J107" s="298">
        <f t="shared" ca="1" si="27"/>
        <v>77</v>
      </c>
      <c r="K107" s="286" t="str">
        <f ca="1">IFERROR(VLOOKUP($A98&amp;J107,downloads!$A$1:$E$1000,2,FALSE),"")</f>
        <v>Katie-lou MALLEY</v>
      </c>
      <c r="L107" s="286" t="str">
        <f t="shared" ca="1" si="25"/>
        <v>Wigan</v>
      </c>
      <c r="O107" s="299"/>
      <c r="Q107" s="307">
        <f ca="1">IFERROR(VLOOKUP($A98&amp;D107,competitors,4,FALSE),"")</f>
        <v>1</v>
      </c>
      <c r="R107" s="307">
        <f ca="1">IFERROR(VLOOKUP($A98&amp;J107,competitors,4,FALSE),"")</f>
        <v>1</v>
      </c>
    </row>
    <row r="108" spans="1:18" ht="15" customHeight="1" x14ac:dyDescent="0.35">
      <c r="A108" s="103">
        <f ca="1">IFERROR(VLOOKUP(A98,records,5,FALSE),"")</f>
        <v>1.6157407407407407E-3</v>
      </c>
      <c r="B108" s="103"/>
      <c r="C108" s="298">
        <v>8</v>
      </c>
      <c r="D108" s="298" t="str">
        <f>IFERROR(IF(C108&gt;MatchDay!$U$2+MatchDay!$D$6-1,"",VLOOKUP(A98,Timetables!$A:$EB,MatchDay!$U$4+C108-MatchDay!$D$6,FALSE)),"")</f>
        <v/>
      </c>
      <c r="E108" s="286" t="str">
        <f ca="1">IFERROR(VLOOKUP($A98&amp;D108,downloads!$A$1:$E$1000,2,FALSE),"")</f>
        <v/>
      </c>
      <c r="F108" s="286" t="str">
        <f t="shared" si="26"/>
        <v/>
      </c>
      <c r="G108" s="291"/>
      <c r="H108" s="297"/>
      <c r="I108" s="298">
        <v>8</v>
      </c>
      <c r="J108" s="298" t="str">
        <f t="shared" si="27"/>
        <v/>
      </c>
      <c r="K108" s="286" t="str">
        <f ca="1">IFERROR(VLOOKUP($A98&amp;J108,downloads!$A$1:$E$1000,2,FALSE),"")</f>
        <v/>
      </c>
      <c r="L108" s="286" t="str">
        <f t="shared" si="25"/>
        <v/>
      </c>
      <c r="O108" s="299"/>
      <c r="Q108" s="307" t="str">
        <f ca="1">IFERROR(VLOOKUP($A98&amp;D108,competitors,4,FALSE),"")</f>
        <v/>
      </c>
      <c r="R108" s="307" t="str">
        <f ca="1">IFERROR(VLOOKUP($A98&amp;J108,competitors,4,FALSE),"")</f>
        <v/>
      </c>
    </row>
    <row r="109" spans="1:18" ht="15" customHeight="1" x14ac:dyDescent="0.35">
      <c r="Q109" s="307"/>
      <c r="R109" s="307"/>
    </row>
    <row r="110" spans="1:18" ht="15" customHeight="1" x14ac:dyDescent="0.35">
      <c r="A110" s="98" t="str">
        <f ca="1">IFERROR(INDIRECT(CONCATENATE("'Timetables'!A"&amp;A114)),"")</f>
        <v>LTD82</v>
      </c>
      <c r="B110" s="304" t="str">
        <f ca="1">IFERROR(TEXT(VLOOKUP(A110,timetables,7-MatchDay!$U$7,FALSE),"hh:mm"),"")</f>
        <v>12:55</v>
      </c>
      <c r="C110" s="292" t="str">
        <f ca="1">IFERROR(VLOOKUP(A110,timetables,2,FALSE)&amp;" "&amp;VLOOKUP(A110,timetables,3,FALSE)&amp;" A","")</f>
        <v>800m U13 Boys A</v>
      </c>
      <c r="D110" s="292"/>
      <c r="F110" s="293"/>
      <c r="G110" s="294"/>
      <c r="L110" s="360"/>
      <c r="M110" s="296"/>
      <c r="N110" s="286"/>
      <c r="Q110" s="307"/>
      <c r="R110" s="307"/>
    </row>
    <row r="111" spans="1:18" ht="15" customHeight="1" x14ac:dyDescent="0.35">
      <c r="A111" s="98"/>
      <c r="B111" s="98"/>
      <c r="C111" s="295" t="str">
        <f ca="1">IFERROR("Rec: "&amp;VLOOKUP(A110,records,4,FALSE),"")</f>
        <v>Rec: 02:09.5 Jaden Kennedy, Herne Hill Harriers, 2016</v>
      </c>
      <c r="D111" s="292"/>
      <c r="F111" s="293"/>
      <c r="G111" s="294"/>
      <c r="I111" s="295"/>
      <c r="L111" s="360"/>
      <c r="M111" s="296"/>
      <c r="N111" s="286"/>
      <c r="Q111" s="307"/>
      <c r="R111" s="307"/>
    </row>
    <row r="112" spans="1:18" ht="15" customHeight="1" x14ac:dyDescent="0.35">
      <c r="A112" s="82" t="str">
        <f ca="1">MID(A110,2,3)</f>
        <v>TD8</v>
      </c>
      <c r="B112" s="82"/>
      <c r="C112" s="304" t="s">
        <v>542</v>
      </c>
      <c r="D112" s="304" t="s">
        <v>141</v>
      </c>
      <c r="E112" s="286" t="s">
        <v>174</v>
      </c>
      <c r="F112" s="286" t="s">
        <v>175</v>
      </c>
      <c r="G112" s="291"/>
      <c r="I112" s="304" t="s">
        <v>542</v>
      </c>
      <c r="J112" s="304" t="s">
        <v>141</v>
      </c>
      <c r="K112" s="286" t="s">
        <v>174</v>
      </c>
      <c r="L112" s="286" t="s">
        <v>175</v>
      </c>
      <c r="O112" s="299"/>
      <c r="Q112" s="307"/>
      <c r="R112" s="307"/>
    </row>
    <row r="113" spans="1:18" ht="15" customHeight="1" x14ac:dyDescent="0.35">
      <c r="A113" s="138"/>
      <c r="B113" s="103"/>
      <c r="C113" s="298">
        <v>1</v>
      </c>
      <c r="D113" s="298">
        <f ca="1">IFERROR(IF(C113&gt;MatchDay!$U$2,"",IF(MatchDay!$D$6=2,"",VLOOKUP(A110,Timetables!$A:$EB,MatchDay!$U$4+C113-MatchDay!$D$6,FALSE))),"")</f>
        <v>6</v>
      </c>
      <c r="E113" s="286" t="str">
        <f ca="1">IFERROR(VLOOKUP($A110&amp;D113,downloads!$A$1:$E$1000,2,FALSE),"")</f>
        <v/>
      </c>
      <c r="F113" s="286" t="str">
        <f ca="1">IFERROR(VLOOKUP(D113,teamlookup,5,FALSE),"")</f>
        <v>Stock</v>
      </c>
      <c r="G113" s="291"/>
      <c r="H113" s="297"/>
      <c r="I113" s="298">
        <v>1</v>
      </c>
      <c r="J113" s="298">
        <f ca="1">IFERROR(D113*11,"")</f>
        <v>66</v>
      </c>
      <c r="K113" s="286" t="str">
        <f ca="1">IFERROR(VLOOKUP($A110&amp;J113,downloads!$A$1:$E$1000,2,FALSE),"")</f>
        <v/>
      </c>
      <c r="L113" s="286" t="str">
        <f t="shared" ref="L113:L120" ca="1" si="28">IFERROR(VLOOKUP(J113,teamlookup,5,FALSE),"")</f>
        <v>Stock</v>
      </c>
      <c r="O113" s="299"/>
      <c r="Q113" s="307">
        <f ca="1">IFERROR(VLOOKUP($A98&amp;D113,competitors,4,FALSE),"")</f>
        <v>1</v>
      </c>
      <c r="R113" s="307" t="str">
        <f ca="1">IFERROR(VLOOKUP($A98&amp;J113,competitors,4,FALSE),"")</f>
        <v/>
      </c>
    </row>
    <row r="114" spans="1:18" ht="15" customHeight="1" x14ac:dyDescent="0.35">
      <c r="A114" s="304">
        <f>A102+1</f>
        <v>12</v>
      </c>
      <c r="C114" s="298">
        <v>2</v>
      </c>
      <c r="D114" s="298">
        <f ca="1">IFERROR(IF(C114&gt;MatchDay!$U$2+MatchDay!$D$6-1,"",VLOOKUP(A110,Timetables!$A:$EB,MatchDay!$U$4+C114-MatchDay!$D$6,FALSE)),"")</f>
        <v>2</v>
      </c>
      <c r="E114" s="286" t="str">
        <f ca="1">IFERROR(VLOOKUP($A110&amp;D114,downloads!$A$1:$E$1000,2,FALSE),"")</f>
        <v>Zachary JONES</v>
      </c>
      <c r="F114" s="286" t="str">
        <f t="shared" ref="F114:F120" ca="1" si="29">IFERROR(VLOOKUP(D114,teamlookup,5,FALSE),"")</f>
        <v>ECHT</v>
      </c>
      <c r="G114" s="291"/>
      <c r="H114" s="297"/>
      <c r="I114" s="298">
        <v>2</v>
      </c>
      <c r="J114" s="298">
        <f t="shared" ref="J114:J120" ca="1" si="30">IFERROR(D114*11,"")</f>
        <v>22</v>
      </c>
      <c r="K114" s="286" t="str">
        <f ca="1">IFERROR(VLOOKUP($A110&amp;J114,downloads!$A$1:$E$1000,2,FALSE),"")</f>
        <v>Jake REANEY</v>
      </c>
      <c r="L114" s="286" t="str">
        <f t="shared" ca="1" si="28"/>
        <v>ECHT</v>
      </c>
      <c r="O114" s="299"/>
      <c r="Q114" s="307">
        <f ca="1">IFERROR(VLOOKUP($A98&amp;D114,competitors,4,FALSE),"")</f>
        <v>1</v>
      </c>
      <c r="R114" s="307">
        <f ca="1">IFERROR(VLOOKUP($A98&amp;J114,competitors,4,FALSE),"")</f>
        <v>1</v>
      </c>
    </row>
    <row r="115" spans="1:18" ht="15" customHeight="1" x14ac:dyDescent="0.35">
      <c r="A115" s="105">
        <f ca="1">IFERROR(VLOOKUP(A110,standards,3,FALSE)+0.01,"-")</f>
        <v>1.1967592592592592E-2</v>
      </c>
      <c r="B115" s="105"/>
      <c r="C115" s="298">
        <v>3</v>
      </c>
      <c r="D115" s="298">
        <f ca="1">IFERROR(IF(C115&gt;MatchDay!$U$2+MatchDay!$D$6-1,"",VLOOKUP(A110,Timetables!$A:$EB,MatchDay!$U$4+C115-MatchDay!$D$6,FALSE)),"")</f>
        <v>4</v>
      </c>
      <c r="E115" s="286" t="str">
        <f ca="1">IFERROR(VLOOKUP($A110&amp;D115,downloads!$A$1:$E$1000,2,FALSE),"")</f>
        <v>Samuel SAVAGE</v>
      </c>
      <c r="F115" s="286" t="str">
        <f t="shared" ca="1" si="29"/>
        <v>Macc</v>
      </c>
      <c r="G115" s="291"/>
      <c r="H115" s="297"/>
      <c r="I115" s="298">
        <v>3</v>
      </c>
      <c r="J115" s="298">
        <f t="shared" ca="1" si="30"/>
        <v>44</v>
      </c>
      <c r="K115" s="286" t="str">
        <f ca="1">IFERROR(VLOOKUP($A110&amp;J115,downloads!$A$1:$E$1000,2,FALSE),"")</f>
        <v>Tomas BEDOYA</v>
      </c>
      <c r="L115" s="286" t="str">
        <f t="shared" ca="1" si="28"/>
        <v>Macc</v>
      </c>
      <c r="O115" s="299"/>
      <c r="Q115" s="307">
        <f ca="1">IFERROR(VLOOKUP($A98&amp;D115,competitors,4,FALSE),"")</f>
        <v>1</v>
      </c>
      <c r="R115" s="307">
        <f ca="1">IFERROR(VLOOKUP($A98&amp;J115,competitors,4,FALSE),"")</f>
        <v>1</v>
      </c>
    </row>
    <row r="116" spans="1:18" ht="15" customHeight="1" x14ac:dyDescent="0.35">
      <c r="A116" s="105">
        <f ca="1">IFERROR(VLOOKUP(A110,standards,4,FALSE)+0.01,"-")</f>
        <v>1.1909722222222223E-2</v>
      </c>
      <c r="B116" s="105"/>
      <c r="C116" s="298">
        <v>4</v>
      </c>
      <c r="D116" s="298">
        <f ca="1">IFERROR(IF(C116&gt;MatchDay!$U$2+MatchDay!$D$6-1,"",VLOOKUP(A110,Timetables!$A:$EB,MatchDay!$U$4+C116-MatchDay!$D$6,FALSE)),"")</f>
        <v>3</v>
      </c>
      <c r="E116" s="286" t="str">
        <f ca="1">IFERROR(VLOOKUP($A110&amp;D116,downloads!$A$1:$E$1000,2,FALSE),"")</f>
        <v>James HOWARTH-LINTON</v>
      </c>
      <c r="F116" s="286" t="str">
        <f t="shared" ca="1" si="29"/>
        <v>Leigh</v>
      </c>
      <c r="G116" s="291"/>
      <c r="H116" s="297"/>
      <c r="I116" s="298">
        <v>4</v>
      </c>
      <c r="J116" s="298">
        <f t="shared" ca="1" si="30"/>
        <v>33</v>
      </c>
      <c r="K116" s="286" t="str">
        <f ca="1">IFERROR(VLOOKUP($A110&amp;J116,downloads!$A$1:$E$1000,2,FALSE),"")</f>
        <v>Henri MANNION</v>
      </c>
      <c r="L116" s="286" t="str">
        <f t="shared" ca="1" si="28"/>
        <v>Leigh</v>
      </c>
      <c r="O116" s="299"/>
      <c r="Q116" s="307">
        <f ca="1">IFERROR(VLOOKUP($A98&amp;D116,competitors,4,FALSE),"")</f>
        <v>1</v>
      </c>
      <c r="R116" s="307">
        <f ca="1">IFERROR(VLOOKUP($A98&amp;J116,competitors,4,FALSE),"")</f>
        <v>0</v>
      </c>
    </row>
    <row r="117" spans="1:18" ht="15" customHeight="1" x14ac:dyDescent="0.35">
      <c r="A117" s="105">
        <f ca="1">IFERROR(VLOOKUP(A110,standards,5,FALSE)+0.01,"-")</f>
        <v>1.1851851851851851E-2</v>
      </c>
      <c r="B117" s="105"/>
      <c r="C117" s="298">
        <v>5</v>
      </c>
      <c r="D117" s="298">
        <f ca="1">IFERROR(IF(C117&gt;MatchDay!$U$2+MatchDay!$D$6-1,"",VLOOKUP(A110,Timetables!$A:$EB,MatchDay!$U$4+C117-MatchDay!$D$6,FALSE)),"")</f>
        <v>1</v>
      </c>
      <c r="E117" s="286" t="str">
        <f ca="1">IFERROR(VLOOKUP($A110&amp;D117,downloads!$A$1:$E$1000,2,FALSE),"")</f>
        <v>Charlie SMITH</v>
      </c>
      <c r="F117" s="286" t="str">
        <f t="shared" ca="1" si="29"/>
        <v>C&amp;N</v>
      </c>
      <c r="G117" s="291"/>
      <c r="H117" s="297"/>
      <c r="I117" s="298">
        <v>5</v>
      </c>
      <c r="J117" s="298">
        <f t="shared" ca="1" si="30"/>
        <v>11</v>
      </c>
      <c r="K117" s="286" t="str">
        <f ca="1">IFERROR(VLOOKUP($A110&amp;J117,downloads!$A$1:$E$1000,2,FALSE),"")</f>
        <v>Gabriel BRZEZINSKI</v>
      </c>
      <c r="L117" s="286" t="str">
        <f t="shared" ca="1" si="28"/>
        <v>C&amp;N</v>
      </c>
      <c r="O117" s="299"/>
      <c r="Q117" s="307">
        <f ca="1">IFERROR(VLOOKUP($A98&amp;D117,competitors,4,FALSE),"")</f>
        <v>1</v>
      </c>
      <c r="R117" s="307">
        <f ca="1">IFERROR(VLOOKUP($A98&amp;J117,competitors,4,FALSE),"")</f>
        <v>1</v>
      </c>
    </row>
    <row r="118" spans="1:18" ht="15" customHeight="1" x14ac:dyDescent="0.35">
      <c r="A118" s="105">
        <f ca="1">IFERROR(VLOOKUP(A110,standards,6,FALSE)+0.01,"-")</f>
        <v>1.1793981481481482E-2</v>
      </c>
      <c r="B118" s="105"/>
      <c r="C118" s="298">
        <v>6</v>
      </c>
      <c r="D118" s="298">
        <f ca="1">IFERROR(IF(C118&gt;MatchDay!$U$2+MatchDay!$D$6-1,"",VLOOKUP(A110,Timetables!$A:$EB,MatchDay!$U$4+C118-MatchDay!$D$6,FALSE)),"")</f>
        <v>5</v>
      </c>
      <c r="E118" s="286" t="str">
        <f ca="1">IFERROR(VLOOKUP($A110&amp;D118,downloads!$A$1:$E$1000,2,FALSE),"")</f>
        <v/>
      </c>
      <c r="F118" s="286" t="str">
        <f t="shared" ca="1" si="29"/>
        <v>Menai</v>
      </c>
      <c r="G118" s="291"/>
      <c r="H118" s="297"/>
      <c r="I118" s="298">
        <v>6</v>
      </c>
      <c r="J118" s="298">
        <f t="shared" ca="1" si="30"/>
        <v>55</v>
      </c>
      <c r="K118" s="286" t="str">
        <f ca="1">IFERROR(VLOOKUP($A110&amp;J118,downloads!$A$1:$E$1000,2,FALSE),"")</f>
        <v/>
      </c>
      <c r="L118" s="286" t="str">
        <f t="shared" ca="1" si="28"/>
        <v>Menai</v>
      </c>
      <c r="O118" s="299"/>
      <c r="Q118" s="307">
        <f ca="1">IFERROR(VLOOKUP($A98&amp;D118,competitors,4,FALSE),"")</f>
        <v>1</v>
      </c>
      <c r="R118" s="307" t="str">
        <f ca="1">IFERROR(VLOOKUP($A98&amp;J118,competitors,4,FALSE),"")</f>
        <v/>
      </c>
    </row>
    <row r="119" spans="1:18" ht="15" customHeight="1" x14ac:dyDescent="0.35">
      <c r="A119" s="300">
        <f ca="1">IFERROR(SEARCH("Girls",C110),0)</f>
        <v>0</v>
      </c>
      <c r="C119" s="298">
        <v>7</v>
      </c>
      <c r="D119" s="298">
        <f ca="1">IFERROR(IF(C119&gt;MatchDay!$U$2+MatchDay!$D$6-1,"",VLOOKUP(A110,Timetables!$A:$EB,MatchDay!$U$4+C119-MatchDay!$D$6,FALSE)),"")</f>
        <v>7</v>
      </c>
      <c r="E119" s="286" t="str">
        <f ca="1">IFERROR(VLOOKUP($A110&amp;D119,downloads!$A$1:$E$1000,2,FALSE),"")</f>
        <v>Charlie STRETTON</v>
      </c>
      <c r="F119" s="286" t="str">
        <f t="shared" ca="1" si="29"/>
        <v>Wigan</v>
      </c>
      <c r="G119" s="291"/>
      <c r="H119" s="297"/>
      <c r="I119" s="298">
        <v>7</v>
      </c>
      <c r="J119" s="298">
        <f t="shared" ca="1" si="30"/>
        <v>77</v>
      </c>
      <c r="K119" s="286" t="str">
        <f ca="1">IFERROR(VLOOKUP($A110&amp;J119,downloads!$A$1:$E$1000,2,FALSE),"")</f>
        <v>James DARBY</v>
      </c>
      <c r="L119" s="286" t="str">
        <f t="shared" ca="1" si="28"/>
        <v>Wigan</v>
      </c>
      <c r="O119" s="299"/>
      <c r="Q119" s="307">
        <f ca="1">IFERROR(VLOOKUP($A98&amp;D119,competitors,4,FALSE),"")</f>
        <v>1</v>
      </c>
      <c r="R119" s="307">
        <f ca="1">IFERROR(VLOOKUP($A98&amp;J119,competitors,4,FALSE),"")</f>
        <v>1</v>
      </c>
    </row>
    <row r="120" spans="1:18" ht="15" customHeight="1" x14ac:dyDescent="0.35">
      <c r="A120" s="103">
        <f ca="1">IFERROR(VLOOKUP(A110,records,5,FALSE),"")</f>
        <v>1.4988425925925924E-3</v>
      </c>
      <c r="B120" s="103"/>
      <c r="C120" s="298">
        <v>8</v>
      </c>
      <c r="D120" s="298" t="str">
        <f>IFERROR(IF(C120&gt;MatchDay!$U$2+MatchDay!$D$6-1,"",VLOOKUP(A110,Timetables!$A:$EB,MatchDay!$U$4+C120-MatchDay!$D$6,FALSE)),"")</f>
        <v/>
      </c>
      <c r="E120" s="286" t="str">
        <f ca="1">IFERROR(VLOOKUP($A110&amp;D120,downloads!$A$1:$E$1000,2,FALSE),"")</f>
        <v/>
      </c>
      <c r="F120" s="286" t="str">
        <f t="shared" si="29"/>
        <v/>
      </c>
      <c r="G120" s="291"/>
      <c r="H120" s="297"/>
      <c r="I120" s="298">
        <v>8</v>
      </c>
      <c r="J120" s="298" t="str">
        <f t="shared" si="30"/>
        <v/>
      </c>
      <c r="K120" s="286" t="str">
        <f ca="1">IFERROR(VLOOKUP($A110&amp;J120,downloads!$A$1:$E$1000,2,FALSE),"")</f>
        <v/>
      </c>
      <c r="L120" s="286" t="str">
        <f t="shared" si="28"/>
        <v/>
      </c>
      <c r="O120" s="299"/>
      <c r="Q120" s="307" t="str">
        <f ca="1">IFERROR(VLOOKUP($A98&amp;D120,competitors,4,FALSE),"")</f>
        <v/>
      </c>
      <c r="R120" s="307" t="str">
        <f ca="1">IFERROR(VLOOKUP($A98&amp;J120,competitors,4,FALSE),"")</f>
        <v/>
      </c>
    </row>
    <row r="121" spans="1:18" ht="15" customHeight="1" x14ac:dyDescent="0.35">
      <c r="Q121" s="307"/>
      <c r="R121" s="307"/>
    </row>
    <row r="122" spans="1:18" x14ac:dyDescent="0.35">
      <c r="A122" s="98" t="str">
        <f ca="1">IFERROR(INDIRECT(CONCATENATE("'Timetables'!A"&amp;A126)),"")</f>
        <v>LTD83</v>
      </c>
      <c r="B122" s="304" t="str">
        <f ca="1">IFERROR(TEXT(VLOOKUP(A122,timetables,7-MatchDay!$U$7,FALSE),"hh:mm"),"")</f>
        <v>13:00</v>
      </c>
      <c r="C122" s="292" t="str">
        <f ca="1">IFERROR(VLOOKUP(A122,timetables,2,FALSE)&amp;" "&amp;VLOOKUP(A122,timetables,3,FALSE)&amp;" A","")</f>
        <v>800m U15 Girls A</v>
      </c>
      <c r="D122" s="292"/>
      <c r="F122" s="293"/>
      <c r="G122" s="294"/>
      <c r="L122" s="360"/>
      <c r="M122" s="296"/>
      <c r="N122" s="286"/>
      <c r="Q122" s="307"/>
      <c r="R122" s="307"/>
    </row>
    <row r="123" spans="1:18" x14ac:dyDescent="0.35">
      <c r="A123" s="98"/>
      <c r="B123" s="98"/>
      <c r="C123" s="295" t="str">
        <f ca="1">IFERROR("Rec: "&amp;VLOOKUP(A122,records,4,FALSE),"")</f>
        <v>Rec: 02:07.8 Tilly Simpson, Hallamshire Harriers, 2015</v>
      </c>
      <c r="D123" s="292"/>
      <c r="F123" s="293"/>
      <c r="G123" s="294"/>
      <c r="I123" s="295"/>
      <c r="L123" s="360"/>
      <c r="M123" s="296"/>
      <c r="N123" s="286"/>
      <c r="Q123" s="307"/>
      <c r="R123" s="307"/>
    </row>
    <row r="124" spans="1:18" x14ac:dyDescent="0.35">
      <c r="A124" s="82" t="str">
        <f ca="1">MID(A122,2,3)</f>
        <v>TD8</v>
      </c>
      <c r="B124" s="82"/>
      <c r="C124" s="304" t="s">
        <v>542</v>
      </c>
      <c r="D124" s="304" t="s">
        <v>141</v>
      </c>
      <c r="E124" s="286" t="s">
        <v>174</v>
      </c>
      <c r="F124" s="286" t="s">
        <v>175</v>
      </c>
      <c r="G124" s="291"/>
      <c r="I124" s="304" t="s">
        <v>542</v>
      </c>
      <c r="J124" s="304" t="s">
        <v>141</v>
      </c>
      <c r="K124" s="286" t="s">
        <v>174</v>
      </c>
      <c r="L124" s="286" t="s">
        <v>175</v>
      </c>
      <c r="O124" s="299"/>
      <c r="Q124" s="307"/>
      <c r="R124" s="307"/>
    </row>
    <row r="125" spans="1:18" x14ac:dyDescent="0.35">
      <c r="A125" s="138"/>
      <c r="B125" s="103"/>
      <c r="C125" s="298">
        <v>1</v>
      </c>
      <c r="D125" s="298">
        <f ca="1">IFERROR(IF(C125&gt;MatchDay!$U$2,"",IF(MatchDay!$D$6=2,"",VLOOKUP(A122,Timetables!$A:$EB,MatchDay!$U$4+C125-MatchDay!$D$6,FALSE))),"")</f>
        <v>6</v>
      </c>
      <c r="E125" s="286" t="str">
        <f ca="1">IFERROR(VLOOKUP($A122&amp;D125,downloads!$A$1:$E$1000,2,FALSE),"")</f>
        <v/>
      </c>
      <c r="F125" s="286" t="str">
        <f ca="1">IFERROR(VLOOKUP(D125,teamlookup,5,FALSE),"")</f>
        <v>Stock</v>
      </c>
      <c r="G125" s="291"/>
      <c r="H125" s="297"/>
      <c r="I125" s="298">
        <v>1</v>
      </c>
      <c r="J125" s="298">
        <f ca="1">IFERROR(D125*11,"")</f>
        <v>66</v>
      </c>
      <c r="K125" s="286" t="str">
        <f ca="1">IFERROR(VLOOKUP($A122&amp;J125,downloads!$A$1:$E$1000,2,FALSE),"")</f>
        <v/>
      </c>
      <c r="L125" s="286" t="str">
        <f t="shared" ref="L125:L132" ca="1" si="31">IFERROR(VLOOKUP(J125,teamlookup,5,FALSE),"")</f>
        <v>Stock</v>
      </c>
      <c r="O125" s="299"/>
      <c r="Q125" s="307" t="str">
        <f ca="1">IFERROR(VLOOKUP($A122&amp;D125,competitors,4,FALSE),"")</f>
        <v/>
      </c>
      <c r="R125" s="307" t="str">
        <f ca="1">IFERROR(VLOOKUP($A122&amp;J125,competitors,4,FALSE),"")</f>
        <v/>
      </c>
    </row>
    <row r="126" spans="1:18" x14ac:dyDescent="0.35">
      <c r="A126" s="304">
        <f>A114+1</f>
        <v>13</v>
      </c>
      <c r="C126" s="298">
        <v>2</v>
      </c>
      <c r="D126" s="298">
        <f ca="1">IFERROR(IF(C126&gt;MatchDay!$U$2+MatchDay!$D$6-1,"",VLOOKUP(A122,Timetables!$A:$EB,MatchDay!$U$4+C126-MatchDay!$D$6,FALSE)),"")</f>
        <v>2</v>
      </c>
      <c r="E126" s="286" t="str">
        <f ca="1">IFERROR(VLOOKUP($A122&amp;D126,downloads!$A$1:$E$1000,2,FALSE),"")</f>
        <v>Isla HERRING</v>
      </c>
      <c r="F126" s="286" t="str">
        <f t="shared" ref="F126:F132" ca="1" si="32">IFERROR(VLOOKUP(D126,teamlookup,5,FALSE),"")</f>
        <v>ECHT</v>
      </c>
      <c r="G126" s="291"/>
      <c r="H126" s="297"/>
      <c r="I126" s="298">
        <v>2</v>
      </c>
      <c r="J126" s="298">
        <f t="shared" ref="J126:J132" ca="1" si="33">IFERROR(D126*11,"")</f>
        <v>22</v>
      </c>
      <c r="K126" s="286" t="str">
        <f ca="1">IFERROR(VLOOKUP($A122&amp;J126,downloads!$A$1:$E$1000,2,FALSE),"")</f>
        <v>Anna ROOKE</v>
      </c>
      <c r="L126" s="286" t="str">
        <f t="shared" ca="1" si="31"/>
        <v>ECHT</v>
      </c>
      <c r="O126" s="299"/>
      <c r="Q126" s="307">
        <f ca="1">IFERROR(VLOOKUP($A122&amp;D126,competitors,4,FALSE),"")</f>
        <v>1</v>
      </c>
      <c r="R126" s="307">
        <f ca="1">IFERROR(VLOOKUP($A122&amp;J126,competitors,4,FALSE),"")</f>
        <v>1</v>
      </c>
    </row>
    <row r="127" spans="1:18" x14ac:dyDescent="0.35">
      <c r="A127" s="105">
        <f ca="1">IFERROR(VLOOKUP(A122,standards,3,FALSE)+0.01,"-")</f>
        <v>1.1909722222222223E-2</v>
      </c>
      <c r="B127" s="105"/>
      <c r="C127" s="298">
        <v>3</v>
      </c>
      <c r="D127" s="298">
        <f ca="1">IFERROR(IF(C127&gt;MatchDay!$U$2+MatchDay!$D$6-1,"",VLOOKUP(A122,Timetables!$A:$EB,MatchDay!$U$4+C127-MatchDay!$D$6,FALSE)),"")</f>
        <v>4</v>
      </c>
      <c r="E127" s="286" t="str">
        <f ca="1">IFERROR(VLOOKUP($A122&amp;D127,downloads!$A$1:$E$1000,2,FALSE),"")</f>
        <v>Brooke SAYCE</v>
      </c>
      <c r="F127" s="286" t="str">
        <f t="shared" ca="1" si="32"/>
        <v>Macc</v>
      </c>
      <c r="G127" s="291"/>
      <c r="H127" s="297"/>
      <c r="I127" s="298">
        <v>3</v>
      </c>
      <c r="J127" s="298">
        <f t="shared" ca="1" si="33"/>
        <v>44</v>
      </c>
      <c r="K127" s="286" t="str">
        <f ca="1">IFERROR(VLOOKUP($A122&amp;J127,downloads!$A$1:$E$1000,2,FALSE),"")</f>
        <v/>
      </c>
      <c r="L127" s="286" t="str">
        <f t="shared" ca="1" si="31"/>
        <v>Macc</v>
      </c>
      <c r="O127" s="299"/>
      <c r="Q127" s="307">
        <f ca="1">IFERROR(VLOOKUP($A122&amp;D127,competitors,4,FALSE),"")</f>
        <v>1</v>
      </c>
      <c r="R127" s="307" t="str">
        <f ca="1">IFERROR(VLOOKUP($A122&amp;J127,competitors,4,FALSE),"")</f>
        <v/>
      </c>
    </row>
    <row r="128" spans="1:18" x14ac:dyDescent="0.35">
      <c r="A128" s="105">
        <f ca="1">IFERROR(VLOOKUP(A122,standards,4,FALSE)+0.01,"-")</f>
        <v>1.1851851851851851E-2</v>
      </c>
      <c r="B128" s="105"/>
      <c r="C128" s="298">
        <v>4</v>
      </c>
      <c r="D128" s="298">
        <f ca="1">IFERROR(IF(C128&gt;MatchDay!$U$2+MatchDay!$D$6-1,"",VLOOKUP(A122,Timetables!$A:$EB,MatchDay!$U$4+C128-MatchDay!$D$6,FALSE)),"")</f>
        <v>3</v>
      </c>
      <c r="E128" s="286" t="str">
        <f ca="1">IFERROR(VLOOKUP($A122&amp;D128,downloads!$A$1:$E$1000,2,FALSE),"")</f>
        <v>Gabriella TAYLOR</v>
      </c>
      <c r="F128" s="286" t="str">
        <f t="shared" ca="1" si="32"/>
        <v>Leigh</v>
      </c>
      <c r="G128" s="291"/>
      <c r="H128" s="297"/>
      <c r="I128" s="298">
        <v>4</v>
      </c>
      <c r="J128" s="298">
        <f t="shared" ca="1" si="33"/>
        <v>33</v>
      </c>
      <c r="K128" s="286" t="str">
        <f ca="1">IFERROR(VLOOKUP($A122&amp;J128,downloads!$A$1:$E$1000,2,FALSE),"")</f>
        <v/>
      </c>
      <c r="L128" s="286" t="str">
        <f t="shared" ca="1" si="31"/>
        <v>Leigh</v>
      </c>
      <c r="O128" s="299"/>
      <c r="Q128" s="307">
        <f ca="1">IFERROR(VLOOKUP($A122&amp;D128,competitors,4,FALSE),"")</f>
        <v>1</v>
      </c>
      <c r="R128" s="307" t="str">
        <f ca="1">IFERROR(VLOOKUP($A122&amp;J128,competitors,4,FALSE),"")</f>
        <v/>
      </c>
    </row>
    <row r="129" spans="1:18" x14ac:dyDescent="0.35">
      <c r="A129" s="105">
        <f ca="1">IFERROR(VLOOKUP(A122,standards,5,FALSE)+0.01,"-")</f>
        <v>1.1793981481481482E-2</v>
      </c>
      <c r="B129" s="105"/>
      <c r="C129" s="298">
        <v>5</v>
      </c>
      <c r="D129" s="298">
        <f ca="1">IFERROR(IF(C129&gt;MatchDay!$U$2+MatchDay!$D$6-1,"",VLOOKUP(A122,Timetables!$A:$EB,MatchDay!$U$4+C129-MatchDay!$D$6,FALSE)),"")</f>
        <v>1</v>
      </c>
      <c r="E129" s="286" t="str">
        <f ca="1">IFERROR(VLOOKUP($A122&amp;D129,downloads!$A$1:$E$1000,2,FALSE),"")</f>
        <v>Lucy HARDING</v>
      </c>
      <c r="F129" s="286" t="str">
        <f t="shared" ca="1" si="32"/>
        <v>C&amp;N</v>
      </c>
      <c r="G129" s="291"/>
      <c r="H129" s="297"/>
      <c r="I129" s="298">
        <v>5</v>
      </c>
      <c r="J129" s="298">
        <f t="shared" ca="1" si="33"/>
        <v>11</v>
      </c>
      <c r="K129" s="286" t="str">
        <f ca="1">IFERROR(VLOOKUP($A122&amp;J129,downloads!$A$1:$E$1000,2,FALSE),"")</f>
        <v>Heidi WOODS</v>
      </c>
      <c r="L129" s="286" t="str">
        <f t="shared" ca="1" si="31"/>
        <v>C&amp;N</v>
      </c>
      <c r="O129" s="299"/>
      <c r="Q129" s="307">
        <f ca="1">IFERROR(VLOOKUP($A122&amp;D129,competitors,4,FALSE),"")</f>
        <v>1</v>
      </c>
      <c r="R129" s="307">
        <f ca="1">IFERROR(VLOOKUP($A122&amp;J129,competitors,4,FALSE),"")</f>
        <v>1</v>
      </c>
    </row>
    <row r="130" spans="1:18" x14ac:dyDescent="0.35">
      <c r="A130" s="105">
        <f ca="1">IFERROR(VLOOKUP(A122,standards,6,FALSE)+0.01,"-")</f>
        <v>1.1747685185185186E-2</v>
      </c>
      <c r="B130" s="105"/>
      <c r="C130" s="298">
        <v>6</v>
      </c>
      <c r="D130" s="298">
        <f ca="1">IFERROR(IF(C130&gt;MatchDay!$U$2+MatchDay!$D$6-1,"",VLOOKUP(A122,Timetables!$A:$EB,MatchDay!$U$4+C130-MatchDay!$D$6,FALSE)),"")</f>
        <v>5</v>
      </c>
      <c r="E130" s="286" t="str">
        <f ca="1">IFERROR(VLOOKUP($A122&amp;D130,downloads!$A$1:$E$1000,2,FALSE),"")</f>
        <v/>
      </c>
      <c r="F130" s="286" t="str">
        <f t="shared" ca="1" si="32"/>
        <v>Menai</v>
      </c>
      <c r="G130" s="291"/>
      <c r="H130" s="297"/>
      <c r="I130" s="298">
        <v>6</v>
      </c>
      <c r="J130" s="298">
        <f t="shared" ca="1" si="33"/>
        <v>55</v>
      </c>
      <c r="K130" s="286" t="str">
        <f ca="1">IFERROR(VLOOKUP($A122&amp;J130,downloads!$A$1:$E$1000,2,FALSE),"")</f>
        <v/>
      </c>
      <c r="L130" s="286" t="str">
        <f t="shared" ca="1" si="31"/>
        <v>Menai</v>
      </c>
      <c r="O130" s="299"/>
      <c r="Q130" s="307" t="str">
        <f ca="1">IFERROR(VLOOKUP($A122&amp;D130,competitors,4,FALSE),"")</f>
        <v/>
      </c>
      <c r="R130" s="307" t="str">
        <f ca="1">IFERROR(VLOOKUP($A122&amp;J130,competitors,4,FALSE),"")</f>
        <v/>
      </c>
    </row>
    <row r="131" spans="1:18" x14ac:dyDescent="0.35">
      <c r="A131" s="300">
        <f ca="1">IFERROR(SEARCH("Girls",C122),0)</f>
        <v>10</v>
      </c>
      <c r="C131" s="298">
        <v>7</v>
      </c>
      <c r="D131" s="298">
        <f ca="1">IFERROR(IF(C131&gt;MatchDay!$U$2+MatchDay!$D$6-1,"",VLOOKUP(A122,Timetables!$A:$EB,MatchDay!$U$4+C131-MatchDay!$D$6,FALSE)),"")</f>
        <v>7</v>
      </c>
      <c r="E131" s="286" t="str">
        <f ca="1">IFERROR(VLOOKUP($A122&amp;D131,downloads!$A$1:$E$1000,2,FALSE),"")</f>
        <v>Esme HARRIS</v>
      </c>
      <c r="F131" s="286" t="str">
        <f t="shared" ca="1" si="32"/>
        <v>Wigan</v>
      </c>
      <c r="G131" s="291"/>
      <c r="H131" s="297"/>
      <c r="I131" s="298">
        <v>7</v>
      </c>
      <c r="J131" s="298">
        <f t="shared" ca="1" si="33"/>
        <v>77</v>
      </c>
      <c r="K131" s="286" t="str">
        <f ca="1">IFERROR(VLOOKUP($A122&amp;J131,downloads!$A$1:$E$1000,2,FALSE),"")</f>
        <v>Esme CLARK</v>
      </c>
      <c r="L131" s="286" t="str">
        <f t="shared" ca="1" si="31"/>
        <v>Wigan</v>
      </c>
      <c r="O131" s="299"/>
      <c r="Q131" s="307">
        <f ca="1">IFERROR(VLOOKUP($A122&amp;D131,competitors,4,FALSE),"")</f>
        <v>1</v>
      </c>
      <c r="R131" s="307">
        <f ca="1">IFERROR(VLOOKUP($A122&amp;J131,competitors,4,FALSE),"")</f>
        <v>1</v>
      </c>
    </row>
    <row r="132" spans="1:18" x14ac:dyDescent="0.35">
      <c r="A132" s="103">
        <f ca="1">IFERROR(VLOOKUP(A122,records,5,FALSE),"")</f>
        <v>1.4791666666666666E-3</v>
      </c>
      <c r="B132" s="103"/>
      <c r="C132" s="298">
        <v>8</v>
      </c>
      <c r="D132" s="298" t="str">
        <f>IFERROR(IF(C132&gt;MatchDay!$U$2+MatchDay!$D$6-1,"",VLOOKUP(A122,Timetables!$A:$EB,MatchDay!$U$4+C132-MatchDay!$D$6,FALSE)),"")</f>
        <v/>
      </c>
      <c r="E132" s="286" t="str">
        <f ca="1">IFERROR(VLOOKUP($A122&amp;D132,downloads!$A$1:$E$1000,2,FALSE),"")</f>
        <v/>
      </c>
      <c r="F132" s="286" t="str">
        <f t="shared" si="32"/>
        <v/>
      </c>
      <c r="G132" s="291"/>
      <c r="H132" s="297"/>
      <c r="I132" s="298">
        <v>8</v>
      </c>
      <c r="J132" s="298" t="str">
        <f t="shared" si="33"/>
        <v/>
      </c>
      <c r="K132" s="286" t="str">
        <f ca="1">IFERROR(VLOOKUP($A122&amp;J132,downloads!$A$1:$E$1000,2,FALSE),"")</f>
        <v/>
      </c>
      <c r="L132" s="286" t="str">
        <f t="shared" si="31"/>
        <v/>
      </c>
      <c r="O132" s="299"/>
      <c r="Q132" s="307" t="str">
        <f ca="1">IFERROR(VLOOKUP($A122&amp;D132,competitors,4,FALSE),"")</f>
        <v/>
      </c>
      <c r="R132" s="307" t="str">
        <f ca="1">IFERROR(VLOOKUP($A122&amp;J132,competitors,4,FALSE),"")</f>
        <v/>
      </c>
    </row>
    <row r="133" spans="1:18" x14ac:dyDescent="0.35">
      <c r="Q133" s="307"/>
      <c r="R133" s="307"/>
    </row>
    <row r="134" spans="1:18" x14ac:dyDescent="0.35">
      <c r="A134" s="98" t="str">
        <f ca="1">IFERROR(INDIRECT(CONCATENATE("'Timetables'!A"&amp;A138)),"")</f>
        <v>LTD84</v>
      </c>
      <c r="B134" s="304" t="str">
        <f ca="1">IFERROR(TEXT(VLOOKUP(A134,timetables,7-MatchDay!$U$7,FALSE),"hh:mm"),"")</f>
        <v>13:10</v>
      </c>
      <c r="C134" s="292" t="str">
        <f ca="1">IFERROR(VLOOKUP(A134,timetables,2,FALSE)&amp;" "&amp;VLOOKUP(A134,timetables,3,FALSE)&amp;" A","")</f>
        <v>800m U15 Boys A</v>
      </c>
      <c r="D134" s="292"/>
      <c r="F134" s="293"/>
      <c r="G134" s="294"/>
      <c r="L134" s="360"/>
      <c r="M134" s="296"/>
      <c r="N134" s="286"/>
      <c r="Q134" s="307"/>
      <c r="R134" s="307"/>
    </row>
    <row r="135" spans="1:18" x14ac:dyDescent="0.35">
      <c r="A135" s="98"/>
      <c r="B135" s="98"/>
      <c r="C135" s="295" t="str">
        <f ca="1">IFERROR("Rec: "&amp;VLOOKUP(A134,records,4,FALSE),"")</f>
        <v>Rec: 01:59.7 Keelan Wilson, Rotherham Harriers, 2014</v>
      </c>
      <c r="D135" s="292"/>
      <c r="F135" s="293"/>
      <c r="G135" s="294"/>
      <c r="I135" s="295"/>
      <c r="L135" s="360"/>
      <c r="M135" s="296"/>
      <c r="N135" s="286"/>
      <c r="Q135" s="307"/>
      <c r="R135" s="307"/>
    </row>
    <row r="136" spans="1:18" x14ac:dyDescent="0.35">
      <c r="A136" s="82" t="str">
        <f ca="1">MID(A134,2,3)</f>
        <v>TD8</v>
      </c>
      <c r="B136" s="82"/>
      <c r="C136" s="304" t="s">
        <v>542</v>
      </c>
      <c r="D136" s="304" t="s">
        <v>141</v>
      </c>
      <c r="E136" s="286" t="s">
        <v>174</v>
      </c>
      <c r="F136" s="286" t="s">
        <v>175</v>
      </c>
      <c r="G136" s="291"/>
      <c r="I136" s="304" t="s">
        <v>542</v>
      </c>
      <c r="J136" s="304" t="s">
        <v>141</v>
      </c>
      <c r="K136" s="286" t="s">
        <v>174</v>
      </c>
      <c r="L136" s="286" t="s">
        <v>175</v>
      </c>
      <c r="O136" s="299"/>
      <c r="Q136" s="307"/>
      <c r="R136" s="307"/>
    </row>
    <row r="137" spans="1:18" x14ac:dyDescent="0.35">
      <c r="A137" s="138"/>
      <c r="B137" s="103"/>
      <c r="C137" s="298">
        <v>1</v>
      </c>
      <c r="D137" s="298">
        <f ca="1">IFERROR(IF(C137&gt;MatchDay!$U$2,"",IF(MatchDay!$D$6=2,"",VLOOKUP(A134,Timetables!$A:$EB,MatchDay!$U$4+C137-MatchDay!$D$6,FALSE))),"")</f>
        <v>6</v>
      </c>
      <c r="E137" s="286" t="str">
        <f ca="1">IFERROR(VLOOKUP($A134&amp;D137,downloads!$A$1:$E$1000,2,FALSE),"")</f>
        <v>Arthur WOLSTENHOLME</v>
      </c>
      <c r="F137" s="286" t="str">
        <f ca="1">IFERROR(VLOOKUP(D137,teamlookup,5,FALSE),"")</f>
        <v>Stock</v>
      </c>
      <c r="G137" s="291"/>
      <c r="H137" s="297"/>
      <c r="I137" s="298">
        <v>1</v>
      </c>
      <c r="J137" s="298">
        <f ca="1">IFERROR(D137*11,"")</f>
        <v>66</v>
      </c>
      <c r="K137" s="286" t="str">
        <f ca="1">IFERROR(VLOOKUP($A134&amp;J137,downloads!$A$1:$E$1000,2,FALSE),"")</f>
        <v/>
      </c>
      <c r="L137" s="286" t="str">
        <f t="shared" ref="L137:L144" ca="1" si="34">IFERROR(VLOOKUP(J137,teamlookup,5,FALSE),"")</f>
        <v>Stock</v>
      </c>
      <c r="O137" s="299"/>
      <c r="Q137" s="307">
        <f ca="1">IFERROR(VLOOKUP($A134&amp;D137,competitors,4,FALSE),"")</f>
        <v>1</v>
      </c>
      <c r="R137" s="307" t="str">
        <f ca="1">IFERROR(VLOOKUP($A134&amp;J137,competitors,4,FALSE),"")</f>
        <v/>
      </c>
    </row>
    <row r="138" spans="1:18" x14ac:dyDescent="0.35">
      <c r="A138" s="304">
        <f>A126+1</f>
        <v>14</v>
      </c>
      <c r="C138" s="298">
        <v>2</v>
      </c>
      <c r="D138" s="298">
        <f ca="1">IFERROR(IF(C138&gt;MatchDay!$U$2+MatchDay!$D$6-1,"",VLOOKUP(A134,Timetables!$A:$EB,MatchDay!$U$4+C138-MatchDay!$D$6,FALSE)),"")</f>
        <v>2</v>
      </c>
      <c r="E138" s="286" t="str">
        <f ca="1">IFERROR(VLOOKUP($A134&amp;D138,downloads!$A$1:$E$1000,2,FALSE),"")</f>
        <v>Alfie MANSER</v>
      </c>
      <c r="F138" s="286" t="str">
        <f t="shared" ref="F138:F144" ca="1" si="35">IFERROR(VLOOKUP(D138,teamlookup,5,FALSE),"")</f>
        <v>ECHT</v>
      </c>
      <c r="G138" s="291"/>
      <c r="H138" s="297"/>
      <c r="I138" s="298">
        <v>2</v>
      </c>
      <c r="J138" s="298">
        <f t="shared" ref="J138:J144" ca="1" si="36">IFERROR(D138*11,"")</f>
        <v>22</v>
      </c>
      <c r="K138" s="286" t="str">
        <f ca="1">IFERROR(VLOOKUP($A134&amp;J138,downloads!$A$1:$E$1000,2,FALSE),"")</f>
        <v>Sebastian STEWART</v>
      </c>
      <c r="L138" s="286" t="str">
        <f t="shared" ca="1" si="34"/>
        <v>ECHT</v>
      </c>
      <c r="O138" s="299"/>
      <c r="Q138" s="307">
        <f ca="1">IFERROR(VLOOKUP($A134&amp;D138,competitors,4,FALSE),"")</f>
        <v>1</v>
      </c>
      <c r="R138" s="307">
        <f ca="1">IFERROR(VLOOKUP($A134&amp;J138,competitors,4,FALSE),"")</f>
        <v>1</v>
      </c>
    </row>
    <row r="139" spans="1:18" x14ac:dyDescent="0.35">
      <c r="A139" s="105">
        <f ca="1">IFERROR(VLOOKUP(A134,standards,3,FALSE)+0.01,"-")</f>
        <v>1.173611111111111E-2</v>
      </c>
      <c r="B139" s="105"/>
      <c r="C139" s="298">
        <v>3</v>
      </c>
      <c r="D139" s="298">
        <f ca="1">IFERROR(IF(C139&gt;MatchDay!$U$2+MatchDay!$D$6-1,"",VLOOKUP(A134,Timetables!$A:$EB,MatchDay!$U$4+C139-MatchDay!$D$6,FALSE)),"")</f>
        <v>4</v>
      </c>
      <c r="E139" s="286" t="str">
        <f ca="1">IFERROR(VLOOKUP($A134&amp;D139,downloads!$A$1:$E$1000,2,FALSE),"")</f>
        <v>Thomas WOOD</v>
      </c>
      <c r="F139" s="286" t="str">
        <f t="shared" ca="1" si="35"/>
        <v>Macc</v>
      </c>
      <c r="G139" s="291"/>
      <c r="H139" s="297"/>
      <c r="I139" s="298">
        <v>3</v>
      </c>
      <c r="J139" s="298">
        <f t="shared" ca="1" si="36"/>
        <v>44</v>
      </c>
      <c r="K139" s="286" t="str">
        <f ca="1">IFERROR(VLOOKUP($A134&amp;J139,downloads!$A$1:$E$1000,2,FALSE),"")</f>
        <v>Douglas POINTON</v>
      </c>
      <c r="L139" s="286" t="str">
        <f t="shared" ca="1" si="34"/>
        <v>Macc</v>
      </c>
      <c r="O139" s="299"/>
      <c r="Q139" s="307">
        <f ca="1">IFERROR(VLOOKUP($A134&amp;D139,competitors,4,FALSE),"")</f>
        <v>1</v>
      </c>
      <c r="R139" s="307">
        <f ca="1">IFERROR(VLOOKUP($A134&amp;J139,competitors,4,FALSE),"")</f>
        <v>1</v>
      </c>
    </row>
    <row r="140" spans="1:18" x14ac:dyDescent="0.35">
      <c r="A140" s="105">
        <f ca="1">IFERROR(VLOOKUP(A134,standards,4,FALSE)+0.01,"-")</f>
        <v>1.1678240740740741E-2</v>
      </c>
      <c r="B140" s="105"/>
      <c r="C140" s="298">
        <v>4</v>
      </c>
      <c r="D140" s="298">
        <f ca="1">IFERROR(IF(C140&gt;MatchDay!$U$2+MatchDay!$D$6-1,"",VLOOKUP(A134,Timetables!$A:$EB,MatchDay!$U$4+C140-MatchDay!$D$6,FALSE)),"")</f>
        <v>3</v>
      </c>
      <c r="E140" s="286" t="str">
        <f ca="1">IFERROR(VLOOKUP($A134&amp;D140,downloads!$A$1:$E$1000,2,FALSE),"")</f>
        <v>Thomas AMARAL</v>
      </c>
      <c r="F140" s="286" t="str">
        <f t="shared" ca="1" si="35"/>
        <v>Leigh</v>
      </c>
      <c r="G140" s="291"/>
      <c r="H140" s="297"/>
      <c r="I140" s="298">
        <v>4</v>
      </c>
      <c r="J140" s="298">
        <f t="shared" ca="1" si="36"/>
        <v>33</v>
      </c>
      <c r="K140" s="286" t="str">
        <f ca="1">IFERROR(VLOOKUP($A134&amp;J140,downloads!$A$1:$E$1000,2,FALSE),"")</f>
        <v>Archer GILDART</v>
      </c>
      <c r="L140" s="286" t="str">
        <f t="shared" ca="1" si="34"/>
        <v>Leigh</v>
      </c>
      <c r="O140" s="299"/>
      <c r="Q140" s="307">
        <f ca="1">IFERROR(VLOOKUP($A134&amp;D140,competitors,4,FALSE),"")</f>
        <v>1</v>
      </c>
      <c r="R140" s="307">
        <f ca="1">IFERROR(VLOOKUP($A134&amp;J140,competitors,4,FALSE),"")</f>
        <v>0</v>
      </c>
    </row>
    <row r="141" spans="1:18" x14ac:dyDescent="0.35">
      <c r="A141" s="105">
        <f ca="1">IFERROR(VLOOKUP(A134,standards,5,FALSE)+0.01,"-")</f>
        <v>1.1631944444444445E-2</v>
      </c>
      <c r="B141" s="105"/>
      <c r="C141" s="298">
        <v>5</v>
      </c>
      <c r="D141" s="298">
        <f ca="1">IFERROR(IF(C141&gt;MatchDay!$U$2+MatchDay!$D$6-1,"",VLOOKUP(A134,Timetables!$A:$EB,MatchDay!$U$4+C141-MatchDay!$D$6,FALSE)),"")</f>
        <v>1</v>
      </c>
      <c r="E141" s="286" t="str">
        <f ca="1">IFERROR(VLOOKUP($A134&amp;D141,downloads!$A$1:$E$1000,2,FALSE),"")</f>
        <v>Jack TILLEY</v>
      </c>
      <c r="F141" s="286" t="str">
        <f t="shared" ca="1" si="35"/>
        <v>C&amp;N</v>
      </c>
      <c r="G141" s="291"/>
      <c r="H141" s="297"/>
      <c r="I141" s="298">
        <v>5</v>
      </c>
      <c r="J141" s="298">
        <f t="shared" ca="1" si="36"/>
        <v>11</v>
      </c>
      <c r="K141" s="286" t="str">
        <f ca="1">IFERROR(VLOOKUP($A134&amp;J141,downloads!$A$1:$E$1000,2,FALSE),"")</f>
        <v>Sam FIRMAN</v>
      </c>
      <c r="L141" s="286" t="str">
        <f t="shared" ca="1" si="34"/>
        <v>C&amp;N</v>
      </c>
      <c r="O141" s="299"/>
      <c r="Q141" s="307">
        <f ca="1">IFERROR(VLOOKUP($A134&amp;D141,competitors,4,FALSE),"")</f>
        <v>1</v>
      </c>
      <c r="R141" s="307">
        <f ca="1">IFERROR(VLOOKUP($A134&amp;J141,competitors,4,FALSE),"")</f>
        <v>1</v>
      </c>
    </row>
    <row r="142" spans="1:18" x14ac:dyDescent="0.35">
      <c r="A142" s="105">
        <f ca="1">IFERROR(VLOOKUP(A134,standards,6,FALSE)+0.01,"-")</f>
        <v>1.1597222222222222E-2</v>
      </c>
      <c r="B142" s="105"/>
      <c r="C142" s="298">
        <v>6</v>
      </c>
      <c r="D142" s="298">
        <f ca="1">IFERROR(IF(C142&gt;MatchDay!$U$2+MatchDay!$D$6-1,"",VLOOKUP(A134,Timetables!$A:$EB,MatchDay!$U$4+C142-MatchDay!$D$6,FALSE)),"")</f>
        <v>5</v>
      </c>
      <c r="E142" s="286" t="str">
        <f ca="1">IFERROR(VLOOKUP($A134&amp;D142,downloads!$A$1:$E$1000,2,FALSE),"")</f>
        <v>Owain WILLIAMS</v>
      </c>
      <c r="F142" s="286" t="str">
        <f t="shared" ca="1" si="35"/>
        <v>Menai</v>
      </c>
      <c r="G142" s="291"/>
      <c r="H142" s="297"/>
      <c r="I142" s="298">
        <v>6</v>
      </c>
      <c r="J142" s="298">
        <f t="shared" ca="1" si="36"/>
        <v>55</v>
      </c>
      <c r="K142" s="286" t="str">
        <f ca="1">IFERROR(VLOOKUP($A134&amp;J142,downloads!$A$1:$E$1000,2,FALSE),"")</f>
        <v/>
      </c>
      <c r="L142" s="286" t="str">
        <f t="shared" ca="1" si="34"/>
        <v>Menai</v>
      </c>
      <c r="O142" s="299"/>
      <c r="Q142" s="307">
        <f ca="1">IFERROR(VLOOKUP($A134&amp;D142,competitors,4,FALSE),"")</f>
        <v>1</v>
      </c>
      <c r="R142" s="307" t="str">
        <f ca="1">IFERROR(VLOOKUP($A134&amp;J142,competitors,4,FALSE),"")</f>
        <v/>
      </c>
    </row>
    <row r="143" spans="1:18" x14ac:dyDescent="0.35">
      <c r="A143" s="300">
        <f ca="1">IFERROR(SEARCH("Girls",C134),0)</f>
        <v>0</v>
      </c>
      <c r="C143" s="298">
        <v>7</v>
      </c>
      <c r="D143" s="298">
        <f ca="1">IFERROR(IF(C143&gt;MatchDay!$U$2+MatchDay!$D$6-1,"",VLOOKUP(A134,Timetables!$A:$EB,MatchDay!$U$4+C143-MatchDay!$D$6,FALSE)),"")</f>
        <v>7</v>
      </c>
      <c r="E143" s="286" t="str">
        <f ca="1">IFERROR(VLOOKUP($A134&amp;D143,downloads!$A$1:$E$1000,2,FALSE),"")</f>
        <v/>
      </c>
      <c r="F143" s="286" t="str">
        <f t="shared" ca="1" si="35"/>
        <v>Wigan</v>
      </c>
      <c r="G143" s="291"/>
      <c r="H143" s="297"/>
      <c r="I143" s="298">
        <v>7</v>
      </c>
      <c r="J143" s="298">
        <f t="shared" ca="1" si="36"/>
        <v>77</v>
      </c>
      <c r="K143" s="286" t="str">
        <f ca="1">IFERROR(VLOOKUP($A134&amp;J143,downloads!$A$1:$E$1000,2,FALSE),"")</f>
        <v/>
      </c>
      <c r="L143" s="286" t="str">
        <f t="shared" ca="1" si="34"/>
        <v>Wigan</v>
      </c>
      <c r="O143" s="299"/>
      <c r="Q143" s="307" t="str">
        <f ca="1">IFERROR(VLOOKUP($A134&amp;D143,competitors,4,FALSE),"")</f>
        <v/>
      </c>
      <c r="R143" s="307" t="str">
        <f ca="1">IFERROR(VLOOKUP($A134&amp;J143,competitors,4,FALSE),"")</f>
        <v/>
      </c>
    </row>
    <row r="144" spans="1:18" x14ac:dyDescent="0.35">
      <c r="A144" s="103">
        <f ca="1">IFERROR(VLOOKUP(A134,records,5,FALSE),"")</f>
        <v>1.3854166666666667E-3</v>
      </c>
      <c r="B144" s="103"/>
      <c r="C144" s="298">
        <v>8</v>
      </c>
      <c r="D144" s="298" t="str">
        <f>IFERROR(IF(C144&gt;MatchDay!$U$2+MatchDay!$D$6-1,"",VLOOKUP(A134,Timetables!$A:$EB,MatchDay!$U$4+C144-MatchDay!$D$6,FALSE)),"")</f>
        <v/>
      </c>
      <c r="E144" s="286" t="str">
        <f ca="1">IFERROR(VLOOKUP($A134&amp;D144,downloads!$A$1:$E$1000,2,FALSE),"")</f>
        <v/>
      </c>
      <c r="F144" s="286" t="str">
        <f t="shared" si="35"/>
        <v/>
      </c>
      <c r="G144" s="291"/>
      <c r="H144" s="297"/>
      <c r="I144" s="298">
        <v>8</v>
      </c>
      <c r="J144" s="298" t="str">
        <f t="shared" si="36"/>
        <v/>
      </c>
      <c r="K144" s="286" t="str">
        <f ca="1">IFERROR(VLOOKUP($A134&amp;J144,downloads!$A$1:$E$1000,2,FALSE),"")</f>
        <v/>
      </c>
      <c r="L144" s="286" t="str">
        <f t="shared" si="34"/>
        <v/>
      </c>
      <c r="O144" s="299"/>
      <c r="Q144" s="307" t="str">
        <f ca="1">IFERROR(VLOOKUP($A134&amp;D144,competitors,4,FALSE),"")</f>
        <v/>
      </c>
      <c r="R144" s="307" t="str">
        <f ca="1">IFERROR(VLOOKUP($A134&amp;J144,competitors,4,FALSE),"")</f>
        <v/>
      </c>
    </row>
    <row r="145" spans="1:18" x14ac:dyDescent="0.35">
      <c r="Q145" s="307"/>
      <c r="R145" s="307"/>
    </row>
    <row r="146" spans="1:18" ht="15" customHeight="1" x14ac:dyDescent="0.35">
      <c r="A146" s="98" t="str">
        <f ca="1">IFERROR(INDIRECT(CONCATENATE("'Timetables'!A"&amp;A150)),"")</f>
        <v>LTD85</v>
      </c>
      <c r="B146" s="304" t="str">
        <f ca="1">IFERROR(TEXT(VLOOKUP(A146,timetables,7-MatchDay!$U$7,FALSE),"hh:mm"),"")</f>
        <v>13:15</v>
      </c>
      <c r="C146" s="292" t="str">
        <f ca="1">IFERROR(VLOOKUP(A146,timetables,2,FALSE)&amp;" "&amp;VLOOKUP(A146,timetables,3,FALSE)&amp;" A","")</f>
        <v>800m NS U13 Girls A</v>
      </c>
      <c r="D146" s="292"/>
      <c r="F146" s="293"/>
      <c r="G146" s="294"/>
      <c r="L146" s="360"/>
      <c r="M146" s="296"/>
      <c r="N146" s="286"/>
      <c r="Q146" s="307"/>
      <c r="R146" s="307"/>
    </row>
    <row r="147" spans="1:18" ht="15" customHeight="1" x14ac:dyDescent="0.35">
      <c r="A147" s="98"/>
      <c r="B147" s="98"/>
      <c r="C147" s="295" t="str">
        <f ca="1">IFERROR("Rec: "&amp;VLOOKUP(A146,records,4,FALSE),"")</f>
        <v>Rec: 02:19.6 Francesca Baxter, Chiltern Harriers AC, 2019</v>
      </c>
      <c r="D147" s="292"/>
      <c r="F147" s="293"/>
      <c r="G147" s="294"/>
      <c r="I147" s="295"/>
      <c r="L147" s="360"/>
      <c r="M147" s="296"/>
      <c r="N147" s="286"/>
      <c r="Q147" s="307"/>
      <c r="R147" s="307"/>
    </row>
    <row r="148" spans="1:18" ht="15" customHeight="1" x14ac:dyDescent="0.35">
      <c r="A148" s="82" t="str">
        <f ca="1">MID(A146,2,3)</f>
        <v>TD8</v>
      </c>
      <c r="B148" s="82"/>
      <c r="C148" s="304" t="s">
        <v>542</v>
      </c>
      <c r="D148" s="304" t="s">
        <v>141</v>
      </c>
      <c r="E148" s="286" t="s">
        <v>174</v>
      </c>
      <c r="F148" s="286" t="s">
        <v>175</v>
      </c>
      <c r="G148" s="291"/>
      <c r="I148" s="304" t="s">
        <v>542</v>
      </c>
      <c r="J148" s="304" t="s">
        <v>141</v>
      </c>
      <c r="K148" s="286" t="s">
        <v>174</v>
      </c>
      <c r="L148" s="286" t="s">
        <v>175</v>
      </c>
      <c r="O148" s="299"/>
      <c r="Q148" s="307"/>
      <c r="R148" s="307"/>
    </row>
    <row r="149" spans="1:18" ht="15" customHeight="1" x14ac:dyDescent="0.35">
      <c r="A149" s="138"/>
      <c r="B149" s="103"/>
      <c r="C149" s="298">
        <v>1</v>
      </c>
      <c r="D149" s="298">
        <f ca="1">IFERROR(IF(C149&gt;MatchDay!$U$2,"",IF(MatchDay!$D$6=2,"",VLOOKUP(A146,Timetables!$A:$EB,MatchDay!$U$4+C149-MatchDay!$D$6,FALSE))),"")</f>
        <v>6</v>
      </c>
      <c r="E149" s="286" t="str">
        <f ca="1">IFERROR(VLOOKUP($A146&amp;D149,downloads!$A$1:$E$1000,2,FALSE),"")</f>
        <v/>
      </c>
      <c r="F149" s="286" t="str">
        <f ca="1">IFERROR(VLOOKUP(D149,teamlookup,5,FALSE),"")</f>
        <v>Stock</v>
      </c>
      <c r="G149" s="291"/>
      <c r="H149" s="297"/>
      <c r="I149" s="298">
        <v>1</v>
      </c>
      <c r="J149" s="298">
        <f ca="1">IFERROR(D149*11,"")</f>
        <v>66</v>
      </c>
      <c r="K149" s="286" t="str">
        <f ca="1">IFERROR(VLOOKUP($A146&amp;J149,downloads!$A$1:$E$1000,2,FALSE),"")</f>
        <v/>
      </c>
      <c r="L149" s="286" t="str">
        <f t="shared" ref="L149:L156" ca="1" si="37">IFERROR(VLOOKUP(J149,teamlookup,5,FALSE),"")</f>
        <v>Stock</v>
      </c>
      <c r="O149" s="299"/>
      <c r="Q149" s="307" t="str">
        <f ca="1">IFERROR(VLOOKUP($A146&amp;D149,competitors,4,FALSE),"")</f>
        <v/>
      </c>
      <c r="R149" s="307" t="str">
        <f ca="1">IFERROR(VLOOKUP($A146&amp;J149,competitors,4,FALSE),"")</f>
        <v/>
      </c>
    </row>
    <row r="150" spans="1:18" ht="15" customHeight="1" x14ac:dyDescent="0.35">
      <c r="A150" s="304">
        <f>A138+1</f>
        <v>15</v>
      </c>
      <c r="C150" s="298">
        <v>2</v>
      </c>
      <c r="D150" s="298">
        <f ca="1">IFERROR(IF(C150&gt;MatchDay!$U$2+MatchDay!$D$6-1,"",VLOOKUP(A146,Timetables!$A:$EB,MatchDay!$U$4+C150-MatchDay!$D$6,FALSE)),"")</f>
        <v>2</v>
      </c>
      <c r="E150" s="286" t="str">
        <f ca="1">IFERROR(VLOOKUP($A146&amp;D150,downloads!$A$1:$E$1000,2,FALSE),"")</f>
        <v/>
      </c>
      <c r="F150" s="286" t="str">
        <f t="shared" ref="F150:F156" ca="1" si="38">IFERROR(VLOOKUP(D150,teamlookup,5,FALSE),"")</f>
        <v>ECHT</v>
      </c>
      <c r="G150" s="291"/>
      <c r="H150" s="297"/>
      <c r="I150" s="298">
        <v>2</v>
      </c>
      <c r="J150" s="298">
        <f t="shared" ref="J150:J156" ca="1" si="39">IFERROR(D150*11,"")</f>
        <v>22</v>
      </c>
      <c r="K150" s="286" t="str">
        <f ca="1">IFERROR(VLOOKUP($A146&amp;J150,downloads!$A$1:$E$1000,2,FALSE),"")</f>
        <v/>
      </c>
      <c r="L150" s="286" t="str">
        <f t="shared" ca="1" si="37"/>
        <v>ECHT</v>
      </c>
      <c r="O150" s="299"/>
      <c r="Q150" s="307" t="str">
        <f ca="1">IFERROR(VLOOKUP($A146&amp;D150,competitors,4,FALSE),"")</f>
        <v/>
      </c>
      <c r="R150" s="307" t="str">
        <f ca="1">IFERROR(VLOOKUP($A146&amp;J150,competitors,4,FALSE),"")</f>
        <v/>
      </c>
    </row>
    <row r="151" spans="1:18" ht="15" customHeight="1" x14ac:dyDescent="0.35">
      <c r="A151" s="105">
        <f ca="1">IFERROR(VLOOKUP(A146,standards,3,FALSE)+0.01,"-")</f>
        <v>1.2199074074074074E-2</v>
      </c>
      <c r="B151" s="105"/>
      <c r="C151" s="298">
        <v>3</v>
      </c>
      <c r="D151" s="298">
        <f ca="1">IFERROR(IF(C151&gt;MatchDay!$U$2+MatchDay!$D$6-1,"",VLOOKUP(A146,Timetables!$A:$EB,MatchDay!$U$4+C151-MatchDay!$D$6,FALSE)),"")</f>
        <v>4</v>
      </c>
      <c r="E151" s="286" t="str">
        <f ca="1">IFERROR(VLOOKUP($A146&amp;D151,downloads!$A$1:$E$1000,2,FALSE),"")</f>
        <v/>
      </c>
      <c r="F151" s="286" t="str">
        <f t="shared" ca="1" si="38"/>
        <v>Macc</v>
      </c>
      <c r="G151" s="291"/>
      <c r="H151" s="297"/>
      <c r="I151" s="298">
        <v>3</v>
      </c>
      <c r="J151" s="298">
        <f t="shared" ca="1" si="39"/>
        <v>44</v>
      </c>
      <c r="K151" s="286" t="str">
        <f ca="1">IFERROR(VLOOKUP($A146&amp;J151,downloads!$A$1:$E$1000,2,FALSE),"")</f>
        <v/>
      </c>
      <c r="L151" s="286" t="str">
        <f t="shared" ca="1" si="37"/>
        <v>Macc</v>
      </c>
      <c r="O151" s="299"/>
      <c r="Q151" s="307" t="str">
        <f ca="1">IFERROR(VLOOKUP($A146&amp;D151,competitors,4,FALSE),"")</f>
        <v/>
      </c>
      <c r="R151" s="307" t="str">
        <f ca="1">IFERROR(VLOOKUP($A146&amp;J151,competitors,4,FALSE),"")</f>
        <v/>
      </c>
    </row>
    <row r="152" spans="1:18" ht="15" customHeight="1" x14ac:dyDescent="0.35">
      <c r="A152" s="105">
        <f ca="1">IFERROR(VLOOKUP(A146,standards,4,FALSE)+0.01,"-")</f>
        <v>1.2083333333333333E-2</v>
      </c>
      <c r="B152" s="105"/>
      <c r="C152" s="298">
        <v>4</v>
      </c>
      <c r="D152" s="298">
        <f ca="1">IFERROR(IF(C152&gt;MatchDay!$U$2+MatchDay!$D$6-1,"",VLOOKUP(A146,Timetables!$A:$EB,MatchDay!$U$4+C152-MatchDay!$D$6,FALSE)),"")</f>
        <v>3</v>
      </c>
      <c r="E152" s="286" t="str">
        <f ca="1">IFERROR(VLOOKUP($A146&amp;D152,downloads!$A$1:$E$1000,2,FALSE),"")</f>
        <v/>
      </c>
      <c r="F152" s="286" t="str">
        <f t="shared" ca="1" si="38"/>
        <v>Leigh</v>
      </c>
      <c r="G152" s="291"/>
      <c r="H152" s="297"/>
      <c r="I152" s="298">
        <v>4</v>
      </c>
      <c r="J152" s="298">
        <f t="shared" ca="1" si="39"/>
        <v>33</v>
      </c>
      <c r="K152" s="286" t="str">
        <f ca="1">IFERROR(VLOOKUP($A146&amp;J152,downloads!$A$1:$E$1000,2,FALSE),"")</f>
        <v/>
      </c>
      <c r="L152" s="286" t="str">
        <f t="shared" ca="1" si="37"/>
        <v>Leigh</v>
      </c>
      <c r="O152" s="299"/>
      <c r="Q152" s="307" t="str">
        <f ca="1">IFERROR(VLOOKUP($A146&amp;D152,competitors,4,FALSE),"")</f>
        <v/>
      </c>
      <c r="R152" s="307" t="str">
        <f ca="1">IFERROR(VLOOKUP($A146&amp;J152,competitors,4,FALSE),"")</f>
        <v/>
      </c>
    </row>
    <row r="153" spans="1:18" ht="15" customHeight="1" x14ac:dyDescent="0.35">
      <c r="A153" s="105">
        <f ca="1">IFERROR(VLOOKUP(A146,standards,5,FALSE)+0.01,"-")</f>
        <v>1.2025462962962963E-2</v>
      </c>
      <c r="B153" s="105"/>
      <c r="C153" s="298">
        <v>5</v>
      </c>
      <c r="D153" s="298">
        <f ca="1">IFERROR(IF(C153&gt;MatchDay!$U$2+MatchDay!$D$6-1,"",VLOOKUP(A146,Timetables!$A:$EB,MatchDay!$U$4+C153-MatchDay!$D$6,FALSE)),"")</f>
        <v>1</v>
      </c>
      <c r="E153" s="286" t="str">
        <f ca="1">IFERROR(VLOOKUP($A146&amp;D153,downloads!$A$1:$E$1000,2,FALSE),"")</f>
        <v/>
      </c>
      <c r="F153" s="286" t="str">
        <f t="shared" ca="1" si="38"/>
        <v>C&amp;N</v>
      </c>
      <c r="G153" s="291"/>
      <c r="H153" s="297"/>
      <c r="I153" s="298">
        <v>5</v>
      </c>
      <c r="J153" s="298">
        <f t="shared" ca="1" si="39"/>
        <v>11</v>
      </c>
      <c r="K153" s="286" t="str">
        <f ca="1">IFERROR(VLOOKUP($A146&amp;J153,downloads!$A$1:$E$1000,2,FALSE),"")</f>
        <v/>
      </c>
      <c r="L153" s="286" t="str">
        <f t="shared" ca="1" si="37"/>
        <v>C&amp;N</v>
      </c>
      <c r="O153" s="299"/>
      <c r="Q153" s="307" t="str">
        <f ca="1">IFERROR(VLOOKUP($A146&amp;D153,competitors,4,FALSE),"")</f>
        <v/>
      </c>
      <c r="R153" s="307" t="str">
        <f ca="1">IFERROR(VLOOKUP($A146&amp;J153,competitors,4,FALSE),"")</f>
        <v/>
      </c>
    </row>
    <row r="154" spans="1:18" ht="15" customHeight="1" x14ac:dyDescent="0.35">
      <c r="A154" s="105">
        <f ca="1">IFERROR(VLOOKUP(A146,standards,6,FALSE)+0.01,"-")</f>
        <v>1.1967592592592592E-2</v>
      </c>
      <c r="B154" s="105"/>
      <c r="C154" s="298">
        <v>6</v>
      </c>
      <c r="D154" s="298">
        <f ca="1">IFERROR(IF(C154&gt;MatchDay!$U$2+MatchDay!$D$6-1,"",VLOOKUP(A146,Timetables!$A:$EB,MatchDay!$U$4+C154-MatchDay!$D$6,FALSE)),"")</f>
        <v>5</v>
      </c>
      <c r="E154" s="286" t="str">
        <f ca="1">IFERROR(VLOOKUP($A146&amp;D154,downloads!$A$1:$E$1000,2,FALSE),"")</f>
        <v/>
      </c>
      <c r="F154" s="286" t="str">
        <f t="shared" ca="1" si="38"/>
        <v>Menai</v>
      </c>
      <c r="G154" s="291"/>
      <c r="H154" s="297"/>
      <c r="I154" s="298">
        <v>6</v>
      </c>
      <c r="J154" s="298">
        <f t="shared" ca="1" si="39"/>
        <v>55</v>
      </c>
      <c r="K154" s="286" t="str">
        <f ca="1">IFERROR(VLOOKUP($A146&amp;J154,downloads!$A$1:$E$1000,2,FALSE),"")</f>
        <v/>
      </c>
      <c r="L154" s="286" t="str">
        <f t="shared" ca="1" si="37"/>
        <v>Menai</v>
      </c>
      <c r="O154" s="299"/>
      <c r="Q154" s="307" t="str">
        <f ca="1">IFERROR(VLOOKUP($A146&amp;D154,competitors,4,FALSE),"")</f>
        <v/>
      </c>
      <c r="R154" s="307" t="str">
        <f ca="1">IFERROR(VLOOKUP($A146&amp;J154,competitors,4,FALSE),"")</f>
        <v/>
      </c>
    </row>
    <row r="155" spans="1:18" ht="15" customHeight="1" x14ac:dyDescent="0.35">
      <c r="A155" s="300">
        <f ca="1">IFERROR(SEARCH("Girls",C146),0)</f>
        <v>13</v>
      </c>
      <c r="C155" s="298">
        <v>7</v>
      </c>
      <c r="D155" s="298">
        <f ca="1">IFERROR(IF(C155&gt;MatchDay!$U$2+MatchDay!$D$6-1,"",VLOOKUP(A146,Timetables!$A:$EB,MatchDay!$U$4+C155-MatchDay!$D$6,FALSE)),"")</f>
        <v>7</v>
      </c>
      <c r="E155" s="286" t="str">
        <f ca="1">IFERROR(VLOOKUP($A146&amp;D155,downloads!$A$1:$E$1000,2,FALSE),"")</f>
        <v>Grace HARRIS</v>
      </c>
      <c r="F155" s="286" t="str">
        <f t="shared" ca="1" si="38"/>
        <v>Wigan</v>
      </c>
      <c r="G155" s="291"/>
      <c r="H155" s="297"/>
      <c r="I155" s="298">
        <v>7</v>
      </c>
      <c r="J155" s="298">
        <f t="shared" ca="1" si="39"/>
        <v>77</v>
      </c>
      <c r="K155" s="286" t="str">
        <f ca="1">IFERROR(VLOOKUP($A146&amp;J155,downloads!$A$1:$E$1000,2,FALSE),"")</f>
        <v/>
      </c>
      <c r="L155" s="286" t="str">
        <f t="shared" ca="1" si="37"/>
        <v>Wigan</v>
      </c>
      <c r="O155" s="299"/>
      <c r="Q155" s="307">
        <f ca="1">IFERROR(VLOOKUP($A146&amp;D155,competitors,4,FALSE),"")</f>
        <v>1</v>
      </c>
      <c r="R155" s="307" t="str">
        <f ca="1">IFERROR(VLOOKUP($A146&amp;J155,competitors,4,FALSE),"")</f>
        <v/>
      </c>
    </row>
    <row r="156" spans="1:18" ht="15" customHeight="1" x14ac:dyDescent="0.35">
      <c r="A156" s="103">
        <f ca="1">IFERROR(VLOOKUP(A146,records,5,FALSE),"")</f>
        <v>1.6157407407407407E-3</v>
      </c>
      <c r="B156" s="103"/>
      <c r="C156" s="298">
        <v>8</v>
      </c>
      <c r="D156" s="298" t="str">
        <f>IFERROR(IF(C156&gt;MatchDay!$U$2+MatchDay!$D$6-1,"",VLOOKUP(A146,Timetables!$A:$EB,MatchDay!$U$4+C156-MatchDay!$D$6,FALSE)),"")</f>
        <v/>
      </c>
      <c r="E156" s="286" t="str">
        <f ca="1">IFERROR(VLOOKUP($A146&amp;D156,downloads!$A$1:$E$1000,2,FALSE),"")</f>
        <v/>
      </c>
      <c r="F156" s="286" t="str">
        <f t="shared" si="38"/>
        <v/>
      </c>
      <c r="G156" s="291"/>
      <c r="H156" s="297"/>
      <c r="I156" s="298">
        <v>8</v>
      </c>
      <c r="J156" s="298" t="str">
        <f t="shared" si="39"/>
        <v/>
      </c>
      <c r="K156" s="286" t="str">
        <f ca="1">IFERROR(VLOOKUP($A146&amp;J156,downloads!$A$1:$E$1000,2,FALSE),"")</f>
        <v/>
      </c>
      <c r="L156" s="286" t="str">
        <f t="shared" si="37"/>
        <v/>
      </c>
      <c r="O156" s="299"/>
      <c r="Q156" s="307" t="str">
        <f ca="1">IFERROR(VLOOKUP($A146&amp;D156,competitors,4,FALSE),"")</f>
        <v/>
      </c>
      <c r="R156" s="307" t="str">
        <f ca="1">IFERROR(VLOOKUP($A146&amp;J156,competitors,4,FALSE),"")</f>
        <v/>
      </c>
    </row>
    <row r="157" spans="1:18" ht="15" customHeight="1" x14ac:dyDescent="0.35">
      <c r="Q157" s="307"/>
      <c r="R157" s="307"/>
    </row>
    <row r="158" spans="1:18" ht="15" customHeight="1" x14ac:dyDescent="0.35">
      <c r="A158" s="98" t="str">
        <f ca="1">IFERROR(INDIRECT(CONCATENATE("'Timetables'!A"&amp;A162)),"")</f>
        <v>LTD86</v>
      </c>
      <c r="B158" s="304" t="str">
        <f ca="1">IFERROR(TEXT(VLOOKUP(A158,timetables,7-MatchDay!$U$7,FALSE),"hh:mm"),"")</f>
        <v>13:25</v>
      </c>
      <c r="C158" s="292" t="str">
        <f ca="1">IFERROR(VLOOKUP(A158,timetables,2,FALSE)&amp;" "&amp;VLOOKUP(A158,timetables,3,FALSE)&amp;" A","")</f>
        <v>800m NS U13 Boys A</v>
      </c>
      <c r="D158" s="292"/>
      <c r="F158" s="293"/>
      <c r="G158" s="294"/>
      <c r="L158" s="360"/>
      <c r="M158" s="296"/>
      <c r="N158" s="286"/>
      <c r="Q158" s="307"/>
      <c r="R158" s="307"/>
    </row>
    <row r="159" spans="1:18" ht="15" customHeight="1" x14ac:dyDescent="0.35">
      <c r="A159" s="98"/>
      <c r="B159" s="98"/>
      <c r="C159" s="295" t="str">
        <f ca="1">IFERROR("Rec: "&amp;VLOOKUP(A158,records,4,FALSE),"")</f>
        <v>Rec: 02:09.5 Jaden Kennedy, Herne Hill Harriers, 2016</v>
      </c>
      <c r="D159" s="292"/>
      <c r="F159" s="293"/>
      <c r="G159" s="294"/>
      <c r="I159" s="295"/>
      <c r="L159" s="360"/>
      <c r="M159" s="296"/>
      <c r="N159" s="286"/>
      <c r="Q159" s="307"/>
      <c r="R159" s="307"/>
    </row>
    <row r="160" spans="1:18" ht="15" customHeight="1" x14ac:dyDescent="0.35">
      <c r="A160" s="82" t="str">
        <f ca="1">MID(A158,2,3)</f>
        <v>TD8</v>
      </c>
      <c r="B160" s="82"/>
      <c r="C160" s="304" t="s">
        <v>542</v>
      </c>
      <c r="D160" s="304" t="s">
        <v>141</v>
      </c>
      <c r="E160" s="286" t="s">
        <v>174</v>
      </c>
      <c r="F160" s="286" t="s">
        <v>175</v>
      </c>
      <c r="G160" s="291"/>
      <c r="I160" s="304" t="s">
        <v>542</v>
      </c>
      <c r="J160" s="304" t="s">
        <v>141</v>
      </c>
      <c r="K160" s="286" t="s">
        <v>174</v>
      </c>
      <c r="L160" s="286" t="s">
        <v>175</v>
      </c>
      <c r="O160" s="299"/>
      <c r="Q160" s="307"/>
      <c r="R160" s="307"/>
    </row>
    <row r="161" spans="1:18" ht="15" customHeight="1" x14ac:dyDescent="0.35">
      <c r="A161" s="138"/>
      <c r="B161" s="103"/>
      <c r="C161" s="298">
        <v>1</v>
      </c>
      <c r="D161" s="298">
        <f ca="1">IFERROR(IF(C161&gt;MatchDay!$U$2,"",IF(MatchDay!$D$6=2,"",VLOOKUP(A158,Timetables!$A:$EB,MatchDay!$U$4+C161-MatchDay!$D$6,FALSE))),"")</f>
        <v>6</v>
      </c>
      <c r="E161" s="286" t="str">
        <f ca="1">IFERROR(VLOOKUP($A158&amp;D161,downloads!$A$1:$E$1000,2,FALSE),"")</f>
        <v/>
      </c>
      <c r="F161" s="286" t="str">
        <f ca="1">IFERROR(VLOOKUP(D161,teamlookup,5,FALSE),"")</f>
        <v>Stock</v>
      </c>
      <c r="G161" s="291"/>
      <c r="H161" s="297"/>
      <c r="I161" s="298">
        <v>1</v>
      </c>
      <c r="J161" s="298">
        <f ca="1">IFERROR(D161*11,"")</f>
        <v>66</v>
      </c>
      <c r="K161" s="286" t="str">
        <f ca="1">IFERROR(VLOOKUP($A158&amp;J161,downloads!$A$1:$E$1000,2,FALSE),"")</f>
        <v/>
      </c>
      <c r="L161" s="286" t="str">
        <f t="shared" ref="L161:L168" ca="1" si="40">IFERROR(VLOOKUP(J161,teamlookup,5,FALSE),"")</f>
        <v>Stock</v>
      </c>
      <c r="O161" s="299"/>
      <c r="Q161" s="307" t="str">
        <f ca="1">IFERROR(VLOOKUP($A158&amp;D161,competitors,4,FALSE),"")</f>
        <v/>
      </c>
      <c r="R161" s="307" t="str">
        <f ca="1">IFERROR(VLOOKUP($A158&amp;J161,competitors,4,FALSE),"")</f>
        <v/>
      </c>
    </row>
    <row r="162" spans="1:18" ht="15" customHeight="1" x14ac:dyDescent="0.35">
      <c r="A162" s="304">
        <f>A150+1</f>
        <v>16</v>
      </c>
      <c r="C162" s="298">
        <v>2</v>
      </c>
      <c r="D162" s="298">
        <f ca="1">IFERROR(IF(C162&gt;MatchDay!$U$2+MatchDay!$D$6-1,"",VLOOKUP(A158,Timetables!$A:$EB,MatchDay!$U$4+C162-MatchDay!$D$6,FALSE)),"")</f>
        <v>2</v>
      </c>
      <c r="E162" s="286" t="str">
        <f ca="1">IFERROR(VLOOKUP($A158&amp;D162,downloads!$A$1:$E$1000,2,FALSE),"")</f>
        <v>Sebastien GREGORY</v>
      </c>
      <c r="F162" s="286" t="str">
        <f t="shared" ref="F162:F168" ca="1" si="41">IFERROR(VLOOKUP(D162,teamlookup,5,FALSE),"")</f>
        <v>ECHT</v>
      </c>
      <c r="G162" s="291"/>
      <c r="H162" s="297"/>
      <c r="I162" s="298">
        <v>2</v>
      </c>
      <c r="J162" s="298">
        <f t="shared" ref="J162:J168" ca="1" si="42">IFERROR(D162*11,"")</f>
        <v>22</v>
      </c>
      <c r="K162" s="286" t="str">
        <f ca="1">IFERROR(VLOOKUP($A158&amp;J162,downloads!$A$1:$E$1000,2,FALSE),"")</f>
        <v/>
      </c>
      <c r="L162" s="286" t="str">
        <f t="shared" ca="1" si="40"/>
        <v>ECHT</v>
      </c>
      <c r="O162" s="299"/>
      <c r="Q162" s="307">
        <f ca="1">IFERROR(VLOOKUP($A158&amp;D162,competitors,4,FALSE),"")</f>
        <v>1</v>
      </c>
      <c r="R162" s="307" t="str">
        <f ca="1">IFERROR(VLOOKUP($A158&amp;J162,competitors,4,FALSE),"")</f>
        <v/>
      </c>
    </row>
    <row r="163" spans="1:18" ht="15" customHeight="1" x14ac:dyDescent="0.35">
      <c r="A163" s="105">
        <f ca="1">IFERROR(VLOOKUP(A158,standards,3,FALSE)+0.01,"-")</f>
        <v>1.1967592592592592E-2</v>
      </c>
      <c r="B163" s="105"/>
      <c r="C163" s="298">
        <v>3</v>
      </c>
      <c r="D163" s="298">
        <f ca="1">IFERROR(IF(C163&gt;MatchDay!$U$2+MatchDay!$D$6-1,"",VLOOKUP(A158,Timetables!$A:$EB,MatchDay!$U$4+C163-MatchDay!$D$6,FALSE)),"")</f>
        <v>4</v>
      </c>
      <c r="E163" s="286" t="str">
        <f ca="1">IFERROR(VLOOKUP($A158&amp;D163,downloads!$A$1:$E$1000,2,FALSE),"")</f>
        <v/>
      </c>
      <c r="F163" s="286" t="str">
        <f t="shared" ca="1" si="41"/>
        <v>Macc</v>
      </c>
      <c r="G163" s="291"/>
      <c r="H163" s="297"/>
      <c r="I163" s="298">
        <v>3</v>
      </c>
      <c r="J163" s="298">
        <f t="shared" ca="1" si="42"/>
        <v>44</v>
      </c>
      <c r="K163" s="286" t="str">
        <f ca="1">IFERROR(VLOOKUP($A158&amp;J163,downloads!$A$1:$E$1000,2,FALSE),"")</f>
        <v/>
      </c>
      <c r="L163" s="286" t="str">
        <f t="shared" ca="1" si="40"/>
        <v>Macc</v>
      </c>
      <c r="O163" s="299"/>
      <c r="Q163" s="307" t="str">
        <f ca="1">IFERROR(VLOOKUP($A158&amp;D163,competitors,4,FALSE),"")</f>
        <v/>
      </c>
      <c r="R163" s="307" t="str">
        <f ca="1">IFERROR(VLOOKUP($A158&amp;J163,competitors,4,FALSE),"")</f>
        <v/>
      </c>
    </row>
    <row r="164" spans="1:18" ht="15" customHeight="1" x14ac:dyDescent="0.35">
      <c r="A164" s="105">
        <f ca="1">IFERROR(VLOOKUP(A158,standards,4,FALSE)+0.01,"-")</f>
        <v>1.1909722222222223E-2</v>
      </c>
      <c r="B164" s="105"/>
      <c r="C164" s="298">
        <v>4</v>
      </c>
      <c r="D164" s="298">
        <f ca="1">IFERROR(IF(C164&gt;MatchDay!$U$2+MatchDay!$D$6-1,"",VLOOKUP(A158,Timetables!$A:$EB,MatchDay!$U$4+C164-MatchDay!$D$6,FALSE)),"")</f>
        <v>3</v>
      </c>
      <c r="E164" s="286" t="str">
        <f ca="1">IFERROR(VLOOKUP($A158&amp;D164,downloads!$A$1:$E$1000,2,FALSE),"")</f>
        <v/>
      </c>
      <c r="F164" s="286" t="str">
        <f t="shared" ca="1" si="41"/>
        <v>Leigh</v>
      </c>
      <c r="G164" s="291"/>
      <c r="H164" s="297"/>
      <c r="I164" s="298">
        <v>4</v>
      </c>
      <c r="J164" s="298">
        <f t="shared" ca="1" si="42"/>
        <v>33</v>
      </c>
      <c r="K164" s="286" t="str">
        <f ca="1">IFERROR(VLOOKUP($A158&amp;J164,downloads!$A$1:$E$1000,2,FALSE),"")</f>
        <v/>
      </c>
      <c r="L164" s="286" t="str">
        <f t="shared" ca="1" si="40"/>
        <v>Leigh</v>
      </c>
      <c r="O164" s="299"/>
      <c r="Q164" s="307" t="str">
        <f ca="1">IFERROR(VLOOKUP($A158&amp;D164,competitors,4,FALSE),"")</f>
        <v/>
      </c>
      <c r="R164" s="307" t="str">
        <f ca="1">IFERROR(VLOOKUP($A158&amp;J164,competitors,4,FALSE),"")</f>
        <v/>
      </c>
    </row>
    <row r="165" spans="1:18" ht="15" customHeight="1" x14ac:dyDescent="0.35">
      <c r="A165" s="105">
        <f ca="1">IFERROR(VLOOKUP(A158,standards,5,FALSE)+0.01,"-")</f>
        <v>1.1851851851851851E-2</v>
      </c>
      <c r="B165" s="105"/>
      <c r="C165" s="298">
        <v>5</v>
      </c>
      <c r="D165" s="298">
        <f ca="1">IFERROR(IF(C165&gt;MatchDay!$U$2+MatchDay!$D$6-1,"",VLOOKUP(A158,Timetables!$A:$EB,MatchDay!$U$4+C165-MatchDay!$D$6,FALSE)),"")</f>
        <v>1</v>
      </c>
      <c r="E165" s="286" t="str">
        <f ca="1">IFERROR(VLOOKUP($A158&amp;D165,downloads!$A$1:$E$1000,2,FALSE),"")</f>
        <v/>
      </c>
      <c r="F165" s="286" t="str">
        <f t="shared" ca="1" si="41"/>
        <v>C&amp;N</v>
      </c>
      <c r="G165" s="291"/>
      <c r="H165" s="297"/>
      <c r="I165" s="298">
        <v>5</v>
      </c>
      <c r="J165" s="298">
        <f t="shared" ca="1" si="42"/>
        <v>11</v>
      </c>
      <c r="K165" s="286" t="str">
        <f ca="1">IFERROR(VLOOKUP($A158&amp;J165,downloads!$A$1:$E$1000,2,FALSE),"")</f>
        <v/>
      </c>
      <c r="L165" s="286" t="str">
        <f t="shared" ca="1" si="40"/>
        <v>C&amp;N</v>
      </c>
      <c r="O165" s="299"/>
      <c r="Q165" s="307" t="str">
        <f ca="1">IFERROR(VLOOKUP($A158&amp;D165,competitors,4,FALSE),"")</f>
        <v/>
      </c>
      <c r="R165" s="307" t="str">
        <f ca="1">IFERROR(VLOOKUP($A158&amp;J165,competitors,4,FALSE),"")</f>
        <v/>
      </c>
    </row>
    <row r="166" spans="1:18" ht="15" customHeight="1" x14ac:dyDescent="0.35">
      <c r="A166" s="105">
        <f ca="1">IFERROR(VLOOKUP(A158,standards,6,FALSE)+0.01,"-")</f>
        <v>1.1793981481481482E-2</v>
      </c>
      <c r="B166" s="105"/>
      <c r="C166" s="298">
        <v>6</v>
      </c>
      <c r="D166" s="298">
        <f ca="1">IFERROR(IF(C166&gt;MatchDay!$U$2+MatchDay!$D$6-1,"",VLOOKUP(A158,Timetables!$A:$EB,MatchDay!$U$4+C166-MatchDay!$D$6,FALSE)),"")</f>
        <v>5</v>
      </c>
      <c r="E166" s="286" t="str">
        <f ca="1">IFERROR(VLOOKUP($A158&amp;D166,downloads!$A$1:$E$1000,2,FALSE),"")</f>
        <v/>
      </c>
      <c r="F166" s="286" t="str">
        <f t="shared" ca="1" si="41"/>
        <v>Menai</v>
      </c>
      <c r="G166" s="291"/>
      <c r="H166" s="297"/>
      <c r="I166" s="298">
        <v>6</v>
      </c>
      <c r="J166" s="298">
        <f t="shared" ca="1" si="42"/>
        <v>55</v>
      </c>
      <c r="K166" s="286" t="str">
        <f ca="1">IFERROR(VLOOKUP($A158&amp;J166,downloads!$A$1:$E$1000,2,FALSE),"")</f>
        <v/>
      </c>
      <c r="L166" s="286" t="str">
        <f t="shared" ca="1" si="40"/>
        <v>Menai</v>
      </c>
      <c r="O166" s="299"/>
      <c r="Q166" s="307" t="str">
        <f ca="1">IFERROR(VLOOKUP($A158&amp;D166,competitors,4,FALSE),"")</f>
        <v/>
      </c>
      <c r="R166" s="307" t="str">
        <f ca="1">IFERROR(VLOOKUP($A158&amp;J166,competitors,4,FALSE),"")</f>
        <v/>
      </c>
    </row>
    <row r="167" spans="1:18" ht="15" customHeight="1" x14ac:dyDescent="0.35">
      <c r="A167" s="300">
        <f ca="1">IFERROR(SEARCH("Girls",C158),0)</f>
        <v>0</v>
      </c>
      <c r="C167" s="298">
        <v>7</v>
      </c>
      <c r="D167" s="298">
        <f ca="1">IFERROR(IF(C167&gt;MatchDay!$U$2+MatchDay!$D$6-1,"",VLOOKUP(A158,Timetables!$A:$EB,MatchDay!$U$4+C167-MatchDay!$D$6,FALSE)),"")</f>
        <v>7</v>
      </c>
      <c r="E167" s="286" t="str">
        <f ca="1">IFERROR(VLOOKUP($A158&amp;D167,downloads!$A$1:$E$1000,2,FALSE),"")</f>
        <v/>
      </c>
      <c r="F167" s="286" t="str">
        <f t="shared" ca="1" si="41"/>
        <v>Wigan</v>
      </c>
      <c r="G167" s="291"/>
      <c r="H167" s="297"/>
      <c r="I167" s="298">
        <v>7</v>
      </c>
      <c r="J167" s="298">
        <f t="shared" ca="1" si="42"/>
        <v>77</v>
      </c>
      <c r="K167" s="286" t="str">
        <f ca="1">IFERROR(VLOOKUP($A158&amp;J167,downloads!$A$1:$E$1000,2,FALSE),"")</f>
        <v/>
      </c>
      <c r="L167" s="286" t="str">
        <f t="shared" ca="1" si="40"/>
        <v>Wigan</v>
      </c>
      <c r="O167" s="299"/>
      <c r="Q167" s="307" t="str">
        <f ca="1">IFERROR(VLOOKUP($A158&amp;D167,competitors,4,FALSE),"")</f>
        <v/>
      </c>
      <c r="R167" s="307" t="str">
        <f ca="1">IFERROR(VLOOKUP($A158&amp;J167,competitors,4,FALSE),"")</f>
        <v/>
      </c>
    </row>
    <row r="168" spans="1:18" ht="15" customHeight="1" x14ac:dyDescent="0.35">
      <c r="A168" s="103">
        <f ca="1">IFERROR(VLOOKUP(A158,records,5,FALSE),"")</f>
        <v>1.4988425925925924E-3</v>
      </c>
      <c r="B168" s="103"/>
      <c r="C168" s="298">
        <v>8</v>
      </c>
      <c r="D168" s="298" t="str">
        <f>IFERROR(IF(C168&gt;MatchDay!$U$2+MatchDay!$D$6-1,"",VLOOKUP(A158,Timetables!$A:$EB,MatchDay!$U$4+C168-MatchDay!$D$6,FALSE)),"")</f>
        <v/>
      </c>
      <c r="E168" s="286" t="str">
        <f ca="1">IFERROR(VLOOKUP($A158&amp;D168,downloads!$A$1:$E$1000,2,FALSE),"")</f>
        <v/>
      </c>
      <c r="F168" s="286" t="str">
        <f t="shared" si="41"/>
        <v/>
      </c>
      <c r="G168" s="291"/>
      <c r="H168" s="297"/>
      <c r="I168" s="298">
        <v>8</v>
      </c>
      <c r="J168" s="298" t="str">
        <f t="shared" si="42"/>
        <v/>
      </c>
      <c r="K168" s="286" t="str">
        <f ca="1">IFERROR(VLOOKUP($A158&amp;J168,downloads!$A$1:$E$1000,2,FALSE),"")</f>
        <v/>
      </c>
      <c r="L168" s="286" t="str">
        <f t="shared" si="40"/>
        <v/>
      </c>
      <c r="O168" s="299"/>
      <c r="Q168" s="307" t="str">
        <f ca="1">IFERROR(VLOOKUP($A158&amp;D168,competitors,4,FALSE),"")</f>
        <v/>
      </c>
      <c r="R168" s="307" t="str">
        <f ca="1">IFERROR(VLOOKUP($A158&amp;J168,competitors,4,FALSE),"")</f>
        <v/>
      </c>
    </row>
    <row r="169" spans="1:18" ht="15" customHeight="1" x14ac:dyDescent="0.35">
      <c r="Q169" s="307"/>
      <c r="R169" s="307"/>
    </row>
    <row r="170" spans="1:18" x14ac:dyDescent="0.35">
      <c r="A170" s="98" t="str">
        <f ca="1">IFERROR(INDIRECT(CONCATENATE("'Timetables'!A"&amp;A174)),"")</f>
        <v>LTD87</v>
      </c>
      <c r="B170" s="304" t="str">
        <f ca="1">IFERROR(TEXT(VLOOKUP(A170,timetables,7-MatchDay!$U$7,FALSE),"hh:mm"),"")</f>
        <v>13:30</v>
      </c>
      <c r="C170" s="292" t="str">
        <f ca="1">IFERROR(VLOOKUP(A170,timetables,2,FALSE)&amp;" "&amp;VLOOKUP(A170,timetables,3,FALSE)&amp;" A","")</f>
        <v>800m NS U15 Girls A</v>
      </c>
      <c r="D170" s="292"/>
      <c r="F170" s="293"/>
      <c r="G170" s="294"/>
      <c r="L170" s="360"/>
      <c r="M170" s="296"/>
      <c r="N170" s="286"/>
      <c r="Q170" s="307"/>
      <c r="R170" s="307"/>
    </row>
    <row r="171" spans="1:18" x14ac:dyDescent="0.35">
      <c r="A171" s="98"/>
      <c r="B171" s="98"/>
      <c r="C171" s="295" t="str">
        <f ca="1">IFERROR("Rec: "&amp;VLOOKUP(A170,records,4,FALSE),"")</f>
        <v>Rec: 02:07.8 Tilly Simpson, Hallamshire Harriers, 2015</v>
      </c>
      <c r="D171" s="292"/>
      <c r="F171" s="293"/>
      <c r="G171" s="294"/>
      <c r="I171" s="295"/>
      <c r="L171" s="360"/>
      <c r="M171" s="296"/>
      <c r="N171" s="286"/>
      <c r="Q171" s="307"/>
      <c r="R171" s="307"/>
    </row>
    <row r="172" spans="1:18" x14ac:dyDescent="0.35">
      <c r="A172" s="82" t="str">
        <f ca="1">MID(A170,2,3)</f>
        <v>TD8</v>
      </c>
      <c r="B172" s="82"/>
      <c r="C172" s="304" t="s">
        <v>542</v>
      </c>
      <c r="D172" s="304" t="s">
        <v>141</v>
      </c>
      <c r="E172" s="286" t="s">
        <v>174</v>
      </c>
      <c r="F172" s="286" t="s">
        <v>175</v>
      </c>
      <c r="G172" s="291"/>
      <c r="I172" s="304" t="s">
        <v>542</v>
      </c>
      <c r="J172" s="304" t="s">
        <v>141</v>
      </c>
      <c r="K172" s="286" t="s">
        <v>174</v>
      </c>
      <c r="L172" s="286" t="s">
        <v>175</v>
      </c>
      <c r="O172" s="299"/>
      <c r="Q172" s="307"/>
      <c r="R172" s="307"/>
    </row>
    <row r="173" spans="1:18" x14ac:dyDescent="0.35">
      <c r="A173" s="138"/>
      <c r="B173" s="103"/>
      <c r="C173" s="298">
        <v>1</v>
      </c>
      <c r="D173" s="298">
        <f ca="1">IFERROR(IF(C173&gt;MatchDay!$U$2,"",IF(MatchDay!$D$6=2,"",VLOOKUP(A170,Timetables!$A:$EB,MatchDay!$U$4+C173-MatchDay!$D$6,FALSE))),"")</f>
        <v>6</v>
      </c>
      <c r="E173" s="286" t="str">
        <f ca="1">IFERROR(VLOOKUP($A170&amp;D173,downloads!$A$1:$E$1000,2,FALSE),"")</f>
        <v/>
      </c>
      <c r="F173" s="286" t="str">
        <f ca="1">IFERROR(VLOOKUP(D173,teamlookup,5,FALSE),"")</f>
        <v>Stock</v>
      </c>
      <c r="G173" s="291"/>
      <c r="H173" s="297"/>
      <c r="I173" s="298">
        <v>1</v>
      </c>
      <c r="J173" s="298">
        <f ca="1">IFERROR(D173*11,"")</f>
        <v>66</v>
      </c>
      <c r="K173" s="286" t="str">
        <f ca="1">IFERROR(VLOOKUP($A170&amp;J173,downloads!$A$1:$E$1000,2,FALSE),"")</f>
        <v/>
      </c>
      <c r="L173" s="286" t="str">
        <f t="shared" ref="L173:L180" ca="1" si="43">IFERROR(VLOOKUP(J173,teamlookup,5,FALSE),"")</f>
        <v>Stock</v>
      </c>
      <c r="O173" s="299"/>
      <c r="Q173" s="307" t="str">
        <f ca="1">IFERROR(VLOOKUP($A170&amp;D173,competitors,4,FALSE),"")</f>
        <v/>
      </c>
      <c r="R173" s="307" t="str">
        <f ca="1">IFERROR(VLOOKUP($A170&amp;J173,competitors,4,FALSE),"")</f>
        <v/>
      </c>
    </row>
    <row r="174" spans="1:18" x14ac:dyDescent="0.35">
      <c r="A174" s="304">
        <f>A162+1</f>
        <v>17</v>
      </c>
      <c r="C174" s="298">
        <v>2</v>
      </c>
      <c r="D174" s="298">
        <f ca="1">IFERROR(IF(C174&gt;MatchDay!$U$2+MatchDay!$D$6-1,"",VLOOKUP(A170,Timetables!$A:$EB,MatchDay!$U$4+C174-MatchDay!$D$6,FALSE)),"")</f>
        <v>2</v>
      </c>
      <c r="E174" s="286" t="str">
        <f ca="1">IFERROR(VLOOKUP($A170&amp;D174,downloads!$A$1:$E$1000,2,FALSE),"")</f>
        <v/>
      </c>
      <c r="F174" s="286" t="str">
        <f t="shared" ref="F174:F180" ca="1" si="44">IFERROR(VLOOKUP(D174,teamlookup,5,FALSE),"")</f>
        <v>ECHT</v>
      </c>
      <c r="G174" s="291"/>
      <c r="H174" s="297"/>
      <c r="I174" s="298">
        <v>2</v>
      </c>
      <c r="J174" s="298">
        <f t="shared" ref="J174:J180" ca="1" si="45">IFERROR(D174*11,"")</f>
        <v>22</v>
      </c>
      <c r="K174" s="286" t="str">
        <f ca="1">IFERROR(VLOOKUP($A170&amp;J174,downloads!$A$1:$E$1000,2,FALSE),"")</f>
        <v/>
      </c>
      <c r="L174" s="286" t="str">
        <f t="shared" ca="1" si="43"/>
        <v>ECHT</v>
      </c>
      <c r="O174" s="299"/>
      <c r="Q174" s="307" t="str">
        <f ca="1">IFERROR(VLOOKUP($A170&amp;D174,competitors,4,FALSE),"")</f>
        <v/>
      </c>
      <c r="R174" s="307" t="str">
        <f ca="1">IFERROR(VLOOKUP($A170&amp;J174,competitors,4,FALSE),"")</f>
        <v/>
      </c>
    </row>
    <row r="175" spans="1:18" x14ac:dyDescent="0.35">
      <c r="A175" s="105">
        <f ca="1">IFERROR(VLOOKUP(A170,standards,3,FALSE)+0.01,"-")</f>
        <v>1.1909722222222223E-2</v>
      </c>
      <c r="B175" s="105"/>
      <c r="C175" s="298">
        <v>3</v>
      </c>
      <c r="D175" s="298">
        <f ca="1">IFERROR(IF(C175&gt;MatchDay!$U$2+MatchDay!$D$6-1,"",VLOOKUP(A170,Timetables!$A:$EB,MatchDay!$U$4+C175-MatchDay!$D$6,FALSE)),"")</f>
        <v>4</v>
      </c>
      <c r="E175" s="286" t="str">
        <f ca="1">IFERROR(VLOOKUP($A170&amp;D175,downloads!$A$1:$E$1000,2,FALSE),"")</f>
        <v/>
      </c>
      <c r="F175" s="286" t="str">
        <f t="shared" ca="1" si="44"/>
        <v>Macc</v>
      </c>
      <c r="G175" s="291"/>
      <c r="H175" s="297"/>
      <c r="I175" s="298">
        <v>3</v>
      </c>
      <c r="J175" s="298">
        <f t="shared" ca="1" si="45"/>
        <v>44</v>
      </c>
      <c r="K175" s="286" t="str">
        <f ca="1">IFERROR(VLOOKUP($A170&amp;J175,downloads!$A$1:$E$1000,2,FALSE),"")</f>
        <v/>
      </c>
      <c r="L175" s="286" t="str">
        <f t="shared" ca="1" si="43"/>
        <v>Macc</v>
      </c>
      <c r="O175" s="299"/>
      <c r="Q175" s="307" t="str">
        <f ca="1">IFERROR(VLOOKUP($A170&amp;D175,competitors,4,FALSE),"")</f>
        <v/>
      </c>
      <c r="R175" s="307" t="str">
        <f ca="1">IFERROR(VLOOKUP($A170&amp;J175,competitors,4,FALSE),"")</f>
        <v/>
      </c>
    </row>
    <row r="176" spans="1:18" x14ac:dyDescent="0.35">
      <c r="A176" s="105">
        <f ca="1">IFERROR(VLOOKUP(A170,standards,4,FALSE)+0.01,"-")</f>
        <v>1.1851851851851851E-2</v>
      </c>
      <c r="B176" s="105"/>
      <c r="C176" s="298">
        <v>4</v>
      </c>
      <c r="D176" s="298">
        <f ca="1">IFERROR(IF(C176&gt;MatchDay!$U$2+MatchDay!$D$6-1,"",VLOOKUP(A170,Timetables!$A:$EB,MatchDay!$U$4+C176-MatchDay!$D$6,FALSE)),"")</f>
        <v>3</v>
      </c>
      <c r="E176" s="286" t="str">
        <f ca="1">IFERROR(VLOOKUP($A170&amp;D176,downloads!$A$1:$E$1000,2,FALSE),"")</f>
        <v/>
      </c>
      <c r="F176" s="286" t="str">
        <f t="shared" ca="1" si="44"/>
        <v>Leigh</v>
      </c>
      <c r="G176" s="291"/>
      <c r="H176" s="297"/>
      <c r="I176" s="298">
        <v>4</v>
      </c>
      <c r="J176" s="298">
        <f t="shared" ca="1" si="45"/>
        <v>33</v>
      </c>
      <c r="K176" s="286" t="str">
        <f ca="1">IFERROR(VLOOKUP($A170&amp;J176,downloads!$A$1:$E$1000,2,FALSE),"")</f>
        <v/>
      </c>
      <c r="L176" s="286" t="str">
        <f t="shared" ca="1" si="43"/>
        <v>Leigh</v>
      </c>
      <c r="O176" s="299"/>
      <c r="Q176" s="307" t="str">
        <f ca="1">IFERROR(VLOOKUP($A170&amp;D176,competitors,4,FALSE),"")</f>
        <v/>
      </c>
      <c r="R176" s="307" t="str">
        <f ca="1">IFERROR(VLOOKUP($A170&amp;J176,competitors,4,FALSE),"")</f>
        <v/>
      </c>
    </row>
    <row r="177" spans="1:18" x14ac:dyDescent="0.35">
      <c r="A177" s="105">
        <f ca="1">IFERROR(VLOOKUP(A170,standards,5,FALSE)+0.01,"-")</f>
        <v>1.1793981481481482E-2</v>
      </c>
      <c r="B177" s="105"/>
      <c r="C177" s="298">
        <v>5</v>
      </c>
      <c r="D177" s="298">
        <f ca="1">IFERROR(IF(C177&gt;MatchDay!$U$2+MatchDay!$D$6-1,"",VLOOKUP(A170,Timetables!$A:$EB,MatchDay!$U$4+C177-MatchDay!$D$6,FALSE)),"")</f>
        <v>1</v>
      </c>
      <c r="F177" s="286" t="str">
        <f t="shared" ca="1" si="44"/>
        <v>C&amp;N</v>
      </c>
      <c r="G177" s="291"/>
      <c r="H177" s="297"/>
      <c r="I177" s="298">
        <v>5</v>
      </c>
      <c r="J177" s="298">
        <f t="shared" ca="1" si="45"/>
        <v>11</v>
      </c>
      <c r="L177" s="286" t="str">
        <f t="shared" ca="1" si="43"/>
        <v>C&amp;N</v>
      </c>
      <c r="O177" s="299"/>
      <c r="Q177" s="307" t="str">
        <f ca="1">IFERROR(VLOOKUP($A170&amp;D177,competitors,4,FALSE),"")</f>
        <v/>
      </c>
      <c r="R177" s="307" t="str">
        <f ca="1">IFERROR(VLOOKUP($A170&amp;J177,competitors,4,FALSE),"")</f>
        <v/>
      </c>
    </row>
    <row r="178" spans="1:18" x14ac:dyDescent="0.35">
      <c r="A178" s="105">
        <f ca="1">IFERROR(VLOOKUP(A170,standards,6,FALSE)+0.01,"-")</f>
        <v>1.1747685185185186E-2</v>
      </c>
      <c r="B178" s="105"/>
      <c r="C178" s="298">
        <v>6</v>
      </c>
      <c r="D178" s="298">
        <f ca="1">IFERROR(IF(C178&gt;MatchDay!$U$2+MatchDay!$D$6-1,"",VLOOKUP(A170,Timetables!$A:$EB,MatchDay!$U$4+C178-MatchDay!$D$6,FALSE)),"")</f>
        <v>5</v>
      </c>
      <c r="E178" s="286" t="str">
        <f ca="1">IFERROR(VLOOKUP($A170&amp;D178,downloads!$A$1:$E$1000,2,FALSE),"")</f>
        <v/>
      </c>
      <c r="F178" s="286" t="str">
        <f t="shared" ca="1" si="44"/>
        <v>Menai</v>
      </c>
      <c r="G178" s="291"/>
      <c r="H178" s="297"/>
      <c r="I178" s="298">
        <v>6</v>
      </c>
      <c r="J178" s="298">
        <f t="shared" ca="1" si="45"/>
        <v>55</v>
      </c>
      <c r="K178" s="286" t="str">
        <f ca="1">IFERROR(VLOOKUP($A170&amp;J178,downloads!$A$1:$E$1000,2,FALSE),"")</f>
        <v/>
      </c>
      <c r="L178" s="286" t="str">
        <f t="shared" ca="1" si="43"/>
        <v>Menai</v>
      </c>
      <c r="O178" s="299"/>
      <c r="Q178" s="307" t="str">
        <f ca="1">IFERROR(VLOOKUP($A170&amp;D178,competitors,4,FALSE),"")</f>
        <v/>
      </c>
      <c r="R178" s="307" t="str">
        <f ca="1">IFERROR(VLOOKUP($A170&amp;J178,competitors,4,FALSE),"")</f>
        <v/>
      </c>
    </row>
    <row r="179" spans="1:18" x14ac:dyDescent="0.35">
      <c r="A179" s="300">
        <f ca="1">IFERROR(SEARCH("Girls",C170),0)</f>
        <v>13</v>
      </c>
      <c r="C179" s="298">
        <v>7</v>
      </c>
      <c r="D179" s="298">
        <f ca="1">IFERROR(IF(C179&gt;MatchDay!$U$2+MatchDay!$D$6-1,"",VLOOKUP(A170,Timetables!$A:$EB,MatchDay!$U$4+C179-MatchDay!$D$6,FALSE)),"")</f>
        <v>7</v>
      </c>
      <c r="E179" s="286" t="str">
        <f ca="1">IFERROR(VLOOKUP($A170&amp;D179,downloads!$A$1:$E$1000,2,FALSE),"")</f>
        <v>Nour KHOLEIF</v>
      </c>
      <c r="F179" s="286" t="str">
        <f t="shared" ca="1" si="44"/>
        <v>Wigan</v>
      </c>
      <c r="G179" s="291"/>
      <c r="H179" s="297"/>
      <c r="I179" s="298">
        <v>7</v>
      </c>
      <c r="J179" s="298">
        <f t="shared" ca="1" si="45"/>
        <v>77</v>
      </c>
      <c r="K179" s="286" t="str">
        <f ca="1">IFERROR(VLOOKUP($A170&amp;J179,downloads!$A$1:$E$1000,2,FALSE),"")</f>
        <v/>
      </c>
      <c r="L179" s="286" t="str">
        <f t="shared" ca="1" si="43"/>
        <v>Wigan</v>
      </c>
      <c r="O179" s="299"/>
      <c r="Q179" s="307">
        <f ca="1">IFERROR(VLOOKUP($A170&amp;D179,competitors,4,FALSE),"")</f>
        <v>1</v>
      </c>
      <c r="R179" s="307" t="str">
        <f ca="1">IFERROR(VLOOKUP($A170&amp;J179,competitors,4,FALSE),"")</f>
        <v/>
      </c>
    </row>
    <row r="180" spans="1:18" x14ac:dyDescent="0.35">
      <c r="A180" s="103">
        <f ca="1">IFERROR(VLOOKUP(A170,records,5,FALSE),"")</f>
        <v>1.4791666666666666E-3</v>
      </c>
      <c r="B180" s="103"/>
      <c r="C180" s="298">
        <v>8</v>
      </c>
      <c r="D180" s="298" t="str">
        <f>IFERROR(IF(C180&gt;MatchDay!$U$2+MatchDay!$D$6-1,"",VLOOKUP(A170,Timetables!$A:$EB,MatchDay!$U$4+C180-MatchDay!$D$6,FALSE)),"")</f>
        <v/>
      </c>
      <c r="E180" s="286" t="str">
        <f ca="1">IFERROR(VLOOKUP($A170&amp;D180,downloads!$A$1:$E$1000,2,FALSE),"")</f>
        <v/>
      </c>
      <c r="F180" s="286" t="str">
        <f t="shared" si="44"/>
        <v/>
      </c>
      <c r="G180" s="291"/>
      <c r="H180" s="297"/>
      <c r="I180" s="298">
        <v>8</v>
      </c>
      <c r="J180" s="298" t="str">
        <f t="shared" si="45"/>
        <v/>
      </c>
      <c r="K180" s="286" t="str">
        <f ca="1">IFERROR(VLOOKUP($A170&amp;J180,downloads!$A$1:$E$1000,2,FALSE),"")</f>
        <v/>
      </c>
      <c r="L180" s="286" t="str">
        <f t="shared" si="43"/>
        <v/>
      </c>
      <c r="O180" s="299"/>
      <c r="Q180" s="307" t="str">
        <f ca="1">IFERROR(VLOOKUP($A170&amp;D180,competitors,4,FALSE),"")</f>
        <v/>
      </c>
      <c r="R180" s="307" t="str">
        <f ca="1">IFERROR(VLOOKUP($A170&amp;J180,competitors,4,FALSE),"")</f>
        <v/>
      </c>
    </row>
    <row r="181" spans="1:18" x14ac:dyDescent="0.35">
      <c r="Q181" s="307"/>
      <c r="R181" s="307"/>
    </row>
    <row r="182" spans="1:18" x14ac:dyDescent="0.35">
      <c r="A182" s="98" t="str">
        <f ca="1">IFERROR(INDIRECT(CONCATENATE("'Timetables'!A"&amp;A186)),"")</f>
        <v>LTD88</v>
      </c>
      <c r="B182" s="304" t="str">
        <f ca="1">IFERROR(TEXT(VLOOKUP(A182,timetables,7-MatchDay!$U$7,FALSE),"hh:mm"),"")</f>
        <v>13:40</v>
      </c>
      <c r="C182" s="292" t="str">
        <f ca="1">IFERROR(VLOOKUP(A182,timetables,2,FALSE)&amp;" "&amp;VLOOKUP(A182,timetables,3,FALSE)&amp;" A","")</f>
        <v>800m NS U15 Boys A</v>
      </c>
      <c r="D182" s="292"/>
      <c r="F182" s="293"/>
      <c r="G182" s="294"/>
      <c r="L182" s="360"/>
      <c r="M182" s="296"/>
      <c r="N182" s="286"/>
      <c r="Q182" s="307"/>
      <c r="R182" s="307"/>
    </row>
    <row r="183" spans="1:18" x14ac:dyDescent="0.35">
      <c r="A183" s="98"/>
      <c r="B183" s="98"/>
      <c r="C183" s="295" t="str">
        <f ca="1">IFERROR("Rec: "&amp;VLOOKUP(A182,records,4,FALSE),"")</f>
        <v>Rec: 01:59.7 Keelan Wilson, Rotherham Harriers, 2014</v>
      </c>
      <c r="D183" s="292"/>
      <c r="F183" s="293"/>
      <c r="G183" s="294"/>
      <c r="I183" s="295"/>
      <c r="L183" s="360"/>
      <c r="M183" s="296"/>
      <c r="N183" s="286"/>
      <c r="Q183" s="307"/>
      <c r="R183" s="307"/>
    </row>
    <row r="184" spans="1:18" x14ac:dyDescent="0.35">
      <c r="A184" s="82" t="str">
        <f ca="1">MID(A182,2,3)</f>
        <v>TD8</v>
      </c>
      <c r="B184" s="82"/>
      <c r="C184" s="304" t="s">
        <v>542</v>
      </c>
      <c r="D184" s="304" t="s">
        <v>141</v>
      </c>
      <c r="E184" s="286" t="s">
        <v>174</v>
      </c>
      <c r="F184" s="286" t="s">
        <v>175</v>
      </c>
      <c r="G184" s="291"/>
      <c r="I184" s="304" t="s">
        <v>542</v>
      </c>
      <c r="J184" s="304" t="s">
        <v>141</v>
      </c>
      <c r="K184" s="286" t="s">
        <v>174</v>
      </c>
      <c r="L184" s="286" t="s">
        <v>175</v>
      </c>
      <c r="O184" s="299"/>
      <c r="Q184" s="307"/>
      <c r="R184" s="307"/>
    </row>
    <row r="185" spans="1:18" x14ac:dyDescent="0.35">
      <c r="A185" s="138"/>
      <c r="B185" s="103"/>
      <c r="C185" s="298">
        <v>1</v>
      </c>
      <c r="D185" s="298">
        <f ca="1">IFERROR(IF(C185&gt;MatchDay!$U$2,"",IF(MatchDay!$D$6=2,"",VLOOKUP(A182,Timetables!$A:$EB,MatchDay!$U$4+C185-MatchDay!$D$6,FALSE))),"")</f>
        <v>6</v>
      </c>
      <c r="E185" s="286" t="str">
        <f ca="1">IFERROR(VLOOKUP($A182&amp;D185,downloads!$A$1:$E$1000,2,FALSE),"")</f>
        <v/>
      </c>
      <c r="F185" s="286" t="str">
        <f ca="1">IFERROR(VLOOKUP(D185,teamlookup,5,FALSE),"")</f>
        <v>Stock</v>
      </c>
      <c r="G185" s="291"/>
      <c r="H185" s="297"/>
      <c r="I185" s="298">
        <v>1</v>
      </c>
      <c r="J185" s="298">
        <f ca="1">IFERROR(D185*11,"")</f>
        <v>66</v>
      </c>
      <c r="K185" s="286" t="str">
        <f ca="1">IFERROR(VLOOKUP($A182&amp;J185,downloads!$A$1:$E$1000,2,FALSE),"")</f>
        <v/>
      </c>
      <c r="L185" s="286" t="str">
        <f t="shared" ref="L185:L192" ca="1" si="46">IFERROR(VLOOKUP(J185,teamlookup,5,FALSE),"")</f>
        <v>Stock</v>
      </c>
      <c r="O185" s="299"/>
      <c r="Q185" s="307" t="str">
        <f ca="1">IFERROR(VLOOKUP($A182&amp;D185,competitors,4,FALSE),"")</f>
        <v/>
      </c>
      <c r="R185" s="307" t="str">
        <f ca="1">IFERROR(VLOOKUP($A182&amp;J185,competitors,4,FALSE),"")</f>
        <v/>
      </c>
    </row>
    <row r="186" spans="1:18" x14ac:dyDescent="0.35">
      <c r="A186" s="304">
        <f>A174+1</f>
        <v>18</v>
      </c>
      <c r="C186" s="298">
        <v>2</v>
      </c>
      <c r="D186" s="298">
        <f ca="1">IFERROR(IF(C186&gt;MatchDay!$U$2+MatchDay!$D$6-1,"",VLOOKUP(A182,Timetables!$A:$EB,MatchDay!$U$4+C186-MatchDay!$D$6,FALSE)),"")</f>
        <v>2</v>
      </c>
      <c r="E186" s="286" t="str">
        <f ca="1">IFERROR(VLOOKUP($A182&amp;D186,downloads!$A$1:$E$1000,2,FALSE),"")</f>
        <v/>
      </c>
      <c r="F186" s="286" t="str">
        <f t="shared" ref="F186:F192" ca="1" si="47">IFERROR(VLOOKUP(D186,teamlookup,5,FALSE),"")</f>
        <v>ECHT</v>
      </c>
      <c r="G186" s="291"/>
      <c r="H186" s="297"/>
      <c r="I186" s="298">
        <v>2</v>
      </c>
      <c r="J186" s="298">
        <f t="shared" ref="J186:J192" ca="1" si="48">IFERROR(D186*11,"")</f>
        <v>22</v>
      </c>
      <c r="K186" s="286" t="str">
        <f ca="1">IFERROR(VLOOKUP($A182&amp;J186,downloads!$A$1:$E$1000,2,FALSE),"")</f>
        <v/>
      </c>
      <c r="L186" s="286" t="str">
        <f t="shared" ca="1" si="46"/>
        <v>ECHT</v>
      </c>
      <c r="O186" s="299"/>
      <c r="Q186" s="307" t="str">
        <f ca="1">IFERROR(VLOOKUP($A182&amp;D186,competitors,4,FALSE),"")</f>
        <v/>
      </c>
      <c r="R186" s="307" t="str">
        <f ca="1">IFERROR(VLOOKUP($A182&amp;J186,competitors,4,FALSE),"")</f>
        <v/>
      </c>
    </row>
    <row r="187" spans="1:18" x14ac:dyDescent="0.35">
      <c r="A187" s="105">
        <f ca="1">IFERROR(VLOOKUP(A182,standards,3,FALSE)+0.01,"-")</f>
        <v>1.173611111111111E-2</v>
      </c>
      <c r="B187" s="105"/>
      <c r="C187" s="298">
        <v>3</v>
      </c>
      <c r="D187" s="298">
        <f ca="1">IFERROR(IF(C187&gt;MatchDay!$U$2+MatchDay!$D$6-1,"",VLOOKUP(A182,Timetables!$A:$EB,MatchDay!$U$4+C187-MatchDay!$D$6,FALSE)),"")</f>
        <v>4</v>
      </c>
      <c r="E187" s="286" t="str">
        <f ca="1">IFERROR(VLOOKUP($A182&amp;D187,downloads!$A$1:$E$1000,2,FALSE),"")</f>
        <v/>
      </c>
      <c r="F187" s="286" t="str">
        <f t="shared" ca="1" si="47"/>
        <v>Macc</v>
      </c>
      <c r="G187" s="291"/>
      <c r="H187" s="297"/>
      <c r="I187" s="298">
        <v>3</v>
      </c>
      <c r="J187" s="298">
        <f t="shared" ca="1" si="48"/>
        <v>44</v>
      </c>
      <c r="K187" s="286" t="str">
        <f ca="1">IFERROR(VLOOKUP($A182&amp;J187,downloads!$A$1:$E$1000,2,FALSE),"")</f>
        <v/>
      </c>
      <c r="L187" s="286" t="str">
        <f t="shared" ca="1" si="46"/>
        <v>Macc</v>
      </c>
      <c r="O187" s="299"/>
      <c r="Q187" s="307" t="str">
        <f ca="1">IFERROR(VLOOKUP($A182&amp;D187,competitors,4,FALSE),"")</f>
        <v/>
      </c>
      <c r="R187" s="307" t="str">
        <f ca="1">IFERROR(VLOOKUP($A182&amp;J187,competitors,4,FALSE),"")</f>
        <v/>
      </c>
    </row>
    <row r="188" spans="1:18" x14ac:dyDescent="0.35">
      <c r="A188" s="105">
        <f ca="1">IFERROR(VLOOKUP(A182,standards,4,FALSE)+0.01,"-")</f>
        <v>1.1678240740740741E-2</v>
      </c>
      <c r="B188" s="105"/>
      <c r="C188" s="298">
        <v>4</v>
      </c>
      <c r="D188" s="298">
        <f ca="1">IFERROR(IF(C188&gt;MatchDay!$U$2+MatchDay!$D$6-1,"",VLOOKUP(A182,Timetables!$A:$EB,MatchDay!$U$4+C188-MatchDay!$D$6,FALSE)),"")</f>
        <v>3</v>
      </c>
      <c r="E188" s="286" t="str">
        <f ca="1">IFERROR(VLOOKUP($A182&amp;D188,downloads!$A$1:$E$1000,2,FALSE),"")</f>
        <v>Barnaby CROMBLEHOLME</v>
      </c>
      <c r="F188" s="286" t="str">
        <f t="shared" ca="1" si="47"/>
        <v>Leigh</v>
      </c>
      <c r="G188" s="291"/>
      <c r="H188" s="297"/>
      <c r="I188" s="298">
        <v>4</v>
      </c>
      <c r="J188" s="298">
        <f t="shared" ca="1" si="48"/>
        <v>33</v>
      </c>
      <c r="K188" s="286" t="str">
        <f ca="1">IFERROR(VLOOKUP($A182&amp;J188,downloads!$A$1:$E$1000,2,FALSE),"")</f>
        <v/>
      </c>
      <c r="L188" s="286" t="str">
        <f t="shared" ca="1" si="46"/>
        <v>Leigh</v>
      </c>
      <c r="O188" s="299"/>
      <c r="Q188" s="307">
        <f ca="1">IFERROR(VLOOKUP($A182&amp;D188,competitors,4,FALSE),"")</f>
        <v>1</v>
      </c>
      <c r="R188" s="307" t="str">
        <f ca="1">IFERROR(VLOOKUP($A182&amp;J188,competitors,4,FALSE),"")</f>
        <v/>
      </c>
    </row>
    <row r="189" spans="1:18" x14ac:dyDescent="0.35">
      <c r="A189" s="105">
        <f ca="1">IFERROR(VLOOKUP(A182,standards,5,FALSE)+0.01,"-")</f>
        <v>1.1631944444444445E-2</v>
      </c>
      <c r="B189" s="105"/>
      <c r="C189" s="298">
        <v>5</v>
      </c>
      <c r="D189" s="298">
        <f ca="1">IFERROR(IF(C189&gt;MatchDay!$U$2+MatchDay!$D$6-1,"",VLOOKUP(A182,Timetables!$A:$EB,MatchDay!$U$4+C189-MatchDay!$D$6,FALSE)),"")</f>
        <v>1</v>
      </c>
      <c r="E189" s="286" t="str">
        <f ca="1">IFERROR(VLOOKUP($A182&amp;D189,downloads!$A$1:$E$1000,2,FALSE),"")</f>
        <v>Saif AL-BAYATTI</v>
      </c>
      <c r="F189" s="286" t="str">
        <f t="shared" ca="1" si="47"/>
        <v>C&amp;N</v>
      </c>
      <c r="G189" s="291"/>
      <c r="H189" s="297"/>
      <c r="I189" s="298">
        <v>5</v>
      </c>
      <c r="J189" s="298">
        <f t="shared" ca="1" si="48"/>
        <v>11</v>
      </c>
      <c r="K189" s="286" t="str">
        <f ca="1">IFERROR(VLOOKUP($A182&amp;J189,downloads!$A$1:$E$1000,2,FALSE),"")</f>
        <v/>
      </c>
      <c r="L189" s="286" t="str">
        <f t="shared" ca="1" si="46"/>
        <v>C&amp;N</v>
      </c>
      <c r="O189" s="299"/>
      <c r="Q189" s="307">
        <f ca="1">IFERROR(VLOOKUP($A182&amp;D189,competitors,4,FALSE),"")</f>
        <v>1</v>
      </c>
      <c r="R189" s="307" t="str">
        <f ca="1">IFERROR(VLOOKUP($A182&amp;J189,competitors,4,FALSE),"")</f>
        <v/>
      </c>
    </row>
    <row r="190" spans="1:18" x14ac:dyDescent="0.35">
      <c r="A190" s="105">
        <f ca="1">IFERROR(VLOOKUP(A182,standards,6,FALSE)+0.01,"-")</f>
        <v>1.1597222222222222E-2</v>
      </c>
      <c r="B190" s="105"/>
      <c r="C190" s="298">
        <v>6</v>
      </c>
      <c r="D190" s="298">
        <f ca="1">IFERROR(IF(C190&gt;MatchDay!$U$2+MatchDay!$D$6-1,"",VLOOKUP(A182,Timetables!$A:$EB,MatchDay!$U$4+C190-MatchDay!$D$6,FALSE)),"")</f>
        <v>5</v>
      </c>
      <c r="E190" s="286" t="str">
        <f ca="1">IFERROR(VLOOKUP($A182&amp;D190,downloads!$A$1:$E$1000,2,FALSE),"")</f>
        <v/>
      </c>
      <c r="F190" s="286" t="str">
        <f t="shared" ca="1" si="47"/>
        <v>Menai</v>
      </c>
      <c r="G190" s="291"/>
      <c r="H190" s="297"/>
      <c r="I190" s="298">
        <v>6</v>
      </c>
      <c r="J190" s="298">
        <f t="shared" ca="1" si="48"/>
        <v>55</v>
      </c>
      <c r="K190" s="286" t="str">
        <f ca="1">IFERROR(VLOOKUP($A182&amp;J190,downloads!$A$1:$E$1000,2,FALSE),"")</f>
        <v/>
      </c>
      <c r="L190" s="286" t="str">
        <f t="shared" ca="1" si="46"/>
        <v>Menai</v>
      </c>
      <c r="O190" s="299"/>
      <c r="Q190" s="307" t="str">
        <f ca="1">IFERROR(VLOOKUP($A182&amp;D190,competitors,4,FALSE),"")</f>
        <v/>
      </c>
      <c r="R190" s="307" t="str">
        <f ca="1">IFERROR(VLOOKUP($A182&amp;J190,competitors,4,FALSE),"")</f>
        <v/>
      </c>
    </row>
    <row r="191" spans="1:18" x14ac:dyDescent="0.35">
      <c r="A191" s="300">
        <f ca="1">IFERROR(SEARCH("Girls",C182),0)</f>
        <v>0</v>
      </c>
      <c r="C191" s="298">
        <v>7</v>
      </c>
      <c r="D191" s="298">
        <f ca="1">IFERROR(IF(C191&gt;MatchDay!$U$2+MatchDay!$D$6-1,"",VLOOKUP(A182,Timetables!$A:$EB,MatchDay!$U$4+C191-MatchDay!$D$6,FALSE)),"")</f>
        <v>7</v>
      </c>
      <c r="E191" s="286" t="str">
        <f ca="1">IFERROR(VLOOKUP($A182&amp;D191,downloads!$A$1:$E$1000,2,FALSE),"")</f>
        <v/>
      </c>
      <c r="F191" s="286" t="str">
        <f t="shared" ca="1" si="47"/>
        <v>Wigan</v>
      </c>
      <c r="G191" s="291"/>
      <c r="H191" s="297"/>
      <c r="I191" s="298">
        <v>7</v>
      </c>
      <c r="J191" s="298">
        <f t="shared" ca="1" si="48"/>
        <v>77</v>
      </c>
      <c r="K191" s="286" t="str">
        <f ca="1">IFERROR(VLOOKUP($A182&amp;J191,downloads!$A$1:$E$1000,2,FALSE),"")</f>
        <v/>
      </c>
      <c r="L191" s="286" t="str">
        <f t="shared" ca="1" si="46"/>
        <v>Wigan</v>
      </c>
      <c r="O191" s="299"/>
      <c r="Q191" s="307" t="str">
        <f ca="1">IFERROR(VLOOKUP($A182&amp;D191,competitors,4,FALSE),"")</f>
        <v/>
      </c>
      <c r="R191" s="307" t="str">
        <f ca="1">IFERROR(VLOOKUP($A182&amp;J191,competitors,4,FALSE),"")</f>
        <v/>
      </c>
    </row>
    <row r="192" spans="1:18" x14ac:dyDescent="0.35">
      <c r="A192" s="103">
        <f ca="1">IFERROR(VLOOKUP(A182,records,5,FALSE),"")</f>
        <v>1.3854166666666667E-3</v>
      </c>
      <c r="B192" s="103"/>
      <c r="C192" s="298">
        <v>8</v>
      </c>
      <c r="D192" s="298" t="str">
        <f>IFERROR(IF(C192&gt;MatchDay!$U$2+MatchDay!$D$6-1,"",VLOOKUP(A182,Timetables!$A:$EB,MatchDay!$U$4+C192-MatchDay!$D$6,FALSE)),"")</f>
        <v/>
      </c>
      <c r="E192" s="286" t="str">
        <f ca="1">IFERROR(VLOOKUP($A182&amp;D192,downloads!$A$1:$E$1000,2,FALSE),"")</f>
        <v/>
      </c>
      <c r="F192" s="286" t="str">
        <f t="shared" si="47"/>
        <v/>
      </c>
      <c r="G192" s="291"/>
      <c r="H192" s="297"/>
      <c r="I192" s="298">
        <v>8</v>
      </c>
      <c r="J192" s="298" t="str">
        <f t="shared" si="48"/>
        <v/>
      </c>
      <c r="K192" s="286" t="str">
        <f ca="1">IFERROR(VLOOKUP($A182&amp;J192,downloads!$A$1:$E$1000,2,FALSE),"")</f>
        <v/>
      </c>
      <c r="L192" s="286" t="str">
        <f t="shared" si="46"/>
        <v/>
      </c>
      <c r="O192" s="299"/>
      <c r="Q192" s="307" t="str">
        <f ca="1">IFERROR(VLOOKUP($A182&amp;D192,competitors,4,FALSE),"")</f>
        <v/>
      </c>
      <c r="R192" s="307" t="str">
        <f ca="1">IFERROR(VLOOKUP($A182&amp;J192,competitors,4,FALSE),"")</f>
        <v/>
      </c>
    </row>
    <row r="193" spans="1:18" x14ac:dyDescent="0.35">
      <c r="Q193" s="307"/>
      <c r="R193" s="307"/>
    </row>
    <row r="194" spans="1:18" x14ac:dyDescent="0.35">
      <c r="A194" s="98" t="str">
        <f ca="1">IFERROR(INDIRECT(CONCATENATE("'Timetables'!A"&amp;A198)),"")</f>
        <v>LT09</v>
      </c>
      <c r="B194" s="304" t="str">
        <f ca="1">IFERROR(TEXT(VLOOKUP(A194,timetables,7-MatchDay!$U$7,FALSE),"hh:mm"),"")</f>
        <v>14:05</v>
      </c>
      <c r="C194" s="292" t="str">
        <f ca="1">IFERROR(VLOOKUP(A194,timetables,2,FALSE)&amp;" "&amp;VLOOKUP(A194,timetables,3,FALSE)&amp;" A","")</f>
        <v>75m U13 Girls A</v>
      </c>
      <c r="D194" s="292"/>
      <c r="F194" s="293"/>
      <c r="G194" s="294"/>
      <c r="L194" s="360"/>
      <c r="M194" s="296"/>
      <c r="N194" s="286"/>
      <c r="Q194" s="307"/>
      <c r="R194" s="307"/>
    </row>
    <row r="195" spans="1:18" x14ac:dyDescent="0.35">
      <c r="A195" s="98"/>
      <c r="B195" s="98"/>
      <c r="C195" s="295" t="str">
        <f ca="1">IFERROR("Rec: "&amp;VLOOKUP(A194,records,4,FALSE),"")</f>
        <v>Rec: 9.5 Lily Thurbon-Smith, Bournemouth &amp; New Forest Juniors, 2018</v>
      </c>
      <c r="D195" s="292"/>
      <c r="F195" s="293"/>
      <c r="G195" s="294"/>
      <c r="I195" s="295"/>
      <c r="L195" s="360"/>
      <c r="M195" s="296"/>
      <c r="N195" s="286"/>
      <c r="Q195" s="307"/>
      <c r="R195" s="307"/>
    </row>
    <row r="196" spans="1:18" x14ac:dyDescent="0.35">
      <c r="A196" s="82" t="str">
        <f ca="1">MID(A194,2,3)</f>
        <v>T09</v>
      </c>
      <c r="B196" s="82"/>
      <c r="C196" s="304" t="s">
        <v>542</v>
      </c>
      <c r="D196" s="304" t="s">
        <v>141</v>
      </c>
      <c r="E196" s="286" t="s">
        <v>174</v>
      </c>
      <c r="F196" s="286" t="s">
        <v>175</v>
      </c>
      <c r="G196" s="291"/>
      <c r="I196" s="304" t="s">
        <v>542</v>
      </c>
      <c r="J196" s="304" t="s">
        <v>141</v>
      </c>
      <c r="K196" s="286" t="s">
        <v>174</v>
      </c>
      <c r="L196" s="286" t="s">
        <v>175</v>
      </c>
      <c r="O196" s="299"/>
      <c r="Q196" s="307"/>
      <c r="R196" s="307"/>
    </row>
    <row r="197" spans="1:18" x14ac:dyDescent="0.35">
      <c r="A197" s="138"/>
      <c r="B197" s="103"/>
      <c r="C197" s="298">
        <v>1</v>
      </c>
      <c r="D197" s="298">
        <f ca="1">IFERROR(IF(C197&gt;MatchDay!$U$2,"",IF(MatchDay!$D$6=2,"",VLOOKUP(A194,Timetables!$A:$EB,MatchDay!$U$4+C197-MatchDay!$D$6,FALSE))),"")</f>
        <v>4</v>
      </c>
      <c r="E197" s="286" t="str">
        <f ca="1">IFERROR(VLOOKUP($A194&amp;D197,downloads!$A$1:$E$1000,2,FALSE),"")</f>
        <v>Lara ADU-GYAMFI</v>
      </c>
      <c r="F197" s="286" t="str">
        <f ca="1">IFERROR(VLOOKUP(D197,teamlookup,5,FALSE),"")</f>
        <v>Macc</v>
      </c>
      <c r="G197" s="291"/>
      <c r="H197" s="297"/>
      <c r="I197" s="298">
        <v>1</v>
      </c>
      <c r="J197" s="298">
        <f ca="1">IFERROR(D197*11,"")</f>
        <v>44</v>
      </c>
      <c r="K197" s="286" t="str">
        <f ca="1">IFERROR(VLOOKUP($A194&amp;J197,downloads!$A$1:$E$1000,2,FALSE),"")</f>
        <v>Molly KENT</v>
      </c>
      <c r="L197" s="286" t="str">
        <f t="shared" ref="L197:L204" ca="1" si="49">IFERROR(VLOOKUP(J197,teamlookup,5,FALSE),"")</f>
        <v>Macc</v>
      </c>
      <c r="O197" s="299"/>
      <c r="Q197" s="307">
        <f ca="1">IFERROR(VLOOKUP($A194&amp;D197,competitors,4,FALSE),"")</f>
        <v>1</v>
      </c>
      <c r="R197" s="307">
        <f ca="1">IFERROR(VLOOKUP($A194&amp;J197,competitors,4,FALSE),"")</f>
        <v>1</v>
      </c>
    </row>
    <row r="198" spans="1:18" x14ac:dyDescent="0.35">
      <c r="A198" s="304">
        <f>A186+1</f>
        <v>19</v>
      </c>
      <c r="C198" s="298">
        <v>2</v>
      </c>
      <c r="D198" s="298">
        <f ca="1">IFERROR(IF(C198&gt;MatchDay!$U$2+MatchDay!$D$6-1,"",VLOOKUP(A194,Timetables!$A:$EB,MatchDay!$U$4+C198-MatchDay!$D$6,FALSE)),"")</f>
        <v>2</v>
      </c>
      <c r="E198" s="286" t="str">
        <f ca="1">IFERROR(VLOOKUP($A194&amp;D198,downloads!$A$1:$E$1000,2,FALSE),"")</f>
        <v>Olivia JONES</v>
      </c>
      <c r="F198" s="286" t="str">
        <f t="shared" ref="F198:F204" ca="1" si="50">IFERROR(VLOOKUP(D198,teamlookup,5,FALSE),"")</f>
        <v>ECHT</v>
      </c>
      <c r="G198" s="291"/>
      <c r="H198" s="297"/>
      <c r="I198" s="298">
        <v>2</v>
      </c>
      <c r="J198" s="298">
        <f t="shared" ref="J198:J204" ca="1" si="51">IFERROR(D198*11,"")</f>
        <v>22</v>
      </c>
      <c r="K198" s="286" t="str">
        <f ca="1">IFERROR(VLOOKUP($A194&amp;J198,downloads!$A$1:$E$1000,2,FALSE),"")</f>
        <v>Madaline BURKE</v>
      </c>
      <c r="L198" s="286" t="str">
        <f t="shared" ca="1" si="49"/>
        <v>ECHT</v>
      </c>
      <c r="O198" s="299"/>
      <c r="Q198" s="307">
        <f ca="1">IFERROR(VLOOKUP($A194&amp;D198,competitors,4,FALSE),"")</f>
        <v>1</v>
      </c>
      <c r="R198" s="307">
        <f ca="1">IFERROR(VLOOKUP($A194&amp;J198,competitors,4,FALSE),"")</f>
        <v>1</v>
      </c>
    </row>
    <row r="199" spans="1:18" x14ac:dyDescent="0.35">
      <c r="A199" s="105">
        <f ca="1">IFERROR(VLOOKUP(A194,standards,3,FALSE)+0.01,"-")</f>
        <v>13.01</v>
      </c>
      <c r="B199" s="105"/>
      <c r="C199" s="298">
        <v>3</v>
      </c>
      <c r="D199" s="298">
        <f ca="1">IFERROR(IF(C199&gt;MatchDay!$U$2+MatchDay!$D$6-1,"",VLOOKUP(A194,Timetables!$A:$EB,MatchDay!$U$4+C199-MatchDay!$D$6,FALSE)),"")</f>
        <v>3</v>
      </c>
      <c r="E199" s="286" t="str">
        <f ca="1">IFERROR(VLOOKUP($A194&amp;D199,downloads!$A$1:$E$1000,2,FALSE),"")</f>
        <v>Ava BROOMES</v>
      </c>
      <c r="F199" s="286" t="str">
        <f t="shared" ca="1" si="50"/>
        <v>Leigh</v>
      </c>
      <c r="G199" s="291"/>
      <c r="H199" s="297"/>
      <c r="I199" s="298">
        <v>3</v>
      </c>
      <c r="J199" s="298">
        <f t="shared" ca="1" si="51"/>
        <v>33</v>
      </c>
      <c r="K199" s="286" t="str">
        <f ca="1">IFERROR(VLOOKUP($A194&amp;J199,downloads!$A$1:$E$1000,2,FALSE),"")</f>
        <v>Isabella GORMAN</v>
      </c>
      <c r="L199" s="286" t="str">
        <f t="shared" ca="1" si="49"/>
        <v>Leigh</v>
      </c>
      <c r="O199" s="299"/>
      <c r="Q199" s="307">
        <f ca="1">IFERROR(VLOOKUP($A194&amp;D199,competitors,4,FALSE),"")</f>
        <v>1</v>
      </c>
      <c r="R199" s="307">
        <f ca="1">IFERROR(VLOOKUP($A194&amp;J199,competitors,4,FALSE),"")</f>
        <v>1</v>
      </c>
    </row>
    <row r="200" spans="1:18" x14ac:dyDescent="0.35">
      <c r="A200" s="105">
        <f ca="1">IFERROR(VLOOKUP(A194,standards,4,FALSE)+0.01,"-")</f>
        <v>12.51</v>
      </c>
      <c r="B200" s="105"/>
      <c r="C200" s="298">
        <v>4</v>
      </c>
      <c r="D200" s="298">
        <f ca="1">IFERROR(IF(C200&gt;MatchDay!$U$2+MatchDay!$D$6-1,"",VLOOKUP(A194,Timetables!$A:$EB,MatchDay!$U$4+C200-MatchDay!$D$6,FALSE)),"")</f>
        <v>1</v>
      </c>
      <c r="E200" s="286" t="str">
        <f ca="1">IFERROR(VLOOKUP($A194&amp;D200,downloads!$A$1:$E$1000,2,FALSE),"")</f>
        <v>Sofiya HARE</v>
      </c>
      <c r="F200" s="286" t="str">
        <f t="shared" ca="1" si="50"/>
        <v>C&amp;N</v>
      </c>
      <c r="G200" s="291"/>
      <c r="H200" s="297"/>
      <c r="I200" s="298">
        <v>4</v>
      </c>
      <c r="J200" s="298">
        <f t="shared" ca="1" si="51"/>
        <v>11</v>
      </c>
      <c r="K200" s="286" t="str">
        <f ca="1">IFERROR(VLOOKUP($A194&amp;J200,downloads!$A$1:$E$1000,2,FALSE),"")</f>
        <v>Malkia HENRY</v>
      </c>
      <c r="L200" s="286" t="str">
        <f t="shared" ca="1" si="49"/>
        <v>C&amp;N</v>
      </c>
      <c r="O200" s="299"/>
      <c r="Q200" s="307">
        <f ca="1">IFERROR(VLOOKUP($A194&amp;D200,competitors,4,FALSE),"")</f>
        <v>1</v>
      </c>
      <c r="R200" s="307">
        <f ca="1">IFERROR(VLOOKUP($A194&amp;J200,competitors,4,FALSE),"")</f>
        <v>1</v>
      </c>
    </row>
    <row r="201" spans="1:18" x14ac:dyDescent="0.35">
      <c r="A201" s="105">
        <f ca="1">IFERROR(VLOOKUP(A194,standards,5,FALSE)+0.01,"-")</f>
        <v>12.11</v>
      </c>
      <c r="B201" s="105"/>
      <c r="C201" s="298">
        <v>5</v>
      </c>
      <c r="D201" s="298">
        <f ca="1">IFERROR(IF(C201&gt;MatchDay!$U$2+MatchDay!$D$6-1,"",VLOOKUP(A194,Timetables!$A:$EB,MatchDay!$U$4+C201-MatchDay!$D$6,FALSE)),"")</f>
        <v>7</v>
      </c>
      <c r="E201" s="286" t="str">
        <f ca="1">IFERROR(VLOOKUP($A194&amp;D201,downloads!$A$1:$E$1000,2,FALSE),"")</f>
        <v>Mia LACEY</v>
      </c>
      <c r="F201" s="286" t="str">
        <f t="shared" ca="1" si="50"/>
        <v>Wigan</v>
      </c>
      <c r="G201" s="291"/>
      <c r="H201" s="297"/>
      <c r="I201" s="298">
        <v>5</v>
      </c>
      <c r="J201" s="298">
        <f t="shared" ca="1" si="51"/>
        <v>77</v>
      </c>
      <c r="K201" s="286" t="str">
        <f ca="1">IFERROR(VLOOKUP($A194&amp;J201,downloads!$A$1:$E$1000,2,FALSE),"")</f>
        <v>Elody HILL</v>
      </c>
      <c r="L201" s="286" t="str">
        <f t="shared" ca="1" si="49"/>
        <v>Wigan</v>
      </c>
      <c r="O201" s="299"/>
      <c r="Q201" s="307">
        <f ca="1">IFERROR(VLOOKUP($A194&amp;D201,competitors,4,FALSE),"")</f>
        <v>1</v>
      </c>
      <c r="R201" s="307">
        <f ca="1">IFERROR(VLOOKUP($A194&amp;J201,competitors,4,FALSE),"")</f>
        <v>1</v>
      </c>
    </row>
    <row r="202" spans="1:18" x14ac:dyDescent="0.35">
      <c r="A202" s="105">
        <f ca="1">IFERROR(VLOOKUP(A194,standards,6,FALSE)+0.01,"-")</f>
        <v>11.709999999999999</v>
      </c>
      <c r="B202" s="105"/>
      <c r="C202" s="298">
        <v>6</v>
      </c>
      <c r="D202" s="298">
        <f ca="1">IFERROR(IF(C202&gt;MatchDay!$U$2+MatchDay!$D$6-1,"",VLOOKUP(A194,Timetables!$A:$EB,MatchDay!$U$4+C202-MatchDay!$D$6,FALSE)),"")</f>
        <v>5</v>
      </c>
      <c r="E202" s="286" t="str">
        <f ca="1">IFERROR(VLOOKUP($A194&amp;D202,downloads!$A$1:$E$1000,2,FALSE),"")</f>
        <v>Ela EDWARDS</v>
      </c>
      <c r="F202" s="286" t="str">
        <f t="shared" ca="1" si="50"/>
        <v>Menai</v>
      </c>
      <c r="G202" s="291"/>
      <c r="H202" s="297"/>
      <c r="I202" s="298">
        <v>6</v>
      </c>
      <c r="J202" s="298">
        <f t="shared" ca="1" si="51"/>
        <v>55</v>
      </c>
      <c r="K202" s="286" t="str">
        <f ca="1">IFERROR(VLOOKUP($A194&amp;J202,downloads!$A$1:$E$1000,2,FALSE),"")</f>
        <v>Holly WORTH</v>
      </c>
      <c r="L202" s="286" t="str">
        <f t="shared" ca="1" si="49"/>
        <v>Menai</v>
      </c>
      <c r="O202" s="299"/>
      <c r="Q202" s="307">
        <f ca="1">IFERROR(VLOOKUP($A194&amp;D202,competitors,4,FALSE),"")</f>
        <v>1</v>
      </c>
      <c r="R202" s="307">
        <f ca="1">IFERROR(VLOOKUP($A194&amp;J202,competitors,4,FALSE),"")</f>
        <v>1</v>
      </c>
    </row>
    <row r="203" spans="1:18" x14ac:dyDescent="0.35">
      <c r="A203" s="300">
        <f ca="1">IFERROR(SEARCH("Girls",C194),0)</f>
        <v>9</v>
      </c>
      <c r="C203" s="298">
        <v>7</v>
      </c>
      <c r="D203" s="298">
        <f ca="1">IFERROR(IF(C203&gt;MatchDay!$U$2+MatchDay!$D$6-1,"",VLOOKUP(A194,Timetables!$A:$EB,MatchDay!$U$4+C203-MatchDay!$D$6,FALSE)),"")</f>
        <v>6</v>
      </c>
      <c r="E203" s="286" t="str">
        <f ca="1">IFERROR(VLOOKUP($A194&amp;D203,downloads!$A$1:$E$1000,2,FALSE),"")</f>
        <v>Emily FOX</v>
      </c>
      <c r="F203" s="286" t="str">
        <f t="shared" ca="1" si="50"/>
        <v>Stock</v>
      </c>
      <c r="G203" s="291"/>
      <c r="H203" s="297"/>
      <c r="I203" s="298">
        <v>7</v>
      </c>
      <c r="J203" s="298">
        <f t="shared" ca="1" si="51"/>
        <v>66</v>
      </c>
      <c r="K203" s="286" t="str">
        <f ca="1">IFERROR(VLOOKUP($A194&amp;J203,downloads!$A$1:$E$1000,2,FALSE),"")</f>
        <v>Sophie LOW</v>
      </c>
      <c r="L203" s="286" t="str">
        <f t="shared" ca="1" si="49"/>
        <v>Stock</v>
      </c>
      <c r="O203" s="299"/>
      <c r="Q203" s="307">
        <f ca="1">IFERROR(VLOOKUP($A194&amp;D203,competitors,4,FALSE),"")</f>
        <v>1</v>
      </c>
      <c r="R203" s="307">
        <f ca="1">IFERROR(VLOOKUP($A194&amp;J203,competitors,4,FALSE),"")</f>
        <v>1</v>
      </c>
    </row>
    <row r="204" spans="1:18" x14ac:dyDescent="0.35">
      <c r="A204" s="103">
        <f ca="1">IFERROR(VLOOKUP(A194,records,5,FALSE),"")</f>
        <v>9.5</v>
      </c>
      <c r="B204" s="103"/>
      <c r="C204" s="298">
        <v>8</v>
      </c>
      <c r="D204" s="298" t="str">
        <f>IFERROR(IF(C204&gt;MatchDay!$U$2+MatchDay!$D$6-1,"",VLOOKUP(A194,Timetables!$A:$EB,MatchDay!$U$4+C204-MatchDay!$D$6,FALSE)),"")</f>
        <v/>
      </c>
      <c r="E204" s="286" t="str">
        <f ca="1">IFERROR(VLOOKUP($A194&amp;D204,downloads!$A$1:$E$1000,2,FALSE),"")</f>
        <v/>
      </c>
      <c r="F204" s="286" t="str">
        <f t="shared" si="50"/>
        <v/>
      </c>
      <c r="G204" s="291"/>
      <c r="H204" s="297"/>
      <c r="I204" s="298">
        <v>8</v>
      </c>
      <c r="J204" s="298" t="str">
        <f t="shared" si="51"/>
        <v/>
      </c>
      <c r="K204" s="286" t="str">
        <f ca="1">IFERROR(VLOOKUP($A194&amp;J204,downloads!$A$1:$E$1000,2,FALSE),"")</f>
        <v/>
      </c>
      <c r="L204" s="286" t="str">
        <f t="shared" si="49"/>
        <v/>
      </c>
      <c r="O204" s="299"/>
      <c r="Q204" s="307" t="str">
        <f ca="1">IFERROR(VLOOKUP($A194&amp;D204,competitors,4,FALSE),"")</f>
        <v/>
      </c>
      <c r="R204" s="307" t="str">
        <f ca="1">IFERROR(VLOOKUP($A194&amp;J204,competitors,4,FALSE),"")</f>
        <v/>
      </c>
    </row>
    <row r="205" spans="1:18" x14ac:dyDescent="0.35">
      <c r="Q205" s="307"/>
      <c r="R205" s="307"/>
    </row>
    <row r="206" spans="1:18" x14ac:dyDescent="0.35">
      <c r="A206" s="98" t="str">
        <f ca="1">IFERROR(INDIRECT(CONCATENATE("'Timetables'!A"&amp;A210)),"")</f>
        <v>LT10</v>
      </c>
      <c r="B206" s="304" t="str">
        <f ca="1">IFERROR(TEXT(VLOOKUP(A206,timetables,7-MatchDay!$U$7,FALSE),"hh:mm"),"")</f>
        <v>14:15</v>
      </c>
      <c r="C206" s="292" t="str">
        <f ca="1">IFERROR(VLOOKUP(A206,timetables,2,FALSE)&amp;" "&amp;VLOOKUP(A206,timetables,3,FALSE)&amp;" A","")</f>
        <v>75m NS U13 Girls A</v>
      </c>
      <c r="D206" s="292"/>
      <c r="F206" s="293"/>
      <c r="G206" s="294"/>
      <c r="L206" s="360"/>
      <c r="M206" s="296"/>
      <c r="N206" s="286"/>
      <c r="Q206" s="307"/>
      <c r="R206" s="307"/>
    </row>
    <row r="207" spans="1:18" x14ac:dyDescent="0.35">
      <c r="A207" s="98"/>
      <c r="B207" s="98"/>
      <c r="C207" s="295" t="str">
        <f ca="1">IFERROR("Rec: "&amp;VLOOKUP(A206,records,4,FALSE),"")</f>
        <v>Rec: 9.5 Lily Thurbon-Smith, Bournemouth &amp; New Forest Juniors, 2018</v>
      </c>
      <c r="D207" s="292"/>
      <c r="F207" s="293"/>
      <c r="G207" s="294"/>
      <c r="I207" s="295"/>
      <c r="L207" s="360"/>
      <c r="M207" s="296"/>
      <c r="N207" s="286"/>
      <c r="Q207" s="307"/>
      <c r="R207" s="307"/>
    </row>
    <row r="208" spans="1:18" x14ac:dyDescent="0.35">
      <c r="A208" s="82" t="str">
        <f ca="1">MID(A206,2,3)</f>
        <v>T10</v>
      </c>
      <c r="B208" s="82"/>
      <c r="C208" s="304" t="s">
        <v>542</v>
      </c>
      <c r="D208" s="304" t="s">
        <v>141</v>
      </c>
      <c r="E208" s="286" t="s">
        <v>174</v>
      </c>
      <c r="F208" s="286" t="s">
        <v>175</v>
      </c>
      <c r="G208" s="291"/>
      <c r="I208" s="304" t="s">
        <v>542</v>
      </c>
      <c r="J208" s="304" t="s">
        <v>141</v>
      </c>
      <c r="K208" s="286" t="s">
        <v>174</v>
      </c>
      <c r="L208" s="286" t="s">
        <v>175</v>
      </c>
      <c r="O208" s="299"/>
      <c r="Q208" s="307"/>
      <c r="R208" s="307"/>
    </row>
    <row r="209" spans="1:18" x14ac:dyDescent="0.35">
      <c r="A209" s="138"/>
      <c r="B209" s="103"/>
      <c r="C209" s="298">
        <v>1</v>
      </c>
      <c r="D209" s="298">
        <f ca="1">IFERROR(IF(C209&gt;MatchDay!$U$2,"",IF(MatchDay!$D$6=2,"",VLOOKUP(A206,Timetables!$A:$EB,MatchDay!$U$4+C209-MatchDay!$D$6,FALSE))),"")</f>
        <v>4</v>
      </c>
      <c r="E209" s="286" t="str">
        <f ca="1">IFERROR(VLOOKUP($A206&amp;D209,downloads!$A$1:$E$1000,2,FALSE),"")</f>
        <v>Lauren HARPER</v>
      </c>
      <c r="F209" s="286" t="str">
        <f ca="1">IFERROR(VLOOKUP(D209,teamlookup,5,FALSE),"")</f>
        <v>Macc</v>
      </c>
      <c r="G209" s="291"/>
      <c r="H209" s="297"/>
      <c r="I209" s="298">
        <v>1</v>
      </c>
      <c r="J209" s="298">
        <f ca="1">IFERROR(D209*11,"")</f>
        <v>44</v>
      </c>
      <c r="K209" s="286" t="str">
        <f ca="1">IFERROR(VLOOKUP($A206&amp;J209,downloads!$A$1:$E$1000,2,FALSE),"")</f>
        <v>Charlotte RHODES</v>
      </c>
      <c r="L209" s="286" t="str">
        <f t="shared" ref="L209:L216" ca="1" si="52">IFERROR(VLOOKUP(J209,teamlookup,5,FALSE),"")</f>
        <v>Macc</v>
      </c>
      <c r="O209" s="299"/>
      <c r="Q209" s="307">
        <f ca="1">IFERROR(VLOOKUP($A206&amp;D209,competitors,4,FALSE),"")</f>
        <v>1</v>
      </c>
      <c r="R209" s="307">
        <f ca="1">IFERROR(VLOOKUP($A206&amp;J209,competitors,4,FALSE),"")</f>
        <v>1</v>
      </c>
    </row>
    <row r="210" spans="1:18" x14ac:dyDescent="0.35">
      <c r="A210" s="304">
        <f>A198+1</f>
        <v>20</v>
      </c>
      <c r="C210" s="298">
        <v>2</v>
      </c>
      <c r="D210" s="298">
        <f ca="1">IFERROR(IF(C210&gt;MatchDay!$U$2+MatchDay!$D$6-1,"",VLOOKUP(A206,Timetables!$A:$EB,MatchDay!$U$4+C210-MatchDay!$D$6,FALSE)),"")</f>
        <v>2</v>
      </c>
      <c r="E210" s="286" t="str">
        <f ca="1">IFERROR(VLOOKUP($A206&amp;D210,downloads!$A$1:$E$1000,2,FALSE),"")</f>
        <v>Olivia GOFF</v>
      </c>
      <c r="F210" s="286" t="str">
        <f t="shared" ref="F210:F216" ca="1" si="53">IFERROR(VLOOKUP(D210,teamlookup,5,FALSE),"")</f>
        <v>ECHT</v>
      </c>
      <c r="G210" s="291"/>
      <c r="H210" s="297"/>
      <c r="I210" s="298">
        <v>2</v>
      </c>
      <c r="J210" s="298">
        <f t="shared" ref="J210:J216" ca="1" si="54">IFERROR(D210*11,"")</f>
        <v>22</v>
      </c>
      <c r="K210" s="286" t="str">
        <f ca="1">IFERROR(VLOOKUP($A206&amp;J210,downloads!$A$1:$E$1000,2,FALSE),"")</f>
        <v>Scarlett LYNE</v>
      </c>
      <c r="L210" s="286" t="str">
        <f t="shared" ca="1" si="52"/>
        <v>ECHT</v>
      </c>
      <c r="O210" s="299"/>
      <c r="Q210" s="307">
        <f ca="1">IFERROR(VLOOKUP($A206&amp;D210,competitors,4,FALSE),"")</f>
        <v>1</v>
      </c>
      <c r="R210" s="307">
        <f ca="1">IFERROR(VLOOKUP($A206&amp;J210,competitors,4,FALSE),"")</f>
        <v>1</v>
      </c>
    </row>
    <row r="211" spans="1:18" x14ac:dyDescent="0.35">
      <c r="A211" s="105">
        <f ca="1">IFERROR(VLOOKUP(A206,standards,3,FALSE)+0.01,"-")</f>
        <v>13.01</v>
      </c>
      <c r="B211" s="105"/>
      <c r="C211" s="298">
        <v>3</v>
      </c>
      <c r="D211" s="298">
        <f ca="1">IFERROR(IF(C211&gt;MatchDay!$U$2+MatchDay!$D$6-1,"",VLOOKUP(A206,Timetables!$A:$EB,MatchDay!$U$4+C211-MatchDay!$D$6,FALSE)),"")</f>
        <v>3</v>
      </c>
      <c r="E211" s="286" t="str">
        <f ca="1">IFERROR(VLOOKUP($A206&amp;D211,downloads!$A$1:$E$1000,2,FALSE),"")</f>
        <v>Ella WATSON</v>
      </c>
      <c r="F211" s="286" t="str">
        <f t="shared" ca="1" si="53"/>
        <v>Leigh</v>
      </c>
      <c r="G211" s="291"/>
      <c r="H211" s="297"/>
      <c r="I211" s="298">
        <v>3</v>
      </c>
      <c r="J211" s="298">
        <f t="shared" ca="1" si="54"/>
        <v>33</v>
      </c>
      <c r="K211" s="286" t="str">
        <f ca="1">IFERROR(VLOOKUP($A206&amp;J211,downloads!$A$1:$E$1000,2,FALSE),"")</f>
        <v/>
      </c>
      <c r="L211" s="286" t="str">
        <f t="shared" ca="1" si="52"/>
        <v>Leigh</v>
      </c>
      <c r="O211" s="299"/>
      <c r="Q211" s="307">
        <f ca="1">IFERROR(VLOOKUP($A206&amp;D211,competitors,4,FALSE),"")</f>
        <v>1</v>
      </c>
      <c r="R211" s="307" t="str">
        <f ca="1">IFERROR(VLOOKUP($A206&amp;J211,competitors,4,FALSE),"")</f>
        <v/>
      </c>
    </row>
    <row r="212" spans="1:18" x14ac:dyDescent="0.35">
      <c r="A212" s="105">
        <f ca="1">IFERROR(VLOOKUP(A206,standards,4,FALSE)+0.01,"-")</f>
        <v>12.51</v>
      </c>
      <c r="B212" s="105"/>
      <c r="C212" s="298">
        <v>4</v>
      </c>
      <c r="D212" s="298">
        <f ca="1">IFERROR(IF(C212&gt;MatchDay!$U$2+MatchDay!$D$6-1,"",VLOOKUP(A206,Timetables!$A:$EB,MatchDay!$U$4+C212-MatchDay!$D$6,FALSE)),"")</f>
        <v>1</v>
      </c>
      <c r="E212" s="286" t="str">
        <f ca="1">IFERROR(VLOOKUP($A206&amp;D212,downloads!$A$1:$E$1000,2,FALSE),"")</f>
        <v>Katerina GLOVER</v>
      </c>
      <c r="F212" s="286" t="str">
        <f t="shared" ca="1" si="53"/>
        <v>C&amp;N</v>
      </c>
      <c r="G212" s="291"/>
      <c r="H212" s="297"/>
      <c r="I212" s="298">
        <v>4</v>
      </c>
      <c r="J212" s="298">
        <f t="shared" ca="1" si="54"/>
        <v>11</v>
      </c>
      <c r="K212" s="286" t="str">
        <f ca="1">IFERROR(VLOOKUP($A206&amp;J212,downloads!$A$1:$E$1000,2,FALSE),"")</f>
        <v>Jasmine COOPER</v>
      </c>
      <c r="L212" s="286" t="str">
        <f t="shared" ca="1" si="52"/>
        <v>C&amp;N</v>
      </c>
      <c r="O212" s="299"/>
      <c r="Q212" s="307">
        <f ca="1">IFERROR(VLOOKUP($A206&amp;D212,competitors,4,FALSE),"")</f>
        <v>1</v>
      </c>
      <c r="R212" s="307">
        <f ca="1">IFERROR(VLOOKUP($A206&amp;J212,competitors,4,FALSE),"")</f>
        <v>1</v>
      </c>
    </row>
    <row r="213" spans="1:18" x14ac:dyDescent="0.35">
      <c r="A213" s="105">
        <f ca="1">IFERROR(VLOOKUP(A206,standards,5,FALSE)+0.01,"-")</f>
        <v>12.11</v>
      </c>
      <c r="B213" s="105"/>
      <c r="C213" s="298">
        <v>5</v>
      </c>
      <c r="D213" s="298">
        <f ca="1">IFERROR(IF(C213&gt;MatchDay!$U$2+MatchDay!$D$6-1,"",VLOOKUP(A206,Timetables!$A:$EB,MatchDay!$U$4+C213-MatchDay!$D$6,FALSE)),"")</f>
        <v>7</v>
      </c>
      <c r="E213" s="286" t="str">
        <f ca="1">IFERROR(VLOOKUP($A206&amp;D213,downloads!$A$1:$E$1000,2,FALSE),"")</f>
        <v>Chloe SKETT</v>
      </c>
      <c r="F213" s="286" t="str">
        <f t="shared" ca="1" si="53"/>
        <v>Wigan</v>
      </c>
      <c r="G213" s="291"/>
      <c r="H213" s="297"/>
      <c r="I213" s="298">
        <v>5</v>
      </c>
      <c r="J213" s="298">
        <f t="shared" ca="1" si="54"/>
        <v>77</v>
      </c>
      <c r="K213" s="286" t="str">
        <f ca="1">IFERROR(VLOOKUP($A206&amp;J213,downloads!$A$1:$E$1000,2,FALSE),"")</f>
        <v/>
      </c>
      <c r="L213" s="286" t="str">
        <f t="shared" ca="1" si="52"/>
        <v>Wigan</v>
      </c>
      <c r="O213" s="299"/>
      <c r="Q213" s="307">
        <f ca="1">IFERROR(VLOOKUP($A206&amp;D213,competitors,4,FALSE),"")</f>
        <v>1</v>
      </c>
      <c r="R213" s="307" t="str">
        <f ca="1">IFERROR(VLOOKUP($A206&amp;J213,competitors,4,FALSE),"")</f>
        <v/>
      </c>
    </row>
    <row r="214" spans="1:18" x14ac:dyDescent="0.35">
      <c r="A214" s="105">
        <f ca="1">IFERROR(VLOOKUP(A206,standards,6,FALSE)+0.01,"-")</f>
        <v>11.709999999999999</v>
      </c>
      <c r="B214" s="105"/>
      <c r="C214" s="298">
        <v>6</v>
      </c>
      <c r="D214" s="298">
        <f ca="1">IFERROR(IF(C214&gt;MatchDay!$U$2+MatchDay!$D$6-1,"",VLOOKUP(A206,Timetables!$A:$EB,MatchDay!$U$4+C214-MatchDay!$D$6,FALSE)),"")</f>
        <v>5</v>
      </c>
      <c r="E214" s="286" t="str">
        <f ca="1">IFERROR(VLOOKUP($A206&amp;D214,downloads!$A$1:$E$1000,2,FALSE),"")</f>
        <v>Martha BOWN</v>
      </c>
      <c r="F214" s="286" t="str">
        <f t="shared" ca="1" si="53"/>
        <v>Menai</v>
      </c>
      <c r="G214" s="291"/>
      <c r="H214" s="297"/>
      <c r="I214" s="298">
        <v>6</v>
      </c>
      <c r="J214" s="298">
        <f t="shared" ca="1" si="54"/>
        <v>55</v>
      </c>
      <c r="K214" s="286" t="str">
        <f ca="1">IFERROR(VLOOKUP($A206&amp;J214,downloads!$A$1:$E$1000,2,FALSE),"")</f>
        <v/>
      </c>
      <c r="L214" s="286" t="str">
        <f t="shared" ca="1" si="52"/>
        <v>Menai</v>
      </c>
      <c r="O214" s="299"/>
      <c r="Q214" s="307">
        <f ca="1">IFERROR(VLOOKUP($A206&amp;D214,competitors,4,FALSE),"")</f>
        <v>1</v>
      </c>
      <c r="R214" s="307" t="str">
        <f ca="1">IFERROR(VLOOKUP($A206&amp;J214,competitors,4,FALSE),"")</f>
        <v/>
      </c>
    </row>
    <row r="215" spans="1:18" x14ac:dyDescent="0.35">
      <c r="A215" s="300">
        <f ca="1">IFERROR(SEARCH("Girls",C206),0)</f>
        <v>12</v>
      </c>
      <c r="C215" s="298">
        <v>7</v>
      </c>
      <c r="D215" s="298">
        <f ca="1">IFERROR(IF(C215&gt;MatchDay!$U$2+MatchDay!$D$6-1,"",VLOOKUP(A206,Timetables!$A:$EB,MatchDay!$U$4+C215-MatchDay!$D$6,FALSE)),"")</f>
        <v>6</v>
      </c>
      <c r="E215" s="286" t="str">
        <f ca="1">IFERROR(VLOOKUP($A206&amp;D215,downloads!$A$1:$E$1000,2,FALSE),"")</f>
        <v/>
      </c>
      <c r="F215" s="286" t="str">
        <f t="shared" ca="1" si="53"/>
        <v>Stock</v>
      </c>
      <c r="G215" s="291"/>
      <c r="H215" s="297"/>
      <c r="I215" s="298">
        <v>7</v>
      </c>
      <c r="J215" s="298">
        <f t="shared" ca="1" si="54"/>
        <v>66</v>
      </c>
      <c r="K215" s="286" t="str">
        <f ca="1">IFERROR(VLOOKUP($A206&amp;J215,downloads!$A$1:$E$1000,2,FALSE),"")</f>
        <v/>
      </c>
      <c r="L215" s="286" t="str">
        <f t="shared" ca="1" si="52"/>
        <v>Stock</v>
      </c>
      <c r="O215" s="299"/>
      <c r="Q215" s="307" t="str">
        <f ca="1">IFERROR(VLOOKUP($A206&amp;D215,competitors,4,FALSE),"")</f>
        <v/>
      </c>
      <c r="R215" s="307" t="str">
        <f ca="1">IFERROR(VLOOKUP($A206&amp;J215,competitors,4,FALSE),"")</f>
        <v/>
      </c>
    </row>
    <row r="216" spans="1:18" x14ac:dyDescent="0.35">
      <c r="A216" s="103">
        <f ca="1">IFERROR(VLOOKUP(A206,records,5,FALSE),"")</f>
        <v>9.5</v>
      </c>
      <c r="B216" s="103"/>
      <c r="C216" s="298">
        <v>8</v>
      </c>
      <c r="D216" s="298" t="str">
        <f>IFERROR(IF(C216&gt;MatchDay!$U$2+MatchDay!$D$6-1,"",VLOOKUP(A206,Timetables!$A:$EB,MatchDay!$U$4+C216-MatchDay!$D$6,FALSE)),"")</f>
        <v/>
      </c>
      <c r="E216" s="286" t="str">
        <f ca="1">IFERROR(VLOOKUP($A206&amp;D216,downloads!$A$1:$E$1000,2,FALSE),"")</f>
        <v/>
      </c>
      <c r="F216" s="286" t="str">
        <f t="shared" si="53"/>
        <v/>
      </c>
      <c r="G216" s="291"/>
      <c r="H216" s="297"/>
      <c r="I216" s="298">
        <v>8</v>
      </c>
      <c r="J216" s="298" t="str">
        <f t="shared" si="54"/>
        <v/>
      </c>
      <c r="K216" s="286" t="str">
        <f ca="1">IFERROR(VLOOKUP($A206&amp;J216,downloads!$A$1:$E$1000,2,FALSE),"")</f>
        <v/>
      </c>
      <c r="L216" s="286" t="str">
        <f t="shared" si="52"/>
        <v/>
      </c>
      <c r="O216" s="299"/>
      <c r="Q216" s="307" t="str">
        <f ca="1">IFERROR(VLOOKUP($A206&amp;D216,competitors,4,FALSE),"")</f>
        <v/>
      </c>
      <c r="R216" s="307" t="str">
        <f ca="1">IFERROR(VLOOKUP($A206&amp;J216,competitors,4,FALSE),"")</f>
        <v/>
      </c>
    </row>
    <row r="217" spans="1:18" x14ac:dyDescent="0.35">
      <c r="Q217" s="307"/>
      <c r="R217" s="307"/>
    </row>
    <row r="218" spans="1:18" x14ac:dyDescent="0.35">
      <c r="A218" s="98" t="str">
        <f ca="1">IFERROR(INDIRECT(CONCATENATE("'Timetables'!A"&amp;A222)),"")</f>
        <v>LT11</v>
      </c>
      <c r="B218" s="304" t="str">
        <f ca="1">IFERROR(TEXT(VLOOKUP(A218,timetables,7-MatchDay!$U$7,FALSE),"hh:mm"),"")</f>
        <v>14:20</v>
      </c>
      <c r="C218" s="292" t="str">
        <f ca="1">IFERROR(VLOOKUP(A218,timetables,2,FALSE)&amp;" "&amp;VLOOKUP(A218,timetables,3,FALSE)&amp;" A","")</f>
        <v>75m U13 Boys A</v>
      </c>
      <c r="D218" s="292"/>
      <c r="F218" s="293"/>
      <c r="G218" s="294"/>
      <c r="L218" s="360"/>
      <c r="M218" s="296"/>
      <c r="N218" s="286"/>
      <c r="Q218" s="307"/>
      <c r="R218" s="307"/>
    </row>
    <row r="219" spans="1:18" x14ac:dyDescent="0.35">
      <c r="A219" s="98"/>
      <c r="B219" s="98"/>
      <c r="C219" s="295" t="str">
        <f ca="1">IFERROR("Rec: "&amp;VLOOKUP(A218,records,4,FALSE),"")</f>
        <v>Rec: 9.33 Alex Foster, Woodford Green Essex Ladies, 2021</v>
      </c>
      <c r="D219" s="292"/>
      <c r="F219" s="293"/>
      <c r="G219" s="294"/>
      <c r="I219" s="295"/>
      <c r="L219" s="360"/>
      <c r="M219" s="296"/>
      <c r="N219" s="286"/>
      <c r="Q219" s="307"/>
      <c r="R219" s="307"/>
    </row>
    <row r="220" spans="1:18" x14ac:dyDescent="0.35">
      <c r="A220" s="82" t="str">
        <f ca="1">MID(A218,2,3)</f>
        <v>T11</v>
      </c>
      <c r="B220" s="82"/>
      <c r="C220" s="304" t="s">
        <v>542</v>
      </c>
      <c r="D220" s="304" t="s">
        <v>141</v>
      </c>
      <c r="E220" s="286" t="s">
        <v>174</v>
      </c>
      <c r="F220" s="286" t="s">
        <v>175</v>
      </c>
      <c r="G220" s="291"/>
      <c r="I220" s="304" t="s">
        <v>542</v>
      </c>
      <c r="J220" s="304" t="s">
        <v>141</v>
      </c>
      <c r="K220" s="286" t="s">
        <v>174</v>
      </c>
      <c r="L220" s="286" t="s">
        <v>175</v>
      </c>
      <c r="O220" s="299"/>
      <c r="Q220" s="307"/>
      <c r="R220" s="307"/>
    </row>
    <row r="221" spans="1:18" x14ac:dyDescent="0.35">
      <c r="A221" s="138"/>
      <c r="B221" s="103"/>
      <c r="C221" s="298">
        <v>1</v>
      </c>
      <c r="D221" s="298">
        <f ca="1">IFERROR(IF(C221&gt;MatchDay!$U$2,"",IF(MatchDay!$D$6=2,"",VLOOKUP(A218,Timetables!$A:$EB,MatchDay!$U$4+C221-MatchDay!$D$6,FALSE))),"")</f>
        <v>4</v>
      </c>
      <c r="E221" s="286" t="str">
        <f ca="1">IFERROR(VLOOKUP($A218&amp;D221,downloads!$A$1:$E$1000,2,FALSE),"")</f>
        <v>Dylan BAKER</v>
      </c>
      <c r="F221" s="286" t="str">
        <f ca="1">IFERROR(VLOOKUP(D221,teamlookup,5,FALSE),"")</f>
        <v>Macc</v>
      </c>
      <c r="G221" s="291"/>
      <c r="H221" s="297"/>
      <c r="I221" s="298">
        <v>1</v>
      </c>
      <c r="J221" s="298">
        <f ca="1">IFERROR(D221*11,"")</f>
        <v>44</v>
      </c>
      <c r="K221" s="286" t="str">
        <f ca="1">IFERROR(VLOOKUP($A218&amp;J221,downloads!$A$1:$E$1000,2,FALSE),"")</f>
        <v/>
      </c>
      <c r="L221" s="286" t="str">
        <f t="shared" ref="L221:L228" ca="1" si="55">IFERROR(VLOOKUP(J221,teamlookup,5,FALSE),"")</f>
        <v>Macc</v>
      </c>
      <c r="O221" s="299"/>
      <c r="Q221" s="307">
        <f ca="1">IFERROR(VLOOKUP($A218&amp;D221,competitors,4,FALSE),"")</f>
        <v>1</v>
      </c>
      <c r="R221" s="307" t="str">
        <f ca="1">IFERROR(VLOOKUP($A218&amp;J221,competitors,4,FALSE),"")</f>
        <v/>
      </c>
    </row>
    <row r="222" spans="1:18" x14ac:dyDescent="0.35">
      <c r="A222" s="304">
        <f>A210+1</f>
        <v>21</v>
      </c>
      <c r="C222" s="298">
        <v>2</v>
      </c>
      <c r="D222" s="298">
        <f ca="1">IFERROR(IF(C222&gt;MatchDay!$U$2+MatchDay!$D$6-1,"",VLOOKUP(A218,Timetables!$A:$EB,MatchDay!$U$4+C222-MatchDay!$D$6,FALSE)),"")</f>
        <v>2</v>
      </c>
      <c r="E222" s="286" t="str">
        <f ca="1">IFERROR(VLOOKUP($A218&amp;D222,downloads!$A$1:$E$1000,2,FALSE),"")</f>
        <v>Ryan MCCARTHY</v>
      </c>
      <c r="F222" s="286" t="str">
        <f t="shared" ref="F222:F228" ca="1" si="56">IFERROR(VLOOKUP(D222,teamlookup,5,FALSE),"")</f>
        <v>ECHT</v>
      </c>
      <c r="G222" s="291"/>
      <c r="H222" s="297"/>
      <c r="I222" s="298">
        <v>2</v>
      </c>
      <c r="J222" s="298">
        <f t="shared" ref="J222:J228" ca="1" si="57">IFERROR(D222*11,"")</f>
        <v>22</v>
      </c>
      <c r="K222" s="286" t="str">
        <f ca="1">IFERROR(VLOOKUP($A218&amp;J222,downloads!$A$1:$E$1000,2,FALSE),"")</f>
        <v>James NELSON</v>
      </c>
      <c r="L222" s="286" t="str">
        <f t="shared" ca="1" si="55"/>
        <v>ECHT</v>
      </c>
      <c r="O222" s="299"/>
      <c r="Q222" s="307">
        <f ca="1">IFERROR(VLOOKUP($A218&amp;D222,competitors,4,FALSE),"")</f>
        <v>1</v>
      </c>
      <c r="R222" s="307">
        <f ca="1">IFERROR(VLOOKUP($A218&amp;J222,competitors,4,FALSE),"")</f>
        <v>1</v>
      </c>
    </row>
    <row r="223" spans="1:18" x14ac:dyDescent="0.35">
      <c r="A223" s="105">
        <f ca="1">IFERROR(VLOOKUP(A218,standards,3,FALSE)+0.01,"-")</f>
        <v>12.51</v>
      </c>
      <c r="B223" s="105"/>
      <c r="C223" s="298">
        <v>3</v>
      </c>
      <c r="D223" s="298">
        <f ca="1">IFERROR(IF(C223&gt;MatchDay!$U$2+MatchDay!$D$6-1,"",VLOOKUP(A218,Timetables!$A:$EB,MatchDay!$U$4+C223-MatchDay!$D$6,FALSE)),"")</f>
        <v>3</v>
      </c>
      <c r="E223" s="286" t="str">
        <f ca="1">IFERROR(VLOOKUP($A218&amp;D223,downloads!$A$1:$E$1000,2,FALSE),"")</f>
        <v>Thierry KERR</v>
      </c>
      <c r="F223" s="286" t="str">
        <f t="shared" ca="1" si="56"/>
        <v>Leigh</v>
      </c>
      <c r="G223" s="291"/>
      <c r="H223" s="297"/>
      <c r="I223" s="298">
        <v>3</v>
      </c>
      <c r="J223" s="298">
        <f t="shared" ca="1" si="57"/>
        <v>33</v>
      </c>
      <c r="K223" s="286" t="str">
        <f ca="1">IFERROR(VLOOKUP($A218&amp;J223,downloads!$A$1:$E$1000,2,FALSE),"")</f>
        <v>Oscar FINCH</v>
      </c>
      <c r="L223" s="286" t="str">
        <f t="shared" ca="1" si="55"/>
        <v>Leigh</v>
      </c>
      <c r="O223" s="299"/>
      <c r="Q223" s="307">
        <f ca="1">IFERROR(VLOOKUP($A218&amp;D223,competitors,4,FALSE),"")</f>
        <v>1</v>
      </c>
      <c r="R223" s="307">
        <f ca="1">IFERROR(VLOOKUP($A218&amp;J223,competitors,4,FALSE),"")</f>
        <v>1</v>
      </c>
    </row>
    <row r="224" spans="1:18" x14ac:dyDescent="0.35">
      <c r="A224" s="105">
        <f ca="1">IFERROR(VLOOKUP(A218,standards,4,FALSE)+0.01,"-")</f>
        <v>12.01</v>
      </c>
      <c r="B224" s="105"/>
      <c r="C224" s="298">
        <v>4</v>
      </c>
      <c r="D224" s="298">
        <f ca="1">IFERROR(IF(C224&gt;MatchDay!$U$2+MatchDay!$D$6-1,"",VLOOKUP(A218,Timetables!$A:$EB,MatchDay!$U$4+C224-MatchDay!$D$6,FALSE)),"")</f>
        <v>1</v>
      </c>
      <c r="E224" s="286" t="str">
        <f ca="1">IFERROR(VLOOKUP($A218&amp;D224,downloads!$A$1:$E$1000,2,FALSE),"")</f>
        <v>Charlie SMITH</v>
      </c>
      <c r="F224" s="286" t="str">
        <f t="shared" ca="1" si="56"/>
        <v>C&amp;N</v>
      </c>
      <c r="G224" s="291"/>
      <c r="H224" s="297"/>
      <c r="I224" s="298">
        <v>4</v>
      </c>
      <c r="J224" s="298">
        <f t="shared" ca="1" si="57"/>
        <v>11</v>
      </c>
      <c r="K224" s="286" t="str">
        <f ca="1">IFERROR(VLOOKUP($A218&amp;J224,downloads!$A$1:$E$1000,2,FALSE),"")</f>
        <v>Ewan DAVIES</v>
      </c>
      <c r="L224" s="286" t="str">
        <f t="shared" ca="1" si="55"/>
        <v>C&amp;N</v>
      </c>
      <c r="O224" s="299"/>
      <c r="Q224" s="307">
        <f ca="1">IFERROR(VLOOKUP($A218&amp;D224,competitors,4,FALSE),"")</f>
        <v>1</v>
      </c>
      <c r="R224" s="307">
        <f ca="1">IFERROR(VLOOKUP($A218&amp;J224,competitors,4,FALSE),"")</f>
        <v>1</v>
      </c>
    </row>
    <row r="225" spans="1:18" x14ac:dyDescent="0.35">
      <c r="A225" s="105">
        <f ca="1">IFERROR(VLOOKUP(A218,standards,5,FALSE)+0.01,"-")</f>
        <v>11.61</v>
      </c>
      <c r="B225" s="105"/>
      <c r="C225" s="298">
        <v>5</v>
      </c>
      <c r="D225" s="298">
        <f ca="1">IFERROR(IF(C225&gt;MatchDay!$U$2+MatchDay!$D$6-1,"",VLOOKUP(A218,Timetables!$A:$EB,MatchDay!$U$4+C225-MatchDay!$D$6,FALSE)),"")</f>
        <v>7</v>
      </c>
      <c r="E225" s="286" t="str">
        <f ca="1">IFERROR(VLOOKUP($A218&amp;D225,downloads!$A$1:$E$1000,2,FALSE),"")</f>
        <v>Henry MORRIS</v>
      </c>
      <c r="F225" s="286" t="str">
        <f t="shared" ca="1" si="56"/>
        <v>Wigan</v>
      </c>
      <c r="G225" s="291"/>
      <c r="H225" s="297"/>
      <c r="I225" s="298">
        <v>5</v>
      </c>
      <c r="J225" s="298">
        <f t="shared" ca="1" si="57"/>
        <v>77</v>
      </c>
      <c r="K225" s="286" t="str">
        <f ca="1">IFERROR(VLOOKUP($A218&amp;J225,downloads!$A$1:$E$1000,2,FALSE),"")</f>
        <v>Theo MORGAN</v>
      </c>
      <c r="L225" s="286" t="str">
        <f t="shared" ca="1" si="55"/>
        <v>Wigan</v>
      </c>
      <c r="O225" s="299"/>
      <c r="Q225" s="307">
        <f ca="1">IFERROR(VLOOKUP($A218&amp;D225,competitors,4,FALSE),"")</f>
        <v>1</v>
      </c>
      <c r="R225" s="307">
        <f ca="1">IFERROR(VLOOKUP($A218&amp;J225,competitors,4,FALSE),"")</f>
        <v>1</v>
      </c>
    </row>
    <row r="226" spans="1:18" x14ac:dyDescent="0.35">
      <c r="A226" s="105">
        <f ca="1">IFERROR(VLOOKUP(A218,standards,6,FALSE)+0.01,"-")</f>
        <v>11.209999999999999</v>
      </c>
      <c r="B226" s="105"/>
      <c r="C226" s="298">
        <v>6</v>
      </c>
      <c r="D226" s="298">
        <f ca="1">IFERROR(IF(C226&gt;MatchDay!$U$2+MatchDay!$D$6-1,"",VLOOKUP(A218,Timetables!$A:$EB,MatchDay!$U$4+C226-MatchDay!$D$6,FALSE)),"")</f>
        <v>5</v>
      </c>
      <c r="E226" s="286" t="str">
        <f ca="1">IFERROR(VLOOKUP($A218&amp;D226,downloads!$A$1:$E$1000,2,FALSE),"")</f>
        <v/>
      </c>
      <c r="F226" s="286" t="str">
        <f t="shared" ca="1" si="56"/>
        <v>Menai</v>
      </c>
      <c r="G226" s="291"/>
      <c r="H226" s="297"/>
      <c r="I226" s="298">
        <v>6</v>
      </c>
      <c r="J226" s="298">
        <f t="shared" ca="1" si="57"/>
        <v>55</v>
      </c>
      <c r="K226" s="286" t="str">
        <f ca="1">IFERROR(VLOOKUP($A218&amp;J226,downloads!$A$1:$E$1000,2,FALSE),"")</f>
        <v/>
      </c>
      <c r="L226" s="286" t="str">
        <f t="shared" ca="1" si="55"/>
        <v>Menai</v>
      </c>
      <c r="O226" s="299"/>
      <c r="Q226" s="307" t="str">
        <f ca="1">IFERROR(VLOOKUP($A218&amp;D226,competitors,4,FALSE),"")</f>
        <v/>
      </c>
      <c r="R226" s="307" t="str">
        <f ca="1">IFERROR(VLOOKUP($A218&amp;J226,competitors,4,FALSE),"")</f>
        <v/>
      </c>
    </row>
    <row r="227" spans="1:18" x14ac:dyDescent="0.35">
      <c r="A227" s="300">
        <f ca="1">IFERROR(SEARCH("Girls",C218),0)</f>
        <v>0</v>
      </c>
      <c r="C227" s="298">
        <v>7</v>
      </c>
      <c r="D227" s="298">
        <f ca="1">IFERROR(IF(C227&gt;MatchDay!$U$2+MatchDay!$D$6-1,"",VLOOKUP(A218,Timetables!$A:$EB,MatchDay!$U$4+C227-MatchDay!$D$6,FALSE)),"")</f>
        <v>6</v>
      </c>
      <c r="E227" s="286" t="str">
        <f ca="1">IFERROR(VLOOKUP($A218&amp;D227,downloads!$A$1:$E$1000,2,FALSE),"")</f>
        <v>Alex KITCHEN</v>
      </c>
      <c r="F227" s="286" t="str">
        <f t="shared" ca="1" si="56"/>
        <v>Stock</v>
      </c>
      <c r="G227" s="291"/>
      <c r="H227" s="297"/>
      <c r="I227" s="298">
        <v>7</v>
      </c>
      <c r="J227" s="298">
        <f t="shared" ca="1" si="57"/>
        <v>66</v>
      </c>
      <c r="K227" s="286" t="str">
        <f ca="1">IFERROR(VLOOKUP($A218&amp;J227,downloads!$A$1:$E$1000,2,FALSE),"")</f>
        <v/>
      </c>
      <c r="L227" s="286" t="str">
        <f t="shared" ca="1" si="55"/>
        <v>Stock</v>
      </c>
      <c r="O227" s="299"/>
      <c r="Q227" s="307">
        <f ca="1">IFERROR(VLOOKUP($A218&amp;D227,competitors,4,FALSE),"")</f>
        <v>1</v>
      </c>
      <c r="R227" s="307" t="str">
        <f ca="1">IFERROR(VLOOKUP($A218&amp;J227,competitors,4,FALSE),"")</f>
        <v/>
      </c>
    </row>
    <row r="228" spans="1:18" x14ac:dyDescent="0.35">
      <c r="A228" s="103">
        <f ca="1">IFERROR(VLOOKUP(A218,records,5,FALSE),"")</f>
        <v>9.33</v>
      </c>
      <c r="B228" s="103"/>
      <c r="C228" s="298">
        <v>8</v>
      </c>
      <c r="D228" s="298" t="str">
        <f>IFERROR(IF(C228&gt;MatchDay!$U$2+MatchDay!$D$6-1,"",VLOOKUP(A218,Timetables!$A:$EB,MatchDay!$U$4+C228-MatchDay!$D$6,FALSE)),"")</f>
        <v/>
      </c>
      <c r="E228" s="286" t="str">
        <f ca="1">IFERROR(VLOOKUP($A218&amp;D228,downloads!$A$1:$E$1000,2,FALSE),"")</f>
        <v/>
      </c>
      <c r="F228" s="286" t="str">
        <f t="shared" si="56"/>
        <v/>
      </c>
      <c r="G228" s="291"/>
      <c r="H228" s="297"/>
      <c r="I228" s="298">
        <v>8</v>
      </c>
      <c r="J228" s="298" t="str">
        <f t="shared" si="57"/>
        <v/>
      </c>
      <c r="K228" s="286" t="str">
        <f ca="1">IFERROR(VLOOKUP($A218&amp;J228,downloads!$A$1:$E$1000,2,FALSE),"")</f>
        <v/>
      </c>
      <c r="L228" s="286" t="str">
        <f t="shared" si="55"/>
        <v/>
      </c>
      <c r="O228" s="299"/>
      <c r="Q228" s="307" t="str">
        <f ca="1">IFERROR(VLOOKUP($A218&amp;D228,competitors,4,FALSE),"")</f>
        <v/>
      </c>
      <c r="R228" s="307" t="str">
        <f ca="1">IFERROR(VLOOKUP($A218&amp;J228,competitors,4,FALSE),"")</f>
        <v/>
      </c>
    </row>
    <row r="229" spans="1:18" x14ac:dyDescent="0.35">
      <c r="Q229" s="307"/>
      <c r="R229" s="307"/>
    </row>
    <row r="230" spans="1:18" x14ac:dyDescent="0.35">
      <c r="A230" s="98" t="str">
        <f ca="1">IFERROR(INDIRECT(CONCATENATE("'Timetables'!A"&amp;A234)),"")</f>
        <v>LT12</v>
      </c>
      <c r="B230" s="304" t="str">
        <f ca="1">IFERROR(TEXT(VLOOKUP(A230,timetables,7-MatchDay!$U$7,FALSE),"hh:mm"),"")</f>
        <v>14:30</v>
      </c>
      <c r="C230" s="292" t="str">
        <f ca="1">IFERROR(VLOOKUP(A230,timetables,2,FALSE)&amp;" "&amp;VLOOKUP(A230,timetables,3,FALSE)&amp;" A","")</f>
        <v>100m U15 Girls A</v>
      </c>
      <c r="D230" s="292"/>
      <c r="F230" s="293"/>
      <c r="G230" s="294"/>
      <c r="L230" s="360"/>
      <c r="M230" s="296"/>
      <c r="N230" s="286"/>
      <c r="Q230" s="307"/>
      <c r="R230" s="307"/>
    </row>
    <row r="231" spans="1:18" x14ac:dyDescent="0.35">
      <c r="A231" s="98"/>
      <c r="B231" s="98"/>
      <c r="C231" s="295" t="str">
        <f ca="1">IFERROR("Rec: "&amp;VLOOKUP(A230,records,4,FALSE),"")</f>
        <v>Rec: 11.97 Success Eduan, Sale Harriers, 2019</v>
      </c>
      <c r="D231" s="292"/>
      <c r="F231" s="293"/>
      <c r="G231" s="294"/>
      <c r="I231" s="295"/>
      <c r="L231" s="360"/>
      <c r="M231" s="296"/>
      <c r="N231" s="286"/>
      <c r="Q231" s="307"/>
      <c r="R231" s="307"/>
    </row>
    <row r="232" spans="1:18" x14ac:dyDescent="0.35">
      <c r="A232" s="82" t="str">
        <f ca="1">MID(A230,2,3)</f>
        <v>T12</v>
      </c>
      <c r="B232" s="82"/>
      <c r="C232" s="304" t="s">
        <v>542</v>
      </c>
      <c r="D232" s="304" t="s">
        <v>141</v>
      </c>
      <c r="E232" s="286" t="s">
        <v>174</v>
      </c>
      <c r="F232" s="286" t="s">
        <v>175</v>
      </c>
      <c r="G232" s="291"/>
      <c r="I232" s="304" t="s">
        <v>542</v>
      </c>
      <c r="J232" s="304" t="s">
        <v>141</v>
      </c>
      <c r="K232" s="286" t="s">
        <v>174</v>
      </c>
      <c r="L232" s="286" t="s">
        <v>175</v>
      </c>
      <c r="O232" s="299"/>
      <c r="Q232" s="307"/>
      <c r="R232" s="307"/>
    </row>
    <row r="233" spans="1:18" x14ac:dyDescent="0.35">
      <c r="A233" s="138"/>
      <c r="B233" s="103"/>
      <c r="C233" s="298">
        <v>1</v>
      </c>
      <c r="D233" s="298">
        <f ca="1">IFERROR(IF(C233&gt;MatchDay!$U$2,"",IF(MatchDay!$D$6=2,"",VLOOKUP(A230,Timetables!$A:$EB,MatchDay!$U$4+C233-MatchDay!$D$6,FALSE))),"")</f>
        <v>4</v>
      </c>
      <c r="E233" s="286" t="str">
        <f ca="1">IFERROR(VLOOKUP($A230&amp;D233,downloads!$A$1:$E$1000,2,FALSE),"")</f>
        <v>Tanvi KUTTY</v>
      </c>
      <c r="F233" s="286" t="str">
        <f ca="1">IFERROR(VLOOKUP(D233,teamlookup,5,FALSE),"")</f>
        <v>Macc</v>
      </c>
      <c r="G233" s="291"/>
      <c r="H233" s="297"/>
      <c r="I233" s="298">
        <v>1</v>
      </c>
      <c r="J233" s="298">
        <f ca="1">IFERROR(D233*11,"")</f>
        <v>44</v>
      </c>
      <c r="K233" s="286" t="str">
        <f ca="1">IFERROR(VLOOKUP($A230&amp;J233,downloads!$A$1:$E$1000,2,FALSE),"")</f>
        <v/>
      </c>
      <c r="L233" s="286" t="str">
        <f t="shared" ref="L233:L240" ca="1" si="58">IFERROR(VLOOKUP(J233,teamlookup,5,FALSE),"")</f>
        <v>Macc</v>
      </c>
      <c r="O233" s="299"/>
      <c r="Q233" s="307">
        <f ca="1">IFERROR(VLOOKUP($A230&amp;D233,competitors,4,FALSE),"")</f>
        <v>1</v>
      </c>
      <c r="R233" s="307" t="str">
        <f ca="1">IFERROR(VLOOKUP($A230&amp;J233,competitors,4,FALSE),"")</f>
        <v/>
      </c>
    </row>
    <row r="234" spans="1:18" x14ac:dyDescent="0.35">
      <c r="A234" s="304">
        <f>A222+1</f>
        <v>22</v>
      </c>
      <c r="C234" s="298">
        <v>2</v>
      </c>
      <c r="D234" s="298">
        <f ca="1">IFERROR(IF(C234&gt;MatchDay!$U$2+MatchDay!$D$6-1,"",VLOOKUP(A230,Timetables!$A:$EB,MatchDay!$U$4+C234-MatchDay!$D$6,FALSE)),"")</f>
        <v>2</v>
      </c>
      <c r="E234" s="286" t="str">
        <f ca="1">IFERROR(VLOOKUP($A230&amp;D234,downloads!$A$1:$E$1000,2,FALSE),"")</f>
        <v>Amelia JONES</v>
      </c>
      <c r="F234" s="286" t="str">
        <f t="shared" ref="F234:F240" ca="1" si="59">IFERROR(VLOOKUP(D234,teamlookup,5,FALSE),"")</f>
        <v>ECHT</v>
      </c>
      <c r="G234" s="291"/>
      <c r="H234" s="297"/>
      <c r="I234" s="298">
        <v>2</v>
      </c>
      <c r="J234" s="298">
        <f t="shared" ref="J234:J240" ca="1" si="60">IFERROR(D234*11,"")</f>
        <v>22</v>
      </c>
      <c r="K234" s="286" t="str">
        <f ca="1">IFERROR(VLOOKUP($A230&amp;J234,downloads!$A$1:$E$1000,2,FALSE),"")</f>
        <v>Lily-grace POOLE</v>
      </c>
      <c r="L234" s="286" t="str">
        <f t="shared" ca="1" si="58"/>
        <v>ECHT</v>
      </c>
      <c r="O234" s="299"/>
      <c r="Q234" s="307">
        <f ca="1">IFERROR(VLOOKUP($A230&amp;D234,competitors,4,FALSE),"")</f>
        <v>1</v>
      </c>
      <c r="R234" s="307">
        <f ca="1">IFERROR(VLOOKUP($A230&amp;J234,competitors,4,FALSE),"")</f>
        <v>1</v>
      </c>
    </row>
    <row r="235" spans="1:18" x14ac:dyDescent="0.35">
      <c r="A235" s="105">
        <f ca="1">IFERROR(VLOOKUP(A230,standards,3,FALSE)+0.01,"-")</f>
        <v>14.81</v>
      </c>
      <c r="B235" s="105"/>
      <c r="C235" s="298">
        <v>3</v>
      </c>
      <c r="D235" s="298">
        <f ca="1">IFERROR(IF(C235&gt;MatchDay!$U$2+MatchDay!$D$6-1,"",VLOOKUP(A230,Timetables!$A:$EB,MatchDay!$U$4+C235-MatchDay!$D$6,FALSE)),"")</f>
        <v>3</v>
      </c>
      <c r="E235" s="286" t="str">
        <f ca="1">IFERROR(VLOOKUP($A230&amp;D235,downloads!$A$1:$E$1000,2,FALSE),"")</f>
        <v>Isobel EVANS</v>
      </c>
      <c r="F235" s="286" t="str">
        <f t="shared" ca="1" si="59"/>
        <v>Leigh</v>
      </c>
      <c r="G235" s="291"/>
      <c r="H235" s="297"/>
      <c r="I235" s="298">
        <v>3</v>
      </c>
      <c r="J235" s="298">
        <f t="shared" ca="1" si="60"/>
        <v>33</v>
      </c>
      <c r="K235" s="286" t="str">
        <f ca="1">IFERROR(VLOOKUP($A230&amp;J235,downloads!$A$1:$E$1000,2,FALSE),"")</f>
        <v>Eva MELLING</v>
      </c>
      <c r="L235" s="286" t="str">
        <f t="shared" ca="1" si="58"/>
        <v>Leigh</v>
      </c>
      <c r="O235" s="299"/>
      <c r="Q235" s="307">
        <f ca="1">IFERROR(VLOOKUP($A230&amp;D235,competitors,4,FALSE),"")</f>
        <v>1</v>
      </c>
      <c r="R235" s="307">
        <f ca="1">IFERROR(VLOOKUP($A230&amp;J235,competitors,4,FALSE),"")</f>
        <v>1</v>
      </c>
    </row>
    <row r="236" spans="1:18" x14ac:dyDescent="0.35">
      <c r="A236" s="105">
        <f ca="1">IFERROR(VLOOKUP(A230,standards,4,FALSE)+0.01,"-")</f>
        <v>14.41</v>
      </c>
      <c r="B236" s="105"/>
      <c r="C236" s="298">
        <v>4</v>
      </c>
      <c r="D236" s="298">
        <f ca="1">IFERROR(IF(C236&gt;MatchDay!$U$2+MatchDay!$D$6-1,"",VLOOKUP(A230,Timetables!$A:$EB,MatchDay!$U$4+C236-MatchDay!$D$6,FALSE)),"")</f>
        <v>1</v>
      </c>
      <c r="E236" s="286" t="str">
        <f ca="1">IFERROR(VLOOKUP($A230&amp;D236,downloads!$A$1:$E$1000,2,FALSE),"")</f>
        <v>Sophie STAINSBY</v>
      </c>
      <c r="F236" s="286" t="str">
        <f t="shared" ca="1" si="59"/>
        <v>C&amp;N</v>
      </c>
      <c r="G236" s="291"/>
      <c r="H236" s="297"/>
      <c r="I236" s="298">
        <v>4</v>
      </c>
      <c r="J236" s="298">
        <f t="shared" ca="1" si="60"/>
        <v>11</v>
      </c>
      <c r="K236" s="286" t="str">
        <f ca="1">IFERROR(VLOOKUP($A230&amp;J236,downloads!$A$1:$E$1000,2,FALSE),"")</f>
        <v>Bella VARLEY</v>
      </c>
      <c r="L236" s="286" t="str">
        <f t="shared" ca="1" si="58"/>
        <v>C&amp;N</v>
      </c>
      <c r="O236" s="299"/>
      <c r="Q236" s="307">
        <f ca="1">IFERROR(VLOOKUP($A230&amp;D236,competitors,4,FALSE),"")</f>
        <v>1</v>
      </c>
      <c r="R236" s="307">
        <f ca="1">IFERROR(VLOOKUP($A230&amp;J236,competitors,4,FALSE),"")</f>
        <v>1</v>
      </c>
    </row>
    <row r="237" spans="1:18" x14ac:dyDescent="0.35">
      <c r="A237" s="105">
        <f ca="1">IFERROR(VLOOKUP(A230,standards,5,FALSE)+0.01,"-")</f>
        <v>14.01</v>
      </c>
      <c r="B237" s="105"/>
      <c r="C237" s="298">
        <v>5</v>
      </c>
      <c r="D237" s="298">
        <f ca="1">IFERROR(IF(C237&gt;MatchDay!$U$2+MatchDay!$D$6-1,"",VLOOKUP(A230,Timetables!$A:$EB,MatchDay!$U$4+C237-MatchDay!$D$6,FALSE)),"")</f>
        <v>7</v>
      </c>
      <c r="E237" s="286" t="str">
        <f ca="1">IFERROR(VLOOKUP($A230&amp;D237,downloads!$A$1:$E$1000,2,FALSE),"")</f>
        <v>Emma PIMBLETT</v>
      </c>
      <c r="F237" s="286" t="str">
        <f t="shared" ca="1" si="59"/>
        <v>Wigan</v>
      </c>
      <c r="G237" s="291"/>
      <c r="H237" s="297"/>
      <c r="I237" s="298">
        <v>5</v>
      </c>
      <c r="J237" s="298">
        <f t="shared" ca="1" si="60"/>
        <v>77</v>
      </c>
      <c r="K237" s="286" t="str">
        <f ca="1">IFERROR(VLOOKUP($A230&amp;J237,downloads!$A$1:$E$1000,2,FALSE),"")</f>
        <v>Kady HALL</v>
      </c>
      <c r="L237" s="286" t="str">
        <f t="shared" ca="1" si="58"/>
        <v>Wigan</v>
      </c>
      <c r="O237" s="299"/>
      <c r="Q237" s="307">
        <f ca="1">IFERROR(VLOOKUP($A230&amp;D237,competitors,4,FALSE),"")</f>
        <v>1</v>
      </c>
      <c r="R237" s="307">
        <f ca="1">IFERROR(VLOOKUP($A230&amp;J237,competitors,4,FALSE),"")</f>
        <v>1</v>
      </c>
    </row>
    <row r="238" spans="1:18" x14ac:dyDescent="0.35">
      <c r="A238" s="105">
        <f ca="1">IFERROR(VLOOKUP(A230,standards,6,FALSE)+0.01,"-")</f>
        <v>13.709999999999999</v>
      </c>
      <c r="B238" s="105"/>
      <c r="C238" s="298">
        <v>6</v>
      </c>
      <c r="D238" s="298">
        <f ca="1">IFERROR(IF(C238&gt;MatchDay!$U$2+MatchDay!$D$6-1,"",VLOOKUP(A230,Timetables!$A:$EB,MatchDay!$U$4+C238-MatchDay!$D$6,FALSE)),"")</f>
        <v>5</v>
      </c>
      <c r="E238" s="286" t="str">
        <f ca="1">IFERROR(VLOOKUP($A230&amp;D238,downloads!$A$1:$E$1000,2,FALSE),"")</f>
        <v>Lily HARDY</v>
      </c>
      <c r="F238" s="286" t="str">
        <f t="shared" ca="1" si="59"/>
        <v>Menai</v>
      </c>
      <c r="G238" s="291"/>
      <c r="H238" s="297"/>
      <c r="I238" s="298">
        <v>6</v>
      </c>
      <c r="J238" s="298">
        <f t="shared" ca="1" si="60"/>
        <v>55</v>
      </c>
      <c r="K238" s="286" t="str">
        <f ca="1">IFERROR(VLOOKUP($A230&amp;J238,downloads!$A$1:$E$1000,2,FALSE),"")</f>
        <v>Nest OWEN</v>
      </c>
      <c r="L238" s="286" t="str">
        <f t="shared" ca="1" si="58"/>
        <v>Menai</v>
      </c>
      <c r="O238" s="299"/>
      <c r="Q238" s="307">
        <f ca="1">IFERROR(VLOOKUP($A230&amp;D238,competitors,4,FALSE),"")</f>
        <v>1</v>
      </c>
      <c r="R238" s="307">
        <f ca="1">IFERROR(VLOOKUP($A230&amp;J238,competitors,4,FALSE),"")</f>
        <v>1</v>
      </c>
    </row>
    <row r="239" spans="1:18" x14ac:dyDescent="0.35">
      <c r="A239" s="300">
        <f ca="1">IFERROR(SEARCH("Girls",C230),0)</f>
        <v>10</v>
      </c>
      <c r="C239" s="298">
        <v>7</v>
      </c>
      <c r="D239" s="298">
        <f ca="1">IFERROR(IF(C239&gt;MatchDay!$U$2+MatchDay!$D$6-1,"",VLOOKUP(A230,Timetables!$A:$EB,MatchDay!$U$4+C239-MatchDay!$D$6,FALSE)),"")</f>
        <v>6</v>
      </c>
      <c r="E239" s="286" t="str">
        <f ca="1">IFERROR(VLOOKUP($A230&amp;D239,downloads!$A$1:$E$1000,2,FALSE),"")</f>
        <v>Lucy JONES</v>
      </c>
      <c r="F239" s="286" t="str">
        <f t="shared" ca="1" si="59"/>
        <v>Stock</v>
      </c>
      <c r="G239" s="291"/>
      <c r="H239" s="297"/>
      <c r="I239" s="298">
        <v>7</v>
      </c>
      <c r="J239" s="298">
        <f t="shared" ca="1" si="60"/>
        <v>66</v>
      </c>
      <c r="K239" s="286" t="str">
        <f ca="1">IFERROR(VLOOKUP($A230&amp;J239,downloads!$A$1:$E$1000,2,FALSE),"")</f>
        <v>Charlotte UNDERWOOD</v>
      </c>
      <c r="L239" s="286" t="str">
        <f t="shared" ca="1" si="58"/>
        <v>Stock</v>
      </c>
      <c r="O239" s="299"/>
      <c r="Q239" s="307">
        <f ca="1">IFERROR(VLOOKUP($A230&amp;D239,competitors,4,FALSE),"")</f>
        <v>1</v>
      </c>
      <c r="R239" s="307">
        <f ca="1">IFERROR(VLOOKUP($A230&amp;J239,competitors,4,FALSE),"")</f>
        <v>1</v>
      </c>
    </row>
    <row r="240" spans="1:18" x14ac:dyDescent="0.35">
      <c r="A240" s="103">
        <f ca="1">IFERROR(VLOOKUP(A230,records,5,FALSE),"")</f>
        <v>11.97</v>
      </c>
      <c r="B240" s="103"/>
      <c r="C240" s="298">
        <v>8</v>
      </c>
      <c r="D240" s="298" t="str">
        <f>IFERROR(IF(C240&gt;MatchDay!$U$2+MatchDay!$D$6-1,"",VLOOKUP(A230,Timetables!$A:$EB,MatchDay!$U$4+C240-MatchDay!$D$6,FALSE)),"")</f>
        <v/>
      </c>
      <c r="E240" s="286" t="str">
        <f ca="1">IFERROR(VLOOKUP($A230&amp;D240,downloads!$A$1:$E$1000,2,FALSE),"")</f>
        <v/>
      </c>
      <c r="F240" s="286" t="str">
        <f t="shared" si="59"/>
        <v/>
      </c>
      <c r="G240" s="291"/>
      <c r="H240" s="297"/>
      <c r="I240" s="298">
        <v>8</v>
      </c>
      <c r="J240" s="298" t="str">
        <f t="shared" si="60"/>
        <v/>
      </c>
      <c r="K240" s="286" t="str">
        <f ca="1">IFERROR(VLOOKUP($A230&amp;J240,downloads!$A$1:$E$1000,2,FALSE),"")</f>
        <v/>
      </c>
      <c r="L240" s="286" t="str">
        <f t="shared" si="58"/>
        <v/>
      </c>
      <c r="O240" s="299"/>
      <c r="Q240" s="307" t="str">
        <f ca="1">IFERROR(VLOOKUP($A230&amp;D240,competitors,4,FALSE),"")</f>
        <v/>
      </c>
      <c r="R240" s="307" t="str">
        <f ca="1">IFERROR(VLOOKUP($A230&amp;J240,competitors,4,FALSE),"")</f>
        <v/>
      </c>
    </row>
    <row r="241" spans="1:18" x14ac:dyDescent="0.35">
      <c r="Q241" s="307"/>
      <c r="R241" s="307"/>
    </row>
    <row r="242" spans="1:18" x14ac:dyDescent="0.35">
      <c r="A242" s="98" t="str">
        <f ca="1">IFERROR(INDIRECT(CONCATENATE("'Timetables'!A"&amp;A246)),"")</f>
        <v>LT13</v>
      </c>
      <c r="B242" s="304" t="str">
        <f ca="1">IFERROR(TEXT(VLOOKUP(A242,timetables,7-MatchDay!$U$7,FALSE),"hh:mm"),"")</f>
        <v>14:35</v>
      </c>
      <c r="C242" s="292" t="str">
        <f ca="1">IFERROR(VLOOKUP(A242,timetables,2,FALSE)&amp;" "&amp;VLOOKUP(A242,timetables,3,FALSE)&amp;" A","")</f>
        <v>100m U15 Boys A</v>
      </c>
      <c r="D242" s="292"/>
      <c r="F242" s="293"/>
      <c r="G242" s="294"/>
      <c r="L242" s="360"/>
      <c r="M242" s="296"/>
      <c r="N242" s="286"/>
      <c r="Q242" s="307"/>
      <c r="R242" s="307"/>
    </row>
    <row r="243" spans="1:18" x14ac:dyDescent="0.35">
      <c r="A243" s="98"/>
      <c r="B243" s="98"/>
      <c r="C243" s="295" t="str">
        <f ca="1">IFERROR("Rec: "&amp;VLOOKUP(A242,records,4,FALSE),"")</f>
        <v>Rec: 11.0 Marcus McLean, Sale Harriers, 2018</v>
      </c>
      <c r="D243" s="292"/>
      <c r="F243" s="293"/>
      <c r="G243" s="294"/>
      <c r="I243" s="295"/>
      <c r="L243" s="360"/>
      <c r="M243" s="296"/>
      <c r="N243" s="286"/>
      <c r="Q243" s="307"/>
      <c r="R243" s="307"/>
    </row>
    <row r="244" spans="1:18" x14ac:dyDescent="0.35">
      <c r="A244" s="82" t="str">
        <f ca="1">MID(A242,2,3)</f>
        <v>T13</v>
      </c>
      <c r="B244" s="82"/>
      <c r="C244" s="304" t="s">
        <v>542</v>
      </c>
      <c r="D244" s="304" t="s">
        <v>141</v>
      </c>
      <c r="E244" s="286" t="s">
        <v>174</v>
      </c>
      <c r="F244" s="286" t="s">
        <v>175</v>
      </c>
      <c r="G244" s="291"/>
      <c r="I244" s="304" t="s">
        <v>542</v>
      </c>
      <c r="J244" s="304" t="s">
        <v>141</v>
      </c>
      <c r="K244" s="286" t="s">
        <v>174</v>
      </c>
      <c r="L244" s="286" t="s">
        <v>175</v>
      </c>
      <c r="O244" s="299"/>
      <c r="Q244" s="307"/>
      <c r="R244" s="307"/>
    </row>
    <row r="245" spans="1:18" x14ac:dyDescent="0.35">
      <c r="A245" s="138"/>
      <c r="B245" s="103"/>
      <c r="C245" s="298">
        <v>1</v>
      </c>
      <c r="D245" s="298">
        <f ca="1">IFERROR(IF(C245&gt;MatchDay!$U$2,"",IF(MatchDay!$D$6=2,"",VLOOKUP(A242,Timetables!$A:$EB,MatchDay!$U$4+C245-MatchDay!$D$6,FALSE))),"")</f>
        <v>4</v>
      </c>
      <c r="E245" s="286" t="str">
        <f ca="1">IFERROR(VLOOKUP($A242&amp;D245,downloads!$A$1:$E$1000,2,FALSE),"")</f>
        <v>Tristan LAMPRECHT</v>
      </c>
      <c r="F245" s="286" t="str">
        <f ca="1">IFERROR(VLOOKUP(D245,teamlookup,5,FALSE),"")</f>
        <v>Macc</v>
      </c>
      <c r="G245" s="291"/>
      <c r="H245" s="297"/>
      <c r="I245" s="298">
        <v>1</v>
      </c>
      <c r="J245" s="298">
        <f ca="1">IFERROR(D245*11,"")</f>
        <v>44</v>
      </c>
      <c r="K245" s="286" t="str">
        <f ca="1">IFERROR(VLOOKUP($A242&amp;J245,downloads!$A$1:$E$1000,2,FALSE),"")</f>
        <v>Will HAMMOND</v>
      </c>
      <c r="L245" s="286" t="str">
        <f t="shared" ref="L245:L252" ca="1" si="61">IFERROR(VLOOKUP(J245,teamlookup,5,FALSE),"")</f>
        <v>Macc</v>
      </c>
      <c r="O245" s="299"/>
      <c r="Q245" s="307">
        <f ca="1">IFERROR(VLOOKUP($A242&amp;D245,competitors,4,FALSE),"")</f>
        <v>1</v>
      </c>
      <c r="R245" s="307">
        <f ca="1">IFERROR(VLOOKUP($A242&amp;J245,competitors,4,FALSE),"")</f>
        <v>1</v>
      </c>
    </row>
    <row r="246" spans="1:18" x14ac:dyDescent="0.35">
      <c r="A246" s="304">
        <f>A234+1</f>
        <v>23</v>
      </c>
      <c r="C246" s="298">
        <v>2</v>
      </c>
      <c r="D246" s="298">
        <f ca="1">IFERROR(IF(C246&gt;MatchDay!$U$2+MatchDay!$D$6-1,"",VLOOKUP(A242,Timetables!$A:$EB,MatchDay!$U$4+C246-MatchDay!$D$6,FALSE)),"")</f>
        <v>2</v>
      </c>
      <c r="E246" s="286" t="str">
        <f ca="1">IFERROR(VLOOKUP($A242&amp;D246,downloads!$A$1:$E$1000,2,FALSE),"")</f>
        <v>Max ORMSTON</v>
      </c>
      <c r="F246" s="286" t="str">
        <f t="shared" ref="F246:F252" ca="1" si="62">IFERROR(VLOOKUP(D246,teamlookup,5,FALSE),"")</f>
        <v>ECHT</v>
      </c>
      <c r="G246" s="291"/>
      <c r="H246" s="297"/>
      <c r="I246" s="298">
        <v>2</v>
      </c>
      <c r="J246" s="298">
        <f t="shared" ref="J246:J252" ca="1" si="63">IFERROR(D246*11,"")</f>
        <v>22</v>
      </c>
      <c r="K246" s="286" t="str">
        <f ca="1">IFERROR(VLOOKUP($A242&amp;J246,downloads!$A$1:$E$1000,2,FALSE),"")</f>
        <v>James ROOK</v>
      </c>
      <c r="L246" s="286" t="str">
        <f t="shared" ca="1" si="61"/>
        <v>ECHT</v>
      </c>
      <c r="O246" s="299"/>
      <c r="Q246" s="307">
        <f ca="1">IFERROR(VLOOKUP($A242&amp;D246,competitors,4,FALSE),"")</f>
        <v>1</v>
      </c>
      <c r="R246" s="307">
        <f ca="1">IFERROR(VLOOKUP($A242&amp;J246,competitors,4,FALSE),"")</f>
        <v>1</v>
      </c>
    </row>
    <row r="247" spans="1:18" x14ac:dyDescent="0.35">
      <c r="A247" s="105">
        <f ca="1">IFERROR(VLOOKUP(A242,standards,3,FALSE)+0.01,"-")</f>
        <v>14.209999999999999</v>
      </c>
      <c r="B247" s="105"/>
      <c r="C247" s="298">
        <v>3</v>
      </c>
      <c r="D247" s="298">
        <f ca="1">IFERROR(IF(C247&gt;MatchDay!$U$2+MatchDay!$D$6-1,"",VLOOKUP(A242,Timetables!$A:$EB,MatchDay!$U$4+C247-MatchDay!$D$6,FALSE)),"")</f>
        <v>3</v>
      </c>
      <c r="E247" s="286" t="str">
        <f ca="1">IFERROR(VLOOKUP($A242&amp;D247,downloads!$A$1:$E$1000,2,FALSE),"")</f>
        <v>Ben JAYATILLEKE</v>
      </c>
      <c r="F247" s="286" t="str">
        <f t="shared" ca="1" si="62"/>
        <v>Leigh</v>
      </c>
      <c r="G247" s="291"/>
      <c r="H247" s="297"/>
      <c r="I247" s="298">
        <v>3</v>
      </c>
      <c r="J247" s="298">
        <f t="shared" ca="1" si="63"/>
        <v>33</v>
      </c>
      <c r="K247" s="286" t="str">
        <f ca="1">IFERROR(VLOOKUP($A242&amp;J247,downloads!$A$1:$E$1000,2,FALSE),"")</f>
        <v/>
      </c>
      <c r="L247" s="286" t="str">
        <f t="shared" ca="1" si="61"/>
        <v>Leigh</v>
      </c>
      <c r="O247" s="299"/>
      <c r="Q247" s="307">
        <f ca="1">IFERROR(VLOOKUP($A242&amp;D247,competitors,4,FALSE),"")</f>
        <v>1</v>
      </c>
      <c r="R247" s="307" t="str">
        <f ca="1">IFERROR(VLOOKUP($A242&amp;J247,competitors,4,FALSE),"")</f>
        <v/>
      </c>
    </row>
    <row r="248" spans="1:18" x14ac:dyDescent="0.35">
      <c r="A248" s="105">
        <f ca="1">IFERROR(VLOOKUP(A242,standards,4,FALSE)+0.01,"-")</f>
        <v>13.81</v>
      </c>
      <c r="B248" s="105"/>
      <c r="C248" s="298">
        <v>4</v>
      </c>
      <c r="D248" s="298">
        <f ca="1">IFERROR(IF(C248&gt;MatchDay!$U$2+MatchDay!$D$6-1,"",VLOOKUP(A242,Timetables!$A:$EB,MatchDay!$U$4+C248-MatchDay!$D$6,FALSE)),"")</f>
        <v>1</v>
      </c>
      <c r="E248" s="286" t="str">
        <f ca="1">IFERROR(VLOOKUP($A242&amp;D248,downloads!$A$1:$E$1000,2,FALSE),"")</f>
        <v>James HOWARTH</v>
      </c>
      <c r="F248" s="286" t="str">
        <f t="shared" ca="1" si="62"/>
        <v>C&amp;N</v>
      </c>
      <c r="G248" s="291"/>
      <c r="H248" s="297"/>
      <c r="I248" s="298">
        <v>4</v>
      </c>
      <c r="J248" s="298">
        <f t="shared" ca="1" si="63"/>
        <v>11</v>
      </c>
      <c r="K248" s="286" t="str">
        <f ca="1">IFERROR(VLOOKUP($A242&amp;J248,downloads!$A$1:$E$1000,2,FALSE),"")</f>
        <v>Lucas BEECH</v>
      </c>
      <c r="L248" s="286" t="str">
        <f t="shared" ca="1" si="61"/>
        <v>C&amp;N</v>
      </c>
      <c r="O248" s="299"/>
      <c r="Q248" s="307">
        <f ca="1">IFERROR(VLOOKUP($A242&amp;D248,competitors,4,FALSE),"")</f>
        <v>1</v>
      </c>
      <c r="R248" s="307">
        <f ca="1">IFERROR(VLOOKUP($A242&amp;J248,competitors,4,FALSE),"")</f>
        <v>1</v>
      </c>
    </row>
    <row r="249" spans="1:18" x14ac:dyDescent="0.35">
      <c r="A249" s="105">
        <f ca="1">IFERROR(VLOOKUP(A242,standards,5,FALSE)+0.01,"-")</f>
        <v>13.41</v>
      </c>
      <c r="B249" s="105"/>
      <c r="C249" s="298">
        <v>5</v>
      </c>
      <c r="D249" s="298">
        <f ca="1">IFERROR(IF(C249&gt;MatchDay!$U$2+MatchDay!$D$6-1,"",VLOOKUP(A242,Timetables!$A:$EB,MatchDay!$U$4+C249-MatchDay!$D$6,FALSE)),"")</f>
        <v>7</v>
      </c>
      <c r="E249" s="286" t="str">
        <f ca="1">IFERROR(VLOOKUP($A242&amp;D249,downloads!$A$1:$E$1000,2,FALSE),"")</f>
        <v>Matthew HAYTON</v>
      </c>
      <c r="F249" s="286" t="str">
        <f t="shared" ca="1" si="62"/>
        <v>Wigan</v>
      </c>
      <c r="G249" s="291"/>
      <c r="H249" s="297"/>
      <c r="I249" s="298">
        <v>5</v>
      </c>
      <c r="J249" s="298">
        <f t="shared" ca="1" si="63"/>
        <v>77</v>
      </c>
      <c r="K249" s="286" t="str">
        <f ca="1">IFERROR(VLOOKUP($A242&amp;J249,downloads!$A$1:$E$1000,2,FALSE),"")</f>
        <v>Joshua BOURNE</v>
      </c>
      <c r="L249" s="286" t="str">
        <f t="shared" ca="1" si="61"/>
        <v>Wigan</v>
      </c>
      <c r="O249" s="299"/>
      <c r="Q249" s="307">
        <f ca="1">IFERROR(VLOOKUP($A242&amp;D249,competitors,4,FALSE),"")</f>
        <v>1</v>
      </c>
      <c r="R249" s="307">
        <f ca="1">IFERROR(VLOOKUP($A242&amp;J249,competitors,4,FALSE),"")</f>
        <v>1</v>
      </c>
    </row>
    <row r="250" spans="1:18" x14ac:dyDescent="0.35">
      <c r="A250" s="105">
        <f ca="1">IFERROR(VLOOKUP(A242,standards,6,FALSE)+0.01,"-")</f>
        <v>13.01</v>
      </c>
      <c r="B250" s="105"/>
      <c r="C250" s="298">
        <v>6</v>
      </c>
      <c r="D250" s="298">
        <f ca="1">IFERROR(IF(C250&gt;MatchDay!$U$2+MatchDay!$D$6-1,"",VLOOKUP(A242,Timetables!$A:$EB,MatchDay!$U$4+C250-MatchDay!$D$6,FALSE)),"")</f>
        <v>5</v>
      </c>
      <c r="E250" s="286" t="str">
        <f ca="1">IFERROR(VLOOKUP($A242&amp;D250,downloads!$A$1:$E$1000,2,FALSE),"")</f>
        <v>Morgan JONES</v>
      </c>
      <c r="F250" s="286" t="str">
        <f t="shared" ca="1" si="62"/>
        <v>Menai</v>
      </c>
      <c r="G250" s="291"/>
      <c r="H250" s="297"/>
      <c r="I250" s="298">
        <v>6</v>
      </c>
      <c r="J250" s="298">
        <f t="shared" ca="1" si="63"/>
        <v>55</v>
      </c>
      <c r="K250" s="286" t="str">
        <f ca="1">IFERROR(VLOOKUP($A242&amp;J250,downloads!$A$1:$E$1000,2,FALSE),"")</f>
        <v/>
      </c>
      <c r="L250" s="286" t="str">
        <f t="shared" ca="1" si="61"/>
        <v>Menai</v>
      </c>
      <c r="O250" s="299"/>
      <c r="Q250" s="307">
        <f ca="1">IFERROR(VLOOKUP($A242&amp;D250,competitors,4,FALSE),"")</f>
        <v>1</v>
      </c>
      <c r="R250" s="307" t="str">
        <f ca="1">IFERROR(VLOOKUP($A242&amp;J250,competitors,4,FALSE),"")</f>
        <v/>
      </c>
    </row>
    <row r="251" spans="1:18" x14ac:dyDescent="0.35">
      <c r="A251" s="300">
        <f ca="1">IFERROR(SEARCH("Girls",C242),0)</f>
        <v>0</v>
      </c>
      <c r="C251" s="298">
        <v>7</v>
      </c>
      <c r="D251" s="298">
        <f ca="1">IFERROR(IF(C251&gt;MatchDay!$U$2+MatchDay!$D$6-1,"",VLOOKUP(A242,Timetables!$A:$EB,MatchDay!$U$4+C251-MatchDay!$D$6,FALSE)),"")</f>
        <v>6</v>
      </c>
      <c r="E251" s="286" t="str">
        <f ca="1">IFERROR(VLOOKUP($A242&amp;D251,downloads!$A$1:$E$1000,2,FALSE),"")</f>
        <v>Quaid SIN</v>
      </c>
      <c r="F251" s="286" t="str">
        <f t="shared" ca="1" si="62"/>
        <v>Stock</v>
      </c>
      <c r="G251" s="291"/>
      <c r="H251" s="297"/>
      <c r="I251" s="298">
        <v>7</v>
      </c>
      <c r="J251" s="298">
        <f t="shared" ca="1" si="63"/>
        <v>66</v>
      </c>
      <c r="K251" s="286" t="str">
        <f ca="1">IFERROR(VLOOKUP($A242&amp;J251,downloads!$A$1:$E$1000,2,FALSE),"")</f>
        <v>Luc BRADBURY</v>
      </c>
      <c r="L251" s="286" t="str">
        <f t="shared" ca="1" si="61"/>
        <v>Stock</v>
      </c>
      <c r="O251" s="299"/>
      <c r="Q251" s="307">
        <f ca="1">IFERROR(VLOOKUP($A242&amp;D251,competitors,4,FALSE),"")</f>
        <v>1</v>
      </c>
      <c r="R251" s="307">
        <f ca="1">IFERROR(VLOOKUP($A242&amp;J251,competitors,4,FALSE),"")</f>
        <v>1</v>
      </c>
    </row>
    <row r="252" spans="1:18" x14ac:dyDescent="0.35">
      <c r="A252" s="103">
        <f ca="1">IFERROR(VLOOKUP(A242,records,5,FALSE),"")</f>
        <v>11</v>
      </c>
      <c r="B252" s="103"/>
      <c r="C252" s="298">
        <v>8</v>
      </c>
      <c r="D252" s="298" t="str">
        <f>IFERROR(IF(C252&gt;MatchDay!$U$2+MatchDay!$D$6-1,"",VLOOKUP(A242,Timetables!$A:$EB,MatchDay!$U$4+C252-MatchDay!$D$6,FALSE)),"")</f>
        <v/>
      </c>
      <c r="E252" s="286" t="str">
        <f ca="1">IFERROR(VLOOKUP($A242&amp;D252,downloads!$A$1:$E$1000,2,FALSE),"")</f>
        <v/>
      </c>
      <c r="F252" s="286" t="str">
        <f t="shared" si="62"/>
        <v/>
      </c>
      <c r="G252" s="291"/>
      <c r="H252" s="297"/>
      <c r="I252" s="298">
        <v>8</v>
      </c>
      <c r="J252" s="298" t="str">
        <f t="shared" si="63"/>
        <v/>
      </c>
      <c r="K252" s="286" t="str">
        <f ca="1">IFERROR(VLOOKUP($A242&amp;J252,downloads!$A$1:$E$1000,2,FALSE),"")</f>
        <v/>
      </c>
      <c r="L252" s="286" t="str">
        <f t="shared" si="61"/>
        <v/>
      </c>
      <c r="O252" s="299"/>
      <c r="Q252" s="307" t="str">
        <f ca="1">IFERROR(VLOOKUP($A242&amp;D252,competitors,4,FALSE),"")</f>
        <v/>
      </c>
      <c r="R252" s="307" t="str">
        <f ca="1">IFERROR(VLOOKUP($A242&amp;J252,competitors,4,FALSE),"")</f>
        <v/>
      </c>
    </row>
    <row r="253" spans="1:18" x14ac:dyDescent="0.35">
      <c r="Q253" s="307"/>
      <c r="R253" s="307"/>
    </row>
    <row r="254" spans="1:18" x14ac:dyDescent="0.35">
      <c r="A254" s="98" t="str">
        <f ca="1">IFERROR(INDIRECT(CONCATENATE("'Timetables'!A"&amp;A258)),"")</f>
        <v>LT14</v>
      </c>
      <c r="B254" s="304" t="str">
        <f ca="1">IFERROR(TEXT(VLOOKUP(A254,timetables,7-MatchDay!$U$7,FALSE),"hh:mm"),"")</f>
        <v>14:45</v>
      </c>
      <c r="C254" s="292" t="str">
        <f ca="1">IFERROR(VLOOKUP(A254,timetables,2,FALSE)&amp;" "&amp;VLOOKUP(A254,timetables,3,FALSE)&amp;" A","")</f>
        <v>75m NS U13 Boys A</v>
      </c>
      <c r="D254" s="292"/>
      <c r="F254" s="293"/>
      <c r="G254" s="294"/>
      <c r="L254" s="360"/>
      <c r="M254" s="296"/>
      <c r="N254" s="286"/>
      <c r="Q254" s="307"/>
      <c r="R254" s="307"/>
    </row>
    <row r="255" spans="1:18" x14ac:dyDescent="0.35">
      <c r="A255" s="98"/>
      <c r="B255" s="98"/>
      <c r="C255" s="295" t="str">
        <f ca="1">IFERROR("Rec: "&amp;VLOOKUP(A254,records,4,FALSE),"")</f>
        <v>Rec: 9.33 Alex Foster, Woodford Green Essex Ladies, 2021</v>
      </c>
      <c r="D255" s="292"/>
      <c r="F255" s="293"/>
      <c r="G255" s="294"/>
      <c r="I255" s="295"/>
      <c r="L255" s="360"/>
      <c r="M255" s="296"/>
      <c r="N255" s="286"/>
      <c r="Q255" s="307"/>
      <c r="R255" s="307"/>
    </row>
    <row r="256" spans="1:18" x14ac:dyDescent="0.35">
      <c r="A256" s="82" t="str">
        <f ca="1">MID(A254,2,3)</f>
        <v>T14</v>
      </c>
      <c r="B256" s="82"/>
      <c r="C256" s="304" t="s">
        <v>542</v>
      </c>
      <c r="D256" s="304" t="s">
        <v>141</v>
      </c>
      <c r="E256" s="286" t="s">
        <v>174</v>
      </c>
      <c r="F256" s="286" t="s">
        <v>175</v>
      </c>
      <c r="G256" s="291"/>
      <c r="I256" s="304" t="s">
        <v>542</v>
      </c>
      <c r="J256" s="304" t="s">
        <v>141</v>
      </c>
      <c r="K256" s="286" t="s">
        <v>174</v>
      </c>
      <c r="L256" s="286" t="s">
        <v>175</v>
      </c>
      <c r="O256" s="299"/>
      <c r="Q256" s="307"/>
      <c r="R256" s="307"/>
    </row>
    <row r="257" spans="1:18" x14ac:dyDescent="0.35">
      <c r="A257" s="138"/>
      <c r="B257" s="103"/>
      <c r="C257" s="298">
        <v>1</v>
      </c>
      <c r="D257" s="298">
        <f ca="1">IFERROR(IF(C257&gt;MatchDay!$U$2,"",IF(MatchDay!$D$6=2,"",VLOOKUP(A254,Timetables!$A:$EB,MatchDay!$U$4+C257-MatchDay!$D$6,FALSE))),"")</f>
        <v>4</v>
      </c>
      <c r="E257" s="286" t="str">
        <f ca="1">IFERROR(VLOOKUP($A254&amp;D257,downloads!$A$1:$E$1000,2,FALSE),"")</f>
        <v/>
      </c>
      <c r="F257" s="286" t="str">
        <f ca="1">IFERROR(VLOOKUP(D257,teamlookup,5,FALSE),"")</f>
        <v>Macc</v>
      </c>
      <c r="G257" s="291"/>
      <c r="H257" s="297"/>
      <c r="I257" s="298">
        <v>1</v>
      </c>
      <c r="J257" s="298">
        <f ca="1">IFERROR(D257*11,"")</f>
        <v>44</v>
      </c>
      <c r="K257" s="286" t="str">
        <f ca="1">IFERROR(VLOOKUP($A254&amp;J257,downloads!$A$1:$E$1000,2,FALSE),"")</f>
        <v/>
      </c>
      <c r="L257" s="286" t="str">
        <f t="shared" ref="L257:L264" ca="1" si="64">IFERROR(VLOOKUP(J257,teamlookup,5,FALSE),"")</f>
        <v>Macc</v>
      </c>
      <c r="O257" s="299"/>
      <c r="Q257" s="307" t="str">
        <f ca="1">IFERROR(VLOOKUP($A254&amp;D257,competitors,4,FALSE),"")</f>
        <v/>
      </c>
      <c r="R257" s="307" t="str">
        <f ca="1">IFERROR(VLOOKUP($A254&amp;J257,competitors,4,FALSE),"")</f>
        <v/>
      </c>
    </row>
    <row r="258" spans="1:18" x14ac:dyDescent="0.35">
      <c r="A258" s="304">
        <f>A246+1</f>
        <v>24</v>
      </c>
      <c r="C258" s="298">
        <v>2</v>
      </c>
      <c r="D258" s="298">
        <f ca="1">IFERROR(IF(C258&gt;MatchDay!$U$2+MatchDay!$D$6-1,"",VLOOKUP(A254,Timetables!$A:$EB,MatchDay!$U$4+C258-MatchDay!$D$6,FALSE)),"")</f>
        <v>2</v>
      </c>
      <c r="E258" s="286" t="str">
        <f ca="1">IFERROR(VLOOKUP($A254&amp;D258,downloads!$A$1:$E$1000,2,FALSE),"")</f>
        <v>Sebastien GREGORY</v>
      </c>
      <c r="F258" s="286" t="str">
        <f t="shared" ref="F258:F264" ca="1" si="65">IFERROR(VLOOKUP(D258,teamlookup,5,FALSE),"")</f>
        <v>ECHT</v>
      </c>
      <c r="G258" s="291"/>
      <c r="H258" s="297"/>
      <c r="I258" s="298">
        <v>2</v>
      </c>
      <c r="J258" s="298">
        <f t="shared" ref="J258:J264" ca="1" si="66">IFERROR(D258*11,"")</f>
        <v>22</v>
      </c>
      <c r="K258" s="286" t="str">
        <f ca="1">IFERROR(VLOOKUP($A254&amp;J258,downloads!$A$1:$E$1000,2,FALSE),"")</f>
        <v/>
      </c>
      <c r="L258" s="286" t="str">
        <f t="shared" ca="1" si="64"/>
        <v>ECHT</v>
      </c>
      <c r="O258" s="299"/>
      <c r="Q258" s="307">
        <f ca="1">IFERROR(VLOOKUP($A254&amp;D258,competitors,4,FALSE),"")</f>
        <v>1</v>
      </c>
      <c r="R258" s="307" t="str">
        <f ca="1">IFERROR(VLOOKUP($A254&amp;J258,competitors,4,FALSE),"")</f>
        <v/>
      </c>
    </row>
    <row r="259" spans="1:18" x14ac:dyDescent="0.35">
      <c r="A259" s="105">
        <f ca="1">IFERROR(VLOOKUP(A254,standards,3,FALSE)+0.01,"-")</f>
        <v>12.51</v>
      </c>
      <c r="B259" s="105"/>
      <c r="C259" s="298">
        <v>3</v>
      </c>
      <c r="D259" s="298">
        <f ca="1">IFERROR(IF(C259&gt;MatchDay!$U$2+MatchDay!$D$6-1,"",VLOOKUP(A254,Timetables!$A:$EB,MatchDay!$U$4+C259-MatchDay!$D$6,FALSE)),"")</f>
        <v>3</v>
      </c>
      <c r="E259" s="286" t="str">
        <f ca="1">IFERROR(VLOOKUP($A254&amp;D259,downloads!$A$1:$E$1000,2,FALSE),"")</f>
        <v>Frankie CAMPBELL</v>
      </c>
      <c r="F259" s="286" t="str">
        <f t="shared" ca="1" si="65"/>
        <v>Leigh</v>
      </c>
      <c r="G259" s="291"/>
      <c r="H259" s="297"/>
      <c r="I259" s="298">
        <v>3</v>
      </c>
      <c r="J259" s="298">
        <f t="shared" ca="1" si="66"/>
        <v>33</v>
      </c>
      <c r="K259" s="286" t="str">
        <f ca="1">IFERROR(VLOOKUP($A254&amp;J259,downloads!$A$1:$E$1000,2,FALSE),"")</f>
        <v>Jesse WAI IP CHAN</v>
      </c>
      <c r="L259" s="286" t="str">
        <f t="shared" ca="1" si="64"/>
        <v>Leigh</v>
      </c>
      <c r="O259" s="299"/>
      <c r="Q259" s="307">
        <f ca="1">IFERROR(VLOOKUP($A254&amp;D259,competitors,4,FALSE),"")</f>
        <v>1</v>
      </c>
      <c r="R259" s="307">
        <f ca="1">IFERROR(VLOOKUP($A254&amp;J259,competitors,4,FALSE),"")</f>
        <v>0</v>
      </c>
    </row>
    <row r="260" spans="1:18" x14ac:dyDescent="0.35">
      <c r="A260" s="105">
        <f ca="1">IFERROR(VLOOKUP(A254,standards,4,FALSE)+0.01,"-")</f>
        <v>12.01</v>
      </c>
      <c r="B260" s="105"/>
      <c r="C260" s="298">
        <v>4</v>
      </c>
      <c r="D260" s="298">
        <f ca="1">IFERROR(IF(C260&gt;MatchDay!$U$2+MatchDay!$D$6-1,"",VLOOKUP(A254,Timetables!$A:$EB,MatchDay!$U$4+C260-MatchDay!$D$6,FALSE)),"")</f>
        <v>1</v>
      </c>
      <c r="E260" s="286" t="str">
        <f ca="1">IFERROR(VLOOKUP($A254&amp;D260,downloads!$A$1:$E$1000,2,FALSE),"")</f>
        <v/>
      </c>
      <c r="F260" s="286" t="str">
        <f t="shared" ca="1" si="65"/>
        <v>C&amp;N</v>
      </c>
      <c r="G260" s="291"/>
      <c r="H260" s="297"/>
      <c r="I260" s="298">
        <v>4</v>
      </c>
      <c r="J260" s="298">
        <f t="shared" ca="1" si="66"/>
        <v>11</v>
      </c>
      <c r="K260" s="286" t="str">
        <f ca="1">IFERROR(VLOOKUP($A254&amp;J260,downloads!$A$1:$E$1000,2,FALSE),"")</f>
        <v/>
      </c>
      <c r="L260" s="286" t="str">
        <f t="shared" ca="1" si="64"/>
        <v>C&amp;N</v>
      </c>
      <c r="O260" s="299"/>
      <c r="Q260" s="307" t="str">
        <f ca="1">IFERROR(VLOOKUP($A254&amp;D260,competitors,4,FALSE),"")</f>
        <v/>
      </c>
      <c r="R260" s="307" t="str">
        <f ca="1">IFERROR(VLOOKUP($A254&amp;J260,competitors,4,FALSE),"")</f>
        <v/>
      </c>
    </row>
    <row r="261" spans="1:18" x14ac:dyDescent="0.35">
      <c r="A261" s="105">
        <f ca="1">IFERROR(VLOOKUP(A254,standards,5,FALSE)+0.01,"-")</f>
        <v>11.61</v>
      </c>
      <c r="B261" s="105"/>
      <c r="C261" s="298">
        <v>5</v>
      </c>
      <c r="D261" s="298">
        <f ca="1">IFERROR(IF(C261&gt;MatchDay!$U$2+MatchDay!$D$6-1,"",VLOOKUP(A254,Timetables!$A:$EB,MatchDay!$U$4+C261-MatchDay!$D$6,FALSE)),"")</f>
        <v>7</v>
      </c>
      <c r="E261" s="286" t="str">
        <f ca="1">IFERROR(VLOOKUP($A254&amp;D261,downloads!$A$1:$E$1000,2,FALSE),"")</f>
        <v/>
      </c>
      <c r="F261" s="286" t="str">
        <f t="shared" ca="1" si="65"/>
        <v>Wigan</v>
      </c>
      <c r="G261" s="291"/>
      <c r="H261" s="297"/>
      <c r="I261" s="298">
        <v>5</v>
      </c>
      <c r="J261" s="298">
        <f t="shared" ca="1" si="66"/>
        <v>77</v>
      </c>
      <c r="K261" s="286" t="str">
        <f ca="1">IFERROR(VLOOKUP($A254&amp;J261,downloads!$A$1:$E$1000,2,FALSE),"")</f>
        <v/>
      </c>
      <c r="L261" s="286" t="str">
        <f t="shared" ca="1" si="64"/>
        <v>Wigan</v>
      </c>
      <c r="O261" s="299"/>
      <c r="Q261" s="307" t="str">
        <f ca="1">IFERROR(VLOOKUP($A254&amp;D261,competitors,4,FALSE),"")</f>
        <v/>
      </c>
      <c r="R261" s="307" t="str">
        <f ca="1">IFERROR(VLOOKUP($A254&amp;J261,competitors,4,FALSE),"")</f>
        <v/>
      </c>
    </row>
    <row r="262" spans="1:18" x14ac:dyDescent="0.35">
      <c r="A262" s="105">
        <f ca="1">IFERROR(VLOOKUP(A254,standards,6,FALSE)+0.01,"-")</f>
        <v>11.209999999999999</v>
      </c>
      <c r="B262" s="105"/>
      <c r="C262" s="298">
        <v>6</v>
      </c>
      <c r="D262" s="298">
        <f ca="1">IFERROR(IF(C262&gt;MatchDay!$U$2+MatchDay!$D$6-1,"",VLOOKUP(A254,Timetables!$A:$EB,MatchDay!$U$4+C262-MatchDay!$D$6,FALSE)),"")</f>
        <v>5</v>
      </c>
      <c r="E262" s="286" t="str">
        <f ca="1">IFERROR(VLOOKUP($A254&amp;D262,downloads!$A$1:$E$1000,2,FALSE),"")</f>
        <v/>
      </c>
      <c r="F262" s="286" t="str">
        <f t="shared" ca="1" si="65"/>
        <v>Menai</v>
      </c>
      <c r="G262" s="291"/>
      <c r="H262" s="297"/>
      <c r="I262" s="298">
        <v>6</v>
      </c>
      <c r="J262" s="298">
        <f t="shared" ca="1" si="66"/>
        <v>55</v>
      </c>
      <c r="K262" s="286" t="str">
        <f ca="1">IFERROR(VLOOKUP($A254&amp;J262,downloads!$A$1:$E$1000,2,FALSE),"")</f>
        <v/>
      </c>
      <c r="L262" s="286" t="str">
        <f t="shared" ca="1" si="64"/>
        <v>Menai</v>
      </c>
      <c r="O262" s="299"/>
      <c r="Q262" s="307" t="str">
        <f ca="1">IFERROR(VLOOKUP($A254&amp;D262,competitors,4,FALSE),"")</f>
        <v/>
      </c>
      <c r="R262" s="307" t="str">
        <f ca="1">IFERROR(VLOOKUP($A254&amp;J262,competitors,4,FALSE),"")</f>
        <v/>
      </c>
    </row>
    <row r="263" spans="1:18" x14ac:dyDescent="0.35">
      <c r="A263" s="300">
        <f ca="1">IFERROR(SEARCH("Girls",C254),0)</f>
        <v>0</v>
      </c>
      <c r="C263" s="298">
        <v>7</v>
      </c>
      <c r="D263" s="298">
        <f ca="1">IFERROR(IF(C263&gt;MatchDay!$U$2+MatchDay!$D$6-1,"",VLOOKUP(A254,Timetables!$A:$EB,MatchDay!$U$4+C263-MatchDay!$D$6,FALSE)),"")</f>
        <v>6</v>
      </c>
      <c r="E263" s="286" t="str">
        <f ca="1">IFERROR(VLOOKUP($A254&amp;D263,downloads!$A$1:$E$1000,2,FALSE),"")</f>
        <v/>
      </c>
      <c r="F263" s="286" t="str">
        <f t="shared" ca="1" si="65"/>
        <v>Stock</v>
      </c>
      <c r="G263" s="291"/>
      <c r="H263" s="297"/>
      <c r="I263" s="298">
        <v>7</v>
      </c>
      <c r="J263" s="298">
        <f t="shared" ca="1" si="66"/>
        <v>66</v>
      </c>
      <c r="K263" s="286" t="str">
        <f ca="1">IFERROR(VLOOKUP($A254&amp;J263,downloads!$A$1:$E$1000,2,FALSE),"")</f>
        <v/>
      </c>
      <c r="L263" s="286" t="str">
        <f t="shared" ca="1" si="64"/>
        <v>Stock</v>
      </c>
      <c r="O263" s="299"/>
      <c r="Q263" s="307" t="str">
        <f ca="1">IFERROR(VLOOKUP($A254&amp;D263,competitors,4,FALSE),"")</f>
        <v/>
      </c>
      <c r="R263" s="307" t="str">
        <f ca="1">IFERROR(VLOOKUP($A254&amp;J263,competitors,4,FALSE),"")</f>
        <v/>
      </c>
    </row>
    <row r="264" spans="1:18" x14ac:dyDescent="0.35">
      <c r="A264" s="103">
        <f ca="1">IFERROR(VLOOKUP(A254,records,5,FALSE),"")</f>
        <v>9.33</v>
      </c>
      <c r="B264" s="103"/>
      <c r="C264" s="298">
        <v>8</v>
      </c>
      <c r="D264" s="298" t="str">
        <f>IFERROR(IF(C264&gt;MatchDay!$U$2+MatchDay!$D$6-1,"",VLOOKUP(A254,Timetables!$A:$EB,MatchDay!$U$4+C264-MatchDay!$D$6,FALSE)),"")</f>
        <v/>
      </c>
      <c r="E264" s="286" t="str">
        <f ca="1">IFERROR(VLOOKUP($A254&amp;D264,downloads!$A$1:$E$1000,2,FALSE),"")</f>
        <v/>
      </c>
      <c r="F264" s="286" t="str">
        <f t="shared" si="65"/>
        <v/>
      </c>
      <c r="G264" s="291"/>
      <c r="H264" s="297"/>
      <c r="I264" s="298">
        <v>8</v>
      </c>
      <c r="J264" s="298" t="str">
        <f t="shared" si="66"/>
        <v/>
      </c>
      <c r="K264" s="286" t="str">
        <f ca="1">IFERROR(VLOOKUP($A254&amp;J264,downloads!$A$1:$E$1000,2,FALSE),"")</f>
        <v/>
      </c>
      <c r="L264" s="286" t="str">
        <f t="shared" si="64"/>
        <v/>
      </c>
      <c r="O264" s="299"/>
      <c r="Q264" s="307" t="str">
        <f ca="1">IFERROR(VLOOKUP($A254&amp;D264,competitors,4,FALSE),"")</f>
        <v/>
      </c>
      <c r="R264" s="307" t="str">
        <f ca="1">IFERROR(VLOOKUP($A254&amp;J264,competitors,4,FALSE),"")</f>
        <v/>
      </c>
    </row>
    <row r="265" spans="1:18" x14ac:dyDescent="0.35">
      <c r="Q265" s="307"/>
      <c r="R265" s="307"/>
    </row>
    <row r="266" spans="1:18" x14ac:dyDescent="0.35">
      <c r="A266" s="98" t="str">
        <f ca="1">IFERROR(INDIRECT(CONCATENATE("'Timetables'!A"&amp;A270)),"")</f>
        <v>LT15</v>
      </c>
      <c r="B266" s="304" t="str">
        <f ca="1">IFERROR(TEXT(VLOOKUP(A266,timetables,7-MatchDay!$U$7,FALSE),"hh:mm"),"")</f>
        <v>14:50</v>
      </c>
      <c r="C266" s="292" t="str">
        <f ca="1">IFERROR(VLOOKUP(A266,timetables,2,FALSE)&amp;" "&amp;VLOOKUP(A266,timetables,3,FALSE)&amp;" A","")</f>
        <v>100m NS U15 Girls A</v>
      </c>
      <c r="D266" s="292"/>
      <c r="F266" s="293"/>
      <c r="G266" s="294"/>
      <c r="L266" s="360"/>
      <c r="M266" s="296"/>
      <c r="N266" s="286"/>
      <c r="Q266" s="307"/>
      <c r="R266" s="307"/>
    </row>
    <row r="267" spans="1:18" x14ac:dyDescent="0.35">
      <c r="A267" s="98"/>
      <c r="B267" s="98"/>
      <c r="C267" s="295" t="str">
        <f ca="1">IFERROR("Rec: "&amp;VLOOKUP(A266,records,4,FALSE),"")</f>
        <v>Rec: 11.97 Success Eduan, Sale Harriers, 2019</v>
      </c>
      <c r="D267" s="292"/>
      <c r="F267" s="293"/>
      <c r="G267" s="294"/>
      <c r="I267" s="295"/>
      <c r="L267" s="360"/>
      <c r="M267" s="296"/>
      <c r="N267" s="286"/>
      <c r="Q267" s="307"/>
      <c r="R267" s="307"/>
    </row>
    <row r="268" spans="1:18" x14ac:dyDescent="0.35">
      <c r="A268" s="82" t="str">
        <f ca="1">MID(A266,2,3)</f>
        <v>T15</v>
      </c>
      <c r="B268" s="82"/>
      <c r="C268" s="304" t="s">
        <v>542</v>
      </c>
      <c r="D268" s="304" t="s">
        <v>141</v>
      </c>
      <c r="E268" s="286" t="s">
        <v>174</v>
      </c>
      <c r="F268" s="286" t="s">
        <v>175</v>
      </c>
      <c r="G268" s="291"/>
      <c r="I268" s="304" t="s">
        <v>542</v>
      </c>
      <c r="J268" s="304" t="s">
        <v>141</v>
      </c>
      <c r="K268" s="286" t="s">
        <v>174</v>
      </c>
      <c r="L268" s="286" t="s">
        <v>175</v>
      </c>
      <c r="O268" s="299"/>
      <c r="Q268" s="307"/>
      <c r="R268" s="307"/>
    </row>
    <row r="269" spans="1:18" x14ac:dyDescent="0.35">
      <c r="A269" s="138"/>
      <c r="B269" s="103"/>
      <c r="C269" s="298">
        <v>1</v>
      </c>
      <c r="D269" s="298">
        <f ca="1">IFERROR(IF(C269&gt;MatchDay!$U$2,"",IF(MatchDay!$D$6=2,"",VLOOKUP(A266,Timetables!$A:$EB,MatchDay!$U$4+C269-MatchDay!$D$6,FALSE))),"")</f>
        <v>4</v>
      </c>
      <c r="E269" s="286" t="str">
        <f ca="1">IFERROR(VLOOKUP($A266&amp;D269,downloads!$A$1:$E$1000,2,FALSE),"")</f>
        <v/>
      </c>
      <c r="F269" s="286" t="str">
        <f ca="1">IFERROR(VLOOKUP(D269,teamlookup,5,FALSE),"")</f>
        <v>Macc</v>
      </c>
      <c r="G269" s="291"/>
      <c r="H269" s="297"/>
      <c r="I269" s="298">
        <v>1</v>
      </c>
      <c r="J269" s="298">
        <f ca="1">IFERROR(D269*11,"")</f>
        <v>44</v>
      </c>
      <c r="K269" s="286" t="str">
        <f ca="1">IFERROR(VLOOKUP($A266&amp;J269,downloads!$A$1:$E$1000,2,FALSE),"")</f>
        <v/>
      </c>
      <c r="L269" s="286" t="str">
        <f t="shared" ref="L269:L276" ca="1" si="67">IFERROR(VLOOKUP(J269,teamlookup,5,FALSE),"")</f>
        <v>Macc</v>
      </c>
      <c r="O269" s="299"/>
      <c r="Q269" s="307" t="str">
        <f ca="1">IFERROR(VLOOKUP($A266&amp;D269,competitors,4,FALSE),"")</f>
        <v/>
      </c>
      <c r="R269" s="307" t="str">
        <f ca="1">IFERROR(VLOOKUP($A266&amp;J269,competitors,4,FALSE),"")</f>
        <v/>
      </c>
    </row>
    <row r="270" spans="1:18" x14ac:dyDescent="0.35">
      <c r="A270" s="304">
        <f>A258+1</f>
        <v>25</v>
      </c>
      <c r="C270" s="298">
        <v>2</v>
      </c>
      <c r="D270" s="298">
        <f ca="1">IFERROR(IF(C270&gt;MatchDay!$U$2+MatchDay!$D$6-1,"",VLOOKUP(A266,Timetables!$A:$EB,MatchDay!$U$4+C270-MatchDay!$D$6,FALSE)),"")</f>
        <v>2</v>
      </c>
      <c r="E270" s="286" t="str">
        <f ca="1">IFERROR(VLOOKUP($A266&amp;D270,downloads!$A$1:$E$1000,2,FALSE),"")</f>
        <v/>
      </c>
      <c r="F270" s="286" t="str">
        <f t="shared" ref="F270:F276" ca="1" si="68">IFERROR(VLOOKUP(D270,teamlookup,5,FALSE),"")</f>
        <v>ECHT</v>
      </c>
      <c r="G270" s="291"/>
      <c r="H270" s="297"/>
      <c r="I270" s="298">
        <v>2</v>
      </c>
      <c r="J270" s="298">
        <f t="shared" ref="J270:J276" ca="1" si="69">IFERROR(D270*11,"")</f>
        <v>22</v>
      </c>
      <c r="K270" s="286" t="str">
        <f ca="1">IFERROR(VLOOKUP($A266&amp;J270,downloads!$A$1:$E$1000,2,FALSE),"")</f>
        <v/>
      </c>
      <c r="L270" s="286" t="str">
        <f t="shared" ca="1" si="67"/>
        <v>ECHT</v>
      </c>
      <c r="O270" s="299"/>
      <c r="Q270" s="307" t="str">
        <f ca="1">IFERROR(VLOOKUP($A266&amp;D270,competitors,4,FALSE),"")</f>
        <v/>
      </c>
      <c r="R270" s="307" t="str">
        <f ca="1">IFERROR(VLOOKUP($A266&amp;J270,competitors,4,FALSE),"")</f>
        <v/>
      </c>
    </row>
    <row r="271" spans="1:18" x14ac:dyDescent="0.35">
      <c r="A271" s="105">
        <f ca="1">IFERROR(VLOOKUP(A266,standards,3,FALSE)+0.01,"-")</f>
        <v>14.81</v>
      </c>
      <c r="B271" s="105"/>
      <c r="C271" s="298">
        <v>3</v>
      </c>
      <c r="D271" s="298">
        <f ca="1">IFERROR(IF(C271&gt;MatchDay!$U$2+MatchDay!$D$6-1,"",VLOOKUP(A266,Timetables!$A:$EB,MatchDay!$U$4+C271-MatchDay!$D$6,FALSE)),"")</f>
        <v>3</v>
      </c>
      <c r="E271" s="286" t="str">
        <f ca="1">IFERROR(VLOOKUP($A266&amp;D271,downloads!$A$1:$E$1000,2,FALSE),"")</f>
        <v>Eden MOSS TURNER</v>
      </c>
      <c r="F271" s="286" t="str">
        <f t="shared" ca="1" si="68"/>
        <v>Leigh</v>
      </c>
      <c r="G271" s="291"/>
      <c r="H271" s="297"/>
      <c r="I271" s="298">
        <v>3</v>
      </c>
      <c r="J271" s="298">
        <f t="shared" ca="1" si="69"/>
        <v>33</v>
      </c>
      <c r="K271" s="286" t="str">
        <f ca="1">IFERROR(VLOOKUP($A266&amp;J271,downloads!$A$1:$E$1000,2,FALSE),"")</f>
        <v/>
      </c>
      <c r="L271" s="286" t="str">
        <f t="shared" ca="1" si="67"/>
        <v>Leigh</v>
      </c>
      <c r="O271" s="299"/>
      <c r="Q271" s="307">
        <f ca="1">IFERROR(VLOOKUP($A266&amp;D271,competitors,4,FALSE),"")</f>
        <v>0</v>
      </c>
      <c r="R271" s="307" t="str">
        <f ca="1">IFERROR(VLOOKUP($A266&amp;J271,competitors,4,FALSE),"")</f>
        <v/>
      </c>
    </row>
    <row r="272" spans="1:18" x14ac:dyDescent="0.35">
      <c r="A272" s="105">
        <f ca="1">IFERROR(VLOOKUP(A266,standards,4,FALSE)+0.01,"-")</f>
        <v>14.41</v>
      </c>
      <c r="B272" s="105"/>
      <c r="C272" s="298">
        <v>4</v>
      </c>
      <c r="D272" s="298">
        <f ca="1">IFERROR(IF(C272&gt;MatchDay!$U$2+MatchDay!$D$6-1,"",VLOOKUP(A266,Timetables!$A:$EB,MatchDay!$U$4+C272-MatchDay!$D$6,FALSE)),"")</f>
        <v>1</v>
      </c>
      <c r="E272" s="286" t="str">
        <f ca="1">IFERROR(VLOOKUP($A266&amp;D272,downloads!$A$1:$E$1000,2,FALSE),"")</f>
        <v>Freya MASON</v>
      </c>
      <c r="F272" s="286" t="str">
        <f t="shared" ca="1" si="68"/>
        <v>C&amp;N</v>
      </c>
      <c r="G272" s="291"/>
      <c r="H272" s="297"/>
      <c r="I272" s="298">
        <v>4</v>
      </c>
      <c r="J272" s="298">
        <f t="shared" ca="1" si="69"/>
        <v>11</v>
      </c>
      <c r="K272" s="286" t="str">
        <f ca="1">IFERROR(VLOOKUP($A266&amp;J272,downloads!$A$1:$E$1000,2,FALSE),"")</f>
        <v>Heidi WOODS</v>
      </c>
      <c r="L272" s="286" t="str">
        <f t="shared" ca="1" si="67"/>
        <v>C&amp;N</v>
      </c>
      <c r="O272" s="299"/>
      <c r="Q272" s="307">
        <f ca="1">IFERROR(VLOOKUP($A266&amp;D272,competitors,4,FALSE),"")</f>
        <v>1</v>
      </c>
      <c r="R272" s="307">
        <f ca="1">IFERROR(VLOOKUP($A266&amp;J272,competitors,4,FALSE),"")</f>
        <v>1</v>
      </c>
    </row>
    <row r="273" spans="1:18" x14ac:dyDescent="0.35">
      <c r="A273" s="105">
        <f ca="1">IFERROR(VLOOKUP(A266,standards,5,FALSE)+0.01,"-")</f>
        <v>14.01</v>
      </c>
      <c r="B273" s="105"/>
      <c r="C273" s="298">
        <v>5</v>
      </c>
      <c r="D273" s="298">
        <f ca="1">IFERROR(IF(C273&gt;MatchDay!$U$2+MatchDay!$D$6-1,"",VLOOKUP(A266,Timetables!$A:$EB,MatchDay!$U$4+C273-MatchDay!$D$6,FALSE)),"")</f>
        <v>7</v>
      </c>
      <c r="E273" s="286" t="str">
        <f ca="1">IFERROR(VLOOKUP($A266&amp;D273,downloads!$A$1:$E$1000,2,FALSE),"")</f>
        <v>Emily WILSON</v>
      </c>
      <c r="F273" s="286" t="str">
        <f t="shared" ca="1" si="68"/>
        <v>Wigan</v>
      </c>
      <c r="G273" s="291"/>
      <c r="H273" s="297"/>
      <c r="I273" s="298">
        <v>5</v>
      </c>
      <c r="J273" s="298">
        <f t="shared" ca="1" si="69"/>
        <v>77</v>
      </c>
      <c r="K273" s="286" t="str">
        <f ca="1">IFERROR(VLOOKUP($A266&amp;J273,downloads!$A$1:$E$1000,2,FALSE),"")</f>
        <v>Lucy STRETTON</v>
      </c>
      <c r="L273" s="286" t="str">
        <f t="shared" ca="1" si="67"/>
        <v>Wigan</v>
      </c>
      <c r="O273" s="299"/>
      <c r="Q273" s="307">
        <f ca="1">IFERROR(VLOOKUP($A266&amp;D273,competitors,4,FALSE),"")</f>
        <v>1</v>
      </c>
      <c r="R273" s="307">
        <f ca="1">IFERROR(VLOOKUP($A266&amp;J273,competitors,4,FALSE),"")</f>
        <v>1</v>
      </c>
    </row>
    <row r="274" spans="1:18" x14ac:dyDescent="0.35">
      <c r="A274" s="105">
        <f ca="1">IFERROR(VLOOKUP(A266,standards,6,FALSE)+0.01,"-")</f>
        <v>13.709999999999999</v>
      </c>
      <c r="B274" s="105"/>
      <c r="C274" s="298">
        <v>6</v>
      </c>
      <c r="D274" s="298">
        <f ca="1">IFERROR(IF(C274&gt;MatchDay!$U$2+MatchDay!$D$6-1,"",VLOOKUP(A266,Timetables!$A:$EB,MatchDay!$U$4+C274-MatchDay!$D$6,FALSE)),"")</f>
        <v>5</v>
      </c>
      <c r="E274" s="286" t="str">
        <f ca="1">IFERROR(VLOOKUP($A266&amp;D274,downloads!$A$1:$E$1000,2,FALSE),"")</f>
        <v>Hawys OWEN</v>
      </c>
      <c r="F274" s="286" t="str">
        <f t="shared" ca="1" si="68"/>
        <v>Menai</v>
      </c>
      <c r="G274" s="291"/>
      <c r="H274" s="297"/>
      <c r="I274" s="298">
        <v>6</v>
      </c>
      <c r="J274" s="298">
        <f t="shared" ca="1" si="69"/>
        <v>55</v>
      </c>
      <c r="K274" s="286" t="str">
        <f ca="1">IFERROR(VLOOKUP($A266&amp;J274,downloads!$A$1:$E$1000,2,FALSE),"")</f>
        <v>Mabli WILLIAMS</v>
      </c>
      <c r="L274" s="286" t="str">
        <f t="shared" ca="1" si="67"/>
        <v>Menai</v>
      </c>
      <c r="O274" s="299"/>
      <c r="Q274" s="307">
        <f ca="1">IFERROR(VLOOKUP($A266&amp;D274,competitors,4,FALSE),"")</f>
        <v>1</v>
      </c>
      <c r="R274" s="307">
        <f ca="1">IFERROR(VLOOKUP($A266&amp;J274,competitors,4,FALSE),"")</f>
        <v>1</v>
      </c>
    </row>
    <row r="275" spans="1:18" x14ac:dyDescent="0.35">
      <c r="A275" s="300">
        <f ca="1">IFERROR(SEARCH("Girls",C266),0)</f>
        <v>13</v>
      </c>
      <c r="C275" s="298">
        <v>7</v>
      </c>
      <c r="D275" s="298">
        <f ca="1">IFERROR(IF(C275&gt;MatchDay!$U$2+MatchDay!$D$6-1,"",VLOOKUP(A266,Timetables!$A:$EB,MatchDay!$U$4+C275-MatchDay!$D$6,FALSE)),"")</f>
        <v>6</v>
      </c>
      <c r="E275" s="286" t="str">
        <f ca="1">IFERROR(VLOOKUP($A266&amp;D275,downloads!$A$1:$E$1000,2,FALSE),"")</f>
        <v/>
      </c>
      <c r="F275" s="286" t="str">
        <f t="shared" ca="1" si="68"/>
        <v>Stock</v>
      </c>
      <c r="G275" s="291"/>
      <c r="H275" s="297"/>
      <c r="I275" s="298">
        <v>7</v>
      </c>
      <c r="J275" s="298">
        <f t="shared" ca="1" si="69"/>
        <v>66</v>
      </c>
      <c r="K275" s="286" t="str">
        <f ca="1">IFERROR(VLOOKUP($A266&amp;J275,downloads!$A$1:$E$1000,2,FALSE),"")</f>
        <v/>
      </c>
      <c r="L275" s="286" t="str">
        <f t="shared" ca="1" si="67"/>
        <v>Stock</v>
      </c>
      <c r="O275" s="299"/>
      <c r="Q275" s="307" t="str">
        <f ca="1">IFERROR(VLOOKUP($A266&amp;D275,competitors,4,FALSE),"")</f>
        <v/>
      </c>
      <c r="R275" s="307" t="str">
        <f ca="1">IFERROR(VLOOKUP($A266&amp;J275,competitors,4,FALSE),"")</f>
        <v/>
      </c>
    </row>
    <row r="276" spans="1:18" x14ac:dyDescent="0.35">
      <c r="A276" s="103">
        <f ca="1">IFERROR(VLOOKUP(A266,records,5,FALSE),"")</f>
        <v>11.97</v>
      </c>
      <c r="B276" s="103"/>
      <c r="C276" s="298">
        <v>8</v>
      </c>
      <c r="D276" s="298" t="str">
        <f>IFERROR(IF(C276&gt;MatchDay!$U$2+MatchDay!$D$6-1,"",VLOOKUP(A266,Timetables!$A:$EB,MatchDay!$U$4+C276-MatchDay!$D$6,FALSE)),"")</f>
        <v/>
      </c>
      <c r="E276" s="286" t="str">
        <f ca="1">IFERROR(VLOOKUP($A266&amp;D276,downloads!$A$1:$E$1000,2,FALSE),"")</f>
        <v/>
      </c>
      <c r="F276" s="286" t="str">
        <f t="shared" si="68"/>
        <v/>
      </c>
      <c r="G276" s="291"/>
      <c r="H276" s="297"/>
      <c r="I276" s="298">
        <v>8</v>
      </c>
      <c r="J276" s="298" t="str">
        <f t="shared" si="69"/>
        <v/>
      </c>
      <c r="K276" s="286" t="str">
        <f ca="1">IFERROR(VLOOKUP($A266&amp;J276,downloads!$A$1:$E$1000,2,FALSE),"")</f>
        <v/>
      </c>
      <c r="L276" s="286" t="str">
        <f t="shared" si="67"/>
        <v/>
      </c>
      <c r="O276" s="299"/>
      <c r="Q276" s="307" t="str">
        <f ca="1">IFERROR(VLOOKUP($A266&amp;D276,competitors,4,FALSE),"")</f>
        <v/>
      </c>
      <c r="R276" s="307" t="str">
        <f ca="1">IFERROR(VLOOKUP($A266&amp;J276,competitors,4,FALSE),"")</f>
        <v/>
      </c>
    </row>
    <row r="277" spans="1:18" x14ac:dyDescent="0.35">
      <c r="Q277" s="307"/>
      <c r="R277" s="307"/>
    </row>
    <row r="278" spans="1:18" x14ac:dyDescent="0.35">
      <c r="A278" s="98" t="str">
        <f ca="1">IFERROR(INDIRECT(CONCATENATE("'Timetables'!A"&amp;A282)),"")</f>
        <v>LT16</v>
      </c>
      <c r="B278" s="304" t="str">
        <f ca="1">IFERROR(TEXT(VLOOKUP(A278,timetables,7-MatchDay!$U$7,FALSE),"hh:mm"),"")</f>
        <v>15:00</v>
      </c>
      <c r="C278" s="292" t="str">
        <f ca="1">IFERROR(VLOOKUP(A278,timetables,2,FALSE)&amp;" "&amp;VLOOKUP(A278,timetables,3,FALSE)&amp;" A","")</f>
        <v>100m NS U15 Boys A</v>
      </c>
      <c r="D278" s="292"/>
      <c r="F278" s="293"/>
      <c r="G278" s="294"/>
      <c r="L278" s="360"/>
      <c r="M278" s="296"/>
      <c r="N278" s="286"/>
      <c r="Q278" s="307"/>
      <c r="R278" s="307"/>
    </row>
    <row r="279" spans="1:18" x14ac:dyDescent="0.35">
      <c r="A279" s="98"/>
      <c r="B279" s="98"/>
      <c r="C279" s="295" t="str">
        <f ca="1">IFERROR("Rec: "&amp;VLOOKUP(A278,records,4,FALSE),"")</f>
        <v>Rec: 11.0 Marcus McLean, Sale Harriers, 2018</v>
      </c>
      <c r="D279" s="292"/>
      <c r="F279" s="293"/>
      <c r="G279" s="294"/>
      <c r="I279" s="295"/>
      <c r="L279" s="360"/>
      <c r="M279" s="296"/>
      <c r="N279" s="286"/>
      <c r="Q279" s="307"/>
      <c r="R279" s="307"/>
    </row>
    <row r="280" spans="1:18" x14ac:dyDescent="0.35">
      <c r="A280" s="82" t="str">
        <f ca="1">MID(A278,2,3)</f>
        <v>T16</v>
      </c>
      <c r="B280" s="82"/>
      <c r="C280" s="304" t="s">
        <v>542</v>
      </c>
      <c r="D280" s="304" t="s">
        <v>141</v>
      </c>
      <c r="E280" s="286" t="s">
        <v>174</v>
      </c>
      <c r="F280" s="286" t="s">
        <v>175</v>
      </c>
      <c r="G280" s="291"/>
      <c r="I280" s="304" t="s">
        <v>542</v>
      </c>
      <c r="J280" s="304" t="s">
        <v>141</v>
      </c>
      <c r="K280" s="286" t="s">
        <v>174</v>
      </c>
      <c r="L280" s="286" t="s">
        <v>175</v>
      </c>
      <c r="O280" s="299"/>
      <c r="Q280" s="307"/>
      <c r="R280" s="307"/>
    </row>
    <row r="281" spans="1:18" x14ac:dyDescent="0.35">
      <c r="A281" s="138"/>
      <c r="B281" s="103"/>
      <c r="C281" s="298">
        <v>1</v>
      </c>
      <c r="D281" s="298">
        <f ca="1">IFERROR(IF(C281&gt;MatchDay!$U$2,"",IF(MatchDay!$D$6=2,"",VLOOKUP(A278,Timetables!$A:$EB,MatchDay!$U$4+C281-MatchDay!$D$6,FALSE))),"")</f>
        <v>4</v>
      </c>
      <c r="E281" s="286" t="str">
        <f ca="1">IFERROR(VLOOKUP($A278&amp;D281,downloads!$A$1:$E$1000,2,FALSE),"")</f>
        <v>Toby BROADRICK</v>
      </c>
      <c r="F281" s="286" t="str">
        <f ca="1">IFERROR(VLOOKUP(D281,teamlookup,5,FALSE),"")</f>
        <v>Macc</v>
      </c>
      <c r="G281" s="291"/>
      <c r="H281" s="297"/>
      <c r="I281" s="298">
        <v>1</v>
      </c>
      <c r="J281" s="298">
        <f ca="1">IFERROR(D281*11,"")</f>
        <v>44</v>
      </c>
      <c r="K281" s="286" t="str">
        <f ca="1">IFERROR(VLOOKUP($A278&amp;J281,downloads!$A$1:$E$1000,2,FALSE),"")</f>
        <v>Oliver STEWART</v>
      </c>
      <c r="L281" s="286" t="str">
        <f t="shared" ref="L281:L288" ca="1" si="70">IFERROR(VLOOKUP(J281,teamlookup,5,FALSE),"")</f>
        <v>Macc</v>
      </c>
      <c r="O281" s="299"/>
      <c r="Q281" s="307">
        <f ca="1">IFERROR(VLOOKUP($A278&amp;D281,competitors,4,FALSE),"")</f>
        <v>1</v>
      </c>
      <c r="R281" s="307">
        <f ca="1">IFERROR(VLOOKUP($A278&amp;J281,competitors,4,FALSE),"")</f>
        <v>1</v>
      </c>
    </row>
    <row r="282" spans="1:18" x14ac:dyDescent="0.35">
      <c r="A282" s="304">
        <f>A270+1</f>
        <v>26</v>
      </c>
      <c r="C282" s="298">
        <v>2</v>
      </c>
      <c r="D282" s="298">
        <f ca="1">IFERROR(IF(C282&gt;MatchDay!$U$2+MatchDay!$D$6-1,"",VLOOKUP(A278,Timetables!$A:$EB,MatchDay!$U$4+C282-MatchDay!$D$6,FALSE)),"")</f>
        <v>2</v>
      </c>
      <c r="E282" s="286" t="str">
        <f ca="1">IFERROR(VLOOKUP($A278&amp;D282,downloads!$A$1:$E$1000,2,FALSE),"")</f>
        <v>Alfie MILLINGTON</v>
      </c>
      <c r="F282" s="286" t="str">
        <f t="shared" ref="F282:F288" ca="1" si="71">IFERROR(VLOOKUP(D282,teamlookup,5,FALSE),"")</f>
        <v>ECHT</v>
      </c>
      <c r="G282" s="291"/>
      <c r="H282" s="297"/>
      <c r="I282" s="298">
        <v>2</v>
      </c>
      <c r="J282" s="298">
        <f t="shared" ref="J282:J288" ca="1" si="72">IFERROR(D282*11,"")</f>
        <v>22</v>
      </c>
      <c r="K282" s="286" t="str">
        <f ca="1">IFERROR(VLOOKUP($A278&amp;J282,downloads!$A$1:$E$1000,2,FALSE),"")</f>
        <v/>
      </c>
      <c r="L282" s="286" t="str">
        <f t="shared" ca="1" si="70"/>
        <v>ECHT</v>
      </c>
      <c r="O282" s="299"/>
      <c r="Q282" s="307">
        <f ca="1">IFERROR(VLOOKUP($A278&amp;D282,competitors,4,FALSE),"")</f>
        <v>1</v>
      </c>
      <c r="R282" s="307" t="str">
        <f ca="1">IFERROR(VLOOKUP($A278&amp;J282,competitors,4,FALSE),"")</f>
        <v/>
      </c>
    </row>
    <row r="283" spans="1:18" x14ac:dyDescent="0.35">
      <c r="A283" s="105">
        <f ca="1">IFERROR(VLOOKUP(A278,standards,3,FALSE)+0.01,"-")</f>
        <v>14.209999999999999</v>
      </c>
      <c r="B283" s="105"/>
      <c r="C283" s="298">
        <v>3</v>
      </c>
      <c r="D283" s="298">
        <f ca="1">IFERROR(IF(C283&gt;MatchDay!$U$2+MatchDay!$D$6-1,"",VLOOKUP(A278,Timetables!$A:$EB,MatchDay!$U$4+C283-MatchDay!$D$6,FALSE)),"")</f>
        <v>3</v>
      </c>
      <c r="E283" s="286" t="str">
        <f ca="1">IFERROR(VLOOKUP($A278&amp;D283,downloads!$A$1:$E$1000,2,FALSE),"")</f>
        <v/>
      </c>
      <c r="F283" s="286" t="str">
        <f t="shared" ca="1" si="71"/>
        <v>Leigh</v>
      </c>
      <c r="G283" s="291"/>
      <c r="H283" s="297"/>
      <c r="I283" s="298">
        <v>3</v>
      </c>
      <c r="J283" s="298">
        <f t="shared" ca="1" si="72"/>
        <v>33</v>
      </c>
      <c r="K283" s="286" t="str">
        <f ca="1">IFERROR(VLOOKUP($A278&amp;J283,downloads!$A$1:$E$1000,2,FALSE),"")</f>
        <v/>
      </c>
      <c r="L283" s="286" t="str">
        <f t="shared" ca="1" si="70"/>
        <v>Leigh</v>
      </c>
      <c r="O283" s="299"/>
      <c r="Q283" s="307" t="str">
        <f ca="1">IFERROR(VLOOKUP($A278&amp;D283,competitors,4,FALSE),"")</f>
        <v/>
      </c>
      <c r="R283" s="307" t="str">
        <f ca="1">IFERROR(VLOOKUP($A278&amp;J283,competitors,4,FALSE),"")</f>
        <v/>
      </c>
    </row>
    <row r="284" spans="1:18" x14ac:dyDescent="0.35">
      <c r="A284" s="105">
        <f ca="1">IFERROR(VLOOKUP(A278,standards,4,FALSE)+0.01,"-")</f>
        <v>13.81</v>
      </c>
      <c r="B284" s="105"/>
      <c r="C284" s="298">
        <v>4</v>
      </c>
      <c r="D284" s="298">
        <f ca="1">IFERROR(IF(C284&gt;MatchDay!$U$2+MatchDay!$D$6-1,"",VLOOKUP(A278,Timetables!$A:$EB,MatchDay!$U$4+C284-MatchDay!$D$6,FALSE)),"")</f>
        <v>1</v>
      </c>
      <c r="E284" s="286" t="str">
        <f ca="1">IFERROR(VLOOKUP($A278&amp;D284,downloads!$A$1:$E$1000,2,FALSE),"")</f>
        <v>Saif AL-BAYATTI</v>
      </c>
      <c r="F284" s="286" t="str">
        <f t="shared" ca="1" si="71"/>
        <v>C&amp;N</v>
      </c>
      <c r="G284" s="291"/>
      <c r="H284" s="297"/>
      <c r="I284" s="298">
        <v>4</v>
      </c>
      <c r="J284" s="298">
        <f t="shared" ca="1" si="72"/>
        <v>11</v>
      </c>
      <c r="K284" s="286" t="str">
        <f ca="1">IFERROR(VLOOKUP($A278&amp;J284,downloads!$A$1:$E$1000,2,FALSE),"")</f>
        <v/>
      </c>
      <c r="L284" s="286" t="str">
        <f t="shared" ca="1" si="70"/>
        <v>C&amp;N</v>
      </c>
      <c r="O284" s="299"/>
      <c r="Q284" s="307">
        <f ca="1">IFERROR(VLOOKUP($A278&amp;D284,competitors,4,FALSE),"")</f>
        <v>1</v>
      </c>
      <c r="R284" s="307" t="str">
        <f ca="1">IFERROR(VLOOKUP($A278&amp;J284,competitors,4,FALSE),"")</f>
        <v/>
      </c>
    </row>
    <row r="285" spans="1:18" x14ac:dyDescent="0.35">
      <c r="A285" s="105">
        <f ca="1">IFERROR(VLOOKUP(A278,standards,5,FALSE)+0.01,"-")</f>
        <v>13.41</v>
      </c>
      <c r="B285" s="105"/>
      <c r="C285" s="298">
        <v>5</v>
      </c>
      <c r="D285" s="298">
        <f ca="1">IFERROR(IF(C285&gt;MatchDay!$U$2+MatchDay!$D$6-1,"",VLOOKUP(A278,Timetables!$A:$EB,MatchDay!$U$4+C285-MatchDay!$D$6,FALSE)),"")</f>
        <v>7</v>
      </c>
      <c r="E285" s="286" t="str">
        <f ca="1">IFERROR(VLOOKUP($A278&amp;D285,downloads!$A$1:$E$1000,2,FALSE),"")</f>
        <v/>
      </c>
      <c r="F285" s="286" t="str">
        <f t="shared" ca="1" si="71"/>
        <v>Wigan</v>
      </c>
      <c r="G285" s="291"/>
      <c r="H285" s="297"/>
      <c r="I285" s="298">
        <v>5</v>
      </c>
      <c r="J285" s="298">
        <f t="shared" ca="1" si="72"/>
        <v>77</v>
      </c>
      <c r="K285" s="286" t="str">
        <f ca="1">IFERROR(VLOOKUP($A278&amp;J285,downloads!$A$1:$E$1000,2,FALSE),"")</f>
        <v/>
      </c>
      <c r="L285" s="286" t="str">
        <f t="shared" ca="1" si="70"/>
        <v>Wigan</v>
      </c>
      <c r="O285" s="299"/>
      <c r="Q285" s="307" t="str">
        <f ca="1">IFERROR(VLOOKUP($A278&amp;D285,competitors,4,FALSE),"")</f>
        <v/>
      </c>
      <c r="R285" s="307" t="str">
        <f ca="1">IFERROR(VLOOKUP($A278&amp;J285,competitors,4,FALSE),"")</f>
        <v/>
      </c>
    </row>
    <row r="286" spans="1:18" x14ac:dyDescent="0.35">
      <c r="A286" s="105">
        <f ca="1">IFERROR(VLOOKUP(A278,standards,6,FALSE)+0.01,"-")</f>
        <v>13.01</v>
      </c>
      <c r="B286" s="105"/>
      <c r="C286" s="298">
        <v>6</v>
      </c>
      <c r="D286" s="298">
        <f ca="1">IFERROR(IF(C286&gt;MatchDay!$U$2+MatchDay!$D$6-1,"",VLOOKUP(A278,Timetables!$A:$EB,MatchDay!$U$4+C286-MatchDay!$D$6,FALSE)),"")</f>
        <v>5</v>
      </c>
      <c r="E286" s="286" t="str">
        <f ca="1">IFERROR(VLOOKUP($A278&amp;D286,downloads!$A$1:$E$1000,2,FALSE),"")</f>
        <v/>
      </c>
      <c r="F286" s="286" t="str">
        <f t="shared" ca="1" si="71"/>
        <v>Menai</v>
      </c>
      <c r="G286" s="291"/>
      <c r="H286" s="297"/>
      <c r="I286" s="298">
        <v>6</v>
      </c>
      <c r="J286" s="298">
        <f t="shared" ca="1" si="72"/>
        <v>55</v>
      </c>
      <c r="K286" s="286" t="str">
        <f ca="1">IFERROR(VLOOKUP($A278&amp;J286,downloads!$A$1:$E$1000,2,FALSE),"")</f>
        <v/>
      </c>
      <c r="L286" s="286" t="str">
        <f t="shared" ca="1" si="70"/>
        <v>Menai</v>
      </c>
      <c r="O286" s="299"/>
      <c r="Q286" s="307" t="str">
        <f ca="1">IFERROR(VLOOKUP($A278&amp;D286,competitors,4,FALSE),"")</f>
        <v/>
      </c>
      <c r="R286" s="307" t="str">
        <f ca="1">IFERROR(VLOOKUP($A278&amp;J286,competitors,4,FALSE),"")</f>
        <v/>
      </c>
    </row>
    <row r="287" spans="1:18" x14ac:dyDescent="0.35">
      <c r="A287" s="300">
        <f ca="1">IFERROR(SEARCH("Girls",C278),0)</f>
        <v>0</v>
      </c>
      <c r="C287" s="298">
        <v>7</v>
      </c>
      <c r="D287" s="298">
        <f ca="1">IFERROR(IF(C287&gt;MatchDay!$U$2+MatchDay!$D$6-1,"",VLOOKUP(A278,Timetables!$A:$EB,MatchDay!$U$4+C287-MatchDay!$D$6,FALSE)),"")</f>
        <v>6</v>
      </c>
      <c r="E287" s="286" t="str">
        <f ca="1">IFERROR(VLOOKUP($A278&amp;D287,downloads!$A$1:$E$1000,2,FALSE),"")</f>
        <v/>
      </c>
      <c r="F287" s="286" t="str">
        <f t="shared" ca="1" si="71"/>
        <v>Stock</v>
      </c>
      <c r="G287" s="291"/>
      <c r="H287" s="297"/>
      <c r="I287" s="298">
        <v>7</v>
      </c>
      <c r="J287" s="298">
        <f t="shared" ca="1" si="72"/>
        <v>66</v>
      </c>
      <c r="K287" s="286" t="str">
        <f ca="1">IFERROR(VLOOKUP($A278&amp;J287,downloads!$A$1:$E$1000,2,FALSE),"")</f>
        <v/>
      </c>
      <c r="L287" s="286" t="str">
        <f t="shared" ca="1" si="70"/>
        <v>Stock</v>
      </c>
      <c r="O287" s="299"/>
      <c r="Q287" s="307" t="str">
        <f ca="1">IFERROR(VLOOKUP($A278&amp;D287,competitors,4,FALSE),"")</f>
        <v/>
      </c>
      <c r="R287" s="307" t="str">
        <f ca="1">IFERROR(VLOOKUP($A278&amp;J287,competitors,4,FALSE),"")</f>
        <v/>
      </c>
    </row>
    <row r="288" spans="1:18" x14ac:dyDescent="0.35">
      <c r="A288" s="103">
        <f ca="1">IFERROR(VLOOKUP(A278,records,5,FALSE),"")</f>
        <v>11</v>
      </c>
      <c r="B288" s="103"/>
      <c r="C288" s="298">
        <v>8</v>
      </c>
      <c r="D288" s="298" t="str">
        <f>IFERROR(IF(C288&gt;MatchDay!$U$2+MatchDay!$D$6-1,"",VLOOKUP(A278,Timetables!$A:$EB,MatchDay!$U$4+C288-MatchDay!$D$6,FALSE)),"")</f>
        <v/>
      </c>
      <c r="E288" s="286" t="str">
        <f ca="1">IFERROR(VLOOKUP($A278&amp;D288,downloads!$A$1:$E$1000,2,FALSE),"")</f>
        <v/>
      </c>
      <c r="F288" s="286" t="str">
        <f t="shared" si="71"/>
        <v/>
      </c>
      <c r="G288" s="291"/>
      <c r="H288" s="297"/>
      <c r="I288" s="298">
        <v>8</v>
      </c>
      <c r="J288" s="298" t="str">
        <f t="shared" si="72"/>
        <v/>
      </c>
      <c r="K288" s="286" t="str">
        <f ca="1">IFERROR(VLOOKUP($A278&amp;J288,downloads!$A$1:$E$1000,2,FALSE),"")</f>
        <v/>
      </c>
      <c r="L288" s="286" t="str">
        <f t="shared" si="70"/>
        <v/>
      </c>
      <c r="O288" s="299"/>
      <c r="Q288" s="307" t="str">
        <f ca="1">IFERROR(VLOOKUP($A278&amp;D288,competitors,4,FALSE),"")</f>
        <v/>
      </c>
      <c r="R288" s="307" t="str">
        <f ca="1">IFERROR(VLOOKUP($A278&amp;J288,competitors,4,FALSE),"")</f>
        <v/>
      </c>
    </row>
    <row r="289" spans="1:18" x14ac:dyDescent="0.35">
      <c r="Q289" s="307"/>
      <c r="R289" s="307"/>
    </row>
    <row r="290" spans="1:18" x14ac:dyDescent="0.35">
      <c r="A290" s="98" t="str">
        <f ca="1">IFERROR(INDIRECT(CONCATENATE("'Timetables'!A"&amp;A294)),"")</f>
        <v>LT17</v>
      </c>
      <c r="B290" s="304" t="str">
        <f ca="1">IFERROR(TEXT(VLOOKUP(A290,timetables,7-MatchDay!$U$7,FALSE),"hh:mm"),"")</f>
        <v>15:05</v>
      </c>
      <c r="C290" s="292" t="str">
        <f ca="1">IFERROR(VLOOKUP(A290,timetables,2,FALSE)&amp;" "&amp;VLOOKUP(A290,timetables,3,FALSE)&amp;" A","")</f>
        <v>300m U15 Girls A</v>
      </c>
      <c r="D290" s="292"/>
      <c r="F290" s="293"/>
      <c r="G290" s="294"/>
      <c r="L290" s="360"/>
      <c r="M290" s="296"/>
      <c r="N290" s="286"/>
      <c r="Q290" s="307"/>
      <c r="R290" s="307"/>
    </row>
    <row r="291" spans="1:18" x14ac:dyDescent="0.35">
      <c r="A291" s="98"/>
      <c r="B291" s="98"/>
      <c r="C291" s="295" t="str">
        <f ca="1">IFERROR("Rec: "&amp;VLOOKUP(A290,records,4,FALSE),"")</f>
        <v>Rec: 40.11 Poppy Malik, Notts AC, 2018</v>
      </c>
      <c r="D291" s="292"/>
      <c r="F291" s="293"/>
      <c r="G291" s="294"/>
      <c r="I291" s="295"/>
      <c r="L291" s="360"/>
      <c r="M291" s="296"/>
      <c r="N291" s="286"/>
      <c r="Q291" s="307"/>
      <c r="R291" s="307"/>
    </row>
    <row r="292" spans="1:18" x14ac:dyDescent="0.35">
      <c r="A292" s="82" t="str">
        <f ca="1">MID(A290,2,3)</f>
        <v>T17</v>
      </c>
      <c r="B292" s="82"/>
      <c r="C292" s="304" t="s">
        <v>542</v>
      </c>
      <c r="D292" s="304" t="s">
        <v>141</v>
      </c>
      <c r="E292" s="286" t="s">
        <v>174</v>
      </c>
      <c r="F292" s="286" t="s">
        <v>175</v>
      </c>
      <c r="G292" s="291"/>
      <c r="I292" s="304" t="s">
        <v>542</v>
      </c>
      <c r="J292" s="304" t="s">
        <v>141</v>
      </c>
      <c r="K292" s="286" t="s">
        <v>174</v>
      </c>
      <c r="L292" s="286" t="s">
        <v>175</v>
      </c>
      <c r="O292" s="299"/>
      <c r="Q292" s="307"/>
      <c r="R292" s="307"/>
    </row>
    <row r="293" spans="1:18" x14ac:dyDescent="0.35">
      <c r="A293" s="138"/>
      <c r="B293" s="103"/>
      <c r="C293" s="298">
        <v>1</v>
      </c>
      <c r="D293" s="298">
        <f ca="1">IFERROR(IF(C293&gt;MatchDay!$U$2,"",IF(MatchDay!$D$6=2,"",VLOOKUP(A290,Timetables!$A:$EB,MatchDay!$U$4+C293-MatchDay!$D$6,FALSE))),"")</f>
        <v>4</v>
      </c>
      <c r="E293" s="286" t="str">
        <f ca="1">IFERROR(VLOOKUP($A290&amp;D293,downloads!$A$1:$E$1000,2,FALSE),"")</f>
        <v/>
      </c>
      <c r="F293" s="286" t="str">
        <f ca="1">IFERROR(VLOOKUP(D293,teamlookup,5,FALSE),"")</f>
        <v>Macc</v>
      </c>
      <c r="G293" s="291"/>
      <c r="H293" s="297"/>
      <c r="I293" s="298">
        <v>1</v>
      </c>
      <c r="J293" s="298">
        <f ca="1">IFERROR(D293*11,"")</f>
        <v>44</v>
      </c>
      <c r="K293" s="286" t="str">
        <f ca="1">IFERROR(VLOOKUP($A290&amp;J293,downloads!$A$1:$E$1000,2,FALSE),"")</f>
        <v/>
      </c>
      <c r="L293" s="286" t="str">
        <f t="shared" ref="L293:L300" ca="1" si="73">IFERROR(VLOOKUP(J293,teamlookup,5,FALSE),"")</f>
        <v>Macc</v>
      </c>
      <c r="O293" s="299"/>
      <c r="Q293" s="307" t="str">
        <f ca="1">IFERROR(VLOOKUP($A290&amp;D293,competitors,4,FALSE),"")</f>
        <v/>
      </c>
      <c r="R293" s="307" t="str">
        <f ca="1">IFERROR(VLOOKUP($A290&amp;J293,competitors,4,FALSE),"")</f>
        <v/>
      </c>
    </row>
    <row r="294" spans="1:18" x14ac:dyDescent="0.35">
      <c r="A294" s="304">
        <f>A282+1</f>
        <v>27</v>
      </c>
      <c r="C294" s="298">
        <v>2</v>
      </c>
      <c r="D294" s="298">
        <f ca="1">IFERROR(IF(C294&gt;MatchDay!$U$2+MatchDay!$D$6-1,"",VLOOKUP(A290,Timetables!$A:$EB,MatchDay!$U$4+C294-MatchDay!$D$6,FALSE)),"")</f>
        <v>1</v>
      </c>
      <c r="E294" s="286" t="str">
        <f ca="1">IFERROR(VLOOKUP($A290&amp;D294,downloads!$A$1:$E$1000,2,FALSE),"")</f>
        <v>Olivia WELCH</v>
      </c>
      <c r="F294" s="286" t="str">
        <f t="shared" ref="F294:F300" ca="1" si="74">IFERROR(VLOOKUP(D294,teamlookup,5,FALSE),"")</f>
        <v>C&amp;N</v>
      </c>
      <c r="G294" s="291"/>
      <c r="H294" s="297"/>
      <c r="I294" s="298">
        <v>2</v>
      </c>
      <c r="J294" s="298">
        <f t="shared" ref="J294:J300" ca="1" si="75">IFERROR(D294*11,"")</f>
        <v>11</v>
      </c>
      <c r="K294" s="286" t="str">
        <f ca="1">IFERROR(VLOOKUP($A290&amp;J294,downloads!$A$1:$E$1000,2,FALSE),"")</f>
        <v/>
      </c>
      <c r="L294" s="286" t="str">
        <f t="shared" ca="1" si="73"/>
        <v>C&amp;N</v>
      </c>
      <c r="O294" s="299"/>
      <c r="Q294" s="307">
        <f ca="1">IFERROR(VLOOKUP($A290&amp;D294,competitors,4,FALSE),"")</f>
        <v>1</v>
      </c>
      <c r="R294" s="307" t="str">
        <f ca="1">IFERROR(VLOOKUP($A290&amp;J294,competitors,4,FALSE),"")</f>
        <v/>
      </c>
    </row>
    <row r="295" spans="1:18" x14ac:dyDescent="0.35">
      <c r="A295" s="105">
        <f ca="1">IFERROR(VLOOKUP(A290,standards,3,FALSE)+0.01,"-")</f>
        <v>55.01</v>
      </c>
      <c r="B295" s="105"/>
      <c r="C295" s="298">
        <v>3</v>
      </c>
      <c r="D295" s="298">
        <f ca="1">IFERROR(IF(C295&gt;MatchDay!$U$2+MatchDay!$D$6-1,"",VLOOKUP(A290,Timetables!$A:$EB,MatchDay!$U$4+C295-MatchDay!$D$6,FALSE)),"")</f>
        <v>5</v>
      </c>
      <c r="E295" s="286" t="str">
        <f ca="1">IFERROR(VLOOKUP($A290&amp;D295,downloads!$A$1:$E$1000,2,FALSE),"")</f>
        <v>Lily HARDY</v>
      </c>
      <c r="F295" s="286" t="str">
        <f t="shared" ca="1" si="74"/>
        <v>Menai</v>
      </c>
      <c r="G295" s="291"/>
      <c r="H295" s="297"/>
      <c r="I295" s="298">
        <v>3</v>
      </c>
      <c r="J295" s="298">
        <f t="shared" ca="1" si="75"/>
        <v>55</v>
      </c>
      <c r="K295" s="286" t="str">
        <f ca="1">IFERROR(VLOOKUP($A290&amp;J295,downloads!$A$1:$E$1000,2,FALSE),"")</f>
        <v>Hawys OWEN</v>
      </c>
      <c r="L295" s="286" t="str">
        <f t="shared" ca="1" si="73"/>
        <v>Menai</v>
      </c>
      <c r="O295" s="299"/>
      <c r="Q295" s="307">
        <f ca="1">IFERROR(VLOOKUP($A290&amp;D295,competitors,4,FALSE),"")</f>
        <v>1</v>
      </c>
      <c r="R295" s="307">
        <f ca="1">IFERROR(VLOOKUP($A290&amp;J295,competitors,4,FALSE),"")</f>
        <v>1</v>
      </c>
    </row>
    <row r="296" spans="1:18" x14ac:dyDescent="0.35">
      <c r="A296" s="105">
        <f ca="1">IFERROR(VLOOKUP(A290,standards,4,FALSE)+0.01,"-")</f>
        <v>53.01</v>
      </c>
      <c r="B296" s="105"/>
      <c r="C296" s="298">
        <v>4</v>
      </c>
      <c r="D296" s="298">
        <f ca="1">IFERROR(IF(C296&gt;MatchDay!$U$2+MatchDay!$D$6-1,"",VLOOKUP(A290,Timetables!$A:$EB,MatchDay!$U$4+C296-MatchDay!$D$6,FALSE)),"")</f>
        <v>7</v>
      </c>
      <c r="E296" s="286" t="str">
        <f ca="1">IFERROR(VLOOKUP($A290&amp;D296,downloads!$A$1:$E$1000,2,FALSE),"")</f>
        <v>Katie BONNER</v>
      </c>
      <c r="F296" s="286" t="str">
        <f t="shared" ca="1" si="74"/>
        <v>Wigan</v>
      </c>
      <c r="G296" s="291"/>
      <c r="H296" s="297"/>
      <c r="I296" s="298">
        <v>4</v>
      </c>
      <c r="J296" s="298">
        <f t="shared" ca="1" si="75"/>
        <v>77</v>
      </c>
      <c r="K296" s="286" t="str">
        <f ca="1">IFERROR(VLOOKUP($A290&amp;J296,downloads!$A$1:$E$1000,2,FALSE),"")</f>
        <v>Nour KHOLEIF</v>
      </c>
      <c r="L296" s="286" t="str">
        <f t="shared" ca="1" si="73"/>
        <v>Wigan</v>
      </c>
      <c r="O296" s="299"/>
      <c r="Q296" s="307">
        <f ca="1">IFERROR(VLOOKUP($A290&amp;D296,competitors,4,FALSE),"")</f>
        <v>1</v>
      </c>
      <c r="R296" s="307">
        <f ca="1">IFERROR(VLOOKUP($A290&amp;J296,competitors,4,FALSE),"")</f>
        <v>1</v>
      </c>
    </row>
    <row r="297" spans="1:18" x14ac:dyDescent="0.35">
      <c r="A297" s="105">
        <f ca="1">IFERROR(VLOOKUP(A290,standards,5,FALSE)+0.01,"-")</f>
        <v>51.01</v>
      </c>
      <c r="B297" s="105"/>
      <c r="C297" s="298">
        <v>5</v>
      </c>
      <c r="D297" s="298">
        <f ca="1">IFERROR(IF(C297&gt;MatchDay!$U$2+MatchDay!$D$6-1,"",VLOOKUP(A290,Timetables!$A:$EB,MatchDay!$U$4+C297-MatchDay!$D$6,FALSE)),"")</f>
        <v>3</v>
      </c>
      <c r="E297" s="286" t="str">
        <f ca="1">IFERROR(VLOOKUP($A290&amp;D297,downloads!$A$1:$E$1000,2,FALSE),"")</f>
        <v>Freya CASH</v>
      </c>
      <c r="F297" s="286" t="str">
        <f t="shared" ca="1" si="74"/>
        <v>Leigh</v>
      </c>
      <c r="G297" s="291"/>
      <c r="H297" s="297"/>
      <c r="I297" s="298">
        <v>5</v>
      </c>
      <c r="J297" s="298">
        <f t="shared" ca="1" si="75"/>
        <v>33</v>
      </c>
      <c r="K297" s="286" t="str">
        <f ca="1">IFERROR(VLOOKUP($A290&amp;J297,downloads!$A$1:$E$1000,2,FALSE),"")</f>
        <v>Gabriella TAYLOR</v>
      </c>
      <c r="L297" s="286" t="str">
        <f t="shared" ca="1" si="73"/>
        <v>Leigh</v>
      </c>
      <c r="O297" s="299"/>
      <c r="Q297" s="307">
        <f ca="1">IFERROR(VLOOKUP($A290&amp;D297,competitors,4,FALSE),"")</f>
        <v>1</v>
      </c>
      <c r="R297" s="307">
        <f ca="1">IFERROR(VLOOKUP($A290&amp;J297,competitors,4,FALSE),"")</f>
        <v>1</v>
      </c>
    </row>
    <row r="298" spans="1:18" x14ac:dyDescent="0.35">
      <c r="A298" s="105">
        <f ca="1">IFERROR(VLOOKUP(A290,standards,6,FALSE)+0.01,"-")</f>
        <v>49.01</v>
      </c>
      <c r="B298" s="105"/>
      <c r="C298" s="298">
        <v>6</v>
      </c>
      <c r="D298" s="298">
        <f ca="1">IFERROR(IF(C298&gt;MatchDay!$U$2+MatchDay!$D$6-1,"",VLOOKUP(A290,Timetables!$A:$EB,MatchDay!$U$4+C298-MatchDay!$D$6,FALSE)),"")</f>
        <v>6</v>
      </c>
      <c r="E298" s="286" t="str">
        <f ca="1">IFERROR(VLOOKUP($A290&amp;D298,downloads!$A$1:$E$1000,2,FALSE),"")</f>
        <v>Lily TYLER</v>
      </c>
      <c r="F298" s="286" t="str">
        <f t="shared" ca="1" si="74"/>
        <v>Stock</v>
      </c>
      <c r="G298" s="291"/>
      <c r="H298" s="297"/>
      <c r="I298" s="298">
        <v>6</v>
      </c>
      <c r="J298" s="298">
        <f t="shared" ca="1" si="75"/>
        <v>66</v>
      </c>
      <c r="K298" s="286" t="str">
        <f ca="1">IFERROR(VLOOKUP($A290&amp;J298,downloads!$A$1:$E$1000,2,FALSE),"")</f>
        <v/>
      </c>
      <c r="L298" s="286" t="str">
        <f t="shared" ca="1" si="73"/>
        <v>Stock</v>
      </c>
      <c r="O298" s="299"/>
      <c r="Q298" s="307">
        <f ca="1">IFERROR(VLOOKUP($A290&amp;D298,competitors,4,FALSE),"")</f>
        <v>1</v>
      </c>
      <c r="R298" s="307" t="str">
        <f ca="1">IFERROR(VLOOKUP($A290&amp;J298,competitors,4,FALSE),"")</f>
        <v/>
      </c>
    </row>
    <row r="299" spans="1:18" x14ac:dyDescent="0.35">
      <c r="A299" s="300">
        <f ca="1">IFERROR(SEARCH("Girls",C290),0)</f>
        <v>10</v>
      </c>
      <c r="C299" s="298">
        <v>7</v>
      </c>
      <c r="D299" s="298">
        <f ca="1">IFERROR(IF(C299&gt;MatchDay!$U$2+MatchDay!$D$6-1,"",VLOOKUP(A290,Timetables!$A:$EB,MatchDay!$U$4+C299-MatchDay!$D$6,FALSE)),"")</f>
        <v>2</v>
      </c>
      <c r="E299" s="286" t="str">
        <f ca="1">IFERROR(VLOOKUP($A290&amp;D299,downloads!$A$1:$E$1000,2,FALSE),"")</f>
        <v>Isla HERRING</v>
      </c>
      <c r="F299" s="286" t="str">
        <f t="shared" ca="1" si="74"/>
        <v>ECHT</v>
      </c>
      <c r="G299" s="291"/>
      <c r="H299" s="297"/>
      <c r="I299" s="298">
        <v>7</v>
      </c>
      <c r="J299" s="298">
        <f t="shared" ca="1" si="75"/>
        <v>22</v>
      </c>
      <c r="K299" s="286" t="str">
        <f ca="1">IFERROR(VLOOKUP($A290&amp;J299,downloads!$A$1:$E$1000,2,FALSE),"")</f>
        <v>Anna ROOKE</v>
      </c>
      <c r="L299" s="286" t="str">
        <f t="shared" ca="1" si="73"/>
        <v>ECHT</v>
      </c>
      <c r="O299" s="299"/>
      <c r="Q299" s="307">
        <f ca="1">IFERROR(VLOOKUP($A290&amp;D299,competitors,4,FALSE),"")</f>
        <v>1</v>
      </c>
      <c r="R299" s="307">
        <f ca="1">IFERROR(VLOOKUP($A290&amp;J299,competitors,4,FALSE),"")</f>
        <v>1</v>
      </c>
    </row>
    <row r="300" spans="1:18" x14ac:dyDescent="0.35">
      <c r="A300" s="103">
        <f ca="1">IFERROR(VLOOKUP(A290,records,5,FALSE),"")</f>
        <v>40.11</v>
      </c>
      <c r="B300" s="103"/>
      <c r="C300" s="298">
        <v>8</v>
      </c>
      <c r="D300" s="298" t="str">
        <f>IFERROR(IF(C300&gt;MatchDay!$U$2+MatchDay!$D$6-1,"",VLOOKUP(A290,Timetables!$A:$EB,MatchDay!$U$4+C300-MatchDay!$D$6,FALSE)),"")</f>
        <v/>
      </c>
      <c r="E300" s="286" t="str">
        <f ca="1">IFERROR(VLOOKUP($A290&amp;D300,downloads!$A$1:$E$1000,2,FALSE),"")</f>
        <v/>
      </c>
      <c r="F300" s="286" t="str">
        <f t="shared" si="74"/>
        <v/>
      </c>
      <c r="G300" s="291"/>
      <c r="H300" s="297"/>
      <c r="I300" s="298">
        <v>8</v>
      </c>
      <c r="J300" s="298" t="str">
        <f t="shared" si="75"/>
        <v/>
      </c>
      <c r="K300" s="286" t="str">
        <f ca="1">IFERROR(VLOOKUP($A290&amp;J300,downloads!$A$1:$E$1000,2,FALSE),"")</f>
        <v/>
      </c>
      <c r="L300" s="286" t="str">
        <f t="shared" si="73"/>
        <v/>
      </c>
      <c r="O300" s="299"/>
      <c r="Q300" s="307" t="str">
        <f ca="1">IFERROR(VLOOKUP($A290&amp;D300,competitors,4,FALSE),"")</f>
        <v/>
      </c>
      <c r="R300" s="307" t="str">
        <f ca="1">IFERROR(VLOOKUP($A290&amp;J300,competitors,4,FALSE),"")</f>
        <v/>
      </c>
    </row>
    <row r="301" spans="1:18" x14ac:dyDescent="0.35">
      <c r="Q301" s="307"/>
      <c r="R301" s="307"/>
    </row>
    <row r="302" spans="1:18" x14ac:dyDescent="0.35">
      <c r="A302" s="98" t="str">
        <f ca="1">IFERROR(INDIRECT(CONCATENATE("'Timetables'!A"&amp;A306)),"")</f>
        <v>LT18</v>
      </c>
      <c r="B302" s="304" t="str">
        <f ca="1">IFERROR(TEXT(VLOOKUP(A302,timetables,7-MatchDay!$U$7,FALSE),"hh:mm"),"")</f>
        <v>15:15</v>
      </c>
      <c r="C302" s="292" t="str">
        <f ca="1">IFERROR(VLOOKUP(A302,timetables,2,FALSE)&amp;" "&amp;VLOOKUP(A302,timetables,3,FALSE)&amp;" A","")</f>
        <v>300m U15 Boys A</v>
      </c>
      <c r="D302" s="292"/>
      <c r="F302" s="293"/>
      <c r="G302" s="294"/>
      <c r="L302" s="360"/>
      <c r="M302" s="296"/>
      <c r="N302" s="286"/>
      <c r="Q302" s="307"/>
      <c r="R302" s="307"/>
    </row>
    <row r="303" spans="1:18" x14ac:dyDescent="0.35">
      <c r="A303" s="98"/>
      <c r="B303" s="98"/>
      <c r="C303" s="295" t="str">
        <f ca="1">IFERROR("Rec: "&amp;VLOOKUP(A302,records,4,FALSE),"")</f>
        <v>Rec: 35.40 Amir Sultan-Edwards, Blackheath &amp; Bromley Harriers AC, 2018</v>
      </c>
      <c r="D303" s="292"/>
      <c r="F303" s="293"/>
      <c r="G303" s="294"/>
      <c r="I303" s="295"/>
      <c r="L303" s="360"/>
      <c r="M303" s="296"/>
      <c r="N303" s="286"/>
      <c r="Q303" s="307"/>
      <c r="R303" s="307"/>
    </row>
    <row r="304" spans="1:18" x14ac:dyDescent="0.35">
      <c r="A304" s="82" t="str">
        <f ca="1">MID(A302,2,3)</f>
        <v>T18</v>
      </c>
      <c r="B304" s="82"/>
      <c r="C304" s="304" t="s">
        <v>542</v>
      </c>
      <c r="D304" s="304" t="s">
        <v>141</v>
      </c>
      <c r="E304" s="286" t="s">
        <v>174</v>
      </c>
      <c r="F304" s="286" t="s">
        <v>175</v>
      </c>
      <c r="G304" s="291"/>
      <c r="I304" s="304" t="s">
        <v>542</v>
      </c>
      <c r="J304" s="304" t="s">
        <v>141</v>
      </c>
      <c r="K304" s="286" t="s">
        <v>174</v>
      </c>
      <c r="L304" s="286" t="s">
        <v>175</v>
      </c>
      <c r="O304" s="299"/>
      <c r="Q304" s="307"/>
      <c r="R304" s="307"/>
    </row>
    <row r="305" spans="1:18" x14ac:dyDescent="0.35">
      <c r="A305" s="138"/>
      <c r="B305" s="103"/>
      <c r="C305" s="298">
        <v>1</v>
      </c>
      <c r="D305" s="298">
        <f ca="1">IFERROR(IF(C305&gt;MatchDay!$U$2,"",IF(MatchDay!$D$6=2,"",VLOOKUP(A302,Timetables!$A:$EB,MatchDay!$U$4+C305-MatchDay!$D$6,FALSE))),"")</f>
        <v>4</v>
      </c>
      <c r="E305" s="286" t="str">
        <f ca="1">IFERROR(VLOOKUP($A302&amp;D305,downloads!$A$1:$E$1000,2,FALSE),"")</f>
        <v>Douglas POINTON</v>
      </c>
      <c r="F305" s="286" t="str">
        <f ca="1">IFERROR(VLOOKUP(D305,teamlookup,5,FALSE),"")</f>
        <v>Macc</v>
      </c>
      <c r="G305" s="291"/>
      <c r="H305" s="297"/>
      <c r="I305" s="298">
        <v>1</v>
      </c>
      <c r="J305" s="298">
        <f ca="1">IFERROR(D305*11,"")</f>
        <v>44</v>
      </c>
      <c r="K305" s="286" t="str">
        <f ca="1">IFERROR(VLOOKUP($A302&amp;J305,downloads!$A$1:$E$1000,2,FALSE),"")</f>
        <v/>
      </c>
      <c r="L305" s="286" t="str">
        <f t="shared" ref="L305:L312" ca="1" si="76">IFERROR(VLOOKUP(J305,teamlookup,5,FALSE),"")</f>
        <v>Macc</v>
      </c>
      <c r="O305" s="299"/>
      <c r="Q305" s="307">
        <f ca="1">IFERROR(VLOOKUP($A302&amp;D305,competitors,4,FALSE),"")</f>
        <v>1</v>
      </c>
      <c r="R305" s="307" t="str">
        <f ca="1">IFERROR(VLOOKUP($A302&amp;J305,competitors,4,FALSE),"")</f>
        <v/>
      </c>
    </row>
    <row r="306" spans="1:18" x14ac:dyDescent="0.35">
      <c r="A306" s="304">
        <f>A294+1</f>
        <v>28</v>
      </c>
      <c r="C306" s="298">
        <v>2</v>
      </c>
      <c r="D306" s="298">
        <f ca="1">IFERROR(IF(C306&gt;MatchDay!$U$2+MatchDay!$D$6-1,"",VLOOKUP(A302,Timetables!$A:$EB,MatchDay!$U$4+C306-MatchDay!$D$6,FALSE)),"")</f>
        <v>1</v>
      </c>
      <c r="E306" s="286" t="str">
        <f ca="1">IFERROR(VLOOKUP($A302&amp;D306,downloads!$A$1:$E$1000,2,FALSE),"")</f>
        <v>Oliver BORG-HEFFERNAN</v>
      </c>
      <c r="F306" s="286" t="str">
        <f t="shared" ref="F306:F312" ca="1" si="77">IFERROR(VLOOKUP(D306,teamlookup,5,FALSE),"")</f>
        <v>C&amp;N</v>
      </c>
      <c r="G306" s="291"/>
      <c r="H306" s="297"/>
      <c r="I306" s="298">
        <v>2</v>
      </c>
      <c r="J306" s="298">
        <f t="shared" ref="J306:J312" ca="1" si="78">IFERROR(D306*11,"")</f>
        <v>11</v>
      </c>
      <c r="K306" s="286" t="str">
        <f ca="1">IFERROR(VLOOKUP($A302&amp;J306,downloads!$A$1:$E$1000,2,FALSE),"")</f>
        <v>Sam FIRMAN</v>
      </c>
      <c r="L306" s="286" t="str">
        <f t="shared" ca="1" si="76"/>
        <v>C&amp;N</v>
      </c>
      <c r="O306" s="299"/>
      <c r="Q306" s="307">
        <f ca="1">IFERROR(VLOOKUP($A302&amp;D306,competitors,4,FALSE),"")</f>
        <v>1</v>
      </c>
      <c r="R306" s="307">
        <f ca="1">IFERROR(VLOOKUP($A302&amp;J306,competitors,4,FALSE),"")</f>
        <v>1</v>
      </c>
    </row>
    <row r="307" spans="1:18" x14ac:dyDescent="0.35">
      <c r="A307" s="105">
        <f ca="1">IFERROR(VLOOKUP(A302,standards,3,FALSE)+0.01,"-")</f>
        <v>51.01</v>
      </c>
      <c r="B307" s="105"/>
      <c r="C307" s="298">
        <v>3</v>
      </c>
      <c r="D307" s="298">
        <f ca="1">IFERROR(IF(C307&gt;MatchDay!$U$2+MatchDay!$D$6-1,"",VLOOKUP(A302,Timetables!$A:$EB,MatchDay!$U$4+C307-MatchDay!$D$6,FALSE)),"")</f>
        <v>5</v>
      </c>
      <c r="E307" s="286" t="str">
        <f ca="1">IFERROR(VLOOKUP($A302&amp;D307,downloads!$A$1:$E$1000,2,FALSE),"")</f>
        <v>Alex BAYNHAM</v>
      </c>
      <c r="F307" s="286" t="str">
        <f t="shared" ca="1" si="77"/>
        <v>Menai</v>
      </c>
      <c r="G307" s="291"/>
      <c r="H307" s="297"/>
      <c r="I307" s="298">
        <v>3</v>
      </c>
      <c r="J307" s="298">
        <f t="shared" ca="1" si="78"/>
        <v>55</v>
      </c>
      <c r="K307" s="286" t="str">
        <f ca="1">IFERROR(VLOOKUP($A302&amp;J307,downloads!$A$1:$E$1000,2,FALSE),"")</f>
        <v/>
      </c>
      <c r="L307" s="286" t="str">
        <f t="shared" ca="1" si="76"/>
        <v>Menai</v>
      </c>
      <c r="O307" s="299"/>
      <c r="Q307" s="307">
        <f ca="1">IFERROR(VLOOKUP($A302&amp;D307,competitors,4,FALSE),"")</f>
        <v>1</v>
      </c>
      <c r="R307" s="307" t="str">
        <f ca="1">IFERROR(VLOOKUP($A302&amp;J307,competitors,4,FALSE),"")</f>
        <v/>
      </c>
    </row>
    <row r="308" spans="1:18" x14ac:dyDescent="0.35">
      <c r="A308" s="105">
        <f ca="1">IFERROR(VLOOKUP(A302,standards,4,FALSE)+0.01,"-")</f>
        <v>49.01</v>
      </c>
      <c r="B308" s="105"/>
      <c r="C308" s="298">
        <v>4</v>
      </c>
      <c r="D308" s="298">
        <f ca="1">IFERROR(IF(C308&gt;MatchDay!$U$2+MatchDay!$D$6-1,"",VLOOKUP(A302,Timetables!$A:$EB,MatchDay!$U$4+C308-MatchDay!$D$6,FALSE)),"")</f>
        <v>7</v>
      </c>
      <c r="E308" s="286" t="str">
        <f ca="1">IFERROR(VLOOKUP($A302&amp;D308,downloads!$A$1:$E$1000,2,FALSE),"")</f>
        <v>Joshua ROBERTS</v>
      </c>
      <c r="F308" s="286" t="str">
        <f t="shared" ca="1" si="77"/>
        <v>Wigan</v>
      </c>
      <c r="G308" s="291"/>
      <c r="H308" s="297"/>
      <c r="I308" s="298">
        <v>4</v>
      </c>
      <c r="J308" s="298">
        <f t="shared" ca="1" si="78"/>
        <v>77</v>
      </c>
      <c r="K308" s="286" t="str">
        <f ca="1">IFERROR(VLOOKUP($A302&amp;J308,downloads!$A$1:$E$1000,2,FALSE),"")</f>
        <v/>
      </c>
      <c r="L308" s="286" t="str">
        <f t="shared" ca="1" si="76"/>
        <v>Wigan</v>
      </c>
      <c r="O308" s="299"/>
      <c r="Q308" s="307">
        <f ca="1">IFERROR(VLOOKUP($A302&amp;D308,competitors,4,FALSE),"")</f>
        <v>1</v>
      </c>
      <c r="R308" s="307" t="str">
        <f ca="1">IFERROR(VLOOKUP($A302&amp;J308,competitors,4,FALSE),"")</f>
        <v/>
      </c>
    </row>
    <row r="309" spans="1:18" x14ac:dyDescent="0.35">
      <c r="A309" s="105">
        <f ca="1">IFERROR(VLOOKUP(A302,standards,5,FALSE)+0.01,"-")</f>
        <v>47.01</v>
      </c>
      <c r="B309" s="105"/>
      <c r="C309" s="298">
        <v>5</v>
      </c>
      <c r="D309" s="298">
        <f ca="1">IFERROR(IF(C309&gt;MatchDay!$U$2+MatchDay!$D$6-1,"",VLOOKUP(A302,Timetables!$A:$EB,MatchDay!$U$4+C309-MatchDay!$D$6,FALSE)),"")</f>
        <v>3</v>
      </c>
      <c r="E309" s="286" t="str">
        <f ca="1">IFERROR(VLOOKUP($A302&amp;D309,downloads!$A$1:$E$1000,2,FALSE),"")</f>
        <v>Archer GILDART</v>
      </c>
      <c r="F309" s="286" t="str">
        <f t="shared" ca="1" si="77"/>
        <v>Leigh</v>
      </c>
      <c r="G309" s="291"/>
      <c r="H309" s="297"/>
      <c r="I309" s="298">
        <v>5</v>
      </c>
      <c r="J309" s="298">
        <f t="shared" ca="1" si="78"/>
        <v>33</v>
      </c>
      <c r="K309" s="286" t="str">
        <f ca="1">IFERROR(VLOOKUP($A302&amp;J309,downloads!$A$1:$E$1000,2,FALSE),"")</f>
        <v/>
      </c>
      <c r="L309" s="286" t="str">
        <f t="shared" ca="1" si="76"/>
        <v>Leigh</v>
      </c>
      <c r="O309" s="299"/>
      <c r="Q309" s="307">
        <f ca="1">IFERROR(VLOOKUP($A302&amp;D309,competitors,4,FALSE),"")</f>
        <v>0</v>
      </c>
      <c r="R309" s="307" t="str">
        <f ca="1">IFERROR(VLOOKUP($A302&amp;J309,competitors,4,FALSE),"")</f>
        <v/>
      </c>
    </row>
    <row r="310" spans="1:18" x14ac:dyDescent="0.35">
      <c r="A310" s="105">
        <f ca="1">IFERROR(VLOOKUP(A302,standards,6,FALSE)+0.01,"-")</f>
        <v>45.01</v>
      </c>
      <c r="B310" s="105"/>
      <c r="C310" s="298">
        <v>6</v>
      </c>
      <c r="D310" s="298">
        <f ca="1">IFERROR(IF(C310&gt;MatchDay!$U$2+MatchDay!$D$6-1,"",VLOOKUP(A302,Timetables!$A:$EB,MatchDay!$U$4+C310-MatchDay!$D$6,FALSE)),"")</f>
        <v>6</v>
      </c>
      <c r="E310" s="286" t="str">
        <f ca="1">IFERROR(VLOOKUP($A302&amp;D310,downloads!$A$1:$E$1000,2,FALSE),"")</f>
        <v>Arthur WOLSTENHOLME</v>
      </c>
      <c r="F310" s="286" t="str">
        <f t="shared" ca="1" si="77"/>
        <v>Stock</v>
      </c>
      <c r="G310" s="291"/>
      <c r="H310" s="297"/>
      <c r="I310" s="298">
        <v>6</v>
      </c>
      <c r="J310" s="298">
        <f t="shared" ca="1" si="78"/>
        <v>66</v>
      </c>
      <c r="K310" s="286" t="str">
        <f ca="1">IFERROR(VLOOKUP($A302&amp;J310,downloads!$A$1:$E$1000,2,FALSE),"")</f>
        <v>Joshua KANDA</v>
      </c>
      <c r="L310" s="286" t="str">
        <f t="shared" ca="1" si="76"/>
        <v>Stock</v>
      </c>
      <c r="O310" s="299"/>
      <c r="Q310" s="307">
        <f ca="1">IFERROR(VLOOKUP($A302&amp;D310,competitors,4,FALSE),"")</f>
        <v>1</v>
      </c>
      <c r="R310" s="307">
        <f ca="1">IFERROR(VLOOKUP($A302&amp;J310,competitors,4,FALSE),"")</f>
        <v>1</v>
      </c>
    </row>
    <row r="311" spans="1:18" x14ac:dyDescent="0.35">
      <c r="A311" s="300">
        <f ca="1">IFERROR(SEARCH("Girls",C302),0)</f>
        <v>0</v>
      </c>
      <c r="C311" s="298">
        <v>7</v>
      </c>
      <c r="D311" s="298">
        <f ca="1">IFERROR(IF(C311&gt;MatchDay!$U$2+MatchDay!$D$6-1,"",VLOOKUP(A302,Timetables!$A:$EB,MatchDay!$U$4+C311-MatchDay!$D$6,FALSE)),"")</f>
        <v>2</v>
      </c>
      <c r="E311" s="286" t="str">
        <f ca="1">IFERROR(VLOOKUP($A302&amp;D311,downloads!$A$1:$E$1000,2,FALSE),"")</f>
        <v>Alfie MANSER</v>
      </c>
      <c r="F311" s="286" t="str">
        <f t="shared" ca="1" si="77"/>
        <v>ECHT</v>
      </c>
      <c r="G311" s="291"/>
      <c r="H311" s="297"/>
      <c r="I311" s="298">
        <v>7</v>
      </c>
      <c r="J311" s="298">
        <f t="shared" ca="1" si="78"/>
        <v>22</v>
      </c>
      <c r="K311" s="286" t="str">
        <f ca="1">IFERROR(VLOOKUP($A302&amp;J311,downloads!$A$1:$E$1000,2,FALSE),"")</f>
        <v>Sebastian STEWART</v>
      </c>
      <c r="L311" s="286" t="str">
        <f t="shared" ca="1" si="76"/>
        <v>ECHT</v>
      </c>
      <c r="O311" s="299"/>
      <c r="Q311" s="307">
        <f ca="1">IFERROR(VLOOKUP($A302&amp;D311,competitors,4,FALSE),"")</f>
        <v>1</v>
      </c>
      <c r="R311" s="307">
        <f ca="1">IFERROR(VLOOKUP($A302&amp;J311,competitors,4,FALSE),"")</f>
        <v>1</v>
      </c>
    </row>
    <row r="312" spans="1:18" x14ac:dyDescent="0.35">
      <c r="A312" s="103">
        <f ca="1">IFERROR(VLOOKUP(A302,records,5,FALSE),"")</f>
        <v>35.4</v>
      </c>
      <c r="B312" s="103"/>
      <c r="C312" s="298">
        <v>8</v>
      </c>
      <c r="D312" s="298" t="str">
        <f>IFERROR(IF(C312&gt;MatchDay!$U$2+MatchDay!$D$6-1,"",VLOOKUP(A302,Timetables!$A:$EB,MatchDay!$U$4+C312-MatchDay!$D$6,FALSE)),"")</f>
        <v/>
      </c>
      <c r="E312" s="286" t="str">
        <f ca="1">IFERROR(VLOOKUP($A302&amp;D312,downloads!$A$1:$E$1000,2,FALSE),"")</f>
        <v/>
      </c>
      <c r="F312" s="286" t="str">
        <f t="shared" si="77"/>
        <v/>
      </c>
      <c r="G312" s="291"/>
      <c r="H312" s="297"/>
      <c r="I312" s="298">
        <v>8</v>
      </c>
      <c r="J312" s="298" t="str">
        <f t="shared" si="78"/>
        <v/>
      </c>
      <c r="K312" s="286" t="str">
        <f ca="1">IFERROR(VLOOKUP($A302&amp;J312,downloads!$A$1:$E$1000,2,FALSE),"")</f>
        <v/>
      </c>
      <c r="L312" s="286" t="str">
        <f t="shared" si="76"/>
        <v/>
      </c>
      <c r="O312" s="299"/>
      <c r="Q312" s="307" t="str">
        <f ca="1">IFERROR(VLOOKUP($A302&amp;D312,competitors,4,FALSE),"")</f>
        <v/>
      </c>
      <c r="R312" s="307" t="str">
        <f ca="1">IFERROR(VLOOKUP($A302&amp;J312,competitors,4,FALSE),"")</f>
        <v/>
      </c>
    </row>
    <row r="313" spans="1:18" x14ac:dyDescent="0.35">
      <c r="Q313" s="307"/>
      <c r="R313" s="307"/>
    </row>
    <row r="314" spans="1:18" x14ac:dyDescent="0.35">
      <c r="A314" s="98" t="str">
        <f ca="1">IFERROR(INDIRECT(CONCATENATE("'Timetables'!A"&amp;A318)),"")</f>
        <v>LTD01</v>
      </c>
      <c r="B314" s="304" t="str">
        <f ca="1">IFERROR(TEXT(VLOOKUP(A314,timetables,7-MatchDay!$U$7,FALSE),"hh:mm"),"")</f>
        <v>15:25</v>
      </c>
      <c r="C314" s="292" t="str">
        <f ca="1">IFERROR(VLOOKUP(A314,timetables,2,FALSE)&amp;" "&amp;VLOOKUP(A314,timetables,3,FALSE)&amp;" A","")</f>
        <v>1200m U13 Girls A</v>
      </c>
      <c r="D314" s="292"/>
      <c r="F314" s="293"/>
      <c r="G314" s="294"/>
      <c r="L314" s="360"/>
      <c r="M314" s="301"/>
      <c r="N314" s="286"/>
      <c r="Q314" s="307"/>
      <c r="R314" s="307"/>
    </row>
    <row r="315" spans="1:18" x14ac:dyDescent="0.35">
      <c r="A315" s="98"/>
      <c r="B315" s="98"/>
      <c r="C315" s="295" t="str">
        <f ca="1">IFERROR("Rec: "&amp;VLOOKUP(A314,records,4,FALSE),"")</f>
        <v>Rec: 03:41.6 Francesca Baxter, Chiltern Harriers AC, 2019</v>
      </c>
      <c r="D315" s="292"/>
      <c r="F315" s="293"/>
      <c r="G315" s="294"/>
      <c r="I315" s="295"/>
      <c r="L315" s="360"/>
      <c r="M315" s="301"/>
      <c r="N315" s="286"/>
      <c r="Q315" s="307"/>
      <c r="R315" s="307"/>
    </row>
    <row r="316" spans="1:18" x14ac:dyDescent="0.35">
      <c r="A316" s="82" t="str">
        <f ca="1">MID(A314,2,3)</f>
        <v>TD0</v>
      </c>
      <c r="B316" s="82"/>
      <c r="C316" s="304" t="s">
        <v>542</v>
      </c>
      <c r="D316" s="304" t="s">
        <v>141</v>
      </c>
      <c r="E316" s="286" t="s">
        <v>174</v>
      </c>
      <c r="F316" s="286" t="s">
        <v>175</v>
      </c>
      <c r="G316" s="291"/>
      <c r="I316" s="304" t="s">
        <v>542</v>
      </c>
      <c r="J316" s="304" t="s">
        <v>141</v>
      </c>
      <c r="K316" s="286" t="s">
        <v>174</v>
      </c>
      <c r="L316" s="286" t="s">
        <v>175</v>
      </c>
      <c r="O316" s="299"/>
      <c r="Q316" s="307"/>
      <c r="R316" s="307"/>
    </row>
    <row r="317" spans="1:18" x14ac:dyDescent="0.35">
      <c r="A317" s="138"/>
      <c r="B317" s="103"/>
      <c r="C317" s="298">
        <v>1</v>
      </c>
      <c r="D317" s="298">
        <f ca="1">IFERROR(IF(C317&gt;MatchDay!$U$2,"",IF(MatchDay!$D$6=2,"",VLOOKUP(A314,Timetables!$A:$EB,MatchDay!$U$4+C317-MatchDay!$D$6,FALSE))),"")</f>
        <v>4</v>
      </c>
      <c r="E317" s="286" t="str">
        <f ca="1">IFERROR(VLOOKUP($A314&amp;D317,downloads!$A$1:$E$1000,2,FALSE),"")</f>
        <v>Iona FISHER</v>
      </c>
      <c r="F317" s="286" t="str">
        <f ca="1">IFERROR(VLOOKUP(D317,teamlookup,5,FALSE),"")</f>
        <v>Macc</v>
      </c>
      <c r="G317" s="291"/>
      <c r="H317" s="297"/>
      <c r="I317" s="298">
        <v>1</v>
      </c>
      <c r="J317" s="298">
        <f ca="1">IFERROR(D317*11,"")</f>
        <v>44</v>
      </c>
      <c r="K317" s="286" t="str">
        <f ca="1">IFERROR(VLOOKUP($A314&amp;J317,downloads!$A$1:$E$1000,2,FALSE),"")</f>
        <v>Holly WALKER</v>
      </c>
      <c r="L317" s="286" t="str">
        <f t="shared" ref="L317:L324" ca="1" si="79">IFERROR(VLOOKUP(J317,teamlookup,5,FALSE),"")</f>
        <v>Macc</v>
      </c>
      <c r="O317" s="299"/>
      <c r="Q317" s="307">
        <f ca="1">IFERROR(VLOOKUP($A314&amp;D317,competitors,4,FALSE),"")</f>
        <v>1</v>
      </c>
      <c r="R317" s="307">
        <f ca="1">IFERROR(VLOOKUP($A314&amp;J317,competitors,4,FALSE),"")</f>
        <v>1</v>
      </c>
    </row>
    <row r="318" spans="1:18" x14ac:dyDescent="0.35">
      <c r="A318" s="304">
        <f>A306+1</f>
        <v>29</v>
      </c>
      <c r="C318" s="298">
        <v>2</v>
      </c>
      <c r="D318" s="298">
        <f ca="1">IFERROR(IF(C318&gt;MatchDay!$U$2+MatchDay!$D$6-1,"",VLOOKUP(A314,Timetables!$A:$EB,MatchDay!$U$4+C318-MatchDay!$D$6,FALSE)),"")</f>
        <v>1</v>
      </c>
      <c r="E318" s="286" t="str">
        <f ca="1">IFERROR(VLOOKUP($A314&amp;D318,downloads!$A$1:$E$1000,2,FALSE),"")</f>
        <v>Bethany HALL</v>
      </c>
      <c r="F318" s="286" t="str">
        <f t="shared" ref="F318:F324" ca="1" si="80">IFERROR(VLOOKUP(D318,teamlookup,5,FALSE),"")</f>
        <v>C&amp;N</v>
      </c>
      <c r="G318" s="291"/>
      <c r="H318" s="297"/>
      <c r="I318" s="298">
        <v>2</v>
      </c>
      <c r="J318" s="298">
        <f t="shared" ref="J318:J324" ca="1" si="81">IFERROR(D318*11,"")</f>
        <v>11</v>
      </c>
      <c r="K318" s="286" t="str">
        <f ca="1">IFERROR(VLOOKUP($A314&amp;J318,downloads!$A$1:$E$1000,2,FALSE),"")</f>
        <v>Sofiya HARE</v>
      </c>
      <c r="L318" s="286" t="str">
        <f t="shared" ca="1" si="79"/>
        <v>C&amp;N</v>
      </c>
      <c r="O318" s="299"/>
      <c r="Q318" s="307">
        <f ca="1">IFERROR(VLOOKUP($A314&amp;D318,competitors,4,FALSE),"")</f>
        <v>1</v>
      </c>
      <c r="R318" s="307">
        <f ca="1">IFERROR(VLOOKUP($A314&amp;J318,competitors,4,FALSE),"")</f>
        <v>1</v>
      </c>
    </row>
    <row r="319" spans="1:18" x14ac:dyDescent="0.35">
      <c r="A319" s="105">
        <f ca="1">IFERROR(VLOOKUP(A314,standards,3,FALSE)+0.01,"-")</f>
        <v>1.3472222222222222E-2</v>
      </c>
      <c r="B319" s="105"/>
      <c r="C319" s="298">
        <v>3</v>
      </c>
      <c r="D319" s="298">
        <f ca="1">IFERROR(IF(C319&gt;MatchDay!$U$2+MatchDay!$D$6-1,"",VLOOKUP(A314,Timetables!$A:$EB,MatchDay!$U$4+C319-MatchDay!$D$6,FALSE)),"")</f>
        <v>5</v>
      </c>
      <c r="E319" s="286" t="str">
        <f ca="1">IFERROR(VLOOKUP($A314&amp;D319,downloads!$A$1:$E$1000,2,FALSE),"")</f>
        <v>Tamsin SEGUIN</v>
      </c>
      <c r="F319" s="286" t="str">
        <f t="shared" ca="1" si="80"/>
        <v>Menai</v>
      </c>
      <c r="G319" s="291"/>
      <c r="H319" s="297"/>
      <c r="I319" s="298">
        <v>3</v>
      </c>
      <c r="J319" s="298">
        <f t="shared" ca="1" si="81"/>
        <v>55</v>
      </c>
      <c r="K319" s="286" t="str">
        <f ca="1">IFERROR(VLOOKUP($A314&amp;J319,downloads!$A$1:$E$1000,2,FALSE),"")</f>
        <v>Martha BOWN</v>
      </c>
      <c r="L319" s="286" t="str">
        <f t="shared" ca="1" si="79"/>
        <v>Menai</v>
      </c>
      <c r="O319" s="299"/>
      <c r="Q319" s="307">
        <f ca="1">IFERROR(VLOOKUP($A314&amp;D319,competitors,4,FALSE),"")</f>
        <v>1</v>
      </c>
      <c r="R319" s="307">
        <f ca="1">IFERROR(VLOOKUP($A314&amp;J319,competitors,4,FALSE),"")</f>
        <v>1</v>
      </c>
    </row>
    <row r="320" spans="1:18" x14ac:dyDescent="0.35">
      <c r="A320" s="105">
        <f ca="1">IFERROR(VLOOKUP(A314,standards,4,FALSE)+0.01,"-")</f>
        <v>1.3356481481481481E-2</v>
      </c>
      <c r="B320" s="105"/>
      <c r="C320" s="298">
        <v>4</v>
      </c>
      <c r="D320" s="298">
        <f ca="1">IFERROR(IF(C320&gt;MatchDay!$U$2+MatchDay!$D$6-1,"",VLOOKUP(A314,Timetables!$A:$EB,MatchDay!$U$4+C320-MatchDay!$D$6,FALSE)),"")</f>
        <v>7</v>
      </c>
      <c r="E320" s="286" t="str">
        <f ca="1">IFERROR(VLOOKUP($A314&amp;D320,downloads!$A$1:$E$1000,2,FALSE),"")</f>
        <v>Maisie CADMAN</v>
      </c>
      <c r="F320" s="286" t="str">
        <f t="shared" ca="1" si="80"/>
        <v>Wigan</v>
      </c>
      <c r="G320" s="291"/>
      <c r="H320" s="297"/>
      <c r="I320" s="298">
        <v>4</v>
      </c>
      <c r="J320" s="298">
        <f t="shared" ca="1" si="81"/>
        <v>77</v>
      </c>
      <c r="K320" s="286" t="str">
        <f ca="1">IFERROR(VLOOKUP($A314&amp;J320,downloads!$A$1:$E$1000,2,FALSE),"")</f>
        <v>Layla HALL</v>
      </c>
      <c r="L320" s="286" t="str">
        <f t="shared" ca="1" si="79"/>
        <v>Wigan</v>
      </c>
      <c r="O320" s="299"/>
      <c r="Q320" s="307">
        <f ca="1">IFERROR(VLOOKUP($A314&amp;D320,competitors,4,FALSE),"")</f>
        <v>0</v>
      </c>
      <c r="R320" s="307">
        <f ca="1">IFERROR(VLOOKUP($A314&amp;J320,competitors,4,FALSE),"")</f>
        <v>1</v>
      </c>
    </row>
    <row r="321" spans="1:18" x14ac:dyDescent="0.35">
      <c r="A321" s="105">
        <f ca="1">IFERROR(VLOOKUP(A314,standards,5,FALSE)+0.01,"-")</f>
        <v>1.324074074074074E-2</v>
      </c>
      <c r="B321" s="105"/>
      <c r="C321" s="298">
        <v>5</v>
      </c>
      <c r="D321" s="298">
        <f ca="1">IFERROR(IF(C321&gt;MatchDay!$U$2+MatchDay!$D$6-1,"",VLOOKUP(A314,Timetables!$A:$EB,MatchDay!$U$4+C321-MatchDay!$D$6,FALSE)),"")</f>
        <v>3</v>
      </c>
      <c r="E321" s="286" t="str">
        <f ca="1">IFERROR(VLOOKUP($A314&amp;D321,downloads!$A$1:$E$1000,2,FALSE),"")</f>
        <v>Bee METCALFE</v>
      </c>
      <c r="F321" s="286" t="str">
        <f t="shared" ca="1" si="80"/>
        <v>Leigh</v>
      </c>
      <c r="G321" s="291"/>
      <c r="H321" s="297"/>
      <c r="I321" s="298">
        <v>5</v>
      </c>
      <c r="J321" s="298">
        <f t="shared" ca="1" si="81"/>
        <v>33</v>
      </c>
      <c r="K321" s="286" t="str">
        <f ca="1">IFERROR(VLOOKUP($A314&amp;J321,downloads!$A$1:$E$1000,2,FALSE),"")</f>
        <v>Rae VAUGHAN</v>
      </c>
      <c r="L321" s="286" t="str">
        <f t="shared" ca="1" si="79"/>
        <v>Leigh</v>
      </c>
      <c r="O321" s="299"/>
      <c r="Q321" s="307">
        <f ca="1">IFERROR(VLOOKUP($A314&amp;D321,competitors,4,FALSE),"")</f>
        <v>1</v>
      </c>
      <c r="R321" s="307">
        <f ca="1">IFERROR(VLOOKUP($A314&amp;J321,competitors,4,FALSE),"")</f>
        <v>1</v>
      </c>
    </row>
    <row r="322" spans="1:18" x14ac:dyDescent="0.35">
      <c r="A322" s="105">
        <f ca="1">IFERROR(VLOOKUP(A314,standards,6,FALSE)+0.01,"-")</f>
        <v>1.3125E-2</v>
      </c>
      <c r="B322" s="105"/>
      <c r="C322" s="298">
        <v>6</v>
      </c>
      <c r="D322" s="298">
        <f ca="1">IFERROR(IF(C322&gt;MatchDay!$U$2+MatchDay!$D$6-1,"",VLOOKUP(A314,Timetables!$A:$EB,MatchDay!$U$4+C322-MatchDay!$D$6,FALSE)),"")</f>
        <v>6</v>
      </c>
      <c r="E322" s="286" t="str">
        <f ca="1">IFERROR(VLOOKUP($A314&amp;D322,downloads!$A$1:$E$1000,2,FALSE),"")</f>
        <v>Emily FOX</v>
      </c>
      <c r="F322" s="286" t="str">
        <f t="shared" ca="1" si="80"/>
        <v>Stock</v>
      </c>
      <c r="G322" s="291"/>
      <c r="H322" s="297"/>
      <c r="I322" s="298">
        <v>6</v>
      </c>
      <c r="J322" s="298">
        <f t="shared" ca="1" si="81"/>
        <v>66</v>
      </c>
      <c r="K322" s="286" t="str">
        <f ca="1">IFERROR(VLOOKUP($A314&amp;J322,downloads!$A$1:$E$1000,2,FALSE),"")</f>
        <v/>
      </c>
      <c r="L322" s="286" t="str">
        <f t="shared" ca="1" si="79"/>
        <v>Stock</v>
      </c>
      <c r="O322" s="299"/>
      <c r="Q322" s="307">
        <f ca="1">IFERROR(VLOOKUP($A314&amp;D322,competitors,4,FALSE),"")</f>
        <v>1</v>
      </c>
      <c r="R322" s="307" t="str">
        <f ca="1">IFERROR(VLOOKUP($A314&amp;J322,competitors,4,FALSE),"")</f>
        <v/>
      </c>
    </row>
    <row r="323" spans="1:18" x14ac:dyDescent="0.35">
      <c r="A323" s="300">
        <f ca="1">IFERROR(SEARCH("Girls",C314),0)</f>
        <v>11</v>
      </c>
      <c r="C323" s="298">
        <v>7</v>
      </c>
      <c r="D323" s="298">
        <f ca="1">IFERROR(IF(C323&gt;MatchDay!$U$2+MatchDay!$D$6-1,"",VLOOKUP(A314,Timetables!$A:$EB,MatchDay!$U$4+C323-MatchDay!$D$6,FALSE)),"")</f>
        <v>2</v>
      </c>
      <c r="E323" s="286" t="str">
        <f ca="1">IFERROR(VLOOKUP($A314&amp;D323,downloads!$A$1:$E$1000,2,FALSE),"")</f>
        <v>Demi BAXTER</v>
      </c>
      <c r="F323" s="286" t="str">
        <f t="shared" ca="1" si="80"/>
        <v>ECHT</v>
      </c>
      <c r="G323" s="291"/>
      <c r="H323" s="297"/>
      <c r="I323" s="298">
        <v>7</v>
      </c>
      <c r="J323" s="298">
        <f t="shared" ca="1" si="81"/>
        <v>22</v>
      </c>
      <c r="K323" s="286" t="str">
        <f ca="1">IFERROR(VLOOKUP($A314&amp;J323,downloads!$A$1:$E$1000,2,FALSE),"")</f>
        <v>Scarlett LYNE</v>
      </c>
      <c r="L323" s="286" t="str">
        <f t="shared" ca="1" si="79"/>
        <v>ECHT</v>
      </c>
      <c r="O323" s="299"/>
      <c r="Q323" s="307">
        <f ca="1">IFERROR(VLOOKUP($A314&amp;D323,competitors,4,FALSE),"")</f>
        <v>1</v>
      </c>
      <c r="R323" s="307">
        <f ca="1">IFERROR(VLOOKUP($A314&amp;J323,competitors,4,FALSE),"")</f>
        <v>1</v>
      </c>
    </row>
    <row r="324" spans="1:18" x14ac:dyDescent="0.35">
      <c r="A324" s="103">
        <f ca="1">IFERROR(VLOOKUP(A314,records,5,FALSE),"")</f>
        <v>2.5648148148148149E-3</v>
      </c>
      <c r="B324" s="103"/>
      <c r="C324" s="298">
        <v>8</v>
      </c>
      <c r="D324" s="298" t="str">
        <f>IFERROR(IF(C324&gt;MatchDay!$U$2+MatchDay!$D$6-1,"",VLOOKUP(A314,Timetables!$A:$EB,MatchDay!$U$4+C324-MatchDay!$D$6,FALSE)),"")</f>
        <v/>
      </c>
      <c r="E324" s="286" t="str">
        <f ca="1">IFERROR(VLOOKUP($A314&amp;D324,downloads!$A$1:$E$1000,2,FALSE),"")</f>
        <v/>
      </c>
      <c r="F324" s="286" t="str">
        <f t="shared" si="80"/>
        <v/>
      </c>
      <c r="G324" s="291"/>
      <c r="H324" s="297"/>
      <c r="I324" s="298">
        <v>8</v>
      </c>
      <c r="J324" s="298" t="str">
        <f t="shared" si="81"/>
        <v/>
      </c>
      <c r="K324" s="286" t="str">
        <f ca="1">IFERROR(VLOOKUP($A314&amp;J324,downloads!$A$1:$E$1000,2,FALSE),"")</f>
        <v/>
      </c>
      <c r="L324" s="286" t="str">
        <f t="shared" si="79"/>
        <v/>
      </c>
      <c r="O324" s="299"/>
      <c r="Q324" s="307" t="str">
        <f ca="1">IFERROR(VLOOKUP($A314&amp;D324,competitors,4,FALSE),"")</f>
        <v/>
      </c>
      <c r="R324" s="307" t="str">
        <f ca="1">IFERROR(VLOOKUP($A314&amp;J324,competitors,4,FALSE),"")</f>
        <v/>
      </c>
    </row>
    <row r="325" spans="1:18" x14ac:dyDescent="0.35">
      <c r="Q325" s="307"/>
      <c r="R325" s="307"/>
    </row>
    <row r="326" spans="1:18" x14ac:dyDescent="0.35">
      <c r="A326" s="98" t="str">
        <f ca="1">IFERROR(INDIRECT(CONCATENATE("'Timetables'!A"&amp;A330)),"")</f>
        <v>LTD02</v>
      </c>
      <c r="B326" s="304" t="str">
        <f ca="1">IFERROR(TEXT(VLOOKUP(A326,timetables,7-MatchDay!$U$7,FALSE),"hh:mm"),"")</f>
        <v>15:35</v>
      </c>
      <c r="C326" s="292" t="str">
        <f ca="1">IFERROR(VLOOKUP(A326,timetables,2,FALSE)&amp;" "&amp;VLOOKUP(A326,timetables,3,FALSE)&amp;" A","")</f>
        <v>1200m U13 Boys A</v>
      </c>
      <c r="D326" s="292"/>
      <c r="F326" s="293"/>
      <c r="G326" s="294"/>
      <c r="L326" s="360"/>
      <c r="M326" s="301"/>
      <c r="N326" s="286"/>
      <c r="Q326" s="307"/>
      <c r="R326" s="307"/>
    </row>
    <row r="327" spans="1:18" x14ac:dyDescent="0.35">
      <c r="A327" s="98"/>
      <c r="B327" s="98"/>
      <c r="C327" s="295" t="str">
        <f ca="1">IFERROR("Rec: "&amp;VLOOKUP(A326,records,4,FALSE),"")</f>
        <v>Rec: 3:28.49 Noah Homer, Birchfield Harriers, 2022</v>
      </c>
      <c r="D327" s="292"/>
      <c r="F327" s="293"/>
      <c r="G327" s="294"/>
      <c r="I327" s="295"/>
      <c r="L327" s="360"/>
      <c r="M327" s="301"/>
      <c r="N327" s="286"/>
      <c r="Q327" s="307"/>
      <c r="R327" s="307"/>
    </row>
    <row r="328" spans="1:18" x14ac:dyDescent="0.35">
      <c r="A328" s="82" t="str">
        <f ca="1">MID(A326,2,3)</f>
        <v>TD0</v>
      </c>
      <c r="B328" s="82"/>
      <c r="C328" s="304" t="s">
        <v>542</v>
      </c>
      <c r="D328" s="304" t="s">
        <v>141</v>
      </c>
      <c r="E328" s="286" t="s">
        <v>174</v>
      </c>
      <c r="F328" s="286" t="s">
        <v>175</v>
      </c>
      <c r="G328" s="291"/>
      <c r="I328" s="304" t="s">
        <v>542</v>
      </c>
      <c r="J328" s="304" t="s">
        <v>141</v>
      </c>
      <c r="K328" s="286" t="s">
        <v>174</v>
      </c>
      <c r="L328" s="286" t="s">
        <v>175</v>
      </c>
      <c r="O328" s="299"/>
      <c r="Q328" s="307"/>
      <c r="R328" s="307"/>
    </row>
    <row r="329" spans="1:18" x14ac:dyDescent="0.35">
      <c r="A329" s="138"/>
      <c r="B329" s="103"/>
      <c r="C329" s="298">
        <v>1</v>
      </c>
      <c r="D329" s="298">
        <f ca="1">IFERROR(IF(C329&gt;MatchDay!$U$2,"",IF(MatchDay!$D$6=2,"",VLOOKUP(A326,Timetables!$A:$EB,MatchDay!$U$4+C329-MatchDay!$D$6,FALSE))),"")</f>
        <v>4</v>
      </c>
      <c r="E329" s="286" t="str">
        <f ca="1">IFERROR(VLOOKUP($A326&amp;D329,downloads!$A$1:$E$1000,2,FALSE),"")</f>
        <v>Alexander MCLAREN</v>
      </c>
      <c r="F329" s="286" t="str">
        <f ca="1">IFERROR(VLOOKUP(D329,teamlookup,5,FALSE),"")</f>
        <v>Macc</v>
      </c>
      <c r="G329" s="291"/>
      <c r="H329" s="297"/>
      <c r="I329" s="298">
        <v>1</v>
      </c>
      <c r="J329" s="298">
        <f ca="1">IFERROR(D329*11,"")</f>
        <v>44</v>
      </c>
      <c r="K329" s="286" t="str">
        <f ca="1">IFERROR(VLOOKUP($A326&amp;J329,downloads!$A$1:$E$1000,2,FALSE),"")</f>
        <v/>
      </c>
      <c r="L329" s="286" t="str">
        <f t="shared" ref="L329:L336" ca="1" si="82">IFERROR(VLOOKUP(J329,teamlookup,5,FALSE),"")</f>
        <v>Macc</v>
      </c>
      <c r="O329" s="299"/>
      <c r="Q329" s="307">
        <f ca="1">IFERROR(VLOOKUP($A326&amp;D329,competitors,4,FALSE),"")</f>
        <v>1</v>
      </c>
      <c r="R329" s="307" t="str">
        <f ca="1">IFERROR(VLOOKUP($A326&amp;J329,competitors,4,FALSE),"")</f>
        <v/>
      </c>
    </row>
    <row r="330" spans="1:18" x14ac:dyDescent="0.35">
      <c r="A330" s="304">
        <f>A318+1</f>
        <v>30</v>
      </c>
      <c r="C330" s="298">
        <v>2</v>
      </c>
      <c r="D330" s="298">
        <f ca="1">IFERROR(IF(C330&gt;MatchDay!$U$2+MatchDay!$D$6-1,"",VLOOKUP(A326,Timetables!$A:$EB,MatchDay!$U$4+C330-MatchDay!$D$6,FALSE)),"")</f>
        <v>1</v>
      </c>
      <c r="E330" s="286" t="str">
        <f ca="1">IFERROR(VLOOKUP($A326&amp;D330,downloads!$A$1:$E$1000,2,FALSE),"")</f>
        <v/>
      </c>
      <c r="F330" s="286" t="str">
        <f t="shared" ref="F330:F336" ca="1" si="83">IFERROR(VLOOKUP(D330,teamlookup,5,FALSE),"")</f>
        <v>C&amp;N</v>
      </c>
      <c r="G330" s="291"/>
      <c r="H330" s="297"/>
      <c r="I330" s="298">
        <v>2</v>
      </c>
      <c r="J330" s="298">
        <f t="shared" ref="J330:J336" ca="1" si="84">IFERROR(D330*11,"")</f>
        <v>11</v>
      </c>
      <c r="K330" s="286" t="str">
        <f ca="1">IFERROR(VLOOKUP($A326&amp;J330,downloads!$A$1:$E$1000,2,FALSE),"")</f>
        <v/>
      </c>
      <c r="L330" s="286" t="str">
        <f t="shared" ca="1" si="82"/>
        <v>C&amp;N</v>
      </c>
      <c r="O330" s="299"/>
      <c r="Q330" s="307" t="str">
        <f ca="1">IFERROR(VLOOKUP($A326&amp;D330,competitors,4,FALSE),"")</f>
        <v/>
      </c>
      <c r="R330" s="307" t="str">
        <f ca="1">IFERROR(VLOOKUP($A326&amp;J330,competitors,4,FALSE),"")</f>
        <v/>
      </c>
    </row>
    <row r="331" spans="1:18" x14ac:dyDescent="0.35">
      <c r="A331" s="105">
        <f ca="1">IFERROR(VLOOKUP(A326,standards,3,FALSE)+0.01,"-")</f>
        <v>1.3356481481481481E-2</v>
      </c>
      <c r="B331" s="105"/>
      <c r="C331" s="298">
        <v>3</v>
      </c>
      <c r="D331" s="298">
        <f ca="1">IFERROR(IF(C331&gt;MatchDay!$U$2+MatchDay!$D$6-1,"",VLOOKUP(A326,Timetables!$A:$EB,MatchDay!$U$4+C331-MatchDay!$D$6,FALSE)),"")</f>
        <v>5</v>
      </c>
      <c r="E331" s="286" t="str">
        <f ca="1">IFERROR(VLOOKUP($A326&amp;D331,downloads!$A$1:$E$1000,2,FALSE),"")</f>
        <v>Perry MARSLAND</v>
      </c>
      <c r="F331" s="286" t="str">
        <f t="shared" ca="1" si="83"/>
        <v>Menai</v>
      </c>
      <c r="G331" s="291"/>
      <c r="H331" s="297"/>
      <c r="I331" s="298">
        <v>3</v>
      </c>
      <c r="J331" s="298">
        <f t="shared" ca="1" si="84"/>
        <v>55</v>
      </c>
      <c r="K331" s="286" t="str">
        <f ca="1">IFERROR(VLOOKUP($A326&amp;J331,downloads!$A$1:$E$1000,2,FALSE),"")</f>
        <v/>
      </c>
      <c r="L331" s="286" t="str">
        <f t="shared" ca="1" si="82"/>
        <v>Menai</v>
      </c>
      <c r="O331" s="299"/>
      <c r="Q331" s="307">
        <f ca="1">IFERROR(VLOOKUP($A326&amp;D331,competitors,4,FALSE),"")</f>
        <v>1</v>
      </c>
      <c r="R331" s="307" t="str">
        <f ca="1">IFERROR(VLOOKUP($A326&amp;J331,competitors,4,FALSE),"")</f>
        <v/>
      </c>
    </row>
    <row r="332" spans="1:18" x14ac:dyDescent="0.35">
      <c r="A332" s="105">
        <f ca="1">IFERROR(VLOOKUP(A326,standards,4,FALSE)+0.01,"-")</f>
        <v>1.324074074074074E-2</v>
      </c>
      <c r="B332" s="105"/>
      <c r="C332" s="298">
        <v>4</v>
      </c>
      <c r="D332" s="298">
        <f ca="1">IFERROR(IF(C332&gt;MatchDay!$U$2+MatchDay!$D$6-1,"",VLOOKUP(A326,Timetables!$A:$EB,MatchDay!$U$4+C332-MatchDay!$D$6,FALSE)),"")</f>
        <v>7</v>
      </c>
      <c r="E332" s="286" t="str">
        <f ca="1">IFERROR(VLOOKUP($A326&amp;D332,downloads!$A$1:$E$1000,2,FALSE),"")</f>
        <v>Samuel HODGKINSON</v>
      </c>
      <c r="F332" s="286" t="str">
        <f t="shared" ca="1" si="83"/>
        <v>Wigan</v>
      </c>
      <c r="G332" s="291"/>
      <c r="H332" s="297"/>
      <c r="I332" s="298">
        <v>4</v>
      </c>
      <c r="J332" s="298">
        <f t="shared" ca="1" si="84"/>
        <v>77</v>
      </c>
      <c r="K332" s="286" t="str">
        <f ca="1">IFERROR(VLOOKUP($A326&amp;J332,downloads!$A$1:$E$1000,2,FALSE),"")</f>
        <v/>
      </c>
      <c r="L332" s="286" t="str">
        <f t="shared" ca="1" si="82"/>
        <v>Wigan</v>
      </c>
      <c r="O332" s="299"/>
      <c r="Q332" s="307">
        <f ca="1">IFERROR(VLOOKUP($A326&amp;D332,competitors,4,FALSE),"")</f>
        <v>1</v>
      </c>
      <c r="R332" s="307" t="str">
        <f ca="1">IFERROR(VLOOKUP($A326&amp;J332,competitors,4,FALSE),"")</f>
        <v/>
      </c>
    </row>
    <row r="333" spans="1:18" x14ac:dyDescent="0.35">
      <c r="A333" s="105">
        <f ca="1">IFERROR(VLOOKUP(A326,standards,5,FALSE)+0.01,"-")</f>
        <v>1.3125E-2</v>
      </c>
      <c r="B333" s="105"/>
      <c r="C333" s="298">
        <v>5</v>
      </c>
      <c r="D333" s="298">
        <f ca="1">IFERROR(IF(C333&gt;MatchDay!$U$2+MatchDay!$D$6-1,"",VLOOKUP(A326,Timetables!$A:$EB,MatchDay!$U$4+C333-MatchDay!$D$6,FALSE)),"")</f>
        <v>3</v>
      </c>
      <c r="E333" s="286" t="str">
        <f ca="1">IFERROR(VLOOKUP($A326&amp;D333,downloads!$A$1:$E$1000,2,FALSE),"")</f>
        <v>Jasper PARKIN-KERNER</v>
      </c>
      <c r="F333" s="286" t="str">
        <f t="shared" ca="1" si="83"/>
        <v>Leigh</v>
      </c>
      <c r="G333" s="291"/>
      <c r="H333" s="297"/>
      <c r="I333" s="298">
        <v>5</v>
      </c>
      <c r="J333" s="298">
        <f t="shared" ca="1" si="84"/>
        <v>33</v>
      </c>
      <c r="K333" s="286" t="str">
        <f ca="1">IFERROR(VLOOKUP($A326&amp;J333,downloads!$A$1:$E$1000,2,FALSE),"")</f>
        <v>Samuel WILLIAMS</v>
      </c>
      <c r="L333" s="286" t="str">
        <f t="shared" ca="1" si="82"/>
        <v>Leigh</v>
      </c>
      <c r="O333" s="299"/>
      <c r="Q333" s="307">
        <f ca="1">IFERROR(VLOOKUP($A326&amp;D333,competitors,4,FALSE),"")</f>
        <v>1</v>
      </c>
      <c r="R333" s="307">
        <f ca="1">IFERROR(VLOOKUP($A326&amp;J333,competitors,4,FALSE),"")</f>
        <v>1</v>
      </c>
    </row>
    <row r="334" spans="1:18" x14ac:dyDescent="0.35">
      <c r="A334" s="105">
        <f ca="1">IFERROR(VLOOKUP(A326,standards,6,FALSE)+0.01,"-")</f>
        <v>1.3009259259259259E-2</v>
      </c>
      <c r="B334" s="105"/>
      <c r="C334" s="298">
        <v>6</v>
      </c>
      <c r="D334" s="298">
        <f ca="1">IFERROR(IF(C334&gt;MatchDay!$U$2+MatchDay!$D$6-1,"",VLOOKUP(A326,Timetables!$A:$EB,MatchDay!$U$4+C334-MatchDay!$D$6,FALSE)),"")</f>
        <v>6</v>
      </c>
      <c r="E334" s="286" t="str">
        <f ca="1">IFERROR(VLOOKUP($A326&amp;D334,downloads!$A$1:$E$1000,2,FALSE),"")</f>
        <v/>
      </c>
      <c r="F334" s="286" t="str">
        <f t="shared" ca="1" si="83"/>
        <v>Stock</v>
      </c>
      <c r="G334" s="291"/>
      <c r="H334" s="297"/>
      <c r="I334" s="298">
        <v>6</v>
      </c>
      <c r="J334" s="298">
        <f t="shared" ca="1" si="84"/>
        <v>66</v>
      </c>
      <c r="K334" s="286" t="str">
        <f ca="1">IFERROR(VLOOKUP($A326&amp;J334,downloads!$A$1:$E$1000,2,FALSE),"")</f>
        <v/>
      </c>
      <c r="L334" s="286" t="str">
        <f t="shared" ca="1" si="82"/>
        <v>Stock</v>
      </c>
      <c r="O334" s="299"/>
      <c r="Q334" s="307" t="str">
        <f ca="1">IFERROR(VLOOKUP($A326&amp;D334,competitors,4,FALSE),"")</f>
        <v/>
      </c>
      <c r="R334" s="307" t="str">
        <f ca="1">IFERROR(VLOOKUP($A326&amp;J334,competitors,4,FALSE),"")</f>
        <v/>
      </c>
    </row>
    <row r="335" spans="1:18" x14ac:dyDescent="0.35">
      <c r="A335" s="300">
        <f ca="1">IFERROR(SEARCH("Girls",C326),0)</f>
        <v>0</v>
      </c>
      <c r="C335" s="298">
        <v>7</v>
      </c>
      <c r="D335" s="298">
        <f ca="1">IFERROR(IF(C335&gt;MatchDay!$U$2+MatchDay!$D$6-1,"",VLOOKUP(A326,Timetables!$A:$EB,MatchDay!$U$4+C335-MatchDay!$D$6,FALSE)),"")</f>
        <v>2</v>
      </c>
      <c r="E335" s="286" t="str">
        <f ca="1">IFERROR(VLOOKUP($A326&amp;D335,downloads!$A$1:$E$1000,2,FALSE),"")</f>
        <v>Oliver MANNION</v>
      </c>
      <c r="F335" s="286" t="str">
        <f t="shared" ca="1" si="83"/>
        <v>ECHT</v>
      </c>
      <c r="G335" s="291"/>
      <c r="H335" s="297"/>
      <c r="I335" s="298">
        <v>7</v>
      </c>
      <c r="J335" s="298">
        <f t="shared" ca="1" si="84"/>
        <v>22</v>
      </c>
      <c r="K335" s="286" t="str">
        <f ca="1">IFERROR(VLOOKUP($A326&amp;J335,downloads!$A$1:$E$1000,2,FALSE),"")</f>
        <v>James NELSON</v>
      </c>
      <c r="L335" s="286" t="str">
        <f t="shared" ca="1" si="82"/>
        <v>ECHT</v>
      </c>
      <c r="O335" s="299"/>
      <c r="Q335" s="307">
        <f ca="1">IFERROR(VLOOKUP($A326&amp;D335,competitors,4,FALSE),"")</f>
        <v>1</v>
      </c>
      <c r="R335" s="307">
        <f ca="1">IFERROR(VLOOKUP($A326&amp;J335,competitors,4,FALSE),"")</f>
        <v>1</v>
      </c>
    </row>
    <row r="336" spans="1:18" x14ac:dyDescent="0.35">
      <c r="A336" s="103">
        <f ca="1">IFERROR(VLOOKUP(A326,records,5,FALSE),"")</f>
        <v>2.4130787037037037E-3</v>
      </c>
      <c r="B336" s="103"/>
      <c r="C336" s="298">
        <v>8</v>
      </c>
      <c r="D336" s="298" t="str">
        <f>IFERROR(IF(C336&gt;MatchDay!$U$2+MatchDay!$D$6-1,"",VLOOKUP(A326,Timetables!$A:$EB,MatchDay!$U$4+C336-MatchDay!$D$6,FALSE)),"")</f>
        <v/>
      </c>
      <c r="E336" s="286" t="str">
        <f ca="1">IFERROR(VLOOKUP($A326&amp;D336,downloads!$A$1:$E$1000,2,FALSE),"")</f>
        <v/>
      </c>
      <c r="F336" s="286" t="str">
        <f t="shared" si="83"/>
        <v/>
      </c>
      <c r="G336" s="291"/>
      <c r="H336" s="297"/>
      <c r="I336" s="298">
        <v>8</v>
      </c>
      <c r="J336" s="298" t="str">
        <f t="shared" si="84"/>
        <v/>
      </c>
      <c r="K336" s="286" t="str">
        <f ca="1">IFERROR(VLOOKUP($A326&amp;J336,downloads!$A$1:$E$1000,2,FALSE),"")</f>
        <v/>
      </c>
      <c r="L336" s="286" t="str">
        <f t="shared" si="82"/>
        <v/>
      </c>
      <c r="O336" s="299"/>
      <c r="Q336" s="307" t="str">
        <f ca="1">IFERROR(VLOOKUP($A326&amp;D336,competitors,4,FALSE),"")</f>
        <v/>
      </c>
      <c r="R336" s="307" t="str">
        <f ca="1">IFERROR(VLOOKUP($A326&amp;J336,competitors,4,FALSE),"")</f>
        <v/>
      </c>
    </row>
    <row r="337" spans="1:18" x14ac:dyDescent="0.35">
      <c r="Q337" s="307"/>
      <c r="R337" s="307"/>
    </row>
    <row r="338" spans="1:18" ht="15" customHeight="1" x14ac:dyDescent="0.35">
      <c r="A338" s="98" t="str">
        <f ca="1">IFERROR(INDIRECT(CONCATENATE("'Timetables'!A"&amp;A342)),"")</f>
        <v>LTD03</v>
      </c>
      <c r="B338" s="304" t="str">
        <f ca="1">IFERROR(TEXT(VLOOKUP(A338,timetables,7-MatchDay!$U$7,FALSE),"hh:mm"),"")</f>
        <v>15:45</v>
      </c>
      <c r="C338" s="292" t="str">
        <f ca="1">IFERROR(VLOOKUP(A338,timetables,2,FALSE)&amp;" "&amp;VLOOKUP(A338,timetables,3,FALSE)&amp;" A","")</f>
        <v>1500m U15 Girls A</v>
      </c>
      <c r="D338" s="292"/>
      <c r="F338" s="293"/>
      <c r="G338" s="294"/>
      <c r="L338" s="360"/>
      <c r="M338" s="301"/>
      <c r="N338" s="286"/>
      <c r="Q338" s="307"/>
      <c r="R338" s="307"/>
    </row>
    <row r="339" spans="1:18" ht="15" customHeight="1" x14ac:dyDescent="0.35">
      <c r="A339" s="98"/>
      <c r="B339" s="98"/>
      <c r="C339" s="295" t="str">
        <f ca="1">IFERROR("Rec: "&amp;VLOOKUP(A338,records,4,FALSE),"")</f>
        <v>Rec: 04:35.9 Josie Czura, C of Portsmouth, 2015</v>
      </c>
      <c r="D339" s="292"/>
      <c r="F339" s="293"/>
      <c r="G339" s="294"/>
      <c r="I339" s="295"/>
      <c r="L339" s="360"/>
      <c r="M339" s="301"/>
      <c r="N339" s="286"/>
      <c r="Q339" s="307"/>
      <c r="R339" s="307"/>
    </row>
    <row r="340" spans="1:18" ht="15" customHeight="1" x14ac:dyDescent="0.35">
      <c r="A340" s="82" t="str">
        <f ca="1">MID(A338,2,3)</f>
        <v>TD0</v>
      </c>
      <c r="B340" s="82"/>
      <c r="C340" s="304" t="s">
        <v>542</v>
      </c>
      <c r="D340" s="304" t="s">
        <v>141</v>
      </c>
      <c r="E340" s="286" t="s">
        <v>174</v>
      </c>
      <c r="F340" s="286" t="s">
        <v>175</v>
      </c>
      <c r="G340" s="291"/>
      <c r="I340" s="304" t="s">
        <v>542</v>
      </c>
      <c r="J340" s="304" t="s">
        <v>141</v>
      </c>
      <c r="K340" s="286" t="s">
        <v>174</v>
      </c>
      <c r="L340" s="286" t="s">
        <v>175</v>
      </c>
      <c r="O340" s="299"/>
      <c r="Q340" s="307"/>
      <c r="R340" s="307"/>
    </row>
    <row r="341" spans="1:18" ht="15" customHeight="1" x14ac:dyDescent="0.35">
      <c r="A341" s="138"/>
      <c r="B341" s="103"/>
      <c r="C341" s="298">
        <v>1</v>
      </c>
      <c r="D341" s="298">
        <f ca="1">IFERROR(IF(C341&gt;MatchDay!$U$2,"",IF(MatchDay!$D$6=2,"",VLOOKUP(A338,Timetables!$A:$EB,MatchDay!$U$4+C341-MatchDay!$D$6,FALSE))),"")</f>
        <v>4</v>
      </c>
      <c r="E341" s="286" t="str">
        <f ca="1">IFERROR(VLOOKUP($A338&amp;D341,downloads!$A$1:$E$1000,2,FALSE),"")</f>
        <v>Eva MION</v>
      </c>
      <c r="F341" s="286" t="str">
        <f ca="1">IFERROR(VLOOKUP(D341,teamlookup,5,FALSE),"")</f>
        <v>Macc</v>
      </c>
      <c r="G341" s="291"/>
      <c r="H341" s="297"/>
      <c r="I341" s="298">
        <v>1</v>
      </c>
      <c r="J341" s="298">
        <f ca="1">IFERROR(D341*11,"")</f>
        <v>44</v>
      </c>
      <c r="K341" s="286" t="str">
        <f ca="1">IFERROR(VLOOKUP($A338&amp;J341,downloads!$A$1:$E$1000,2,FALSE),"")</f>
        <v/>
      </c>
      <c r="L341" s="286" t="str">
        <f t="shared" ref="L341:L348" ca="1" si="85">IFERROR(VLOOKUP(J341,teamlookup,5,FALSE),"")</f>
        <v>Macc</v>
      </c>
      <c r="O341" s="299"/>
      <c r="Q341" s="307">
        <f ca="1">IFERROR(VLOOKUP($A338&amp;D341,competitors,4,FALSE),"")</f>
        <v>1</v>
      </c>
      <c r="R341" s="307" t="str">
        <f ca="1">IFERROR(VLOOKUP($A338&amp;J341,competitors,4,FALSE),"")</f>
        <v/>
      </c>
    </row>
    <row r="342" spans="1:18" ht="15" customHeight="1" x14ac:dyDescent="0.35">
      <c r="A342" s="304">
        <f>A330+1</f>
        <v>31</v>
      </c>
      <c r="C342" s="298">
        <v>2</v>
      </c>
      <c r="D342" s="298">
        <f ca="1">IFERROR(IF(C342&gt;MatchDay!$U$2+MatchDay!$D$6-1,"",VLOOKUP(A338,Timetables!$A:$EB,MatchDay!$U$4+C342-MatchDay!$D$6,FALSE)),"")</f>
        <v>1</v>
      </c>
      <c r="E342" s="286" t="str">
        <f ca="1">IFERROR(VLOOKUP($A338&amp;D342,downloads!$A$1:$E$1000,2,FALSE),"")</f>
        <v/>
      </c>
      <c r="F342" s="286" t="str">
        <f t="shared" ref="F342:F348" ca="1" si="86">IFERROR(VLOOKUP(D342,teamlookup,5,FALSE),"")</f>
        <v>C&amp;N</v>
      </c>
      <c r="G342" s="291"/>
      <c r="H342" s="297"/>
      <c r="I342" s="298">
        <v>2</v>
      </c>
      <c r="J342" s="298">
        <f t="shared" ref="J342:J348" ca="1" si="87">IFERROR(D342*11,"")</f>
        <v>11</v>
      </c>
      <c r="K342" s="286" t="str">
        <f ca="1">IFERROR(VLOOKUP($A338&amp;J342,downloads!$A$1:$E$1000,2,FALSE),"")</f>
        <v/>
      </c>
      <c r="L342" s="286" t="str">
        <f t="shared" ca="1" si="85"/>
        <v>C&amp;N</v>
      </c>
      <c r="O342" s="299"/>
      <c r="Q342" s="307" t="str">
        <f ca="1">IFERROR(VLOOKUP($A338&amp;D342,competitors,4,FALSE),"")</f>
        <v/>
      </c>
      <c r="R342" s="307" t="str">
        <f ca="1">IFERROR(VLOOKUP($A338&amp;J342,competitors,4,FALSE),"")</f>
        <v/>
      </c>
    </row>
    <row r="343" spans="1:18" ht="15" customHeight="1" x14ac:dyDescent="0.35">
      <c r="A343" s="105">
        <f ca="1">IFERROR(VLOOKUP(A338,standards,3,FALSE)+0.01,"-")</f>
        <v>1.4050925925925925E-2</v>
      </c>
      <c r="B343" s="105"/>
      <c r="C343" s="298">
        <v>3</v>
      </c>
      <c r="D343" s="298">
        <f ca="1">IFERROR(IF(C343&gt;MatchDay!$U$2+MatchDay!$D$6-1,"",VLOOKUP(A338,Timetables!$A:$EB,MatchDay!$U$4+C343-MatchDay!$D$6,FALSE)),"")</f>
        <v>5</v>
      </c>
      <c r="E343" s="286" t="str">
        <f ca="1">IFERROR(VLOOKUP($A338&amp;D343,downloads!$A$1:$E$1000,2,FALSE),"")</f>
        <v/>
      </c>
      <c r="F343" s="286" t="str">
        <f t="shared" ca="1" si="86"/>
        <v>Menai</v>
      </c>
      <c r="G343" s="291"/>
      <c r="H343" s="297"/>
      <c r="I343" s="298">
        <v>3</v>
      </c>
      <c r="J343" s="298">
        <f t="shared" ca="1" si="87"/>
        <v>55</v>
      </c>
      <c r="K343" s="286" t="str">
        <f ca="1">IFERROR(VLOOKUP($A338&amp;J343,downloads!$A$1:$E$1000,2,FALSE),"")</f>
        <v/>
      </c>
      <c r="L343" s="286" t="str">
        <f t="shared" ca="1" si="85"/>
        <v>Menai</v>
      </c>
      <c r="O343" s="299"/>
      <c r="Q343" s="307" t="str">
        <f ca="1">IFERROR(VLOOKUP($A338&amp;D343,competitors,4,FALSE),"")</f>
        <v/>
      </c>
      <c r="R343" s="307" t="str">
        <f ca="1">IFERROR(VLOOKUP($A338&amp;J343,competitors,4,FALSE),"")</f>
        <v/>
      </c>
    </row>
    <row r="344" spans="1:18" ht="15" customHeight="1" x14ac:dyDescent="0.35">
      <c r="A344" s="105">
        <f ca="1">IFERROR(VLOOKUP(A338,standards,4,FALSE)+0.01,"-")</f>
        <v>1.3935185185185186E-2</v>
      </c>
      <c r="B344" s="105"/>
      <c r="C344" s="298">
        <v>4</v>
      </c>
      <c r="D344" s="298">
        <f ca="1">IFERROR(IF(C344&gt;MatchDay!$U$2+MatchDay!$D$6-1,"",VLOOKUP(A338,Timetables!$A:$EB,MatchDay!$U$4+C344-MatchDay!$D$6,FALSE)),"")</f>
        <v>7</v>
      </c>
      <c r="E344" s="286" t="str">
        <f ca="1">IFERROR(VLOOKUP($A338&amp;D344,downloads!$A$1:$E$1000,2,FALSE),"")</f>
        <v>Lucy ORRELL</v>
      </c>
      <c r="F344" s="286" t="str">
        <f t="shared" ca="1" si="86"/>
        <v>Wigan</v>
      </c>
      <c r="G344" s="291"/>
      <c r="H344" s="297"/>
      <c r="I344" s="298">
        <v>4</v>
      </c>
      <c r="J344" s="298">
        <f t="shared" ca="1" si="87"/>
        <v>77</v>
      </c>
      <c r="K344" s="286" t="str">
        <f ca="1">IFERROR(VLOOKUP($A338&amp;J344,downloads!$A$1:$E$1000,2,FALSE),"")</f>
        <v>Holly NICHOLLS</v>
      </c>
      <c r="L344" s="286" t="str">
        <f t="shared" ca="1" si="85"/>
        <v>Wigan</v>
      </c>
      <c r="O344" s="299"/>
      <c r="Q344" s="307">
        <f ca="1">IFERROR(VLOOKUP($A338&amp;D344,competitors,4,FALSE),"")</f>
        <v>1</v>
      </c>
      <c r="R344" s="307">
        <f ca="1">IFERROR(VLOOKUP($A338&amp;J344,competitors,4,FALSE),"")</f>
        <v>0</v>
      </c>
    </row>
    <row r="345" spans="1:18" ht="15" customHeight="1" x14ac:dyDescent="0.35">
      <c r="A345" s="105">
        <f ca="1">IFERROR(VLOOKUP(A338,standards,5,FALSE)+0.01,"-")</f>
        <v>1.3819444444444445E-2</v>
      </c>
      <c r="B345" s="105"/>
      <c r="C345" s="298">
        <v>5</v>
      </c>
      <c r="D345" s="298">
        <f ca="1">IFERROR(IF(C345&gt;MatchDay!$U$2+MatchDay!$D$6-1,"",VLOOKUP(A338,Timetables!$A:$EB,MatchDay!$U$4+C345-MatchDay!$D$6,FALSE)),"")</f>
        <v>3</v>
      </c>
      <c r="E345" s="286" t="str">
        <f ca="1">IFERROR(VLOOKUP($A338&amp;D345,downloads!$A$1:$E$1000,2,FALSE),"")</f>
        <v>Jessica HODGKINSON</v>
      </c>
      <c r="F345" s="286" t="str">
        <f t="shared" ca="1" si="86"/>
        <v>Leigh</v>
      </c>
      <c r="G345" s="291"/>
      <c r="H345" s="297"/>
      <c r="I345" s="298">
        <v>5</v>
      </c>
      <c r="J345" s="298">
        <f t="shared" ca="1" si="87"/>
        <v>33</v>
      </c>
      <c r="K345" s="286" t="str">
        <f ca="1">IFERROR(VLOOKUP($A338&amp;J345,downloads!$A$1:$E$1000,2,FALSE),"")</f>
        <v/>
      </c>
      <c r="L345" s="286" t="str">
        <f t="shared" ca="1" si="85"/>
        <v>Leigh</v>
      </c>
      <c r="O345" s="299"/>
      <c r="Q345" s="307">
        <f ca="1">IFERROR(VLOOKUP($A338&amp;D345,competitors,4,FALSE),"")</f>
        <v>1</v>
      </c>
      <c r="R345" s="307" t="str">
        <f ca="1">IFERROR(VLOOKUP($A338&amp;J345,competitors,4,FALSE),"")</f>
        <v/>
      </c>
    </row>
    <row r="346" spans="1:18" ht="15" customHeight="1" x14ac:dyDescent="0.35">
      <c r="A346" s="105">
        <f ca="1">IFERROR(VLOOKUP(A338,standards,6,FALSE)+0.01,"-")</f>
        <v>1.3703703703703704E-2</v>
      </c>
      <c r="B346" s="105"/>
      <c r="C346" s="298">
        <v>6</v>
      </c>
      <c r="D346" s="298">
        <f ca="1">IFERROR(IF(C346&gt;MatchDay!$U$2+MatchDay!$D$6-1,"",VLOOKUP(A338,Timetables!$A:$EB,MatchDay!$U$4+C346-MatchDay!$D$6,FALSE)),"")</f>
        <v>6</v>
      </c>
      <c r="E346" s="286" t="str">
        <f ca="1">IFERROR(VLOOKUP($A338&amp;D346,downloads!$A$1:$E$1000,2,FALSE),"")</f>
        <v>Charlotte UNDERWOOD</v>
      </c>
      <c r="F346" s="286" t="str">
        <f t="shared" ca="1" si="86"/>
        <v>Stock</v>
      </c>
      <c r="G346" s="291"/>
      <c r="H346" s="297"/>
      <c r="I346" s="298">
        <v>6</v>
      </c>
      <c r="J346" s="298">
        <f t="shared" ca="1" si="87"/>
        <v>66</v>
      </c>
      <c r="K346" s="286" t="str">
        <f ca="1">IFERROR(VLOOKUP($A338&amp;J346,downloads!$A$1:$E$1000,2,FALSE),"")</f>
        <v>Poppy BRANCH</v>
      </c>
      <c r="L346" s="286" t="str">
        <f t="shared" ca="1" si="85"/>
        <v>Stock</v>
      </c>
      <c r="O346" s="299"/>
      <c r="Q346" s="307">
        <f ca="1">IFERROR(VLOOKUP($A338&amp;D346,competitors,4,FALSE),"")</f>
        <v>1</v>
      </c>
      <c r="R346" s="307">
        <f ca="1">IFERROR(VLOOKUP($A338&amp;J346,competitors,4,FALSE),"")</f>
        <v>1</v>
      </c>
    </row>
    <row r="347" spans="1:18" ht="15" customHeight="1" x14ac:dyDescent="0.35">
      <c r="A347" s="300">
        <f ca="1">IFERROR(SEARCH("Girls",C338),0)</f>
        <v>11</v>
      </c>
      <c r="C347" s="298">
        <v>7</v>
      </c>
      <c r="D347" s="298">
        <f ca="1">IFERROR(IF(C347&gt;MatchDay!$U$2+MatchDay!$D$6-1,"",VLOOKUP(A338,Timetables!$A:$EB,MatchDay!$U$4+C347-MatchDay!$D$6,FALSE)),"")</f>
        <v>2</v>
      </c>
      <c r="E347" s="286" t="str">
        <f ca="1">IFERROR(VLOOKUP($A338&amp;D347,downloads!$A$1:$E$1000,2,FALSE),"")</f>
        <v>Ava ROYLE</v>
      </c>
      <c r="F347" s="286" t="str">
        <f t="shared" ca="1" si="86"/>
        <v>ECHT</v>
      </c>
      <c r="G347" s="291"/>
      <c r="H347" s="297"/>
      <c r="I347" s="298">
        <v>7</v>
      </c>
      <c r="J347" s="298">
        <f t="shared" ca="1" si="87"/>
        <v>22</v>
      </c>
      <c r="K347" s="286" t="str">
        <f ca="1">IFERROR(VLOOKUP($A338&amp;J347,downloads!$A$1:$E$1000,2,FALSE),"")</f>
        <v>Sophia GUSH</v>
      </c>
      <c r="L347" s="286" t="str">
        <f t="shared" ca="1" si="85"/>
        <v>ECHT</v>
      </c>
      <c r="O347" s="299"/>
      <c r="Q347" s="307">
        <f ca="1">IFERROR(VLOOKUP($A338&amp;D347,competitors,4,FALSE),"")</f>
        <v>1</v>
      </c>
      <c r="R347" s="307">
        <f ca="1">IFERROR(VLOOKUP($A338&amp;J347,competitors,4,FALSE),"")</f>
        <v>1</v>
      </c>
    </row>
    <row r="348" spans="1:18" ht="15" customHeight="1" x14ac:dyDescent="0.35">
      <c r="A348" s="103">
        <f ca="1">IFERROR(VLOOKUP(A338,records,5,FALSE),"")</f>
        <v>3.1932870370370374E-3</v>
      </c>
      <c r="B348" s="103"/>
      <c r="C348" s="298">
        <v>8</v>
      </c>
      <c r="D348" s="298" t="str">
        <f>IFERROR(IF(C348&gt;MatchDay!$U$2+MatchDay!$D$6-1,"",VLOOKUP(A338,Timetables!$A:$EB,MatchDay!$U$4+C348-MatchDay!$D$6,FALSE)),"")</f>
        <v/>
      </c>
      <c r="E348" s="286" t="str">
        <f ca="1">IFERROR(VLOOKUP($A338&amp;D348,downloads!$A$1:$E$1000,2,FALSE),"")</f>
        <v/>
      </c>
      <c r="F348" s="286" t="str">
        <f t="shared" si="86"/>
        <v/>
      </c>
      <c r="G348" s="291"/>
      <c r="H348" s="297"/>
      <c r="I348" s="298">
        <v>8</v>
      </c>
      <c r="J348" s="298" t="str">
        <f t="shared" si="87"/>
        <v/>
      </c>
      <c r="K348" s="286" t="str">
        <f ca="1">IFERROR(VLOOKUP($A338&amp;J348,downloads!$A$1:$E$1000,2,FALSE),"")</f>
        <v/>
      </c>
      <c r="L348" s="286" t="str">
        <f t="shared" si="85"/>
        <v/>
      </c>
      <c r="O348" s="299"/>
      <c r="Q348" s="307" t="str">
        <f ca="1">IFERROR(VLOOKUP($A338&amp;D348,competitors,4,FALSE),"")</f>
        <v/>
      </c>
      <c r="R348" s="307" t="str">
        <f ca="1">IFERROR(VLOOKUP($A338&amp;J348,competitors,4,FALSE),"")</f>
        <v/>
      </c>
    </row>
    <row r="349" spans="1:18" ht="15" customHeight="1" x14ac:dyDescent="0.35">
      <c r="Q349" s="307"/>
      <c r="R349" s="307"/>
    </row>
    <row r="350" spans="1:18" ht="15" customHeight="1" x14ac:dyDescent="0.35">
      <c r="A350" s="98" t="str">
        <f ca="1">IFERROR(INDIRECT(CONCATENATE("'Timetables'!A"&amp;A354)),"")</f>
        <v>LTD04</v>
      </c>
      <c r="B350" s="304" t="str">
        <f ca="1">IFERROR(TEXT(VLOOKUP(A350,timetables,7-MatchDay!$U$7,FALSE),"hh:mm"),"")</f>
        <v>15:55</v>
      </c>
      <c r="C350" s="292" t="str">
        <f ca="1">IFERROR(VLOOKUP(A350,timetables,2,FALSE)&amp;" "&amp;VLOOKUP(A350,timetables,3,FALSE)&amp;" A","")</f>
        <v>1500m U15 Boys A</v>
      </c>
      <c r="D350" s="292"/>
      <c r="F350" s="293"/>
      <c r="G350" s="294"/>
      <c r="L350" s="360"/>
      <c r="M350" s="301"/>
      <c r="N350" s="286"/>
      <c r="Q350" s="307"/>
      <c r="R350" s="307"/>
    </row>
    <row r="351" spans="1:18" ht="15" customHeight="1" x14ac:dyDescent="0.35">
      <c r="A351" s="98"/>
      <c r="B351" s="98"/>
      <c r="C351" s="295" t="str">
        <f ca="1">IFERROR("Rec: "&amp;VLOOKUP(A350,records,4,FALSE),"")</f>
        <v>Rec: 04:07.01 Matthew Clark, Preston Harriers, 2022</v>
      </c>
      <c r="D351" s="292"/>
      <c r="F351" s="293"/>
      <c r="G351" s="294"/>
      <c r="I351" s="295"/>
      <c r="L351" s="360"/>
      <c r="M351" s="301"/>
      <c r="N351" s="286"/>
      <c r="Q351" s="307"/>
      <c r="R351" s="307"/>
    </row>
    <row r="352" spans="1:18" ht="15" customHeight="1" x14ac:dyDescent="0.35">
      <c r="A352" s="82" t="str">
        <f ca="1">MID(A350,2,3)</f>
        <v>TD0</v>
      </c>
      <c r="B352" s="82"/>
      <c r="C352" s="304" t="s">
        <v>542</v>
      </c>
      <c r="D352" s="304" t="s">
        <v>141</v>
      </c>
      <c r="E352" s="286" t="s">
        <v>174</v>
      </c>
      <c r="F352" s="286" t="s">
        <v>175</v>
      </c>
      <c r="G352" s="291"/>
      <c r="I352" s="304" t="s">
        <v>542</v>
      </c>
      <c r="J352" s="304" t="s">
        <v>141</v>
      </c>
      <c r="K352" s="286" t="s">
        <v>174</v>
      </c>
      <c r="L352" s="286" t="s">
        <v>175</v>
      </c>
      <c r="O352" s="299"/>
      <c r="Q352" s="307"/>
      <c r="R352" s="307"/>
    </row>
    <row r="353" spans="1:18" ht="15" customHeight="1" x14ac:dyDescent="0.35">
      <c r="A353" s="138"/>
      <c r="B353" s="103"/>
      <c r="C353" s="298">
        <v>1</v>
      </c>
      <c r="D353" s="298">
        <f ca="1">IFERROR(IF(C353&gt;MatchDay!$U$2,"",IF(MatchDay!$D$6=2,"",VLOOKUP(A350,Timetables!$A:$EB,MatchDay!$U$4+C353-MatchDay!$D$6,FALSE))),"")</f>
        <v>4</v>
      </c>
      <c r="E353" s="286" t="str">
        <f ca="1">IFERROR(VLOOKUP($A350&amp;D353,downloads!$A$1:$E$1000,2,FALSE),"")</f>
        <v>Bobby TOMLINSON</v>
      </c>
      <c r="F353" s="286" t="str">
        <f ca="1">IFERROR(VLOOKUP(D353,teamlookup,5,FALSE),"")</f>
        <v>Macc</v>
      </c>
      <c r="G353" s="291"/>
      <c r="H353" s="297"/>
      <c r="I353" s="298">
        <v>1</v>
      </c>
      <c r="J353" s="298">
        <f ca="1">IFERROR(D353*11,"")</f>
        <v>44</v>
      </c>
      <c r="K353" s="286" t="str">
        <f ca="1">IFERROR(VLOOKUP($A350&amp;J353,downloads!$A$1:$E$1000,2,FALSE),"")</f>
        <v>George O'DONNELL</v>
      </c>
      <c r="L353" s="286" t="str">
        <f t="shared" ref="L353:L360" ca="1" si="88">IFERROR(VLOOKUP(J353,teamlookup,5,FALSE),"")</f>
        <v>Macc</v>
      </c>
      <c r="O353" s="299"/>
      <c r="Q353" s="307">
        <f ca="1">IFERROR(VLOOKUP($A338&amp;D353,competitors,4,FALSE),"")</f>
        <v>1</v>
      </c>
      <c r="R353" s="307" t="str">
        <f ca="1">IFERROR(VLOOKUP($A338&amp;J353,competitors,4,FALSE),"")</f>
        <v/>
      </c>
    </row>
    <row r="354" spans="1:18" ht="15" customHeight="1" x14ac:dyDescent="0.35">
      <c r="A354" s="304">
        <f>A342+1</f>
        <v>32</v>
      </c>
      <c r="C354" s="298">
        <v>2</v>
      </c>
      <c r="D354" s="298">
        <f ca="1">IFERROR(IF(C354&gt;MatchDay!$U$2+MatchDay!$D$6-1,"",VLOOKUP(A350,Timetables!$A:$EB,MatchDay!$U$4+C354-MatchDay!$D$6,FALSE)),"")</f>
        <v>1</v>
      </c>
      <c r="E354" s="286" t="str">
        <f ca="1">IFERROR(VLOOKUP($A350&amp;D354,downloads!$A$1:$E$1000,2,FALSE),"")</f>
        <v/>
      </c>
      <c r="F354" s="286" t="str">
        <f t="shared" ref="F354:F360" ca="1" si="89">IFERROR(VLOOKUP(D354,teamlookup,5,FALSE),"")</f>
        <v>C&amp;N</v>
      </c>
      <c r="G354" s="291"/>
      <c r="H354" s="297"/>
      <c r="I354" s="298">
        <v>2</v>
      </c>
      <c r="J354" s="298">
        <f t="shared" ref="J354:J360" ca="1" si="90">IFERROR(D354*11,"")</f>
        <v>11</v>
      </c>
      <c r="K354" s="286" t="str">
        <f ca="1">IFERROR(VLOOKUP($A350&amp;J354,downloads!$A$1:$E$1000,2,FALSE),"")</f>
        <v/>
      </c>
      <c r="L354" s="286" t="str">
        <f t="shared" ca="1" si="88"/>
        <v>C&amp;N</v>
      </c>
      <c r="O354" s="299"/>
      <c r="Q354" s="307" t="str">
        <f ca="1">IFERROR(VLOOKUP($A338&amp;D354,competitors,4,FALSE),"")</f>
        <v/>
      </c>
      <c r="R354" s="307" t="str">
        <f ca="1">IFERROR(VLOOKUP($A338&amp;J354,competitors,4,FALSE),"")</f>
        <v/>
      </c>
    </row>
    <row r="355" spans="1:18" ht="15" customHeight="1" x14ac:dyDescent="0.35">
      <c r="A355" s="105">
        <f ca="1">IFERROR(VLOOKUP(A350,standards,3,FALSE)+0.01,"-")</f>
        <v>1.3819444444444445E-2</v>
      </c>
      <c r="B355" s="105"/>
      <c r="C355" s="298">
        <v>3</v>
      </c>
      <c r="D355" s="298">
        <f ca="1">IFERROR(IF(C355&gt;MatchDay!$U$2+MatchDay!$D$6-1,"",VLOOKUP(A350,Timetables!$A:$EB,MatchDay!$U$4+C355-MatchDay!$D$6,FALSE)),"")</f>
        <v>5</v>
      </c>
      <c r="E355" s="286" t="str">
        <f ca="1">IFERROR(VLOOKUP($A350&amp;D355,downloads!$A$1:$E$1000,2,FALSE),"")</f>
        <v>Alex BAYNHAM</v>
      </c>
      <c r="F355" s="286" t="str">
        <f t="shared" ca="1" si="89"/>
        <v>Menai</v>
      </c>
      <c r="G355" s="291"/>
      <c r="H355" s="297"/>
      <c r="I355" s="298">
        <v>3</v>
      </c>
      <c r="J355" s="298">
        <f t="shared" ca="1" si="90"/>
        <v>55</v>
      </c>
      <c r="K355" s="286" t="str">
        <f ca="1">IFERROR(VLOOKUP($A350&amp;J355,downloads!$A$1:$E$1000,2,FALSE),"")</f>
        <v/>
      </c>
      <c r="L355" s="286" t="str">
        <f t="shared" ca="1" si="88"/>
        <v>Menai</v>
      </c>
      <c r="O355" s="299"/>
      <c r="Q355" s="307" t="str">
        <f ca="1">IFERROR(VLOOKUP($A338&amp;D355,competitors,4,FALSE),"")</f>
        <v/>
      </c>
      <c r="R355" s="307" t="str">
        <f ca="1">IFERROR(VLOOKUP($A338&amp;J355,competitors,4,FALSE),"")</f>
        <v/>
      </c>
    </row>
    <row r="356" spans="1:18" ht="15" customHeight="1" x14ac:dyDescent="0.35">
      <c r="A356" s="105">
        <f ca="1">IFERROR(VLOOKUP(A350,standards,4,FALSE)+0.01,"-")</f>
        <v>1.3703703703703704E-2</v>
      </c>
      <c r="B356" s="105"/>
      <c r="C356" s="298">
        <v>4</v>
      </c>
      <c r="D356" s="298">
        <f ca="1">IFERROR(IF(C356&gt;MatchDay!$U$2+MatchDay!$D$6-1,"",VLOOKUP(A350,Timetables!$A:$EB,MatchDay!$U$4+C356-MatchDay!$D$6,FALSE)),"")</f>
        <v>7</v>
      </c>
      <c r="E356" s="286" t="str">
        <f ca="1">IFERROR(VLOOKUP($A350&amp;D356,downloads!$A$1:$E$1000,2,FALSE),"")</f>
        <v/>
      </c>
      <c r="F356" s="286" t="str">
        <f t="shared" ca="1" si="89"/>
        <v>Wigan</v>
      </c>
      <c r="G356" s="291"/>
      <c r="H356" s="297"/>
      <c r="I356" s="298">
        <v>4</v>
      </c>
      <c r="J356" s="298">
        <f t="shared" ca="1" si="90"/>
        <v>77</v>
      </c>
      <c r="K356" s="286" t="str">
        <f ca="1">IFERROR(VLOOKUP($A350&amp;J356,downloads!$A$1:$E$1000,2,FALSE),"")</f>
        <v/>
      </c>
      <c r="L356" s="286" t="str">
        <f t="shared" ca="1" si="88"/>
        <v>Wigan</v>
      </c>
      <c r="O356" s="299"/>
      <c r="Q356" s="307">
        <f ca="1">IFERROR(VLOOKUP($A338&amp;D356,competitors,4,FALSE),"")</f>
        <v>1</v>
      </c>
      <c r="R356" s="307">
        <f ca="1">IFERROR(VLOOKUP($A338&amp;J356,competitors,4,FALSE),"")</f>
        <v>0</v>
      </c>
    </row>
    <row r="357" spans="1:18" ht="15" customHeight="1" x14ac:dyDescent="0.35">
      <c r="A357" s="105">
        <f ca="1">IFERROR(VLOOKUP(A350,standards,5,FALSE)+0.01,"-")</f>
        <v>1.3587962962962963E-2</v>
      </c>
      <c r="B357" s="105"/>
      <c r="C357" s="298">
        <v>5</v>
      </c>
      <c r="D357" s="298">
        <f ca="1">IFERROR(IF(C357&gt;MatchDay!$U$2+MatchDay!$D$6-1,"",VLOOKUP(A350,Timetables!$A:$EB,MatchDay!$U$4+C357-MatchDay!$D$6,FALSE)),"")</f>
        <v>3</v>
      </c>
      <c r="E357" s="286" t="str">
        <f ca="1">IFERROR(VLOOKUP($A350&amp;D357,downloads!$A$1:$E$1000,2,FALSE),"")</f>
        <v>Lucas GREGORY</v>
      </c>
      <c r="F357" s="286" t="str">
        <f t="shared" ca="1" si="89"/>
        <v>Leigh</v>
      </c>
      <c r="G357" s="291"/>
      <c r="H357" s="297"/>
      <c r="I357" s="298">
        <v>5</v>
      </c>
      <c r="J357" s="298">
        <f t="shared" ca="1" si="90"/>
        <v>33</v>
      </c>
      <c r="K357" s="286" t="str">
        <f ca="1">IFERROR(VLOOKUP($A350&amp;J357,downloads!$A$1:$E$1000,2,FALSE),"")</f>
        <v>William GUY</v>
      </c>
      <c r="L357" s="286" t="str">
        <f t="shared" ca="1" si="88"/>
        <v>Leigh</v>
      </c>
      <c r="O357" s="299"/>
      <c r="Q357" s="307">
        <f ca="1">IFERROR(VLOOKUP($A338&amp;D357,competitors,4,FALSE),"")</f>
        <v>1</v>
      </c>
      <c r="R357" s="307" t="str">
        <f ca="1">IFERROR(VLOOKUP($A338&amp;J357,competitors,4,FALSE),"")</f>
        <v/>
      </c>
    </row>
    <row r="358" spans="1:18" ht="15" customHeight="1" x14ac:dyDescent="0.35">
      <c r="A358" s="105">
        <f ca="1">IFERROR(VLOOKUP(A350,standards,6,FALSE)+0.01,"-")</f>
        <v>1.3472222222222222E-2</v>
      </c>
      <c r="B358" s="105"/>
      <c r="C358" s="298">
        <v>6</v>
      </c>
      <c r="D358" s="298">
        <f ca="1">IFERROR(IF(C358&gt;MatchDay!$U$2+MatchDay!$D$6-1,"",VLOOKUP(A350,Timetables!$A:$EB,MatchDay!$U$4+C358-MatchDay!$D$6,FALSE)),"")</f>
        <v>6</v>
      </c>
      <c r="E358" s="286" t="str">
        <f ca="1">IFERROR(VLOOKUP($A350&amp;D358,downloads!$A$1:$E$1000,2,FALSE),"")</f>
        <v>Will WALTON</v>
      </c>
      <c r="F358" s="286" t="str">
        <f t="shared" ca="1" si="89"/>
        <v>Stock</v>
      </c>
      <c r="G358" s="291"/>
      <c r="H358" s="297"/>
      <c r="I358" s="298">
        <v>6</v>
      </c>
      <c r="J358" s="298">
        <f t="shared" ca="1" si="90"/>
        <v>66</v>
      </c>
      <c r="K358" s="286" t="str">
        <f ca="1">IFERROR(VLOOKUP($A350&amp;J358,downloads!$A$1:$E$1000,2,FALSE),"")</f>
        <v/>
      </c>
      <c r="L358" s="286" t="str">
        <f t="shared" ca="1" si="88"/>
        <v>Stock</v>
      </c>
      <c r="O358" s="299"/>
      <c r="Q358" s="307">
        <f ca="1">IFERROR(VLOOKUP($A338&amp;D358,competitors,4,FALSE),"")</f>
        <v>1</v>
      </c>
      <c r="R358" s="307">
        <f ca="1">IFERROR(VLOOKUP($A338&amp;J358,competitors,4,FALSE),"")</f>
        <v>1</v>
      </c>
    </row>
    <row r="359" spans="1:18" ht="15" customHeight="1" x14ac:dyDescent="0.35">
      <c r="A359" s="300">
        <f ca="1">IFERROR(SEARCH("Girls",C350),0)</f>
        <v>0</v>
      </c>
      <c r="C359" s="298">
        <v>7</v>
      </c>
      <c r="D359" s="298">
        <f ca="1">IFERROR(IF(C359&gt;MatchDay!$U$2+MatchDay!$D$6-1,"",VLOOKUP(A350,Timetables!$A:$EB,MatchDay!$U$4+C359-MatchDay!$D$6,FALSE)),"")</f>
        <v>2</v>
      </c>
      <c r="E359" s="286" t="str">
        <f ca="1">IFERROR(VLOOKUP($A350&amp;D359,downloads!$A$1:$E$1000,2,FALSE),"")</f>
        <v>Marshall FLEET</v>
      </c>
      <c r="F359" s="286" t="str">
        <f t="shared" ca="1" si="89"/>
        <v>ECHT</v>
      </c>
      <c r="G359" s="291"/>
      <c r="H359" s="297"/>
      <c r="I359" s="298">
        <v>7</v>
      </c>
      <c r="J359" s="298">
        <f t="shared" ca="1" si="90"/>
        <v>22</v>
      </c>
      <c r="K359" s="286" t="str">
        <f ca="1">IFERROR(VLOOKUP($A350&amp;J359,downloads!$A$1:$E$1000,2,FALSE),"")</f>
        <v>Oliver WALKER</v>
      </c>
      <c r="L359" s="286" t="str">
        <f t="shared" ca="1" si="88"/>
        <v>ECHT</v>
      </c>
      <c r="O359" s="299"/>
      <c r="Q359" s="307">
        <f ca="1">IFERROR(VLOOKUP($A338&amp;D359,competitors,4,FALSE),"")</f>
        <v>1</v>
      </c>
      <c r="R359" s="307">
        <f ca="1">IFERROR(VLOOKUP($A338&amp;J359,competitors,4,FALSE),"")</f>
        <v>1</v>
      </c>
    </row>
    <row r="360" spans="1:18" ht="15" customHeight="1" x14ac:dyDescent="0.35">
      <c r="A360" s="103">
        <f ca="1">IFERROR(VLOOKUP(A350,records,5,FALSE),"")</f>
        <v>2.858912037037037E-3</v>
      </c>
      <c r="B360" s="103"/>
      <c r="C360" s="298">
        <v>8</v>
      </c>
      <c r="D360" s="298" t="str">
        <f>IFERROR(IF(C360&gt;MatchDay!$U$2+MatchDay!$D$6-1,"",VLOOKUP(A350,Timetables!$A:$EB,MatchDay!$U$4+C360-MatchDay!$D$6,FALSE)),"")</f>
        <v/>
      </c>
      <c r="E360" s="286" t="str">
        <f ca="1">IFERROR(VLOOKUP($A350&amp;D360,downloads!$A$1:$E$1000,2,FALSE),"")</f>
        <v/>
      </c>
      <c r="F360" s="286" t="str">
        <f t="shared" si="89"/>
        <v/>
      </c>
      <c r="G360" s="291"/>
      <c r="H360" s="297"/>
      <c r="I360" s="298">
        <v>8</v>
      </c>
      <c r="J360" s="298" t="str">
        <f t="shared" si="90"/>
        <v/>
      </c>
      <c r="K360" s="286" t="str">
        <f ca="1">IFERROR(VLOOKUP($A350&amp;J360,downloads!$A$1:$E$1000,2,FALSE),"")</f>
        <v/>
      </c>
      <c r="L360" s="286" t="str">
        <f t="shared" si="88"/>
        <v/>
      </c>
      <c r="O360" s="299"/>
      <c r="Q360" s="307" t="str">
        <f ca="1">IFERROR(VLOOKUP($A338&amp;D360,competitors,4,FALSE),"")</f>
        <v/>
      </c>
      <c r="R360" s="307" t="str">
        <f ca="1">IFERROR(VLOOKUP($A338&amp;J360,competitors,4,FALSE),"")</f>
        <v/>
      </c>
    </row>
    <row r="361" spans="1:18" ht="15" customHeight="1" x14ac:dyDescent="0.35">
      <c r="Q361" s="307"/>
      <c r="R361" s="307"/>
    </row>
    <row r="362" spans="1:18" ht="15" customHeight="1" x14ac:dyDescent="0.35">
      <c r="A362" s="98" t="str">
        <f ca="1">IFERROR(INDIRECT(CONCATENATE("'Timetables'!A"&amp;A366)),"")</f>
        <v>LFD01</v>
      </c>
      <c r="B362" s="304" t="str">
        <f ca="1">IFERROR(TEXT(VLOOKUP(A362,timetables,7-MatchDay!$U$7,FALSE),"hh:mm"),"")</f>
        <v>11:15</v>
      </c>
      <c r="C362" s="292" t="str">
        <f ca="1">IFERROR(VLOOKUP(A362,timetables,2,FALSE)&amp;" "&amp;VLOOKUP(A362,timetables,3,FALSE)&amp;" A","")</f>
        <v>Hammer U15 Boys A</v>
      </c>
      <c r="D362" s="292"/>
      <c r="F362" s="293"/>
      <c r="G362" s="294"/>
      <c r="L362" s="360"/>
      <c r="M362" s="296"/>
      <c r="N362" s="286"/>
      <c r="Q362" s="307"/>
      <c r="R362" s="307"/>
    </row>
    <row r="363" spans="1:18" ht="15" customHeight="1" x14ac:dyDescent="0.35">
      <c r="A363" s="98"/>
      <c r="B363" s="98"/>
      <c r="C363" s="295" t="str">
        <f ca="1">IFERROR("Rec: "&amp;VLOOKUP(A362,records,4,FALSE),"")</f>
        <v>Rec: 59.79 Jake Norris, Windsor Slough Eton &amp; Hounslow, 2013</v>
      </c>
      <c r="D363" s="292"/>
      <c r="F363" s="293"/>
      <c r="G363" s="294"/>
      <c r="I363" s="295"/>
      <c r="L363" s="360"/>
      <c r="M363" s="296"/>
      <c r="N363" s="286"/>
      <c r="Q363" s="307"/>
      <c r="R363" s="307"/>
    </row>
    <row r="364" spans="1:18" ht="15" customHeight="1" x14ac:dyDescent="0.35">
      <c r="A364" s="82" t="str">
        <f ca="1">MID(A362,2,3)</f>
        <v>FD0</v>
      </c>
      <c r="B364" s="82"/>
      <c r="C364" s="304" t="s">
        <v>122</v>
      </c>
      <c r="D364" s="304" t="s">
        <v>141</v>
      </c>
      <c r="E364" s="286" t="s">
        <v>174</v>
      </c>
      <c r="F364" s="286" t="s">
        <v>175</v>
      </c>
      <c r="G364" s="291"/>
      <c r="I364" s="304" t="s">
        <v>122</v>
      </c>
      <c r="J364" s="304" t="s">
        <v>141</v>
      </c>
      <c r="K364" s="286" t="s">
        <v>174</v>
      </c>
      <c r="L364" s="286" t="s">
        <v>175</v>
      </c>
      <c r="O364" s="299"/>
      <c r="Q364" s="307"/>
      <c r="R364" s="307"/>
    </row>
    <row r="365" spans="1:18" ht="15" customHeight="1" x14ac:dyDescent="0.35">
      <c r="A365" s="138"/>
      <c r="B365" s="103"/>
      <c r="C365" s="298">
        <v>1</v>
      </c>
      <c r="D365" s="298">
        <f ca="1">IFERROR(IF(C365&gt;MatchDay!$U$2,"",VLOOKUP($A362,timetables,MatchDay!$U$4+C365-1,FALSE)),0)</f>
        <v>5</v>
      </c>
      <c r="E365" s="286" t="str">
        <f ca="1">IFERROR(VLOOKUP($A362&amp;D365,downloads!$A$1:$E$1000,2,FALSE),"")</f>
        <v/>
      </c>
      <c r="F365" s="286" t="str">
        <f ca="1">IFERROR(VLOOKUP(D365,teamlookup,5,FALSE),"")</f>
        <v>Menai</v>
      </c>
      <c r="G365" s="291"/>
      <c r="H365" s="297"/>
      <c r="I365" s="298">
        <v>1</v>
      </c>
      <c r="J365" s="298">
        <f ca="1">IFERROR(D365*11,"")</f>
        <v>55</v>
      </c>
      <c r="K365" s="286" t="str">
        <f ca="1">IFERROR(VLOOKUP($A362&amp;J365,downloads!$A$1:$E$1000,2,FALSE),"")</f>
        <v/>
      </c>
      <c r="L365" s="286" t="str">
        <f t="shared" ref="L365:L372" ca="1" si="91">IFERROR(VLOOKUP(J365,teamlookup,5,FALSE),"")</f>
        <v>Menai</v>
      </c>
      <c r="O365" s="299"/>
      <c r="Q365" s="307" t="str">
        <f ca="1">IFERROR(VLOOKUP($A362&amp;D365,competitors,4,FALSE),"")</f>
        <v/>
      </c>
      <c r="R365" s="307" t="str">
        <f ca="1">IFERROR(VLOOKUP($A362&amp;J365,competitors,4,FALSE),"")</f>
        <v/>
      </c>
    </row>
    <row r="366" spans="1:18" ht="15" customHeight="1" x14ac:dyDescent="0.35">
      <c r="A366" s="304">
        <v>39</v>
      </c>
      <c r="C366" s="298">
        <v>2</v>
      </c>
      <c r="D366" s="298">
        <f ca="1">IFERROR(IF(C366&gt;MatchDay!$U$2,"",VLOOKUP($A362,timetables,MatchDay!$U$4+C366-1,FALSE)),0)</f>
        <v>7</v>
      </c>
      <c r="E366" s="286" t="str">
        <f ca="1">IFERROR(VLOOKUP($A362&amp;D366,downloads!$A$1:$E$1000,2,FALSE),"")</f>
        <v/>
      </c>
      <c r="F366" s="286" t="str">
        <f t="shared" ref="F366:F372" ca="1" si="92">IFERROR(VLOOKUP(D366,teamlookup,5,FALSE),"")</f>
        <v>Wigan</v>
      </c>
      <c r="G366" s="291"/>
      <c r="H366" s="297"/>
      <c r="I366" s="298">
        <v>2</v>
      </c>
      <c r="J366" s="298">
        <f t="shared" ref="J366:J372" ca="1" si="93">IFERROR(D366*11,"")</f>
        <v>77</v>
      </c>
      <c r="K366" s="286" t="str">
        <f ca="1">IFERROR(VLOOKUP($A362&amp;J366,downloads!$A$1:$E$1000,2,FALSE),"")</f>
        <v/>
      </c>
      <c r="L366" s="286" t="str">
        <f t="shared" ca="1" si="91"/>
        <v>Wigan</v>
      </c>
      <c r="O366" s="299"/>
      <c r="Q366" s="307" t="str">
        <f ca="1">IFERROR(VLOOKUP($A362&amp;D366,competitors,4,FALSE),"")</f>
        <v/>
      </c>
      <c r="R366" s="307" t="str">
        <f ca="1">IFERROR(VLOOKUP($A362&amp;J366,competitors,4,FALSE),"")</f>
        <v/>
      </c>
    </row>
    <row r="367" spans="1:18" ht="15" customHeight="1" x14ac:dyDescent="0.35">
      <c r="A367" s="105">
        <f ca="1">IFERROR(VLOOKUP(A362,standards,3,FALSE)+0.01,"-")</f>
        <v>18.010000000000002</v>
      </c>
      <c r="B367" s="105"/>
      <c r="C367" s="298">
        <v>3</v>
      </c>
      <c r="D367" s="298">
        <f ca="1">IFERROR(IF(C367&gt;MatchDay!$U$2,"",VLOOKUP($A362,timetables,MatchDay!$U$4+C367-1,FALSE)),0)</f>
        <v>6</v>
      </c>
      <c r="E367" s="286" t="str">
        <f ca="1">IFERROR(VLOOKUP($A362&amp;D367,downloads!$A$1:$E$1000,2,FALSE),"")</f>
        <v>Jacob HARWOOD-BRETNALL</v>
      </c>
      <c r="F367" s="286" t="str">
        <f t="shared" ca="1" si="92"/>
        <v>Stock</v>
      </c>
      <c r="G367" s="291"/>
      <c r="H367" s="297"/>
      <c r="I367" s="298">
        <v>3</v>
      </c>
      <c r="J367" s="298">
        <f t="shared" ca="1" si="93"/>
        <v>66</v>
      </c>
      <c r="K367" s="286" t="str">
        <f ca="1">IFERROR(VLOOKUP($A362&amp;J367,downloads!$A$1:$E$1000,2,FALSE),"")</f>
        <v/>
      </c>
      <c r="L367" s="286" t="str">
        <f t="shared" ca="1" si="91"/>
        <v>Stock</v>
      </c>
      <c r="O367" s="299"/>
      <c r="Q367" s="307">
        <f ca="1">IFERROR(VLOOKUP($A362&amp;D367,competitors,4,FALSE),"")</f>
        <v>1</v>
      </c>
      <c r="R367" s="307" t="str">
        <f ca="1">IFERROR(VLOOKUP($A362&amp;J367,competitors,4,FALSE),"")</f>
        <v/>
      </c>
    </row>
    <row r="368" spans="1:18" ht="15" customHeight="1" x14ac:dyDescent="0.35">
      <c r="A368" s="105">
        <f ca="1">IFERROR(VLOOKUP(A362,standards,4,FALSE)+0.01,"-")</f>
        <v>21.01</v>
      </c>
      <c r="B368" s="105"/>
      <c r="C368" s="298">
        <v>4</v>
      </c>
      <c r="D368" s="298">
        <f ca="1">IFERROR(IF(C368&gt;MatchDay!$U$2,"",VLOOKUP($A362,timetables,MatchDay!$U$4+C368-1,FALSE)),0)</f>
        <v>4</v>
      </c>
      <c r="E368" s="286" t="str">
        <f ca="1">IFERROR(VLOOKUP($A362&amp;D368,downloads!$A$1:$E$1000,2,FALSE),"")</f>
        <v/>
      </c>
      <c r="F368" s="286" t="str">
        <f t="shared" ca="1" si="92"/>
        <v>Macc</v>
      </c>
      <c r="G368" s="291"/>
      <c r="H368" s="297"/>
      <c r="I368" s="298">
        <v>4</v>
      </c>
      <c r="J368" s="298">
        <f t="shared" ca="1" si="93"/>
        <v>44</v>
      </c>
      <c r="K368" s="286" t="str">
        <f ca="1">IFERROR(VLOOKUP($A362&amp;J368,downloads!$A$1:$E$1000,2,FALSE),"")</f>
        <v/>
      </c>
      <c r="L368" s="286" t="str">
        <f t="shared" ca="1" si="91"/>
        <v>Macc</v>
      </c>
      <c r="O368" s="299"/>
      <c r="Q368" s="307" t="str">
        <f ca="1">IFERROR(VLOOKUP($A362&amp;D368,competitors,4,FALSE),"")</f>
        <v/>
      </c>
      <c r="R368" s="307" t="str">
        <f ca="1">IFERROR(VLOOKUP($A362&amp;J368,competitors,4,FALSE),"")</f>
        <v/>
      </c>
    </row>
    <row r="369" spans="1:18" ht="15" customHeight="1" x14ac:dyDescent="0.35">
      <c r="A369" s="105">
        <f ca="1">IFERROR(VLOOKUP(A362,standards,5,FALSE)+0.01,"-")</f>
        <v>24.01</v>
      </c>
      <c r="B369" s="105"/>
      <c r="C369" s="298">
        <v>5</v>
      </c>
      <c r="D369" s="298">
        <f ca="1">IFERROR(IF(C369&gt;MatchDay!$U$2,"",VLOOKUP($A362,timetables,MatchDay!$U$4+C369-1,FALSE)),0)</f>
        <v>2</v>
      </c>
      <c r="E369" s="286" t="str">
        <f ca="1">IFERROR(VLOOKUP($A362&amp;D369,downloads!$A$1:$E$1000,2,FALSE),"")</f>
        <v/>
      </c>
      <c r="F369" s="286" t="str">
        <f t="shared" ca="1" si="92"/>
        <v>ECHT</v>
      </c>
      <c r="G369" s="291"/>
      <c r="H369" s="297"/>
      <c r="I369" s="298">
        <v>5</v>
      </c>
      <c r="J369" s="298">
        <f t="shared" ca="1" si="93"/>
        <v>22</v>
      </c>
      <c r="K369" s="286" t="str">
        <f ca="1">IFERROR(VLOOKUP($A362&amp;J369,downloads!$A$1:$E$1000,2,FALSE),"")</f>
        <v/>
      </c>
      <c r="L369" s="286" t="str">
        <f t="shared" ca="1" si="91"/>
        <v>ECHT</v>
      </c>
      <c r="O369" s="299"/>
      <c r="Q369" s="307" t="str">
        <f ca="1">IFERROR(VLOOKUP($A362&amp;D369,competitors,4,FALSE),"")</f>
        <v/>
      </c>
      <c r="R369" s="307" t="str">
        <f ca="1">IFERROR(VLOOKUP($A362&amp;J369,competitors,4,FALSE),"")</f>
        <v/>
      </c>
    </row>
    <row r="370" spans="1:18" ht="15" customHeight="1" x14ac:dyDescent="0.35">
      <c r="A370" s="105">
        <f ca="1">IFERROR(VLOOKUP(A362,standards,6,FALSE)+0.01,"-")</f>
        <v>27.01</v>
      </c>
      <c r="B370" s="105"/>
      <c r="C370" s="298">
        <v>6</v>
      </c>
      <c r="D370" s="298">
        <f ca="1">IFERROR(IF(C370&gt;MatchDay!$U$2,"",VLOOKUP($A362,timetables,MatchDay!$U$4+C370-1,FALSE)),0)</f>
        <v>1</v>
      </c>
      <c r="E370" s="286" t="str">
        <f ca="1">IFERROR(VLOOKUP($A362&amp;D370,downloads!$A$1:$E$1000,2,FALSE),"")</f>
        <v/>
      </c>
      <c r="F370" s="286" t="str">
        <f t="shared" ca="1" si="92"/>
        <v>C&amp;N</v>
      </c>
      <c r="G370" s="291"/>
      <c r="H370" s="297"/>
      <c r="I370" s="298">
        <v>6</v>
      </c>
      <c r="J370" s="298">
        <f t="shared" ca="1" si="93"/>
        <v>11</v>
      </c>
      <c r="K370" s="286" t="str">
        <f ca="1">IFERROR(VLOOKUP($A362&amp;J370,downloads!$A$1:$E$1000,2,FALSE),"")</f>
        <v/>
      </c>
      <c r="L370" s="286" t="str">
        <f t="shared" ca="1" si="91"/>
        <v>C&amp;N</v>
      </c>
      <c r="O370" s="299"/>
      <c r="Q370" s="307" t="str">
        <f ca="1">IFERROR(VLOOKUP($A362&amp;D370,competitors,4,FALSE),"")</f>
        <v/>
      </c>
      <c r="R370" s="307" t="str">
        <f ca="1">IFERROR(VLOOKUP($A362&amp;J370,competitors,4,FALSE),"")</f>
        <v/>
      </c>
    </row>
    <row r="371" spans="1:18" ht="15" customHeight="1" x14ac:dyDescent="0.35">
      <c r="A371" s="300">
        <f ca="1">IFERROR(SEARCH("Girls",C362),0)</f>
        <v>0</v>
      </c>
      <c r="C371" s="298">
        <v>7</v>
      </c>
      <c r="D371" s="298">
        <f ca="1">IFERROR(IF(C371&gt;MatchDay!$U$2,"",VLOOKUP($A362,timetables,MatchDay!$U$4+C371-1,FALSE)),0)</f>
        <v>3</v>
      </c>
      <c r="E371" s="286" t="str">
        <f ca="1">IFERROR(VLOOKUP($A362&amp;D371,downloads!$A$1:$E$1000,2,FALSE),"")</f>
        <v/>
      </c>
      <c r="F371" s="286" t="str">
        <f t="shared" ca="1" si="92"/>
        <v>Leigh</v>
      </c>
      <c r="G371" s="291"/>
      <c r="H371" s="297"/>
      <c r="I371" s="298">
        <v>7</v>
      </c>
      <c r="J371" s="298">
        <f t="shared" ca="1" si="93"/>
        <v>33</v>
      </c>
      <c r="K371" s="286" t="str">
        <f ca="1">IFERROR(VLOOKUP($A362&amp;J371,downloads!$A$1:$E$1000,2,FALSE),"")</f>
        <v/>
      </c>
      <c r="L371" s="286" t="str">
        <f t="shared" ca="1" si="91"/>
        <v>Leigh</v>
      </c>
      <c r="O371" s="299"/>
      <c r="Q371" s="307" t="str">
        <f ca="1">IFERROR(VLOOKUP($A362&amp;D371,competitors,4,FALSE),"")</f>
        <v/>
      </c>
      <c r="R371" s="307" t="str">
        <f ca="1">IFERROR(VLOOKUP($A362&amp;J371,competitors,4,FALSE),"")</f>
        <v/>
      </c>
    </row>
    <row r="372" spans="1:18" ht="15" customHeight="1" x14ac:dyDescent="0.35">
      <c r="A372" s="103">
        <f ca="1">IFERROR(VLOOKUP(A362,records,5,FALSE),"")</f>
        <v>59.79</v>
      </c>
      <c r="B372" s="103"/>
      <c r="C372" s="298">
        <v>8</v>
      </c>
      <c r="D372" s="298" t="str">
        <f>IFERROR(IF(C372&gt;MatchDay!$U$2,"",VLOOKUP($A362,timetables,MatchDay!$U$4+C372-1,FALSE)),0)</f>
        <v/>
      </c>
      <c r="E372" s="286" t="str">
        <f ca="1">IFERROR(VLOOKUP($A362&amp;D372,downloads!$A$1:$E$1000,2,FALSE),"")</f>
        <v/>
      </c>
      <c r="F372" s="286" t="str">
        <f t="shared" si="92"/>
        <v/>
      </c>
      <c r="G372" s="291"/>
      <c r="H372" s="297"/>
      <c r="I372" s="298">
        <v>8</v>
      </c>
      <c r="J372" s="298" t="str">
        <f t="shared" si="93"/>
        <v/>
      </c>
      <c r="K372" s="286" t="str">
        <f ca="1">IFERROR(VLOOKUP($A362&amp;J372,downloads!$A$1:$E$1000,2,FALSE),"")</f>
        <v/>
      </c>
      <c r="L372" s="286" t="str">
        <f t="shared" si="91"/>
        <v/>
      </c>
      <c r="O372" s="299"/>
      <c r="Q372" s="307" t="str">
        <f ca="1">IFERROR(VLOOKUP($A362&amp;D372,competitors,4,FALSE),"")</f>
        <v/>
      </c>
      <c r="R372" s="307" t="str">
        <f ca="1">IFERROR(VLOOKUP($A362&amp;J372,competitors,4,FALSE),"")</f>
        <v/>
      </c>
    </row>
    <row r="373" spans="1:18" ht="15" customHeight="1" x14ac:dyDescent="0.35">
      <c r="Q373" s="307"/>
      <c r="R373" s="307"/>
    </row>
    <row r="374" spans="1:18" ht="15" customHeight="1" x14ac:dyDescent="0.35">
      <c r="A374" s="98" t="str">
        <f ca="1">IFERROR(INDIRECT(CONCATENATE("'Timetables'!A"&amp;A378)),"")</f>
        <v>LFD02</v>
      </c>
      <c r="B374" s="304" t="str">
        <f ca="1">IFERROR(TEXT(VLOOKUP(A374,timetables,7-MatchDay!$U$7,FALSE),"hh:mm"),"")</f>
        <v>11:15</v>
      </c>
      <c r="C374" s="292" t="str">
        <f ca="1">IFERROR(VLOOKUP(A374,timetables,2,FALSE)&amp;" "&amp;VLOOKUP(A374,timetables,3,FALSE)&amp;" A","")</f>
        <v>Hammer U15 Girls A</v>
      </c>
      <c r="D374" s="292"/>
      <c r="F374" s="293"/>
      <c r="G374" s="294"/>
      <c r="L374" s="360"/>
      <c r="M374" s="296"/>
      <c r="N374" s="286"/>
      <c r="Q374" s="307"/>
      <c r="R374" s="307"/>
    </row>
    <row r="375" spans="1:18" ht="15" customHeight="1" x14ac:dyDescent="0.35">
      <c r="A375" s="98"/>
      <c r="B375" s="98"/>
      <c r="C375" s="295" t="str">
        <f ca="1">IFERROR("Rec: "&amp;VLOOKUP(A374,records,4,FALSE),"")</f>
        <v>Rec: 55.15 Phoebe Baggott, Wolverhampton &amp; Bilston, 2016</v>
      </c>
      <c r="D375" s="292"/>
      <c r="F375" s="293"/>
      <c r="G375" s="294"/>
      <c r="I375" s="295"/>
      <c r="L375" s="360"/>
      <c r="M375" s="296"/>
      <c r="N375" s="286"/>
      <c r="Q375" s="307"/>
      <c r="R375" s="307"/>
    </row>
    <row r="376" spans="1:18" ht="15" customHeight="1" x14ac:dyDescent="0.35">
      <c r="A376" s="82" t="str">
        <f ca="1">MID(A374,2,3)</f>
        <v>FD0</v>
      </c>
      <c r="B376" s="82"/>
      <c r="C376" s="304" t="s">
        <v>122</v>
      </c>
      <c r="D376" s="304" t="s">
        <v>141</v>
      </c>
      <c r="E376" s="286" t="s">
        <v>174</v>
      </c>
      <c r="F376" s="286" t="s">
        <v>175</v>
      </c>
      <c r="G376" s="291"/>
      <c r="I376" s="304" t="s">
        <v>122</v>
      </c>
      <c r="J376" s="304" t="s">
        <v>141</v>
      </c>
      <c r="K376" s="286" t="s">
        <v>174</v>
      </c>
      <c r="L376" s="286" t="s">
        <v>175</v>
      </c>
      <c r="O376" s="299"/>
      <c r="Q376" s="307"/>
      <c r="R376" s="307"/>
    </row>
    <row r="377" spans="1:18" ht="15" customHeight="1" x14ac:dyDescent="0.35">
      <c r="A377" s="138"/>
      <c r="B377" s="103"/>
      <c r="C377" s="298">
        <v>1</v>
      </c>
      <c r="D377" s="298">
        <f ca="1">IFERROR(IF(C377&gt;MatchDay!$U$2,"",VLOOKUP($A374,timetables,MatchDay!$U$4+C377-1,FALSE)),0)</f>
        <v>5</v>
      </c>
      <c r="E377" s="286" t="str">
        <f ca="1">IFERROR(VLOOKUP($A374&amp;D377,downloads!$A$1:$E$1000,2,FALSE),"")</f>
        <v/>
      </c>
      <c r="F377" s="286" t="str">
        <f ca="1">IFERROR(VLOOKUP(D377,teamlookup,5,FALSE),"")</f>
        <v>Menai</v>
      </c>
      <c r="G377" s="291"/>
      <c r="H377" s="297"/>
      <c r="I377" s="298">
        <v>1</v>
      </c>
      <c r="J377" s="298">
        <f ca="1">IFERROR(D377*11,"")</f>
        <v>55</v>
      </c>
      <c r="K377" s="286" t="str">
        <f ca="1">IFERROR(VLOOKUP($A374&amp;J377,downloads!$A$1:$E$1000,2,FALSE),"")</f>
        <v/>
      </c>
      <c r="L377" s="286" t="str">
        <f t="shared" ref="L377:L384" ca="1" si="94">IFERROR(VLOOKUP(J377,teamlookup,5,FALSE),"")</f>
        <v>Menai</v>
      </c>
      <c r="O377" s="299"/>
      <c r="Q377" s="307" t="str">
        <f ca="1">IFERROR(VLOOKUP($A374&amp;D377,competitors,4,FALSE),"")</f>
        <v/>
      </c>
      <c r="R377" s="307" t="str">
        <f ca="1">IFERROR(VLOOKUP($A374&amp;J377,competitors,4,FALSE),"")</f>
        <v/>
      </c>
    </row>
    <row r="378" spans="1:18" ht="15" customHeight="1" x14ac:dyDescent="0.35">
      <c r="A378" s="304">
        <f>A366+1</f>
        <v>40</v>
      </c>
      <c r="C378" s="298">
        <v>2</v>
      </c>
      <c r="D378" s="298">
        <f ca="1">IFERROR(IF(C378&gt;MatchDay!$U$2,"",VLOOKUP($A374,timetables,MatchDay!$U$4+C378-1,FALSE)),0)</f>
        <v>7</v>
      </c>
      <c r="E378" s="286" t="str">
        <f ca="1">IFERROR(VLOOKUP($A374&amp;D378,downloads!$A$1:$E$1000,2,FALSE),"")</f>
        <v/>
      </c>
      <c r="F378" s="286" t="str">
        <f t="shared" ref="F378:F384" ca="1" si="95">IFERROR(VLOOKUP(D378,teamlookup,5,FALSE),"")</f>
        <v>Wigan</v>
      </c>
      <c r="G378" s="291"/>
      <c r="H378" s="297"/>
      <c r="I378" s="298">
        <v>2</v>
      </c>
      <c r="J378" s="298">
        <f t="shared" ref="J378:J384" ca="1" si="96">IFERROR(D378*11,"")</f>
        <v>77</v>
      </c>
      <c r="K378" s="286" t="str">
        <f ca="1">IFERROR(VLOOKUP($A374&amp;J378,downloads!$A$1:$E$1000,2,FALSE),"")</f>
        <v/>
      </c>
      <c r="L378" s="286" t="str">
        <f t="shared" ca="1" si="94"/>
        <v>Wigan</v>
      </c>
      <c r="O378" s="299"/>
      <c r="Q378" s="307" t="str">
        <f ca="1">IFERROR(VLOOKUP($A374&amp;D378,competitors,4,FALSE),"")</f>
        <v/>
      </c>
      <c r="R378" s="307" t="str">
        <f ca="1">IFERROR(VLOOKUP($A374&amp;J378,competitors,4,FALSE),"")</f>
        <v/>
      </c>
    </row>
    <row r="379" spans="1:18" ht="15" customHeight="1" x14ac:dyDescent="0.35">
      <c r="A379" s="105">
        <f ca="1">IFERROR(VLOOKUP(A374,standards,3,FALSE)+0.01,"-")</f>
        <v>15.01</v>
      </c>
      <c r="B379" s="105"/>
      <c r="C379" s="298">
        <v>3</v>
      </c>
      <c r="D379" s="298">
        <f ca="1">IFERROR(IF(C379&gt;MatchDay!$U$2,"",VLOOKUP($A374,timetables,MatchDay!$U$4+C379-1,FALSE)),0)</f>
        <v>6</v>
      </c>
      <c r="E379" s="286" t="str">
        <f ca="1">IFERROR(VLOOKUP($A374&amp;D379,downloads!$A$1:$E$1000,2,FALSE),"")</f>
        <v>Lucy JONES</v>
      </c>
      <c r="F379" s="286" t="str">
        <f t="shared" ca="1" si="95"/>
        <v>Stock</v>
      </c>
      <c r="G379" s="291"/>
      <c r="H379" s="297"/>
      <c r="I379" s="298">
        <v>3</v>
      </c>
      <c r="J379" s="298">
        <f t="shared" ca="1" si="96"/>
        <v>66</v>
      </c>
      <c r="K379" s="286" t="str">
        <f ca="1">IFERROR(VLOOKUP($A374&amp;J379,downloads!$A$1:$E$1000,2,FALSE),"")</f>
        <v/>
      </c>
      <c r="L379" s="286" t="str">
        <f t="shared" ca="1" si="94"/>
        <v>Stock</v>
      </c>
      <c r="O379" s="299"/>
      <c r="Q379" s="307">
        <f ca="1">IFERROR(VLOOKUP($A374&amp;D379,competitors,4,FALSE),"")</f>
        <v>1</v>
      </c>
      <c r="R379" s="307" t="str">
        <f ca="1">IFERROR(VLOOKUP($A374&amp;J379,competitors,4,FALSE),"")</f>
        <v/>
      </c>
    </row>
    <row r="380" spans="1:18" ht="15" customHeight="1" x14ac:dyDescent="0.35">
      <c r="A380" s="105">
        <f ca="1">IFERROR(VLOOKUP(A374,standards,4,FALSE)+0.01,"-")</f>
        <v>18.010000000000002</v>
      </c>
      <c r="B380" s="105"/>
      <c r="C380" s="298">
        <v>4</v>
      </c>
      <c r="D380" s="298">
        <f ca="1">IFERROR(IF(C380&gt;MatchDay!$U$2,"",VLOOKUP($A374,timetables,MatchDay!$U$4+C380-1,FALSE)),0)</f>
        <v>4</v>
      </c>
      <c r="E380" s="286" t="str">
        <f ca="1">IFERROR(VLOOKUP($A374&amp;D380,downloads!$A$1:$E$1000,2,FALSE),"")</f>
        <v/>
      </c>
      <c r="F380" s="286" t="str">
        <f t="shared" ca="1" si="95"/>
        <v>Macc</v>
      </c>
      <c r="G380" s="291"/>
      <c r="H380" s="297"/>
      <c r="I380" s="298">
        <v>4</v>
      </c>
      <c r="J380" s="298">
        <f t="shared" ca="1" si="96"/>
        <v>44</v>
      </c>
      <c r="K380" s="286" t="str">
        <f ca="1">IFERROR(VLOOKUP($A374&amp;J380,downloads!$A$1:$E$1000,2,FALSE),"")</f>
        <v/>
      </c>
      <c r="L380" s="286" t="str">
        <f t="shared" ca="1" si="94"/>
        <v>Macc</v>
      </c>
      <c r="O380" s="299"/>
      <c r="Q380" s="307" t="str">
        <f ca="1">IFERROR(VLOOKUP($A374&amp;D380,competitors,4,FALSE),"")</f>
        <v/>
      </c>
      <c r="R380" s="307" t="str">
        <f ca="1">IFERROR(VLOOKUP($A374&amp;J380,competitors,4,FALSE),"")</f>
        <v/>
      </c>
    </row>
    <row r="381" spans="1:18" ht="15" customHeight="1" x14ac:dyDescent="0.35">
      <c r="A381" s="105">
        <f ca="1">IFERROR(VLOOKUP(A374,standards,5,FALSE)+0.01,"-")</f>
        <v>21.01</v>
      </c>
      <c r="B381" s="105"/>
      <c r="C381" s="298">
        <v>5</v>
      </c>
      <c r="D381" s="298">
        <f ca="1">IFERROR(IF(C381&gt;MatchDay!$U$2,"",VLOOKUP($A374,timetables,MatchDay!$U$4+C381-1,FALSE)),0)</f>
        <v>2</v>
      </c>
      <c r="E381" s="286" t="str">
        <f ca="1">IFERROR(VLOOKUP($A374&amp;D381,downloads!$A$1:$E$1000,2,FALSE),"")</f>
        <v/>
      </c>
      <c r="F381" s="286" t="str">
        <f t="shared" ca="1" si="95"/>
        <v>ECHT</v>
      </c>
      <c r="G381" s="291"/>
      <c r="H381" s="297"/>
      <c r="I381" s="298">
        <v>5</v>
      </c>
      <c r="J381" s="298">
        <f t="shared" ca="1" si="96"/>
        <v>22</v>
      </c>
      <c r="K381" s="286" t="str">
        <f ca="1">IFERROR(VLOOKUP($A374&amp;J381,downloads!$A$1:$E$1000,2,FALSE),"")</f>
        <v/>
      </c>
      <c r="L381" s="286" t="str">
        <f t="shared" ca="1" si="94"/>
        <v>ECHT</v>
      </c>
      <c r="O381" s="299"/>
      <c r="Q381" s="307" t="str">
        <f ca="1">IFERROR(VLOOKUP($A374&amp;D381,competitors,4,FALSE),"")</f>
        <v/>
      </c>
      <c r="R381" s="307" t="str">
        <f ca="1">IFERROR(VLOOKUP($A374&amp;J381,competitors,4,FALSE),"")</f>
        <v/>
      </c>
    </row>
    <row r="382" spans="1:18" ht="15" customHeight="1" x14ac:dyDescent="0.35">
      <c r="A382" s="105">
        <f ca="1">IFERROR(VLOOKUP(A374,standards,6,FALSE)+0.01,"-")</f>
        <v>24.01</v>
      </c>
      <c r="B382" s="105"/>
      <c r="C382" s="298">
        <v>6</v>
      </c>
      <c r="D382" s="298">
        <f ca="1">IFERROR(IF(C382&gt;MatchDay!$U$2,"",VLOOKUP($A374,timetables,MatchDay!$U$4+C382-1,FALSE)),0)</f>
        <v>1</v>
      </c>
      <c r="E382" s="286" t="str">
        <f ca="1">IFERROR(VLOOKUP($A374&amp;D382,downloads!$A$1:$E$1000,2,FALSE),"")</f>
        <v/>
      </c>
      <c r="F382" s="286" t="str">
        <f t="shared" ca="1" si="95"/>
        <v>C&amp;N</v>
      </c>
      <c r="G382" s="291"/>
      <c r="H382" s="297"/>
      <c r="I382" s="298">
        <v>6</v>
      </c>
      <c r="J382" s="298">
        <f t="shared" ca="1" si="96"/>
        <v>11</v>
      </c>
      <c r="K382" s="286" t="str">
        <f ca="1">IFERROR(VLOOKUP($A374&amp;J382,downloads!$A$1:$E$1000,2,FALSE),"")</f>
        <v/>
      </c>
      <c r="L382" s="286" t="str">
        <f t="shared" ca="1" si="94"/>
        <v>C&amp;N</v>
      </c>
      <c r="O382" s="299"/>
      <c r="Q382" s="307" t="str">
        <f ca="1">IFERROR(VLOOKUP($A374&amp;D382,competitors,4,FALSE),"")</f>
        <v/>
      </c>
      <c r="R382" s="307" t="str">
        <f ca="1">IFERROR(VLOOKUP($A374&amp;J382,competitors,4,FALSE),"")</f>
        <v/>
      </c>
    </row>
    <row r="383" spans="1:18" ht="15" customHeight="1" x14ac:dyDescent="0.35">
      <c r="A383" s="300">
        <f ca="1">IFERROR(SEARCH("Girls",C374),0)</f>
        <v>12</v>
      </c>
      <c r="C383" s="298">
        <v>7</v>
      </c>
      <c r="D383" s="298">
        <f ca="1">IFERROR(IF(C383&gt;MatchDay!$U$2,"",VLOOKUP($A374,timetables,MatchDay!$U$4+C383-1,FALSE)),0)</f>
        <v>3</v>
      </c>
      <c r="E383" s="286" t="str">
        <f ca="1">IFERROR(VLOOKUP($A374&amp;D383,downloads!$A$1:$E$1000,2,FALSE),"")</f>
        <v/>
      </c>
      <c r="F383" s="286" t="str">
        <f t="shared" ca="1" si="95"/>
        <v>Leigh</v>
      </c>
      <c r="G383" s="291"/>
      <c r="H383" s="297"/>
      <c r="I383" s="298">
        <v>7</v>
      </c>
      <c r="J383" s="298">
        <f t="shared" ca="1" si="96"/>
        <v>33</v>
      </c>
      <c r="K383" s="286" t="str">
        <f ca="1">IFERROR(VLOOKUP($A374&amp;J383,downloads!$A$1:$E$1000,2,FALSE),"")</f>
        <v/>
      </c>
      <c r="L383" s="286" t="str">
        <f t="shared" ca="1" si="94"/>
        <v>Leigh</v>
      </c>
      <c r="O383" s="299"/>
      <c r="Q383" s="307" t="str">
        <f ca="1">IFERROR(VLOOKUP($A374&amp;D383,competitors,4,FALSE),"")</f>
        <v/>
      </c>
      <c r="R383" s="307" t="str">
        <f ca="1">IFERROR(VLOOKUP($A374&amp;J383,competitors,4,FALSE),"")</f>
        <v/>
      </c>
    </row>
    <row r="384" spans="1:18" ht="15" customHeight="1" x14ac:dyDescent="0.35">
      <c r="A384" s="103">
        <f ca="1">IFERROR(VLOOKUP(A374,records,5,FALSE),"")</f>
        <v>55.15</v>
      </c>
      <c r="B384" s="103"/>
      <c r="C384" s="298">
        <v>8</v>
      </c>
      <c r="D384" s="298" t="str">
        <f>IFERROR(IF(C384&gt;MatchDay!$U$2,"",VLOOKUP($A374,timetables,MatchDay!$U$4+C384-1,FALSE)),0)</f>
        <v/>
      </c>
      <c r="E384" s="286" t="str">
        <f ca="1">IFERROR(VLOOKUP($A374&amp;D384,downloads!$A$1:$E$1000,2,FALSE),"")</f>
        <v/>
      </c>
      <c r="F384" s="286" t="str">
        <f t="shared" si="95"/>
        <v/>
      </c>
      <c r="G384" s="291"/>
      <c r="H384" s="297"/>
      <c r="I384" s="298">
        <v>8</v>
      </c>
      <c r="J384" s="298" t="str">
        <f t="shared" si="96"/>
        <v/>
      </c>
      <c r="K384" s="286" t="str">
        <f ca="1">IFERROR(VLOOKUP($A374&amp;J384,downloads!$A$1:$E$1000,2,FALSE),"")</f>
        <v/>
      </c>
      <c r="L384" s="286" t="str">
        <f t="shared" si="94"/>
        <v/>
      </c>
      <c r="O384" s="299"/>
      <c r="Q384" s="307" t="str">
        <f ca="1">IFERROR(VLOOKUP($A374&amp;D384,competitors,4,FALSE),"")</f>
        <v/>
      </c>
      <c r="R384" s="307" t="str">
        <f ca="1">IFERROR(VLOOKUP($A374&amp;J384,competitors,4,FALSE),"")</f>
        <v/>
      </c>
    </row>
    <row r="385" spans="1:18" ht="15" customHeight="1" x14ac:dyDescent="0.35">
      <c r="Q385" s="307"/>
      <c r="R385" s="307"/>
    </row>
    <row r="386" spans="1:18" x14ac:dyDescent="0.35">
      <c r="A386" s="98" t="str">
        <f ca="1">IFERROR(INDIRECT(CONCATENATE("'Timetables'!A"&amp;A390)),"")</f>
        <v>LFW01</v>
      </c>
      <c r="B386" s="304" t="str">
        <f ca="1">IFERROR(TEXT(VLOOKUP(A386,timetables,7-MatchDay!$U$7,FALSE),"hh:mm"),"")</f>
        <v>11:30</v>
      </c>
      <c r="C386" s="292" t="str">
        <f ca="1">IFERROR(VLOOKUP(A386,timetables,2,FALSE)&amp;" "&amp;VLOOKUP(A386,timetables,3,FALSE)&amp;" A","")</f>
        <v>Long Jump U13 Boys A</v>
      </c>
      <c r="D386" s="292"/>
      <c r="F386" s="293"/>
      <c r="G386" s="294"/>
      <c r="L386" s="360"/>
      <c r="M386" s="296"/>
      <c r="N386" s="286"/>
      <c r="Q386" s="307"/>
      <c r="R386" s="307"/>
    </row>
    <row r="387" spans="1:18" x14ac:dyDescent="0.35">
      <c r="A387" s="98"/>
      <c r="B387" s="98"/>
      <c r="C387" s="295" t="str">
        <f ca="1">IFERROR("Rec: "&amp;VLOOKUP(A386,records,4,FALSE),"")</f>
        <v>Rec: 5.45 Dante Clark, Herne Hill Harriers, 2018</v>
      </c>
      <c r="D387" s="292"/>
      <c r="F387" s="293"/>
      <c r="G387" s="294"/>
      <c r="I387" s="295"/>
      <c r="L387" s="360"/>
      <c r="M387" s="296"/>
      <c r="N387" s="286"/>
      <c r="Q387" s="307"/>
      <c r="R387" s="307"/>
    </row>
    <row r="388" spans="1:18" x14ac:dyDescent="0.35">
      <c r="A388" s="82" t="str">
        <f ca="1">MID(A386,2,3)</f>
        <v>FW0</v>
      </c>
      <c r="B388" s="82"/>
      <c r="C388" s="304" t="s">
        <v>122</v>
      </c>
      <c r="D388" s="304" t="s">
        <v>141</v>
      </c>
      <c r="E388" s="286" t="s">
        <v>174</v>
      </c>
      <c r="F388" s="286" t="s">
        <v>175</v>
      </c>
      <c r="G388" s="291"/>
      <c r="I388" s="304" t="s">
        <v>122</v>
      </c>
      <c r="J388" s="304" t="s">
        <v>141</v>
      </c>
      <c r="K388" s="286" t="s">
        <v>174</v>
      </c>
      <c r="L388" s="286" t="s">
        <v>175</v>
      </c>
      <c r="O388" s="299"/>
      <c r="Q388" s="307"/>
      <c r="R388" s="307"/>
    </row>
    <row r="389" spans="1:18" x14ac:dyDescent="0.35">
      <c r="A389" s="138"/>
      <c r="B389" s="103"/>
      <c r="C389" s="298">
        <v>1</v>
      </c>
      <c r="D389" s="298">
        <f ca="1">IFERROR(IF(C389&gt;MatchDay!$U$2,"",VLOOKUP($A386,timetables,MatchDay!$U$4+C389-1,FALSE)),0)</f>
        <v>4</v>
      </c>
      <c r="E389" s="286" t="str">
        <f ca="1">IFERROR(VLOOKUP($A386&amp;D389,downloads!$A$1:$E$1000,2,FALSE),"")</f>
        <v>Tomas BEDOYA</v>
      </c>
      <c r="F389" s="286" t="str">
        <f ca="1">IFERROR(VLOOKUP(D389,teamlookup,5,FALSE),"")</f>
        <v>Macc</v>
      </c>
      <c r="G389" s="291"/>
      <c r="H389" s="297"/>
      <c r="I389" s="298">
        <v>1</v>
      </c>
      <c r="J389" s="298">
        <f ca="1">IFERROR(D389*11,"")</f>
        <v>44</v>
      </c>
      <c r="K389" s="286" t="str">
        <f ca="1">IFERROR(VLOOKUP($A386&amp;J389,downloads!$A$1:$E$1000,2,FALSE),"")</f>
        <v>Dylan BAKER</v>
      </c>
      <c r="L389" s="286" t="str">
        <f t="shared" ref="L389:L396" ca="1" si="97">IFERROR(VLOOKUP(J389,teamlookup,5,FALSE),"")</f>
        <v>Macc</v>
      </c>
      <c r="O389" s="299"/>
      <c r="Q389" s="307">
        <f ca="1">IFERROR(VLOOKUP($A386&amp;D389,competitors,4,FALSE),"")</f>
        <v>1</v>
      </c>
      <c r="R389" s="307">
        <f ca="1">IFERROR(VLOOKUP($A386&amp;J389,competitors,4,FALSE),"")</f>
        <v>1</v>
      </c>
    </row>
    <row r="390" spans="1:18" x14ac:dyDescent="0.35">
      <c r="A390" s="304">
        <f>A378+1</f>
        <v>41</v>
      </c>
      <c r="C390" s="298">
        <v>2</v>
      </c>
      <c r="D390" s="298">
        <f ca="1">IFERROR(IF(C390&gt;MatchDay!$U$2,"",VLOOKUP($A386,timetables,MatchDay!$U$4+C390-1,FALSE)),0)</f>
        <v>2</v>
      </c>
      <c r="E390" s="286" t="str">
        <f ca="1">IFERROR(VLOOKUP($A386&amp;D390,downloads!$A$1:$E$1000,2,FALSE),"")</f>
        <v>Oliver MANNION</v>
      </c>
      <c r="F390" s="286" t="str">
        <f t="shared" ref="F390:F396" ca="1" si="98">IFERROR(VLOOKUP(D390,teamlookup,5,FALSE),"")</f>
        <v>ECHT</v>
      </c>
      <c r="G390" s="291"/>
      <c r="H390" s="297"/>
      <c r="I390" s="298">
        <v>2</v>
      </c>
      <c r="J390" s="298">
        <f t="shared" ref="J390:J396" ca="1" si="99">IFERROR(D390*11,"")</f>
        <v>22</v>
      </c>
      <c r="K390" s="286" t="str">
        <f ca="1">IFERROR(VLOOKUP($A386&amp;J390,downloads!$A$1:$E$1000,2,FALSE),"")</f>
        <v>Sebastien GREGORY</v>
      </c>
      <c r="L390" s="286" t="str">
        <f t="shared" ca="1" si="97"/>
        <v>ECHT</v>
      </c>
      <c r="O390" s="299"/>
      <c r="Q390" s="307">
        <f ca="1">IFERROR(VLOOKUP($A386&amp;D390,competitors,4,FALSE),"")</f>
        <v>1</v>
      </c>
      <c r="R390" s="307">
        <f ca="1">IFERROR(VLOOKUP($A386&amp;J390,competitors,4,FALSE),"")</f>
        <v>1</v>
      </c>
    </row>
    <row r="391" spans="1:18" x14ac:dyDescent="0.35">
      <c r="A391" s="105">
        <f ca="1">IFERROR(VLOOKUP(A386,standards,3,FALSE)+0.01,"-")</f>
        <v>3.01</v>
      </c>
      <c r="B391" s="105"/>
      <c r="C391" s="298">
        <v>3</v>
      </c>
      <c r="D391" s="298">
        <f ca="1">IFERROR(IF(C391&gt;MatchDay!$U$2,"",VLOOKUP($A386,timetables,MatchDay!$U$4+C391-1,FALSE)),0)</f>
        <v>3</v>
      </c>
      <c r="E391" s="286" t="str">
        <f ca="1">IFERROR(VLOOKUP($A386&amp;D391,downloads!$A$1:$E$1000,2,FALSE),"")</f>
        <v>Oscar FINCH</v>
      </c>
      <c r="F391" s="286" t="str">
        <f t="shared" ca="1" si="98"/>
        <v>Leigh</v>
      </c>
      <c r="G391" s="291"/>
      <c r="H391" s="297"/>
      <c r="I391" s="298">
        <v>3</v>
      </c>
      <c r="J391" s="298">
        <f t="shared" ca="1" si="99"/>
        <v>33</v>
      </c>
      <c r="K391" s="286" t="str">
        <f ca="1">IFERROR(VLOOKUP($A386&amp;J391,downloads!$A$1:$E$1000,2,FALSE),"")</f>
        <v>Jack FLETCHER</v>
      </c>
      <c r="L391" s="286" t="str">
        <f t="shared" ca="1" si="97"/>
        <v>Leigh</v>
      </c>
      <c r="O391" s="299"/>
      <c r="Q391" s="307">
        <f ca="1">IFERROR(VLOOKUP($A386&amp;D391,competitors,4,FALSE),"")</f>
        <v>1</v>
      </c>
      <c r="R391" s="307">
        <f ca="1">IFERROR(VLOOKUP($A386&amp;J391,competitors,4,FALSE),"")</f>
        <v>1</v>
      </c>
    </row>
    <row r="392" spans="1:18" x14ac:dyDescent="0.35">
      <c r="A392" s="105">
        <f ca="1">IFERROR(VLOOKUP(A386,standards,4,FALSE)+0.01,"-")</f>
        <v>3.26</v>
      </c>
      <c r="B392" s="105"/>
      <c r="C392" s="298">
        <v>4</v>
      </c>
      <c r="D392" s="298">
        <f ca="1">IFERROR(IF(C392&gt;MatchDay!$U$2,"",VLOOKUP($A386,timetables,MatchDay!$U$4+C392-1,FALSE)),0)</f>
        <v>1</v>
      </c>
      <c r="E392" s="286" t="str">
        <f ca="1">IFERROR(VLOOKUP($A386&amp;D392,downloads!$A$1:$E$1000,2,FALSE),"")</f>
        <v>Charlie SMITH</v>
      </c>
      <c r="F392" s="286" t="str">
        <f t="shared" ca="1" si="98"/>
        <v>C&amp;N</v>
      </c>
      <c r="G392" s="291"/>
      <c r="H392" s="297"/>
      <c r="I392" s="298">
        <v>4</v>
      </c>
      <c r="J392" s="298">
        <f t="shared" ca="1" si="99"/>
        <v>11</v>
      </c>
      <c r="K392" s="286" t="str">
        <f ca="1">IFERROR(VLOOKUP($A386&amp;J392,downloads!$A$1:$E$1000,2,FALSE),"")</f>
        <v>Kaidan DOS REIS</v>
      </c>
      <c r="L392" s="286" t="str">
        <f t="shared" ca="1" si="97"/>
        <v>C&amp;N</v>
      </c>
      <c r="O392" s="299"/>
      <c r="Q392" s="307">
        <f ca="1">IFERROR(VLOOKUP($A386&amp;D392,competitors,4,FALSE),"")</f>
        <v>1</v>
      </c>
      <c r="R392" s="307">
        <f ca="1">IFERROR(VLOOKUP($A386&amp;J392,competitors,4,FALSE),"")</f>
        <v>1</v>
      </c>
    </row>
    <row r="393" spans="1:18" x14ac:dyDescent="0.35">
      <c r="A393" s="105">
        <f ca="1">IFERROR(VLOOKUP(A386,standards,5,FALSE)+0.01,"-")</f>
        <v>3.51</v>
      </c>
      <c r="B393" s="105"/>
      <c r="C393" s="298">
        <v>5</v>
      </c>
      <c r="D393" s="298">
        <f ca="1">IFERROR(IF(C393&gt;MatchDay!$U$2,"",VLOOKUP($A386,timetables,MatchDay!$U$4+C393-1,FALSE)),0)</f>
        <v>7</v>
      </c>
      <c r="E393" s="286" t="str">
        <f ca="1">IFERROR(VLOOKUP($A386&amp;D393,downloads!$A$1:$E$1000,2,FALSE),"")</f>
        <v>Henry MORRIS</v>
      </c>
      <c r="F393" s="286" t="str">
        <f t="shared" ca="1" si="98"/>
        <v>Wigan</v>
      </c>
      <c r="G393" s="291"/>
      <c r="H393" s="297"/>
      <c r="I393" s="298">
        <v>5</v>
      </c>
      <c r="J393" s="298">
        <f t="shared" ca="1" si="99"/>
        <v>77</v>
      </c>
      <c r="K393" s="286" t="str">
        <f ca="1">IFERROR(VLOOKUP($A386&amp;J393,downloads!$A$1:$E$1000,2,FALSE),"")</f>
        <v>Evan BARNETT</v>
      </c>
      <c r="L393" s="286" t="str">
        <f t="shared" ca="1" si="97"/>
        <v>Wigan</v>
      </c>
      <c r="O393" s="299"/>
      <c r="Q393" s="307">
        <f ca="1">IFERROR(VLOOKUP($A386&amp;D393,competitors,4,FALSE),"")</f>
        <v>1</v>
      </c>
      <c r="R393" s="307">
        <f ca="1">IFERROR(VLOOKUP($A386&amp;J393,competitors,4,FALSE),"")</f>
        <v>1</v>
      </c>
    </row>
    <row r="394" spans="1:18" x14ac:dyDescent="0.35">
      <c r="A394" s="105">
        <f ca="1">IFERROR(VLOOKUP(A386,standards,6,FALSE)+0.01,"-")</f>
        <v>3.76</v>
      </c>
      <c r="B394" s="105"/>
      <c r="C394" s="298">
        <v>6</v>
      </c>
      <c r="D394" s="298">
        <f ca="1">IFERROR(IF(C394&gt;MatchDay!$U$2,"",VLOOKUP($A386,timetables,MatchDay!$U$4+C394-1,FALSE)),0)</f>
        <v>5</v>
      </c>
      <c r="E394" s="286" t="str">
        <f ca="1">IFERROR(VLOOKUP($A386&amp;D394,downloads!$A$1:$E$1000,2,FALSE),"")</f>
        <v/>
      </c>
      <c r="F394" s="286" t="str">
        <f t="shared" ca="1" si="98"/>
        <v>Menai</v>
      </c>
      <c r="G394" s="291"/>
      <c r="H394" s="297"/>
      <c r="I394" s="298">
        <v>6</v>
      </c>
      <c r="J394" s="298">
        <f t="shared" ca="1" si="99"/>
        <v>55</v>
      </c>
      <c r="K394" s="286" t="str">
        <f ca="1">IFERROR(VLOOKUP($A386&amp;J394,downloads!$A$1:$E$1000,2,FALSE),"")</f>
        <v/>
      </c>
      <c r="L394" s="286" t="str">
        <f t="shared" ca="1" si="97"/>
        <v>Menai</v>
      </c>
      <c r="O394" s="299"/>
      <c r="Q394" s="307" t="str">
        <f ca="1">IFERROR(VLOOKUP($A386&amp;D394,competitors,4,FALSE),"")</f>
        <v/>
      </c>
      <c r="R394" s="307" t="str">
        <f ca="1">IFERROR(VLOOKUP($A386&amp;J394,competitors,4,FALSE),"")</f>
        <v/>
      </c>
    </row>
    <row r="395" spans="1:18" x14ac:dyDescent="0.35">
      <c r="A395" s="300">
        <f ca="1">IFERROR(SEARCH("Girls",C386),0)</f>
        <v>0</v>
      </c>
      <c r="C395" s="298">
        <v>7</v>
      </c>
      <c r="D395" s="298">
        <f ca="1">IFERROR(IF(C395&gt;MatchDay!$U$2,"",VLOOKUP($A386,timetables,MatchDay!$U$4+C395-1,FALSE)),0)</f>
        <v>6</v>
      </c>
      <c r="E395" s="286" t="str">
        <f ca="1">IFERROR(VLOOKUP($A386&amp;D395,downloads!$A$1:$E$1000,2,FALSE),"")</f>
        <v>Arthur CAMPBELL</v>
      </c>
      <c r="F395" s="286" t="str">
        <f t="shared" ca="1" si="98"/>
        <v>Stock</v>
      </c>
      <c r="G395" s="291"/>
      <c r="H395" s="297"/>
      <c r="I395" s="298">
        <v>7</v>
      </c>
      <c r="J395" s="298">
        <f t="shared" ca="1" si="99"/>
        <v>66</v>
      </c>
      <c r="K395" s="286" t="str">
        <f ca="1">IFERROR(VLOOKUP($A386&amp;J395,downloads!$A$1:$E$1000,2,FALSE),"")</f>
        <v>Alex KITCHEN</v>
      </c>
      <c r="L395" s="286" t="str">
        <f t="shared" ca="1" si="97"/>
        <v>Stock</v>
      </c>
      <c r="O395" s="299"/>
      <c r="Q395" s="307">
        <f ca="1">IFERROR(VLOOKUP($A386&amp;D395,competitors,4,FALSE),"")</f>
        <v>1</v>
      </c>
      <c r="R395" s="307">
        <f ca="1">IFERROR(VLOOKUP($A386&amp;J395,competitors,4,FALSE),"")</f>
        <v>1</v>
      </c>
    </row>
    <row r="396" spans="1:18" x14ac:dyDescent="0.35">
      <c r="A396" s="103">
        <f ca="1">IFERROR(VLOOKUP(A386,records,5,FALSE),"")</f>
        <v>5.45</v>
      </c>
      <c r="B396" s="103"/>
      <c r="C396" s="298">
        <v>8</v>
      </c>
      <c r="D396" s="298" t="str">
        <f>IFERROR(IF(C396&gt;MatchDay!$U$2,"",VLOOKUP($A386,timetables,MatchDay!$U$4+C396-1,FALSE)),0)</f>
        <v/>
      </c>
      <c r="E396" s="286" t="str">
        <f ca="1">IFERROR(VLOOKUP($A386&amp;D396,downloads!$A$1:$E$1000,2,FALSE),"")</f>
        <v/>
      </c>
      <c r="F396" s="286" t="str">
        <f t="shared" si="98"/>
        <v/>
      </c>
      <c r="G396" s="291"/>
      <c r="H396" s="297"/>
      <c r="I396" s="298">
        <v>8</v>
      </c>
      <c r="J396" s="298" t="str">
        <f t="shared" si="99"/>
        <v/>
      </c>
      <c r="K396" s="286" t="str">
        <f ca="1">IFERROR(VLOOKUP($A386&amp;J396,downloads!$A$1:$E$1000,2,FALSE),"")</f>
        <v/>
      </c>
      <c r="L396" s="286" t="str">
        <f t="shared" si="97"/>
        <v/>
      </c>
      <c r="O396" s="299"/>
      <c r="Q396" s="307" t="str">
        <f ca="1">IFERROR(VLOOKUP($A386&amp;D396,competitors,4,FALSE),"")</f>
        <v/>
      </c>
      <c r="R396" s="307" t="str">
        <f ca="1">IFERROR(VLOOKUP($A386&amp;J396,competitors,4,FALSE),"")</f>
        <v/>
      </c>
    </row>
    <row r="397" spans="1:18" x14ac:dyDescent="0.35">
      <c r="Q397" s="307"/>
      <c r="R397" s="307"/>
    </row>
    <row r="398" spans="1:18" x14ac:dyDescent="0.35">
      <c r="A398" s="98" t="str">
        <f ca="1">IFERROR(INDIRECT(CONCATENATE("'Timetables'!A"&amp;A402)),"")</f>
        <v>LFH01</v>
      </c>
      <c r="B398" s="304" t="str">
        <f ca="1">IFERROR(TEXT(VLOOKUP(A398,timetables,7-MatchDay!$U$7,FALSE),"hh:mm"),"")</f>
        <v>11:45</v>
      </c>
      <c r="C398" s="292" t="str">
        <f ca="1">IFERROR(VLOOKUP(A398,timetables,2,FALSE)&amp;" "&amp;VLOOKUP(A398,timetables,3,FALSE)&amp;" A","")</f>
        <v>High Jump U15 Girls A</v>
      </c>
      <c r="D398" s="292"/>
      <c r="F398" s="293"/>
      <c r="G398" s="294"/>
      <c r="L398" s="360"/>
      <c r="M398" s="296"/>
      <c r="N398" s="286"/>
      <c r="Q398" s="307"/>
      <c r="R398" s="307"/>
    </row>
    <row r="399" spans="1:18" x14ac:dyDescent="0.35">
      <c r="A399" s="98"/>
      <c r="B399" s="98"/>
      <c r="C399" s="295" t="str">
        <f ca="1">IFERROR("Rec: "&amp;VLOOKUP(A398,records,4,FALSE),"")</f>
        <v>Rec: 1.73 Phoebe Harland, Birchfield Harriers, 2015</v>
      </c>
      <c r="D399" s="292"/>
      <c r="F399" s="293"/>
      <c r="G399" s="294"/>
      <c r="I399" s="295"/>
      <c r="L399" s="360"/>
      <c r="M399" s="296"/>
      <c r="N399" s="286"/>
      <c r="Q399" s="307"/>
      <c r="R399" s="307"/>
    </row>
    <row r="400" spans="1:18" x14ac:dyDescent="0.35">
      <c r="A400" s="82" t="str">
        <f ca="1">MID(A398,2,3)</f>
        <v>FH0</v>
      </c>
      <c r="B400" s="82"/>
      <c r="C400" s="304" t="s">
        <v>122</v>
      </c>
      <c r="D400" s="304" t="s">
        <v>141</v>
      </c>
      <c r="E400" s="286" t="s">
        <v>174</v>
      </c>
      <c r="F400" s="286" t="s">
        <v>175</v>
      </c>
      <c r="G400" s="291"/>
      <c r="I400" s="304" t="s">
        <v>122</v>
      </c>
      <c r="J400" s="304" t="s">
        <v>141</v>
      </c>
      <c r="K400" s="286" t="s">
        <v>174</v>
      </c>
      <c r="L400" s="286" t="s">
        <v>175</v>
      </c>
      <c r="O400" s="299"/>
      <c r="Q400" s="307"/>
      <c r="R400" s="307"/>
    </row>
    <row r="401" spans="1:18" x14ac:dyDescent="0.35">
      <c r="A401" s="138"/>
      <c r="B401" s="103"/>
      <c r="C401" s="298">
        <v>1</v>
      </c>
      <c r="D401" s="298">
        <f ca="1">IFERROR(IF(C401&gt;MatchDay!$U$2,"",VLOOKUP($A398,timetables,MatchDay!$U$4+C401-1,FALSE)),0)</f>
        <v>1</v>
      </c>
      <c r="E401" s="286" t="str">
        <f ca="1">IFERROR(VLOOKUP($A398&amp;D401,downloads!$A$1:$E$1000,2,FALSE),"")</f>
        <v>Olivia WELCH</v>
      </c>
      <c r="F401" s="286" t="str">
        <f ca="1">IFERROR(VLOOKUP(D401,teamlookup,5,FALSE),"")</f>
        <v>C&amp;N</v>
      </c>
      <c r="G401" s="291"/>
      <c r="H401" s="297"/>
      <c r="I401" s="298">
        <v>1</v>
      </c>
      <c r="J401" s="298">
        <f ca="1">IFERROR(D401*11,"")</f>
        <v>11</v>
      </c>
      <c r="K401" s="286" t="str">
        <f ca="1">IFERROR(VLOOKUP($A398&amp;J401,downloads!$A$1:$E$1000,2,FALSE),"")</f>
        <v>Elisha CARTER</v>
      </c>
      <c r="L401" s="286" t="str">
        <f t="shared" ref="L401:L408" ca="1" si="100">IFERROR(VLOOKUP(J401,teamlookup,5,FALSE),"")</f>
        <v>C&amp;N</v>
      </c>
      <c r="O401" s="299"/>
      <c r="Q401" s="307">
        <f ca="1">IFERROR(VLOOKUP($A398&amp;D401,competitors,4,FALSE),"")</f>
        <v>1</v>
      </c>
      <c r="R401" s="307">
        <f ca="1">IFERROR(VLOOKUP($A398&amp;J401,competitors,4,FALSE),"")</f>
        <v>1</v>
      </c>
    </row>
    <row r="402" spans="1:18" x14ac:dyDescent="0.35">
      <c r="A402" s="304">
        <f>A390+1</f>
        <v>42</v>
      </c>
      <c r="C402" s="298">
        <v>2</v>
      </c>
      <c r="D402" s="298">
        <f ca="1">IFERROR(IF(C402&gt;MatchDay!$U$2,"",VLOOKUP($A398,timetables,MatchDay!$U$4+C402-1,FALSE)),0)</f>
        <v>2</v>
      </c>
      <c r="E402" s="286" t="str">
        <f ca="1">IFERROR(VLOOKUP($A398&amp;D402,downloads!$A$1:$E$1000,2,FALSE),"")</f>
        <v/>
      </c>
      <c r="F402" s="286" t="str">
        <f t="shared" ref="F402:F408" ca="1" si="101">IFERROR(VLOOKUP(D402,teamlookup,5,FALSE),"")</f>
        <v>ECHT</v>
      </c>
      <c r="G402" s="291"/>
      <c r="H402" s="297"/>
      <c r="I402" s="298">
        <v>2</v>
      </c>
      <c r="J402" s="298">
        <f t="shared" ref="J402:J408" ca="1" si="102">IFERROR(D402*11,"")</f>
        <v>22</v>
      </c>
      <c r="K402" s="286" t="str">
        <f ca="1">IFERROR(VLOOKUP($A398&amp;J402,downloads!$A$1:$E$1000,2,FALSE),"")</f>
        <v/>
      </c>
      <c r="L402" s="286" t="str">
        <f t="shared" ca="1" si="100"/>
        <v>ECHT</v>
      </c>
      <c r="O402" s="299"/>
      <c r="Q402" s="307" t="str">
        <f ca="1">IFERROR(VLOOKUP($A398&amp;D402,competitors,4,FALSE),"")</f>
        <v/>
      </c>
      <c r="R402" s="307" t="str">
        <f ca="1">IFERROR(VLOOKUP($A398&amp;J402,competitors,4,FALSE),"")</f>
        <v/>
      </c>
    </row>
    <row r="403" spans="1:18" x14ac:dyDescent="0.35">
      <c r="A403" s="105">
        <f ca="1">IFERROR(VLOOKUP(A398,standards,3,FALSE)+0.01,"-")</f>
        <v>1.1599999999999999</v>
      </c>
      <c r="B403" s="105"/>
      <c r="C403" s="298">
        <v>3</v>
      </c>
      <c r="D403" s="298">
        <f ca="1">IFERROR(IF(C403&gt;MatchDay!$U$2,"",VLOOKUP($A398,timetables,MatchDay!$U$4+C403-1,FALSE)),0)</f>
        <v>6</v>
      </c>
      <c r="E403" s="286" t="str">
        <f ca="1">IFERROR(VLOOKUP($A398&amp;D403,downloads!$A$1:$E$1000,2,FALSE),"")</f>
        <v/>
      </c>
      <c r="F403" s="286" t="str">
        <f t="shared" ca="1" si="101"/>
        <v>Stock</v>
      </c>
      <c r="G403" s="291"/>
      <c r="H403" s="297"/>
      <c r="I403" s="298">
        <v>3</v>
      </c>
      <c r="J403" s="298">
        <f t="shared" ca="1" si="102"/>
        <v>66</v>
      </c>
      <c r="K403" s="286" t="str">
        <f ca="1">IFERROR(VLOOKUP($A398&amp;J403,downloads!$A$1:$E$1000,2,FALSE),"")</f>
        <v/>
      </c>
      <c r="L403" s="286" t="str">
        <f t="shared" ca="1" si="100"/>
        <v>Stock</v>
      </c>
      <c r="O403" s="299"/>
      <c r="Q403" s="307" t="str">
        <f ca="1">IFERROR(VLOOKUP($A398&amp;D403,competitors,4,FALSE),"")</f>
        <v/>
      </c>
      <c r="R403" s="307" t="str">
        <f ca="1">IFERROR(VLOOKUP($A398&amp;J403,competitors,4,FALSE),"")</f>
        <v/>
      </c>
    </row>
    <row r="404" spans="1:18" x14ac:dyDescent="0.35">
      <c r="A404" s="105">
        <f ca="1">IFERROR(VLOOKUP(A398,standards,4,FALSE)+0.01,"-")</f>
        <v>1.21</v>
      </c>
      <c r="B404" s="105"/>
      <c r="C404" s="298">
        <v>4</v>
      </c>
      <c r="D404" s="298">
        <f ca="1">IFERROR(IF(C404&gt;MatchDay!$U$2,"",VLOOKUP($A398,timetables,MatchDay!$U$4+C404-1,FALSE)),0)</f>
        <v>7</v>
      </c>
      <c r="E404" s="286" t="str">
        <f ca="1">IFERROR(VLOOKUP($A398&amp;D404,downloads!$A$1:$E$1000,2,FALSE),"")</f>
        <v>Lauren HEWITT</v>
      </c>
      <c r="F404" s="286" t="str">
        <f t="shared" ca="1" si="101"/>
        <v>Wigan</v>
      </c>
      <c r="G404" s="291"/>
      <c r="H404" s="297"/>
      <c r="I404" s="298">
        <v>4</v>
      </c>
      <c r="J404" s="298">
        <f t="shared" ca="1" si="102"/>
        <v>77</v>
      </c>
      <c r="K404" s="286" t="str">
        <f ca="1">IFERROR(VLOOKUP($A398&amp;J404,downloads!$A$1:$E$1000,2,FALSE),"")</f>
        <v>Kady HALL</v>
      </c>
      <c r="L404" s="286" t="str">
        <f t="shared" ca="1" si="100"/>
        <v>Wigan</v>
      </c>
      <c r="O404" s="299"/>
      <c r="Q404" s="307">
        <f ca="1">IFERROR(VLOOKUP($A398&amp;D404,competitors,4,FALSE),"")</f>
        <v>1</v>
      </c>
      <c r="R404" s="307">
        <f ca="1">IFERROR(VLOOKUP($A398&amp;J404,competitors,4,FALSE),"")</f>
        <v>1</v>
      </c>
    </row>
    <row r="405" spans="1:18" x14ac:dyDescent="0.35">
      <c r="A405" s="105">
        <f ca="1">IFERROR(VLOOKUP(A398,standards,5,FALSE)+0.01,"-")</f>
        <v>1.26</v>
      </c>
      <c r="B405" s="105"/>
      <c r="C405" s="298">
        <v>5</v>
      </c>
      <c r="D405" s="298">
        <f ca="1">IFERROR(IF(C405&gt;MatchDay!$U$2,"",VLOOKUP($A398,timetables,MatchDay!$U$4+C405-1,FALSE)),0)</f>
        <v>3</v>
      </c>
      <c r="E405" s="286" t="str">
        <f ca="1">IFERROR(VLOOKUP($A398&amp;D405,downloads!$A$1:$E$1000,2,FALSE),"")</f>
        <v>Freya CASH</v>
      </c>
      <c r="F405" s="286" t="str">
        <f t="shared" ca="1" si="101"/>
        <v>Leigh</v>
      </c>
      <c r="G405" s="291"/>
      <c r="H405" s="297"/>
      <c r="I405" s="298">
        <v>5</v>
      </c>
      <c r="J405" s="298">
        <f t="shared" ca="1" si="102"/>
        <v>33</v>
      </c>
      <c r="K405" s="286" t="str">
        <f ca="1">IFERROR(VLOOKUP($A398&amp;J405,downloads!$A$1:$E$1000,2,FALSE),"")</f>
        <v>Gabriella TAYLOR</v>
      </c>
      <c r="L405" s="286" t="str">
        <f t="shared" ca="1" si="100"/>
        <v>Leigh</v>
      </c>
      <c r="O405" s="299"/>
      <c r="Q405" s="307">
        <f ca="1">IFERROR(VLOOKUP($A398&amp;D405,competitors,4,FALSE),"")</f>
        <v>1</v>
      </c>
      <c r="R405" s="307">
        <f ca="1">IFERROR(VLOOKUP($A398&amp;J405,competitors,4,FALSE),"")</f>
        <v>1</v>
      </c>
    </row>
    <row r="406" spans="1:18" x14ac:dyDescent="0.35">
      <c r="A406" s="105">
        <f ca="1">IFERROR(VLOOKUP(A398,standards,6,FALSE)+0.01,"-")</f>
        <v>1.31</v>
      </c>
      <c r="B406" s="105"/>
      <c r="C406" s="298">
        <v>6</v>
      </c>
      <c r="D406" s="298">
        <f ca="1">IFERROR(IF(C406&gt;MatchDay!$U$2,"",VLOOKUP($A398,timetables,MatchDay!$U$4+C406-1,FALSE)),0)</f>
        <v>4</v>
      </c>
      <c r="E406" s="286" t="str">
        <f ca="1">IFERROR(VLOOKUP($A398&amp;D406,downloads!$A$1:$E$1000,2,FALSE),"")</f>
        <v/>
      </c>
      <c r="F406" s="286" t="str">
        <f t="shared" ca="1" si="101"/>
        <v>Macc</v>
      </c>
      <c r="G406" s="291"/>
      <c r="H406" s="297"/>
      <c r="I406" s="298">
        <v>6</v>
      </c>
      <c r="J406" s="298">
        <f t="shared" ca="1" si="102"/>
        <v>44</v>
      </c>
      <c r="K406" s="286" t="str">
        <f ca="1">IFERROR(VLOOKUP($A398&amp;J406,downloads!$A$1:$E$1000,2,FALSE),"")</f>
        <v/>
      </c>
      <c r="L406" s="286" t="str">
        <f t="shared" ca="1" si="100"/>
        <v>Macc</v>
      </c>
      <c r="O406" s="299"/>
      <c r="Q406" s="307" t="str">
        <f ca="1">IFERROR(VLOOKUP($A398&amp;D406,competitors,4,FALSE),"")</f>
        <v/>
      </c>
      <c r="R406" s="307" t="str">
        <f ca="1">IFERROR(VLOOKUP($A398&amp;J406,competitors,4,FALSE),"")</f>
        <v/>
      </c>
    </row>
    <row r="407" spans="1:18" x14ac:dyDescent="0.35">
      <c r="A407" s="300">
        <f ca="1">IFERROR(SEARCH("Girls",C398),0)</f>
        <v>15</v>
      </c>
      <c r="C407" s="298">
        <v>7</v>
      </c>
      <c r="D407" s="298">
        <f ca="1">IFERROR(IF(C407&gt;MatchDay!$U$2,"",VLOOKUP($A398,timetables,MatchDay!$U$4+C407-1,FALSE)),0)</f>
        <v>5</v>
      </c>
      <c r="E407" s="286" t="str">
        <f ca="1">IFERROR(VLOOKUP($A398&amp;D407,downloads!$A$1:$E$1000,2,FALSE),"")</f>
        <v>Krista JONES</v>
      </c>
      <c r="F407" s="286" t="str">
        <f t="shared" ca="1" si="101"/>
        <v>Menai</v>
      </c>
      <c r="G407" s="291"/>
      <c r="H407" s="297"/>
      <c r="I407" s="298">
        <v>7</v>
      </c>
      <c r="J407" s="298">
        <f t="shared" ca="1" si="102"/>
        <v>55</v>
      </c>
      <c r="K407" s="286" t="str">
        <f ca="1">IFERROR(VLOOKUP($A398&amp;J407,downloads!$A$1:$E$1000,2,FALSE),"")</f>
        <v/>
      </c>
      <c r="L407" s="286" t="str">
        <f t="shared" ca="1" si="100"/>
        <v>Menai</v>
      </c>
      <c r="O407" s="299"/>
      <c r="Q407" s="307">
        <f ca="1">IFERROR(VLOOKUP($A398&amp;D407,competitors,4,FALSE),"")</f>
        <v>1</v>
      </c>
      <c r="R407" s="307" t="str">
        <f ca="1">IFERROR(VLOOKUP($A398&amp;J407,competitors,4,FALSE),"")</f>
        <v/>
      </c>
    </row>
    <row r="408" spans="1:18" x14ac:dyDescent="0.35">
      <c r="A408" s="103">
        <f ca="1">IFERROR(VLOOKUP(A398,records,5,FALSE),"")</f>
        <v>1.73</v>
      </c>
      <c r="B408" s="103"/>
      <c r="C408" s="298">
        <v>8</v>
      </c>
      <c r="D408" s="298" t="str">
        <f>IFERROR(IF(C408&gt;MatchDay!$U$2,"",VLOOKUP($A398,timetables,MatchDay!$U$4+C408-1,FALSE)),0)</f>
        <v/>
      </c>
      <c r="E408" s="286" t="str">
        <f ca="1">IFERROR(VLOOKUP($A398&amp;D408,downloads!$A$1:$E$1000,2,FALSE),"")</f>
        <v/>
      </c>
      <c r="F408" s="286" t="str">
        <f t="shared" si="101"/>
        <v/>
      </c>
      <c r="G408" s="291"/>
      <c r="H408" s="297"/>
      <c r="I408" s="298">
        <v>8</v>
      </c>
      <c r="J408" s="298" t="str">
        <f t="shared" si="102"/>
        <v/>
      </c>
      <c r="K408" s="286" t="str">
        <f ca="1">IFERROR(VLOOKUP($A398&amp;J408,downloads!$A$1:$E$1000,2,FALSE),"")</f>
        <v/>
      </c>
      <c r="L408" s="286" t="str">
        <f t="shared" si="100"/>
        <v/>
      </c>
      <c r="O408" s="299"/>
      <c r="Q408" s="307" t="str">
        <f ca="1">IFERROR(VLOOKUP($A398&amp;D408,competitors,4,FALSE),"")</f>
        <v/>
      </c>
      <c r="R408" s="307" t="str">
        <f ca="1">IFERROR(VLOOKUP($A398&amp;J408,competitors,4,FALSE),"")</f>
        <v/>
      </c>
    </row>
    <row r="409" spans="1:18" x14ac:dyDescent="0.35">
      <c r="Q409" s="307"/>
      <c r="R409" s="307"/>
    </row>
    <row r="410" spans="1:18" ht="15" customHeight="1" x14ac:dyDescent="0.35">
      <c r="A410" s="98" t="str">
        <f ca="1">IFERROR(INDIRECT(CONCATENATE("'Timetables'!A"&amp;A414)),"")</f>
        <v>LFD03</v>
      </c>
      <c r="B410" s="304" t="str">
        <f ca="1">IFERROR(TEXT(VLOOKUP(A410,timetables,7-MatchDay!$U$7,FALSE),"hh:mm"),"")</f>
        <v>11:45</v>
      </c>
      <c r="C410" s="292" t="str">
        <f ca="1">IFERROR(VLOOKUP(A410,timetables,2,FALSE)&amp;" "&amp;VLOOKUP(A410,timetables,3,FALSE)&amp;" A","")</f>
        <v>Shot U13 Girls A</v>
      </c>
      <c r="D410" s="292"/>
      <c r="F410" s="293"/>
      <c r="G410" s="294"/>
      <c r="L410" s="360"/>
      <c r="M410" s="296"/>
      <c r="N410" s="286"/>
      <c r="Q410" s="307"/>
      <c r="R410" s="307"/>
    </row>
    <row r="411" spans="1:18" ht="15" customHeight="1" x14ac:dyDescent="0.35">
      <c r="A411" s="98"/>
      <c r="B411" s="98"/>
      <c r="C411" s="295" t="str">
        <f ca="1">IFERROR("Rec: "&amp;VLOOKUP(A410,records,4,FALSE),"")</f>
        <v>Rec: 12.19 Meghan Porterfield, VP City of Glasgow, 2018</v>
      </c>
      <c r="D411" s="292"/>
      <c r="F411" s="293"/>
      <c r="G411" s="294"/>
      <c r="I411" s="295"/>
      <c r="L411" s="360"/>
      <c r="M411" s="296"/>
      <c r="N411" s="286"/>
      <c r="Q411" s="307"/>
      <c r="R411" s="307"/>
    </row>
    <row r="412" spans="1:18" ht="15" customHeight="1" x14ac:dyDescent="0.35">
      <c r="A412" s="82" t="str">
        <f ca="1">MID(A410,2,3)</f>
        <v>FD0</v>
      </c>
      <c r="B412" s="82"/>
      <c r="C412" s="304" t="s">
        <v>122</v>
      </c>
      <c r="D412" s="304" t="s">
        <v>141</v>
      </c>
      <c r="E412" s="286" t="s">
        <v>174</v>
      </c>
      <c r="F412" s="286" t="s">
        <v>175</v>
      </c>
      <c r="G412" s="291"/>
      <c r="I412" s="304" t="s">
        <v>122</v>
      </c>
      <c r="J412" s="304" t="s">
        <v>141</v>
      </c>
      <c r="K412" s="286" t="s">
        <v>174</v>
      </c>
      <c r="L412" s="286" t="s">
        <v>175</v>
      </c>
      <c r="O412" s="299"/>
      <c r="Q412" s="307"/>
      <c r="R412" s="307"/>
    </row>
    <row r="413" spans="1:18" ht="15" customHeight="1" x14ac:dyDescent="0.35">
      <c r="A413" s="138"/>
      <c r="B413" s="103"/>
      <c r="C413" s="298">
        <v>1</v>
      </c>
      <c r="D413" s="298">
        <f ca="1">IFERROR(IF(C413&gt;MatchDay!$U$2,"",VLOOKUP($A410,timetables,MatchDay!$U$4+C413-1,FALSE)),0)</f>
        <v>4</v>
      </c>
      <c r="E413" s="286" t="str">
        <f ca="1">IFERROR(VLOOKUP($A410&amp;D413,downloads!$A$1:$E$1000,2,FALSE),"")</f>
        <v>Holly WALKER</v>
      </c>
      <c r="F413" s="286" t="str">
        <f ca="1">IFERROR(VLOOKUP(D413,teamlookup,5,FALSE),"")</f>
        <v>Macc</v>
      </c>
      <c r="G413" s="291"/>
      <c r="H413" s="297"/>
      <c r="I413" s="298">
        <v>1</v>
      </c>
      <c r="J413" s="298">
        <f ca="1">IFERROR(D413*11,"")</f>
        <v>44</v>
      </c>
      <c r="K413" s="286" t="str">
        <f ca="1">IFERROR(VLOOKUP($A410&amp;J413,downloads!$A$1:$E$1000,2,FALSE),"")</f>
        <v>Eve O'DONNELL</v>
      </c>
      <c r="L413" s="286" t="str">
        <f t="shared" ref="L413:L420" ca="1" si="103">IFERROR(VLOOKUP(J413,teamlookup,5,FALSE),"")</f>
        <v>Macc</v>
      </c>
      <c r="O413" s="299"/>
      <c r="Q413" s="307">
        <f ca="1">IFERROR(VLOOKUP($A410&amp;D413,competitors,4,FALSE),"")</f>
        <v>1</v>
      </c>
      <c r="R413" s="307">
        <f ca="1">IFERROR(VLOOKUP($A410&amp;J413,competitors,4,FALSE),"")</f>
        <v>1</v>
      </c>
    </row>
    <row r="414" spans="1:18" ht="15" customHeight="1" x14ac:dyDescent="0.35">
      <c r="A414" s="304">
        <f>A402+1</f>
        <v>43</v>
      </c>
      <c r="C414" s="298">
        <v>2</v>
      </c>
      <c r="D414" s="298">
        <f ca="1">IFERROR(IF(C414&gt;MatchDay!$U$2,"",VLOOKUP($A410,timetables,MatchDay!$U$4+C414-1,FALSE)),0)</f>
        <v>1</v>
      </c>
      <c r="E414" s="286" t="str">
        <f ca="1">IFERROR(VLOOKUP($A410&amp;D414,downloads!$A$1:$E$1000,2,FALSE),"")</f>
        <v>Freya HOWELLS</v>
      </c>
      <c r="F414" s="286" t="str">
        <f t="shared" ref="F414:F420" ca="1" si="104">IFERROR(VLOOKUP(D414,teamlookup,5,FALSE),"")</f>
        <v>C&amp;N</v>
      </c>
      <c r="G414" s="291"/>
      <c r="H414" s="297"/>
      <c r="I414" s="298">
        <v>2</v>
      </c>
      <c r="J414" s="298">
        <f t="shared" ref="J414:J420" ca="1" si="105">IFERROR(D414*11,"")</f>
        <v>11</v>
      </c>
      <c r="K414" s="286" t="str">
        <f ca="1">IFERROR(VLOOKUP($A410&amp;J414,downloads!$A$1:$E$1000,2,FALSE),"")</f>
        <v>Malkia HENRY</v>
      </c>
      <c r="L414" s="286" t="str">
        <f t="shared" ca="1" si="103"/>
        <v>C&amp;N</v>
      </c>
      <c r="O414" s="299"/>
      <c r="Q414" s="307">
        <f ca="1">IFERROR(VLOOKUP($A410&amp;D414,competitors,4,FALSE),"")</f>
        <v>1</v>
      </c>
      <c r="R414" s="307">
        <f ca="1">IFERROR(VLOOKUP($A410&amp;J414,competitors,4,FALSE),"")</f>
        <v>1</v>
      </c>
    </row>
    <row r="415" spans="1:18" ht="15" customHeight="1" x14ac:dyDescent="0.35">
      <c r="A415" s="105">
        <f ca="1">IFERROR(VLOOKUP(A410,standards,3,FALSE)+0.01,"-")</f>
        <v>5.01</v>
      </c>
      <c r="B415" s="105"/>
      <c r="C415" s="298">
        <v>3</v>
      </c>
      <c r="D415" s="298">
        <f ca="1">IFERROR(IF(C415&gt;MatchDay!$U$2,"",VLOOKUP($A410,timetables,MatchDay!$U$4+C415-1,FALSE)),0)</f>
        <v>5</v>
      </c>
      <c r="E415" s="286" t="str">
        <f ca="1">IFERROR(VLOOKUP($A410&amp;D415,downloads!$A$1:$E$1000,2,FALSE),"")</f>
        <v>Martha BOWN</v>
      </c>
      <c r="F415" s="286" t="str">
        <f t="shared" ca="1" si="104"/>
        <v>Menai</v>
      </c>
      <c r="G415" s="291"/>
      <c r="H415" s="297"/>
      <c r="I415" s="298">
        <v>3</v>
      </c>
      <c r="J415" s="298">
        <f t="shared" ca="1" si="105"/>
        <v>55</v>
      </c>
      <c r="K415" s="286" t="str">
        <f ca="1">IFERROR(VLOOKUP($A410&amp;J415,downloads!$A$1:$E$1000,2,FALSE),"")</f>
        <v/>
      </c>
      <c r="L415" s="286" t="str">
        <f t="shared" ca="1" si="103"/>
        <v>Menai</v>
      </c>
      <c r="O415" s="299"/>
      <c r="Q415" s="307">
        <f ca="1">IFERROR(VLOOKUP($A410&amp;D415,competitors,4,FALSE),"")</f>
        <v>1</v>
      </c>
      <c r="R415" s="307" t="str">
        <f ca="1">IFERROR(VLOOKUP($A410&amp;J415,competitors,4,FALSE),"")</f>
        <v/>
      </c>
    </row>
    <row r="416" spans="1:18" ht="15" customHeight="1" x14ac:dyDescent="0.35">
      <c r="A416" s="105">
        <f ca="1">IFERROR(VLOOKUP(A410,standards,4,FALSE)+0.01,"-")</f>
        <v>5.51</v>
      </c>
      <c r="B416" s="105"/>
      <c r="C416" s="298">
        <v>4</v>
      </c>
      <c r="D416" s="298">
        <f ca="1">IFERROR(IF(C416&gt;MatchDay!$U$2,"",VLOOKUP($A410,timetables,MatchDay!$U$4+C416-1,FALSE)),0)</f>
        <v>7</v>
      </c>
      <c r="E416" s="286" t="str">
        <f ca="1">IFERROR(VLOOKUP($A410&amp;D416,downloads!$A$1:$E$1000,2,FALSE),"")</f>
        <v>Layla HALL</v>
      </c>
      <c r="F416" s="286" t="str">
        <f t="shared" ca="1" si="104"/>
        <v>Wigan</v>
      </c>
      <c r="G416" s="291"/>
      <c r="H416" s="297"/>
      <c r="I416" s="298">
        <v>4</v>
      </c>
      <c r="J416" s="298">
        <f t="shared" ca="1" si="105"/>
        <v>77</v>
      </c>
      <c r="K416" s="286" t="str">
        <f ca="1">IFERROR(VLOOKUP($A410&amp;J416,downloads!$A$1:$E$1000,2,FALSE),"")</f>
        <v>Maisie CADMAN</v>
      </c>
      <c r="L416" s="286" t="str">
        <f t="shared" ca="1" si="103"/>
        <v>Wigan</v>
      </c>
      <c r="O416" s="299"/>
      <c r="Q416" s="307">
        <f ca="1">IFERROR(VLOOKUP($A410&amp;D416,competitors,4,FALSE),"")</f>
        <v>1</v>
      </c>
      <c r="R416" s="307">
        <f ca="1">IFERROR(VLOOKUP($A410&amp;J416,competitors,4,FALSE),"")</f>
        <v>0</v>
      </c>
    </row>
    <row r="417" spans="1:18" ht="15" customHeight="1" x14ac:dyDescent="0.35">
      <c r="A417" s="105">
        <f ca="1">IFERROR(VLOOKUP(A410,standards,5,FALSE)+0.01,"-")</f>
        <v>6.01</v>
      </c>
      <c r="B417" s="105"/>
      <c r="C417" s="298">
        <v>5</v>
      </c>
      <c r="D417" s="298">
        <f ca="1">IFERROR(IF(C417&gt;MatchDay!$U$2,"",VLOOKUP($A410,timetables,MatchDay!$U$4+C417-1,FALSE)),0)</f>
        <v>3</v>
      </c>
      <c r="E417" s="286" t="str">
        <f ca="1">IFERROR(VLOOKUP($A410&amp;D417,downloads!$A$1:$E$1000,2,FALSE),"")</f>
        <v>Emily ASHTON</v>
      </c>
      <c r="F417" s="286" t="str">
        <f t="shared" ca="1" si="104"/>
        <v>Leigh</v>
      </c>
      <c r="G417" s="291"/>
      <c r="H417" s="297"/>
      <c r="I417" s="298">
        <v>5</v>
      </c>
      <c r="J417" s="298">
        <f t="shared" ca="1" si="105"/>
        <v>33</v>
      </c>
      <c r="K417" s="286" t="str">
        <f ca="1">IFERROR(VLOOKUP($A410&amp;J417,downloads!$A$1:$E$1000,2,FALSE),"")</f>
        <v>Aniko BEHARRIE</v>
      </c>
      <c r="L417" s="286" t="str">
        <f t="shared" ca="1" si="103"/>
        <v>Leigh</v>
      </c>
      <c r="O417" s="299"/>
      <c r="Q417" s="307">
        <f ca="1">IFERROR(VLOOKUP($A410&amp;D417,competitors,4,FALSE),"")</f>
        <v>1</v>
      </c>
      <c r="R417" s="307">
        <f ca="1">IFERROR(VLOOKUP($A410&amp;J417,competitors,4,FALSE),"")</f>
        <v>1</v>
      </c>
    </row>
    <row r="418" spans="1:18" ht="15" customHeight="1" x14ac:dyDescent="0.35">
      <c r="A418" s="105">
        <f ca="1">IFERROR(VLOOKUP(A410,standards,6,FALSE)+0.01,"-")</f>
        <v>6.51</v>
      </c>
      <c r="B418" s="105"/>
      <c r="C418" s="298">
        <v>6</v>
      </c>
      <c r="D418" s="298">
        <f ca="1">IFERROR(IF(C418&gt;MatchDay!$U$2,"",VLOOKUP($A410,timetables,MatchDay!$U$4+C418-1,FALSE)),0)</f>
        <v>6</v>
      </c>
      <c r="E418" s="286" t="str">
        <f ca="1">IFERROR(VLOOKUP($A410&amp;D418,downloads!$A$1:$E$1000,2,FALSE),"")</f>
        <v>Sophie LOW</v>
      </c>
      <c r="F418" s="286" t="str">
        <f t="shared" ca="1" si="104"/>
        <v>Stock</v>
      </c>
      <c r="G418" s="291"/>
      <c r="H418" s="297"/>
      <c r="I418" s="298">
        <v>6</v>
      </c>
      <c r="J418" s="298">
        <f t="shared" ca="1" si="105"/>
        <v>66</v>
      </c>
      <c r="K418" s="286" t="str">
        <f ca="1">IFERROR(VLOOKUP($A410&amp;J418,downloads!$A$1:$E$1000,2,FALSE),"")</f>
        <v>Emily WALTON</v>
      </c>
      <c r="L418" s="286" t="str">
        <f t="shared" ca="1" si="103"/>
        <v>Stock</v>
      </c>
      <c r="O418" s="299"/>
      <c r="Q418" s="307">
        <f ca="1">IFERROR(VLOOKUP($A410&amp;D418,competitors,4,FALSE),"")</f>
        <v>1</v>
      </c>
      <c r="R418" s="307">
        <f ca="1">IFERROR(VLOOKUP($A410&amp;J418,competitors,4,FALSE),"")</f>
        <v>1</v>
      </c>
    </row>
    <row r="419" spans="1:18" ht="15" customHeight="1" x14ac:dyDescent="0.35">
      <c r="A419" s="300">
        <f ca="1">IFERROR(SEARCH("Girls",C410),0)</f>
        <v>10</v>
      </c>
      <c r="C419" s="298">
        <v>7</v>
      </c>
      <c r="D419" s="298">
        <f ca="1">IFERROR(IF(C419&gt;MatchDay!$U$2,"",VLOOKUP($A410,timetables,MatchDay!$U$4+C419-1,FALSE)),0)</f>
        <v>2</v>
      </c>
      <c r="E419" s="286" t="str">
        <f ca="1">IFERROR(VLOOKUP($A410&amp;D419,downloads!$A$1:$E$1000,2,FALSE),"")</f>
        <v>Imogen MCBURNIE</v>
      </c>
      <c r="F419" s="286" t="str">
        <f t="shared" ca="1" si="104"/>
        <v>ECHT</v>
      </c>
      <c r="G419" s="291"/>
      <c r="H419" s="297"/>
      <c r="I419" s="298">
        <v>7</v>
      </c>
      <c r="J419" s="298">
        <f t="shared" ca="1" si="105"/>
        <v>22</v>
      </c>
      <c r="K419" s="286" t="str">
        <f ca="1">IFERROR(VLOOKUP($A410&amp;J419,downloads!$A$1:$E$1000,2,FALSE),"")</f>
        <v>Erin ROYLE</v>
      </c>
      <c r="L419" s="286" t="str">
        <f t="shared" ca="1" si="103"/>
        <v>ECHT</v>
      </c>
      <c r="O419" s="299"/>
      <c r="Q419" s="307">
        <f ca="1">IFERROR(VLOOKUP($A410&amp;D419,competitors,4,FALSE),"")</f>
        <v>1</v>
      </c>
      <c r="R419" s="307">
        <f ca="1">IFERROR(VLOOKUP($A410&amp;J419,competitors,4,FALSE),"")</f>
        <v>1</v>
      </c>
    </row>
    <row r="420" spans="1:18" ht="15" customHeight="1" x14ac:dyDescent="0.35">
      <c r="A420" s="103">
        <f ca="1">IFERROR(VLOOKUP(A410,records,5,FALSE),"")</f>
        <v>12.19</v>
      </c>
      <c r="B420" s="103"/>
      <c r="C420" s="298">
        <v>8</v>
      </c>
      <c r="D420" s="298" t="str">
        <f>IFERROR(IF(C420&gt;MatchDay!$U$2,"",VLOOKUP($A410,timetables,MatchDay!$U$4+C420-1,FALSE)),0)</f>
        <v/>
      </c>
      <c r="E420" s="286" t="str">
        <f ca="1">IFERROR(VLOOKUP($A410&amp;D420,downloads!$A$1:$E$1000,2,FALSE),"")</f>
        <v/>
      </c>
      <c r="F420" s="286" t="str">
        <f t="shared" si="104"/>
        <v/>
      </c>
      <c r="G420" s="291"/>
      <c r="H420" s="297"/>
      <c r="I420" s="298">
        <v>8</v>
      </c>
      <c r="J420" s="298" t="str">
        <f t="shared" si="105"/>
        <v/>
      </c>
      <c r="K420" s="286" t="str">
        <f ca="1">IFERROR(VLOOKUP($A410&amp;J420,downloads!$A$1:$E$1000,2,FALSE),"")</f>
        <v/>
      </c>
      <c r="L420" s="286" t="str">
        <f t="shared" si="103"/>
        <v/>
      </c>
      <c r="O420" s="299"/>
      <c r="Q420" s="307" t="str">
        <f ca="1">IFERROR(VLOOKUP($A410&amp;D420,competitors,4,FALSE),"")</f>
        <v/>
      </c>
      <c r="R420" s="307" t="str">
        <f ca="1">IFERROR(VLOOKUP($A410&amp;J420,competitors,4,FALSE),"")</f>
        <v/>
      </c>
    </row>
    <row r="421" spans="1:18" ht="15" customHeight="1" x14ac:dyDescent="0.35">
      <c r="Q421" s="307"/>
      <c r="R421" s="307"/>
    </row>
    <row r="422" spans="1:18" x14ac:dyDescent="0.35">
      <c r="A422" s="98" t="str">
        <f ca="1">IFERROR(INDIRECT(CONCATENATE("'Timetables'!A"&amp;A426)),"")</f>
        <v>LFD04</v>
      </c>
      <c r="B422" s="304" t="str">
        <f ca="1">IFERROR(TEXT(VLOOKUP(A422,timetables,7-MatchDay!$U$7,FALSE),"hh:mm"),"")</f>
        <v>12:15</v>
      </c>
      <c r="C422" s="292" t="str">
        <f ca="1">IFERROR(VLOOKUP(A422,timetables,2,FALSE)&amp;" "&amp;VLOOKUP(A422,timetables,3,FALSE)&amp;" A","")</f>
        <v>Discus U15 Boys A</v>
      </c>
      <c r="D422" s="292"/>
      <c r="F422" s="293"/>
      <c r="G422" s="294"/>
      <c r="L422" s="360"/>
      <c r="M422" s="296"/>
      <c r="N422" s="286"/>
      <c r="Q422" s="307"/>
      <c r="R422" s="307"/>
    </row>
    <row r="423" spans="1:18" x14ac:dyDescent="0.35">
      <c r="A423" s="98"/>
      <c r="B423" s="98"/>
      <c r="C423" s="295" t="str">
        <f ca="1">IFERROR("Rec: "&amp;VLOOKUP(A422,records,4,FALSE),"")</f>
        <v>Rec: 49.53 Alfie Scopes, Tonbridge AC, 2014</v>
      </c>
      <c r="D423" s="292"/>
      <c r="F423" s="293"/>
      <c r="G423" s="294"/>
      <c r="I423" s="295"/>
      <c r="L423" s="360"/>
      <c r="M423" s="296"/>
      <c r="N423" s="286"/>
      <c r="Q423" s="307"/>
      <c r="R423" s="307"/>
    </row>
    <row r="424" spans="1:18" x14ac:dyDescent="0.35">
      <c r="A424" s="82" t="str">
        <f ca="1">MID(A422,2,3)</f>
        <v>FD0</v>
      </c>
      <c r="B424" s="82"/>
      <c r="C424" s="304" t="s">
        <v>122</v>
      </c>
      <c r="D424" s="304" t="s">
        <v>141</v>
      </c>
      <c r="E424" s="286" t="s">
        <v>174</v>
      </c>
      <c r="F424" s="286" t="s">
        <v>175</v>
      </c>
      <c r="G424" s="291"/>
      <c r="I424" s="304" t="s">
        <v>122</v>
      </c>
      <c r="J424" s="304" t="s">
        <v>141</v>
      </c>
      <c r="K424" s="286" t="s">
        <v>174</v>
      </c>
      <c r="L424" s="286" t="s">
        <v>175</v>
      </c>
      <c r="O424" s="299"/>
      <c r="Q424" s="307"/>
      <c r="R424" s="307"/>
    </row>
    <row r="425" spans="1:18" x14ac:dyDescent="0.35">
      <c r="A425" s="138"/>
      <c r="B425" s="103"/>
      <c r="C425" s="298">
        <v>1</v>
      </c>
      <c r="D425" s="298">
        <f ca="1">IFERROR(IF(C425&gt;MatchDay!$U$2,"",VLOOKUP($A422,timetables,MatchDay!$U$4+C425-1,FALSE)),0)</f>
        <v>6</v>
      </c>
      <c r="E425" s="286" t="str">
        <f ca="1">IFERROR(VLOOKUP($A422&amp;D425,downloads!$A$1:$E$1000,2,FALSE),"")</f>
        <v/>
      </c>
      <c r="F425" s="286" t="str">
        <f ca="1">IFERROR(VLOOKUP(D425,teamlookup,5,FALSE),"")</f>
        <v>Stock</v>
      </c>
      <c r="G425" s="291"/>
      <c r="H425" s="297"/>
      <c r="I425" s="298">
        <v>1</v>
      </c>
      <c r="J425" s="298">
        <f ca="1">IFERROR(D425*11,"")</f>
        <v>66</v>
      </c>
      <c r="K425" s="286" t="str">
        <f ca="1">IFERROR(VLOOKUP($A422&amp;J425,downloads!$A$1:$E$1000,2,FALSE),"")</f>
        <v/>
      </c>
      <c r="L425" s="286" t="str">
        <f t="shared" ref="L425:L432" ca="1" si="106">IFERROR(VLOOKUP(J425,teamlookup,5,FALSE),"")</f>
        <v>Stock</v>
      </c>
      <c r="O425" s="299"/>
      <c r="Q425" s="307" t="str">
        <f ca="1">IFERROR(VLOOKUP($A422&amp;D425,competitors,4,FALSE),"")</f>
        <v/>
      </c>
      <c r="R425" s="307" t="str">
        <f ca="1">IFERROR(VLOOKUP($A422&amp;J425,competitors,4,FALSE),"")</f>
        <v/>
      </c>
    </row>
    <row r="426" spans="1:18" x14ac:dyDescent="0.35">
      <c r="A426" s="304">
        <f>A414+1</f>
        <v>44</v>
      </c>
      <c r="C426" s="298">
        <v>2</v>
      </c>
      <c r="D426" s="298">
        <f ca="1">IFERROR(IF(C426&gt;MatchDay!$U$2,"",VLOOKUP($A422,timetables,MatchDay!$U$4+C426-1,FALSE)),0)</f>
        <v>2</v>
      </c>
      <c r="E426" s="286" t="str">
        <f ca="1">IFERROR(VLOOKUP($A422&amp;D426,downloads!$A$1:$E$1000,2,FALSE),"")</f>
        <v/>
      </c>
      <c r="F426" s="286" t="str">
        <f t="shared" ref="F426:F432" ca="1" si="107">IFERROR(VLOOKUP(D426,teamlookup,5,FALSE),"")</f>
        <v>ECHT</v>
      </c>
      <c r="G426" s="291"/>
      <c r="H426" s="297"/>
      <c r="I426" s="298">
        <v>2</v>
      </c>
      <c r="J426" s="298">
        <f t="shared" ref="J426:J432" ca="1" si="108">IFERROR(D426*11,"")</f>
        <v>22</v>
      </c>
      <c r="K426" s="286" t="str">
        <f ca="1">IFERROR(VLOOKUP($A422&amp;J426,downloads!$A$1:$E$1000,2,FALSE),"")</f>
        <v/>
      </c>
      <c r="L426" s="286" t="str">
        <f t="shared" ca="1" si="106"/>
        <v>ECHT</v>
      </c>
      <c r="O426" s="299"/>
      <c r="Q426" s="307" t="str">
        <f ca="1">IFERROR(VLOOKUP($A422&amp;D426,competitors,4,FALSE),"")</f>
        <v/>
      </c>
      <c r="R426" s="307" t="str">
        <f ca="1">IFERROR(VLOOKUP($A422&amp;J426,competitors,4,FALSE),"")</f>
        <v/>
      </c>
    </row>
    <row r="427" spans="1:18" x14ac:dyDescent="0.35">
      <c r="A427" s="105">
        <f ca="1">IFERROR(VLOOKUP(A422,standards,3,FALSE)+0.01,"-")</f>
        <v>16.010000000000002</v>
      </c>
      <c r="B427" s="105"/>
      <c r="C427" s="298">
        <v>3</v>
      </c>
      <c r="D427" s="298">
        <f ca="1">IFERROR(IF(C427&gt;MatchDay!$U$2,"",VLOOKUP($A422,timetables,MatchDay!$U$4+C427-1,FALSE)),0)</f>
        <v>4</v>
      </c>
      <c r="E427" s="286" t="str">
        <f ca="1">IFERROR(VLOOKUP($A422&amp;D427,downloads!$A$1:$E$1000,2,FALSE),"")</f>
        <v/>
      </c>
      <c r="F427" s="286" t="str">
        <f t="shared" ca="1" si="107"/>
        <v>Macc</v>
      </c>
      <c r="G427" s="291"/>
      <c r="H427" s="297"/>
      <c r="I427" s="298">
        <v>3</v>
      </c>
      <c r="J427" s="298">
        <f t="shared" ca="1" si="108"/>
        <v>44</v>
      </c>
      <c r="K427" s="286" t="str">
        <f ca="1">IFERROR(VLOOKUP($A422&amp;J427,downloads!$A$1:$E$1000,2,FALSE),"")</f>
        <v/>
      </c>
      <c r="L427" s="286" t="str">
        <f t="shared" ca="1" si="106"/>
        <v>Macc</v>
      </c>
      <c r="O427" s="299"/>
      <c r="Q427" s="307" t="str">
        <f ca="1">IFERROR(VLOOKUP($A422&amp;D427,competitors,4,FALSE),"")</f>
        <v/>
      </c>
      <c r="R427" s="307" t="str">
        <f ca="1">IFERROR(VLOOKUP($A422&amp;J427,competitors,4,FALSE),"")</f>
        <v/>
      </c>
    </row>
    <row r="428" spans="1:18" x14ac:dyDescent="0.35">
      <c r="A428" s="105">
        <f ca="1">IFERROR(VLOOKUP(A422,standards,4,FALSE)+0.01,"-")</f>
        <v>18.010000000000002</v>
      </c>
      <c r="B428" s="105"/>
      <c r="C428" s="298">
        <v>4</v>
      </c>
      <c r="D428" s="298">
        <f ca="1">IFERROR(IF(C428&gt;MatchDay!$U$2,"",VLOOKUP($A422,timetables,MatchDay!$U$4+C428-1,FALSE)),0)</f>
        <v>3</v>
      </c>
      <c r="E428" s="286" t="str">
        <f ca="1">IFERROR(VLOOKUP($A422&amp;D428,downloads!$A$1:$E$1000,2,FALSE),"")</f>
        <v/>
      </c>
      <c r="F428" s="286" t="str">
        <f t="shared" ca="1" si="107"/>
        <v>Leigh</v>
      </c>
      <c r="G428" s="291"/>
      <c r="H428" s="297"/>
      <c r="I428" s="298">
        <v>4</v>
      </c>
      <c r="J428" s="298">
        <f t="shared" ca="1" si="108"/>
        <v>33</v>
      </c>
      <c r="K428" s="286" t="str">
        <f ca="1">IFERROR(VLOOKUP($A422&amp;J428,downloads!$A$1:$E$1000,2,FALSE),"")</f>
        <v/>
      </c>
      <c r="L428" s="286" t="str">
        <f t="shared" ca="1" si="106"/>
        <v>Leigh</v>
      </c>
      <c r="O428" s="299"/>
      <c r="Q428" s="307" t="str">
        <f ca="1">IFERROR(VLOOKUP($A422&amp;D428,competitors,4,FALSE),"")</f>
        <v/>
      </c>
      <c r="R428" s="307" t="str">
        <f ca="1">IFERROR(VLOOKUP($A422&amp;J428,competitors,4,FALSE),"")</f>
        <v/>
      </c>
    </row>
    <row r="429" spans="1:18" x14ac:dyDescent="0.35">
      <c r="A429" s="105">
        <f ca="1">IFERROR(VLOOKUP(A422,standards,5,FALSE)+0.01,"-")</f>
        <v>20.010000000000002</v>
      </c>
      <c r="B429" s="105"/>
      <c r="C429" s="298">
        <v>5</v>
      </c>
      <c r="D429" s="298">
        <f ca="1">IFERROR(IF(C429&gt;MatchDay!$U$2,"",VLOOKUP($A422,timetables,MatchDay!$U$4+C429-1,FALSE)),0)</f>
        <v>1</v>
      </c>
      <c r="E429" s="286" t="str">
        <f ca="1">IFERROR(VLOOKUP($A422&amp;D429,downloads!$A$1:$E$1000,2,FALSE),"")</f>
        <v>Jack TILLEY</v>
      </c>
      <c r="F429" s="286" t="str">
        <f t="shared" ca="1" si="107"/>
        <v>C&amp;N</v>
      </c>
      <c r="G429" s="291"/>
      <c r="H429" s="297"/>
      <c r="I429" s="298">
        <v>5</v>
      </c>
      <c r="J429" s="298">
        <f t="shared" ca="1" si="108"/>
        <v>11</v>
      </c>
      <c r="K429" s="286" t="str">
        <f ca="1">IFERROR(VLOOKUP($A422&amp;J429,downloads!$A$1:$E$1000,2,FALSE),"")</f>
        <v>Oliver BORG-HEFFERNAN</v>
      </c>
      <c r="L429" s="286" t="str">
        <f t="shared" ca="1" si="106"/>
        <v>C&amp;N</v>
      </c>
      <c r="O429" s="299"/>
      <c r="Q429" s="307">
        <f ca="1">IFERROR(VLOOKUP($A422&amp;D429,competitors,4,FALSE),"")</f>
        <v>1</v>
      </c>
      <c r="R429" s="307">
        <f ca="1">IFERROR(VLOOKUP($A422&amp;J429,competitors,4,FALSE),"")</f>
        <v>1</v>
      </c>
    </row>
    <row r="430" spans="1:18" x14ac:dyDescent="0.35">
      <c r="A430" s="105">
        <f ca="1">IFERROR(VLOOKUP(A422,standards,6,FALSE)+0.01,"-")</f>
        <v>22.01</v>
      </c>
      <c r="B430" s="105"/>
      <c r="C430" s="298">
        <v>6</v>
      </c>
      <c r="D430" s="298">
        <f ca="1">IFERROR(IF(C430&gt;MatchDay!$U$2,"",VLOOKUP($A422,timetables,MatchDay!$U$4+C430-1,FALSE)),0)</f>
        <v>5</v>
      </c>
      <c r="E430" s="286" t="str">
        <f ca="1">IFERROR(VLOOKUP($A422&amp;D430,downloads!$A$1:$E$1000,2,FALSE),"")</f>
        <v/>
      </c>
      <c r="F430" s="286" t="str">
        <f t="shared" ca="1" si="107"/>
        <v>Menai</v>
      </c>
      <c r="G430" s="291"/>
      <c r="H430" s="297"/>
      <c r="I430" s="298">
        <v>6</v>
      </c>
      <c r="J430" s="298">
        <f t="shared" ca="1" si="108"/>
        <v>55</v>
      </c>
      <c r="K430" s="286" t="str">
        <f ca="1">IFERROR(VLOOKUP($A422&amp;J430,downloads!$A$1:$E$1000,2,FALSE),"")</f>
        <v/>
      </c>
      <c r="L430" s="286" t="str">
        <f t="shared" ca="1" si="106"/>
        <v>Menai</v>
      </c>
      <c r="O430" s="299"/>
      <c r="Q430" s="307" t="str">
        <f ca="1">IFERROR(VLOOKUP($A422&amp;D430,competitors,4,FALSE),"")</f>
        <v/>
      </c>
      <c r="R430" s="307" t="str">
        <f ca="1">IFERROR(VLOOKUP($A422&amp;J430,competitors,4,FALSE),"")</f>
        <v/>
      </c>
    </row>
    <row r="431" spans="1:18" x14ac:dyDescent="0.35">
      <c r="A431" s="300">
        <f ca="1">IFERROR(SEARCH("Girls",C422),0)</f>
        <v>0</v>
      </c>
      <c r="C431" s="298">
        <v>7</v>
      </c>
      <c r="D431" s="298">
        <f ca="1">IFERROR(IF(C431&gt;MatchDay!$U$2,"",VLOOKUP($A422,timetables,MatchDay!$U$4+C431-1,FALSE)),0)</f>
        <v>7</v>
      </c>
      <c r="E431" s="286" t="str">
        <f ca="1">IFERROR(VLOOKUP($A422&amp;D431,downloads!$A$1:$E$1000,2,FALSE),"")</f>
        <v/>
      </c>
      <c r="F431" s="286" t="str">
        <f t="shared" ca="1" si="107"/>
        <v>Wigan</v>
      </c>
      <c r="G431" s="291"/>
      <c r="H431" s="297"/>
      <c r="I431" s="298">
        <v>7</v>
      </c>
      <c r="J431" s="298">
        <f t="shared" ca="1" si="108"/>
        <v>77</v>
      </c>
      <c r="K431" s="286" t="str">
        <f ca="1">IFERROR(VLOOKUP($A422&amp;J431,downloads!$A$1:$E$1000,2,FALSE),"")</f>
        <v/>
      </c>
      <c r="L431" s="286" t="str">
        <f t="shared" ca="1" si="106"/>
        <v>Wigan</v>
      </c>
      <c r="O431" s="299"/>
      <c r="Q431" s="307" t="str">
        <f ca="1">IFERROR(VLOOKUP($A422&amp;D431,competitors,4,FALSE),"")</f>
        <v/>
      </c>
      <c r="R431" s="307" t="str">
        <f ca="1">IFERROR(VLOOKUP($A422&amp;J431,competitors,4,FALSE),"")</f>
        <v/>
      </c>
    </row>
    <row r="432" spans="1:18" x14ac:dyDescent="0.35">
      <c r="A432" s="103">
        <f ca="1">IFERROR(VLOOKUP(A422,records,5,FALSE),"")</f>
        <v>49.53</v>
      </c>
      <c r="B432" s="103"/>
      <c r="C432" s="298">
        <v>8</v>
      </c>
      <c r="D432" s="298" t="str">
        <f>IFERROR(IF(C432&gt;MatchDay!$U$2,"",VLOOKUP($A422,timetables,MatchDay!$U$4+C432-1,FALSE)),0)</f>
        <v/>
      </c>
      <c r="E432" s="286" t="str">
        <f ca="1">IFERROR(VLOOKUP($A422&amp;D432,downloads!$A$1:$E$1000,2,FALSE),"")</f>
        <v/>
      </c>
      <c r="F432" s="286" t="str">
        <f t="shared" si="107"/>
        <v/>
      </c>
      <c r="G432" s="291"/>
      <c r="H432" s="297"/>
      <c r="I432" s="298">
        <v>8</v>
      </c>
      <c r="J432" s="298" t="str">
        <f t="shared" si="108"/>
        <v/>
      </c>
      <c r="K432" s="286" t="str">
        <f ca="1">IFERROR(VLOOKUP($A422&amp;J432,downloads!$A$1:$E$1000,2,FALSE),"")</f>
        <v/>
      </c>
      <c r="L432" s="286" t="str">
        <f t="shared" si="106"/>
        <v/>
      </c>
      <c r="O432" s="299"/>
      <c r="Q432" s="307" t="str">
        <f ca="1">IFERROR(VLOOKUP($A422&amp;D432,competitors,4,FALSE),"")</f>
        <v/>
      </c>
      <c r="R432" s="307" t="str">
        <f ca="1">IFERROR(VLOOKUP($A422&amp;J432,competitors,4,FALSE),"")</f>
        <v/>
      </c>
    </row>
    <row r="433" spans="1:18" x14ac:dyDescent="0.35">
      <c r="Q433" s="307"/>
      <c r="R433" s="307"/>
    </row>
    <row r="434" spans="1:18" ht="15" customHeight="1" x14ac:dyDescent="0.35">
      <c r="A434" s="98" t="str">
        <f ca="1">IFERROR(INDIRECT(CONCATENATE("'Timetables'!A"&amp;A438)),"")</f>
        <v>LFW02</v>
      </c>
      <c r="B434" s="304" t="str">
        <f ca="1">IFERROR(TEXT(VLOOKUP(A434,timetables,7-MatchDay!$U$7,FALSE),"hh:mm"),"")</f>
        <v>13:00</v>
      </c>
      <c r="C434" s="292" t="str">
        <f ca="1">IFERROR(VLOOKUP(A434,timetables,2,FALSE)&amp;" "&amp;VLOOKUP(A434,timetables,3,FALSE)&amp;" A","")</f>
        <v>Long Jump U15 Girls A</v>
      </c>
      <c r="D434" s="292"/>
      <c r="F434" s="293"/>
      <c r="G434" s="294"/>
      <c r="L434" s="360"/>
      <c r="M434" s="296"/>
      <c r="N434" s="286"/>
      <c r="Q434" s="307"/>
      <c r="R434" s="307"/>
    </row>
    <row r="435" spans="1:18" ht="15" customHeight="1" x14ac:dyDescent="0.35">
      <c r="A435" s="98"/>
      <c r="B435" s="98"/>
      <c r="C435" s="295" t="str">
        <f ca="1">IFERROR("Rec: "&amp;VLOOKUP(A434,records,4,FALSE),"")</f>
        <v>Rec: 5.65 Daisy Snell, Blackheath &amp; Bromley Harriers AC, 2021</v>
      </c>
      <c r="D435" s="292"/>
      <c r="F435" s="293"/>
      <c r="G435" s="294"/>
      <c r="I435" s="295"/>
      <c r="L435" s="360"/>
      <c r="M435" s="296"/>
      <c r="N435" s="286"/>
      <c r="Q435" s="307"/>
      <c r="R435" s="307"/>
    </row>
    <row r="436" spans="1:18" ht="15" customHeight="1" x14ac:dyDescent="0.35">
      <c r="A436" s="82" t="str">
        <f ca="1">MID(A434,2,3)</f>
        <v>FW0</v>
      </c>
      <c r="B436" s="82"/>
      <c r="C436" s="304" t="s">
        <v>122</v>
      </c>
      <c r="D436" s="304" t="s">
        <v>141</v>
      </c>
      <c r="E436" s="286" t="s">
        <v>174</v>
      </c>
      <c r="F436" s="286" t="s">
        <v>175</v>
      </c>
      <c r="G436" s="291"/>
      <c r="I436" s="304" t="s">
        <v>122</v>
      </c>
      <c r="J436" s="304" t="s">
        <v>141</v>
      </c>
      <c r="K436" s="286" t="s">
        <v>174</v>
      </c>
      <c r="L436" s="286" t="s">
        <v>175</v>
      </c>
      <c r="O436" s="299"/>
      <c r="Q436" s="307"/>
      <c r="R436" s="307"/>
    </row>
    <row r="437" spans="1:18" ht="15" customHeight="1" x14ac:dyDescent="0.35">
      <c r="A437" s="138"/>
      <c r="B437" s="103"/>
      <c r="C437" s="298">
        <v>1</v>
      </c>
      <c r="D437" s="298">
        <f ca="1">IFERROR(IF(C437&gt;MatchDay!$U$2,"",VLOOKUP($A434,timetables,MatchDay!$U$4+C437-1,FALSE)),0)</f>
        <v>4</v>
      </c>
      <c r="E437" s="286" t="str">
        <f ca="1">IFERROR(VLOOKUP($A434&amp;D437,downloads!$A$1:$E$1000,2,FALSE),"")</f>
        <v>Elizabeth PENDRILL</v>
      </c>
      <c r="F437" s="286" t="str">
        <f ca="1">IFERROR(VLOOKUP(D437,teamlookup,5,FALSE),"")</f>
        <v>Macc</v>
      </c>
      <c r="G437" s="291"/>
      <c r="H437" s="297"/>
      <c r="I437" s="298">
        <v>1</v>
      </c>
      <c r="J437" s="298">
        <f ca="1">IFERROR(D437*11,"")</f>
        <v>44</v>
      </c>
      <c r="K437" s="286" t="str">
        <f ca="1">IFERROR(VLOOKUP($A434&amp;J437,downloads!$A$1:$E$1000,2,FALSE),"")</f>
        <v>Brooke SAYCE</v>
      </c>
      <c r="L437" s="286" t="str">
        <f t="shared" ref="L437:L444" ca="1" si="109">IFERROR(VLOOKUP(J437,teamlookup,5,FALSE),"")</f>
        <v>Macc</v>
      </c>
      <c r="O437" s="299"/>
      <c r="Q437" s="307">
        <f ca="1">IFERROR(VLOOKUP($A434&amp;D437,competitors,4,FALSE),"")</f>
        <v>1</v>
      </c>
      <c r="R437" s="307">
        <f ca="1">IFERROR(VLOOKUP($A434&amp;J437,competitors,4,FALSE),"")</f>
        <v>1</v>
      </c>
    </row>
    <row r="438" spans="1:18" ht="15" customHeight="1" x14ac:dyDescent="0.35">
      <c r="A438" s="304">
        <f>A426+1</f>
        <v>45</v>
      </c>
      <c r="C438" s="298">
        <v>2</v>
      </c>
      <c r="D438" s="298">
        <f ca="1">IFERROR(IF(C438&gt;MatchDay!$U$2,"",VLOOKUP($A434,timetables,MatchDay!$U$4+C438-1,FALSE)),0)</f>
        <v>2</v>
      </c>
      <c r="E438" s="286" t="str">
        <f ca="1">IFERROR(VLOOKUP($A434&amp;D438,downloads!$A$1:$E$1000,2,FALSE),"")</f>
        <v>Ava ROYLE</v>
      </c>
      <c r="F438" s="286" t="str">
        <f t="shared" ref="F438:F444" ca="1" si="110">IFERROR(VLOOKUP(D438,teamlookup,5,FALSE),"")</f>
        <v>ECHT</v>
      </c>
      <c r="G438" s="291"/>
      <c r="H438" s="297"/>
      <c r="I438" s="298">
        <v>2</v>
      </c>
      <c r="J438" s="298">
        <f t="shared" ref="J438:J444" ca="1" si="111">IFERROR(D438*11,"")</f>
        <v>22</v>
      </c>
      <c r="K438" s="286" t="str">
        <f ca="1">IFERROR(VLOOKUP($A434&amp;J438,downloads!$A$1:$E$1000,2,FALSE),"")</f>
        <v/>
      </c>
      <c r="L438" s="286" t="str">
        <f t="shared" ca="1" si="109"/>
        <v>ECHT</v>
      </c>
      <c r="O438" s="299"/>
      <c r="Q438" s="307">
        <f ca="1">IFERROR(VLOOKUP($A434&amp;D438,competitors,4,FALSE),"")</f>
        <v>1</v>
      </c>
      <c r="R438" s="307" t="str">
        <f ca="1">IFERROR(VLOOKUP($A434&amp;J438,competitors,4,FALSE),"")</f>
        <v/>
      </c>
    </row>
    <row r="439" spans="1:18" ht="15" customHeight="1" x14ac:dyDescent="0.35">
      <c r="A439" s="105">
        <f ca="1">IFERROR(VLOOKUP(A434,standards,3,FALSE)+0.01,"-")</f>
        <v>3.26</v>
      </c>
      <c r="B439" s="105"/>
      <c r="C439" s="298">
        <v>3</v>
      </c>
      <c r="D439" s="298">
        <f ca="1">IFERROR(IF(C439&gt;MatchDay!$U$2,"",VLOOKUP($A434,timetables,MatchDay!$U$4+C439-1,FALSE)),0)</f>
        <v>3</v>
      </c>
      <c r="E439" s="286" t="str">
        <f ca="1">IFERROR(VLOOKUP($A434&amp;D439,downloads!$A$1:$E$1000,2,FALSE),"")</f>
        <v>Olivia COPPER</v>
      </c>
      <c r="F439" s="286" t="str">
        <f t="shared" ca="1" si="110"/>
        <v>Leigh</v>
      </c>
      <c r="G439" s="291"/>
      <c r="H439" s="297"/>
      <c r="I439" s="298">
        <v>3</v>
      </c>
      <c r="J439" s="298">
        <f t="shared" ca="1" si="111"/>
        <v>33</v>
      </c>
      <c r="K439" s="286" t="str">
        <f ca="1">IFERROR(VLOOKUP($A434&amp;J439,downloads!$A$1:$E$1000,2,FALSE),"")</f>
        <v>Isobel EVANS</v>
      </c>
      <c r="L439" s="286" t="str">
        <f t="shared" ca="1" si="109"/>
        <v>Leigh</v>
      </c>
      <c r="O439" s="299"/>
      <c r="Q439" s="307">
        <f ca="1">IFERROR(VLOOKUP($A434&amp;D439,competitors,4,FALSE),"")</f>
        <v>1</v>
      </c>
      <c r="R439" s="307">
        <f ca="1">IFERROR(VLOOKUP($A434&amp;J439,competitors,4,FALSE),"")</f>
        <v>1</v>
      </c>
    </row>
    <row r="440" spans="1:18" ht="15" customHeight="1" x14ac:dyDescent="0.35">
      <c r="A440" s="105">
        <f ca="1">IFERROR(VLOOKUP(A434,standards,4,FALSE)+0.01,"-")</f>
        <v>3.51</v>
      </c>
      <c r="B440" s="105"/>
      <c r="C440" s="298">
        <v>4</v>
      </c>
      <c r="D440" s="298">
        <f ca="1">IFERROR(IF(C440&gt;MatchDay!$U$2,"",VLOOKUP($A434,timetables,MatchDay!$U$4+C440-1,FALSE)),0)</f>
        <v>1</v>
      </c>
      <c r="E440" s="286" t="str">
        <f ca="1">IFERROR(VLOOKUP($A434&amp;D440,downloads!$A$1:$E$1000,2,FALSE),"")</f>
        <v>Olivia WELCH</v>
      </c>
      <c r="F440" s="286" t="str">
        <f t="shared" ca="1" si="110"/>
        <v>C&amp;N</v>
      </c>
      <c r="G440" s="291"/>
      <c r="H440" s="297"/>
      <c r="I440" s="298">
        <v>4</v>
      </c>
      <c r="J440" s="298">
        <f t="shared" ca="1" si="111"/>
        <v>11</v>
      </c>
      <c r="K440" s="286" t="str">
        <f ca="1">IFERROR(VLOOKUP($A434&amp;J440,downloads!$A$1:$E$1000,2,FALSE),"")</f>
        <v>Mia O'DONNELL</v>
      </c>
      <c r="L440" s="286" t="str">
        <f t="shared" ca="1" si="109"/>
        <v>C&amp;N</v>
      </c>
      <c r="O440" s="299"/>
      <c r="Q440" s="307">
        <f ca="1">IFERROR(VLOOKUP($A434&amp;D440,competitors,4,FALSE),"")</f>
        <v>1</v>
      </c>
      <c r="R440" s="307">
        <f ca="1">IFERROR(VLOOKUP($A434&amp;J440,competitors,4,FALSE),"")</f>
        <v>1</v>
      </c>
    </row>
    <row r="441" spans="1:18" ht="15" customHeight="1" x14ac:dyDescent="0.35">
      <c r="A441" s="105">
        <f ca="1">IFERROR(VLOOKUP(A434,standards,5,FALSE)+0.01,"-")</f>
        <v>3.76</v>
      </c>
      <c r="B441" s="105"/>
      <c r="C441" s="298">
        <v>5</v>
      </c>
      <c r="D441" s="298">
        <f ca="1">IFERROR(IF(C441&gt;MatchDay!$U$2,"",VLOOKUP($A434,timetables,MatchDay!$U$4+C441-1,FALSE)),0)</f>
        <v>7</v>
      </c>
      <c r="E441" s="286" t="str">
        <f ca="1">IFERROR(VLOOKUP($A434&amp;D441,downloads!$A$1:$E$1000,2,FALSE),"")</f>
        <v>Emily WILSON</v>
      </c>
      <c r="F441" s="286" t="str">
        <f t="shared" ca="1" si="110"/>
        <v>Wigan</v>
      </c>
      <c r="G441" s="291"/>
      <c r="H441" s="297"/>
      <c r="I441" s="298">
        <v>5</v>
      </c>
      <c r="J441" s="298">
        <f t="shared" ca="1" si="111"/>
        <v>77</v>
      </c>
      <c r="K441" s="286" t="str">
        <f ca="1">IFERROR(VLOOKUP($A434&amp;J441,downloads!$A$1:$E$1000,2,FALSE),"")</f>
        <v>Emma PIMBLETT</v>
      </c>
      <c r="L441" s="286" t="str">
        <f t="shared" ca="1" si="109"/>
        <v>Wigan</v>
      </c>
      <c r="O441" s="299"/>
      <c r="Q441" s="307">
        <f ca="1">IFERROR(VLOOKUP($A434&amp;D441,competitors,4,FALSE),"")</f>
        <v>1</v>
      </c>
      <c r="R441" s="307">
        <f ca="1">IFERROR(VLOOKUP($A434&amp;J441,competitors,4,FALSE),"")</f>
        <v>1</v>
      </c>
    </row>
    <row r="442" spans="1:18" ht="15" customHeight="1" x14ac:dyDescent="0.35">
      <c r="A442" s="105">
        <f ca="1">IFERROR(VLOOKUP(A434,standards,6,FALSE)+0.01,"-")</f>
        <v>4.01</v>
      </c>
      <c r="B442" s="105"/>
      <c r="C442" s="298">
        <v>6</v>
      </c>
      <c r="D442" s="298">
        <f ca="1">IFERROR(IF(C442&gt;MatchDay!$U$2,"",VLOOKUP($A434,timetables,MatchDay!$U$4+C442-1,FALSE)),0)</f>
        <v>5</v>
      </c>
      <c r="E442" s="286" t="str">
        <f ca="1">IFERROR(VLOOKUP($A434&amp;D442,downloads!$A$1:$E$1000,2,FALSE),"")</f>
        <v>Lily HARDY</v>
      </c>
      <c r="F442" s="286" t="str">
        <f t="shared" ca="1" si="110"/>
        <v>Menai</v>
      </c>
      <c r="G442" s="291"/>
      <c r="H442" s="297"/>
      <c r="I442" s="298">
        <v>6</v>
      </c>
      <c r="J442" s="298">
        <f t="shared" ca="1" si="111"/>
        <v>55</v>
      </c>
      <c r="K442" s="286" t="str">
        <f ca="1">IFERROR(VLOOKUP($A434&amp;J442,downloads!$A$1:$E$1000,2,FALSE),"")</f>
        <v>Mabli WILLIAMS</v>
      </c>
      <c r="L442" s="286" t="str">
        <f t="shared" ca="1" si="109"/>
        <v>Menai</v>
      </c>
      <c r="O442" s="299"/>
      <c r="Q442" s="307">
        <f ca="1">IFERROR(VLOOKUP($A434&amp;D442,competitors,4,FALSE),"")</f>
        <v>1</v>
      </c>
      <c r="R442" s="307">
        <f ca="1">IFERROR(VLOOKUP($A434&amp;J442,competitors,4,FALSE),"")</f>
        <v>1</v>
      </c>
    </row>
    <row r="443" spans="1:18" ht="15" customHeight="1" x14ac:dyDescent="0.35">
      <c r="A443" s="300">
        <f ca="1">IFERROR(SEARCH("Girls",C434),0)</f>
        <v>15</v>
      </c>
      <c r="C443" s="298">
        <v>7</v>
      </c>
      <c r="D443" s="298">
        <f ca="1">IFERROR(IF(C443&gt;MatchDay!$U$2,"",VLOOKUP($A434,timetables,MatchDay!$U$4+C443-1,FALSE)),0)</f>
        <v>6</v>
      </c>
      <c r="E443" s="286" t="str">
        <f ca="1">IFERROR(VLOOKUP($A434&amp;D443,downloads!$A$1:$E$1000,2,FALSE),"")</f>
        <v>Molly MILLS</v>
      </c>
      <c r="F443" s="286" t="str">
        <f t="shared" ca="1" si="110"/>
        <v>Stock</v>
      </c>
      <c r="G443" s="291"/>
      <c r="H443" s="297"/>
      <c r="I443" s="298">
        <v>7</v>
      </c>
      <c r="J443" s="298">
        <f t="shared" ca="1" si="111"/>
        <v>66</v>
      </c>
      <c r="K443" s="286" t="str">
        <f ca="1">IFERROR(VLOOKUP($A434&amp;J443,downloads!$A$1:$E$1000,2,FALSE),"")</f>
        <v/>
      </c>
      <c r="L443" s="286" t="str">
        <f t="shared" ca="1" si="109"/>
        <v>Stock</v>
      </c>
      <c r="O443" s="299"/>
      <c r="Q443" s="307">
        <f ca="1">IFERROR(VLOOKUP($A434&amp;D443,competitors,4,FALSE),"")</f>
        <v>1</v>
      </c>
      <c r="R443" s="307" t="str">
        <f ca="1">IFERROR(VLOOKUP($A434&amp;J443,competitors,4,FALSE),"")</f>
        <v/>
      </c>
    </row>
    <row r="444" spans="1:18" ht="15" customHeight="1" x14ac:dyDescent="0.35">
      <c r="A444" s="103">
        <f ca="1">IFERROR(VLOOKUP(A434,records,5,FALSE),"")</f>
        <v>5.65</v>
      </c>
      <c r="B444" s="103"/>
      <c r="C444" s="298">
        <v>8</v>
      </c>
      <c r="D444" s="298" t="str">
        <f>IFERROR(IF(C444&gt;MatchDay!$U$2,"",VLOOKUP($A434,timetables,MatchDay!$U$4+C444-1,FALSE)),0)</f>
        <v/>
      </c>
      <c r="E444" s="286" t="str">
        <f ca="1">IFERROR(VLOOKUP($A434&amp;D444,downloads!$A$1:$E$1000,2,FALSE),"")</f>
        <v/>
      </c>
      <c r="F444" s="286" t="str">
        <f t="shared" si="110"/>
        <v/>
      </c>
      <c r="G444" s="291"/>
      <c r="H444" s="297"/>
      <c r="I444" s="298">
        <v>8</v>
      </c>
      <c r="J444" s="298" t="str">
        <f t="shared" si="111"/>
        <v/>
      </c>
      <c r="K444" s="286" t="str">
        <f ca="1">IFERROR(VLOOKUP($A434&amp;J444,downloads!$A$1:$E$1000,2,FALSE),"")</f>
        <v/>
      </c>
      <c r="L444" s="286" t="str">
        <f t="shared" si="109"/>
        <v/>
      </c>
      <c r="O444" s="299"/>
      <c r="Q444" s="307" t="str">
        <f ca="1">IFERROR(VLOOKUP($A434&amp;D444,competitors,4,FALSE),"")</f>
        <v/>
      </c>
      <c r="R444" s="307" t="str">
        <f ca="1">IFERROR(VLOOKUP($A434&amp;J444,competitors,4,FALSE),"")</f>
        <v/>
      </c>
    </row>
    <row r="445" spans="1:18" ht="15" customHeight="1" x14ac:dyDescent="0.35">
      <c r="Q445" s="307"/>
      <c r="R445" s="307"/>
    </row>
    <row r="446" spans="1:18" ht="15" customHeight="1" x14ac:dyDescent="0.35">
      <c r="A446" s="98" t="str">
        <f ca="1">IFERROR(INDIRECT(CONCATENATE("'Timetables'!A"&amp;A450)),"")</f>
        <v>LFH02</v>
      </c>
      <c r="B446" s="304" t="str">
        <f ca="1">IFERROR(TEXT(VLOOKUP(A446,timetables,7-MatchDay!$U$7,FALSE),"hh:mm"),"")</f>
        <v>13:00</v>
      </c>
      <c r="C446" s="292" t="str">
        <f ca="1">IFERROR(VLOOKUP(A446,timetables,2,FALSE)&amp;" "&amp;VLOOKUP(A446,timetables,3,FALSE)&amp;" A","")</f>
        <v>High Jump U13 Boys A</v>
      </c>
      <c r="D446" s="292"/>
      <c r="F446" s="293"/>
      <c r="G446" s="294"/>
      <c r="L446" s="360"/>
      <c r="M446" s="296"/>
      <c r="N446" s="286"/>
      <c r="Q446" s="307"/>
      <c r="R446" s="307"/>
    </row>
    <row r="447" spans="1:18" ht="15" customHeight="1" x14ac:dyDescent="0.35">
      <c r="A447" s="98"/>
      <c r="B447" s="98"/>
      <c r="C447" s="295" t="str">
        <f ca="1">IFERROR("Rec: "&amp;VLOOKUP(A446,records,4,FALSE),"")</f>
        <v>Rec: 1.64 Luke Ball/Basil Zola, Yate/Sale, 2017</v>
      </c>
      <c r="D447" s="292"/>
      <c r="F447" s="293"/>
      <c r="G447" s="294"/>
      <c r="I447" s="295"/>
      <c r="L447" s="360"/>
      <c r="M447" s="296"/>
      <c r="N447" s="286"/>
      <c r="Q447" s="307"/>
      <c r="R447" s="307"/>
    </row>
    <row r="448" spans="1:18" ht="15" customHeight="1" x14ac:dyDescent="0.35">
      <c r="A448" s="82" t="str">
        <f ca="1">MID(A446,2,3)</f>
        <v>FH0</v>
      </c>
      <c r="B448" s="82"/>
      <c r="C448" s="304" t="s">
        <v>122</v>
      </c>
      <c r="D448" s="304" t="s">
        <v>141</v>
      </c>
      <c r="E448" s="286" t="s">
        <v>174</v>
      </c>
      <c r="F448" s="286" t="s">
        <v>175</v>
      </c>
      <c r="G448" s="291"/>
      <c r="I448" s="304" t="s">
        <v>122</v>
      </c>
      <c r="J448" s="304" t="s">
        <v>141</v>
      </c>
      <c r="K448" s="286" t="s">
        <v>174</v>
      </c>
      <c r="L448" s="286" t="s">
        <v>175</v>
      </c>
      <c r="O448" s="299"/>
      <c r="Q448" s="307"/>
      <c r="R448" s="307"/>
    </row>
    <row r="449" spans="1:18" ht="15" customHeight="1" x14ac:dyDescent="0.35">
      <c r="A449" s="138"/>
      <c r="B449" s="103"/>
      <c r="C449" s="298">
        <v>1</v>
      </c>
      <c r="D449" s="298">
        <f ca="1">IFERROR(IF(C449&gt;MatchDay!$U$2,"",VLOOKUP($A446,timetables,MatchDay!$U$4+C449-1,FALSE)),0)</f>
        <v>1</v>
      </c>
      <c r="E449" s="286" t="str">
        <f ca="1">IFERROR(VLOOKUP($A446&amp;D449,downloads!$A$1:$E$1000,2,FALSE),"")</f>
        <v>Ewan DAVIES</v>
      </c>
      <c r="F449" s="286" t="str">
        <f ca="1">IFERROR(VLOOKUP(D449,teamlookup,5,FALSE),"")</f>
        <v>C&amp;N</v>
      </c>
      <c r="G449" s="291"/>
      <c r="H449" s="297"/>
      <c r="I449" s="298">
        <v>1</v>
      </c>
      <c r="J449" s="298">
        <f ca="1">IFERROR(D449*11,"")</f>
        <v>11</v>
      </c>
      <c r="K449" s="286" t="str">
        <f ca="1">IFERROR(VLOOKUP($A446&amp;J449,downloads!$A$1:$E$1000,2,FALSE),"")</f>
        <v>Kaidan DOS REIS</v>
      </c>
      <c r="L449" s="286" t="str">
        <f t="shared" ref="L449:L456" ca="1" si="112">IFERROR(VLOOKUP(J449,teamlookup,5,FALSE),"")</f>
        <v>C&amp;N</v>
      </c>
      <c r="O449" s="299"/>
      <c r="Q449" s="307">
        <f ca="1">IFERROR(VLOOKUP($A434&amp;D449,competitors,4,FALSE),"")</f>
        <v>1</v>
      </c>
      <c r="R449" s="307">
        <f ca="1">IFERROR(VLOOKUP($A434&amp;J449,competitors,4,FALSE),"")</f>
        <v>1</v>
      </c>
    </row>
    <row r="450" spans="1:18" ht="15" customHeight="1" x14ac:dyDescent="0.35">
      <c r="A450" s="304">
        <f>A438+1</f>
        <v>46</v>
      </c>
      <c r="C450" s="298">
        <v>2</v>
      </c>
      <c r="D450" s="298">
        <f ca="1">IFERROR(IF(C450&gt;MatchDay!$U$2,"",VLOOKUP($A446,timetables,MatchDay!$U$4+C450-1,FALSE)),0)</f>
        <v>2</v>
      </c>
      <c r="E450" s="286" t="str">
        <f ca="1">IFERROR(VLOOKUP($A446&amp;D450,downloads!$A$1:$E$1000,2,FALSE),"")</f>
        <v>Ryan MCCARTHY</v>
      </c>
      <c r="F450" s="286" t="str">
        <f t="shared" ref="F450:F456" ca="1" si="113">IFERROR(VLOOKUP(D450,teamlookup,5,FALSE),"")</f>
        <v>ECHT</v>
      </c>
      <c r="G450" s="291"/>
      <c r="H450" s="297"/>
      <c r="I450" s="298">
        <v>2</v>
      </c>
      <c r="J450" s="298">
        <f t="shared" ref="J450:J456" ca="1" si="114">IFERROR(D450*11,"")</f>
        <v>22</v>
      </c>
      <c r="K450" s="286" t="str">
        <f ca="1">IFERROR(VLOOKUP($A446&amp;J450,downloads!$A$1:$E$1000,2,FALSE),"")</f>
        <v/>
      </c>
      <c r="L450" s="286" t="str">
        <f t="shared" ca="1" si="112"/>
        <v>ECHT</v>
      </c>
      <c r="O450" s="299"/>
      <c r="Q450" s="307">
        <f ca="1">IFERROR(VLOOKUP($A434&amp;D450,competitors,4,FALSE),"")</f>
        <v>1</v>
      </c>
      <c r="R450" s="307" t="str">
        <f ca="1">IFERROR(VLOOKUP($A434&amp;J450,competitors,4,FALSE),"")</f>
        <v/>
      </c>
    </row>
    <row r="451" spans="1:18" ht="15" customHeight="1" x14ac:dyDescent="0.35">
      <c r="A451" s="105">
        <f ca="1">IFERROR(VLOOKUP(A446,standards,3,FALSE)+0.01,"-")</f>
        <v>1.1100000000000001</v>
      </c>
      <c r="B451" s="105"/>
      <c r="C451" s="298">
        <v>3</v>
      </c>
      <c r="D451" s="298">
        <f ca="1">IFERROR(IF(C451&gt;MatchDay!$U$2,"",VLOOKUP($A446,timetables,MatchDay!$U$4+C451-1,FALSE)),0)</f>
        <v>6</v>
      </c>
      <c r="E451" s="286" t="str">
        <f ca="1">IFERROR(VLOOKUP($A446&amp;D451,downloads!$A$1:$E$1000,2,FALSE),"")</f>
        <v/>
      </c>
      <c r="F451" s="286" t="str">
        <f t="shared" ca="1" si="113"/>
        <v>Stock</v>
      </c>
      <c r="G451" s="291"/>
      <c r="H451" s="297"/>
      <c r="I451" s="298">
        <v>3</v>
      </c>
      <c r="J451" s="298">
        <f t="shared" ca="1" si="114"/>
        <v>66</v>
      </c>
      <c r="K451" s="286" t="str">
        <f ca="1">IFERROR(VLOOKUP($A446&amp;J451,downloads!$A$1:$E$1000,2,FALSE),"")</f>
        <v/>
      </c>
      <c r="L451" s="286" t="str">
        <f t="shared" ca="1" si="112"/>
        <v>Stock</v>
      </c>
      <c r="O451" s="299"/>
      <c r="Q451" s="307">
        <f ca="1">IFERROR(VLOOKUP($A434&amp;D451,competitors,4,FALSE),"")</f>
        <v>1</v>
      </c>
      <c r="R451" s="307" t="str">
        <f ca="1">IFERROR(VLOOKUP($A434&amp;J451,competitors,4,FALSE),"")</f>
        <v/>
      </c>
    </row>
    <row r="452" spans="1:18" ht="15" customHeight="1" x14ac:dyDescent="0.35">
      <c r="A452" s="105">
        <f ca="1">IFERROR(VLOOKUP(A446,standards,4,FALSE)+0.01,"-")</f>
        <v>1.1599999999999999</v>
      </c>
      <c r="B452" s="105"/>
      <c r="C452" s="298">
        <v>4</v>
      </c>
      <c r="D452" s="298">
        <f ca="1">IFERROR(IF(C452&gt;MatchDay!$U$2,"",VLOOKUP($A446,timetables,MatchDay!$U$4+C452-1,FALSE)),0)</f>
        <v>7</v>
      </c>
      <c r="E452" s="286" t="str">
        <f ca="1">IFERROR(VLOOKUP($A446&amp;D452,downloads!$A$1:$E$1000,2,FALSE),"")</f>
        <v>Samuel HODGKINSON</v>
      </c>
      <c r="F452" s="286" t="str">
        <f t="shared" ca="1" si="113"/>
        <v>Wigan</v>
      </c>
      <c r="G452" s="291"/>
      <c r="H452" s="297"/>
      <c r="I452" s="298">
        <v>4</v>
      </c>
      <c r="J452" s="298">
        <f t="shared" ca="1" si="114"/>
        <v>77</v>
      </c>
      <c r="K452" s="286" t="str">
        <f ca="1">IFERROR(VLOOKUP($A446&amp;J452,downloads!$A$1:$E$1000,2,FALSE),"")</f>
        <v>James DARBY</v>
      </c>
      <c r="L452" s="286" t="str">
        <f t="shared" ca="1" si="112"/>
        <v>Wigan</v>
      </c>
      <c r="O452" s="299"/>
      <c r="Q452" s="307">
        <f ca="1">IFERROR(VLOOKUP($A434&amp;D452,competitors,4,FALSE),"")</f>
        <v>1</v>
      </c>
      <c r="R452" s="307">
        <f ca="1">IFERROR(VLOOKUP($A434&amp;J452,competitors,4,FALSE),"")</f>
        <v>1</v>
      </c>
    </row>
    <row r="453" spans="1:18" ht="15" customHeight="1" x14ac:dyDescent="0.35">
      <c r="A453" s="105">
        <f ca="1">IFERROR(VLOOKUP(A446,standards,5,FALSE)+0.01,"-")</f>
        <v>1.21</v>
      </c>
      <c r="B453" s="105"/>
      <c r="C453" s="298">
        <v>5</v>
      </c>
      <c r="D453" s="298">
        <f ca="1">IFERROR(IF(C453&gt;MatchDay!$U$2,"",VLOOKUP($A446,timetables,MatchDay!$U$4+C453-1,FALSE)),0)</f>
        <v>3</v>
      </c>
      <c r="E453" s="286" t="str">
        <f ca="1">IFERROR(VLOOKUP($A446&amp;D453,downloads!$A$1:$E$1000,2,FALSE),"")</f>
        <v>Henri MANNION</v>
      </c>
      <c r="F453" s="286" t="str">
        <f t="shared" ca="1" si="113"/>
        <v>Leigh</v>
      </c>
      <c r="G453" s="291"/>
      <c r="H453" s="297"/>
      <c r="I453" s="298">
        <v>5</v>
      </c>
      <c r="J453" s="298">
        <f t="shared" ca="1" si="114"/>
        <v>33</v>
      </c>
      <c r="K453" s="286" t="str">
        <f ca="1">IFERROR(VLOOKUP($A446&amp;J453,downloads!$A$1:$E$1000,2,FALSE),"")</f>
        <v/>
      </c>
      <c r="L453" s="286" t="str">
        <f t="shared" ca="1" si="112"/>
        <v>Leigh</v>
      </c>
      <c r="O453" s="299"/>
      <c r="Q453" s="307">
        <f ca="1">IFERROR(VLOOKUP($A434&amp;D453,competitors,4,FALSE),"")</f>
        <v>1</v>
      </c>
      <c r="R453" s="307">
        <f ca="1">IFERROR(VLOOKUP($A434&amp;J453,competitors,4,FALSE),"")</f>
        <v>1</v>
      </c>
    </row>
    <row r="454" spans="1:18" ht="15" customHeight="1" x14ac:dyDescent="0.35">
      <c r="A454" s="105">
        <f ca="1">IFERROR(VLOOKUP(A446,standards,6,FALSE)+0.01,"-")</f>
        <v>1.26</v>
      </c>
      <c r="B454" s="105"/>
      <c r="C454" s="298">
        <v>6</v>
      </c>
      <c r="D454" s="298">
        <f ca="1">IFERROR(IF(C454&gt;MatchDay!$U$2,"",VLOOKUP($A446,timetables,MatchDay!$U$4+C454-1,FALSE)),0)</f>
        <v>4</v>
      </c>
      <c r="E454" s="286" t="str">
        <f ca="1">IFERROR(VLOOKUP($A446&amp;D454,downloads!$A$1:$E$1000,2,FALSE),"")</f>
        <v>Tomas BEDOYA</v>
      </c>
      <c r="F454" s="286" t="str">
        <f t="shared" ca="1" si="113"/>
        <v>Macc</v>
      </c>
      <c r="G454" s="291"/>
      <c r="H454" s="297"/>
      <c r="I454" s="298">
        <v>6</v>
      </c>
      <c r="J454" s="298">
        <f t="shared" ca="1" si="114"/>
        <v>44</v>
      </c>
      <c r="K454" s="286" t="str">
        <f ca="1">IFERROR(VLOOKUP($A446&amp;J454,downloads!$A$1:$E$1000,2,FALSE),"")</f>
        <v/>
      </c>
      <c r="L454" s="286" t="str">
        <f t="shared" ca="1" si="112"/>
        <v>Macc</v>
      </c>
      <c r="O454" s="299"/>
      <c r="Q454" s="307">
        <f ca="1">IFERROR(VLOOKUP($A434&amp;D454,competitors,4,FALSE),"")</f>
        <v>1</v>
      </c>
      <c r="R454" s="307">
        <f ca="1">IFERROR(VLOOKUP($A434&amp;J454,competitors,4,FALSE),"")</f>
        <v>1</v>
      </c>
    </row>
    <row r="455" spans="1:18" ht="15" customHeight="1" x14ac:dyDescent="0.35">
      <c r="A455" s="300">
        <f ca="1">IFERROR(SEARCH("Girls",C446),0)</f>
        <v>0</v>
      </c>
      <c r="C455" s="298">
        <v>7</v>
      </c>
      <c r="D455" s="298">
        <f ca="1">IFERROR(IF(C455&gt;MatchDay!$U$2,"",VLOOKUP($A446,timetables,MatchDay!$U$4+C455-1,FALSE)),0)</f>
        <v>5</v>
      </c>
      <c r="E455" s="286" t="str">
        <f ca="1">IFERROR(VLOOKUP($A446&amp;D455,downloads!$A$1:$E$1000,2,FALSE),"")</f>
        <v>Perry MARSLAND</v>
      </c>
      <c r="F455" s="286" t="str">
        <f t="shared" ca="1" si="113"/>
        <v>Menai</v>
      </c>
      <c r="G455" s="291"/>
      <c r="H455" s="297"/>
      <c r="I455" s="298">
        <v>7</v>
      </c>
      <c r="J455" s="298">
        <f t="shared" ca="1" si="114"/>
        <v>55</v>
      </c>
      <c r="K455" s="286" t="str">
        <f ca="1">IFERROR(VLOOKUP($A446&amp;J455,downloads!$A$1:$E$1000,2,FALSE),"")</f>
        <v/>
      </c>
      <c r="L455" s="286" t="str">
        <f t="shared" ca="1" si="112"/>
        <v>Menai</v>
      </c>
      <c r="O455" s="299"/>
      <c r="Q455" s="307">
        <f ca="1">IFERROR(VLOOKUP($A434&amp;D455,competitors,4,FALSE),"")</f>
        <v>1</v>
      </c>
      <c r="R455" s="307">
        <f ca="1">IFERROR(VLOOKUP($A434&amp;J455,competitors,4,FALSE),"")</f>
        <v>1</v>
      </c>
    </row>
    <row r="456" spans="1:18" ht="15" customHeight="1" x14ac:dyDescent="0.35">
      <c r="A456" s="103">
        <f ca="1">IFERROR(VLOOKUP(A446,records,5,FALSE),"")</f>
        <v>1.64</v>
      </c>
      <c r="B456" s="103"/>
      <c r="C456" s="298">
        <v>8</v>
      </c>
      <c r="D456" s="298" t="str">
        <f>IFERROR(IF(C456&gt;MatchDay!$U$2,"",VLOOKUP($A446,timetables,MatchDay!$U$4+C456-1,FALSE)),0)</f>
        <v/>
      </c>
      <c r="E456" s="286" t="str">
        <f ca="1">IFERROR(VLOOKUP($A446&amp;D456,downloads!$A$1:$E$1000,2,FALSE),"")</f>
        <v/>
      </c>
      <c r="F456" s="286" t="str">
        <f t="shared" si="113"/>
        <v/>
      </c>
      <c r="G456" s="291"/>
      <c r="H456" s="297"/>
      <c r="I456" s="298">
        <v>8</v>
      </c>
      <c r="J456" s="298" t="str">
        <f t="shared" si="114"/>
        <v/>
      </c>
      <c r="K456" s="286" t="str">
        <f ca="1">IFERROR(VLOOKUP($A446&amp;J456,downloads!$A$1:$E$1000,2,FALSE),"")</f>
        <v/>
      </c>
      <c r="L456" s="286" t="str">
        <f t="shared" si="112"/>
        <v/>
      </c>
      <c r="O456" s="299"/>
      <c r="Q456" s="307" t="str">
        <f ca="1">IFERROR(VLOOKUP($A434&amp;D456,competitors,4,FALSE),"")</f>
        <v/>
      </c>
      <c r="R456" s="307" t="str">
        <f ca="1">IFERROR(VLOOKUP($A434&amp;J456,competitors,4,FALSE),"")</f>
        <v/>
      </c>
    </row>
    <row r="457" spans="1:18" ht="15" customHeight="1" x14ac:dyDescent="0.35">
      <c r="Q457" s="307"/>
      <c r="R457" s="307"/>
    </row>
    <row r="458" spans="1:18" ht="15" customHeight="1" x14ac:dyDescent="0.35">
      <c r="A458" s="98" t="str">
        <f ca="1">IFERROR(INDIRECT(CONCATENATE("'Timetables'!A"&amp;A462)),"")</f>
        <v>LFH03</v>
      </c>
      <c r="B458" s="304" t="str">
        <f ca="1">IFERROR(TEXT(VLOOKUP(A458,timetables,7-MatchDay!$U$7,FALSE),"hh:mm"),"")</f>
        <v>13:00</v>
      </c>
      <c r="C458" s="292" t="str">
        <f ca="1">IFERROR(VLOOKUP(A458,timetables,2,FALSE)&amp;" "&amp;VLOOKUP(A458,timetables,3,FALSE)&amp;" A","")</f>
        <v>High Jump U13 Girls A</v>
      </c>
      <c r="D458" s="292"/>
      <c r="F458" s="293"/>
      <c r="G458" s="294"/>
      <c r="L458" s="360"/>
      <c r="M458" s="296"/>
      <c r="N458" s="286"/>
      <c r="Q458" s="307"/>
      <c r="R458" s="307"/>
    </row>
    <row r="459" spans="1:18" ht="15" customHeight="1" x14ac:dyDescent="0.35">
      <c r="A459" s="98"/>
      <c r="B459" s="98"/>
      <c r="C459" s="295" t="str">
        <f ca="1">IFERROR("Rec: "&amp;VLOOKUP(A458,records,4,FALSE),"")</f>
        <v>Rec: 1.61 Thea Brown, Sale Harriers, 2019</v>
      </c>
      <c r="D459" s="292"/>
      <c r="F459" s="293"/>
      <c r="G459" s="294"/>
      <c r="I459" s="295"/>
      <c r="L459" s="360"/>
      <c r="M459" s="296"/>
      <c r="N459" s="286"/>
      <c r="Q459" s="307"/>
      <c r="R459" s="307"/>
    </row>
    <row r="460" spans="1:18" ht="15" customHeight="1" x14ac:dyDescent="0.35">
      <c r="A460" s="82" t="str">
        <f ca="1">MID(A458,2,3)</f>
        <v>FH0</v>
      </c>
      <c r="B460" s="82"/>
      <c r="C460" s="304" t="s">
        <v>122</v>
      </c>
      <c r="D460" s="304" t="s">
        <v>141</v>
      </c>
      <c r="E460" s="286" t="s">
        <v>174</v>
      </c>
      <c r="F460" s="286" t="s">
        <v>175</v>
      </c>
      <c r="G460" s="291"/>
      <c r="I460" s="304" t="s">
        <v>122</v>
      </c>
      <c r="J460" s="304" t="s">
        <v>141</v>
      </c>
      <c r="K460" s="286" t="s">
        <v>174</v>
      </c>
      <c r="L460" s="286" t="s">
        <v>175</v>
      </c>
      <c r="O460" s="299"/>
      <c r="Q460" s="307"/>
      <c r="R460" s="307"/>
    </row>
    <row r="461" spans="1:18" ht="15" customHeight="1" x14ac:dyDescent="0.35">
      <c r="A461" s="138"/>
      <c r="B461" s="103"/>
      <c r="C461" s="298">
        <v>1</v>
      </c>
      <c r="D461" s="298">
        <f ca="1">IFERROR(IF(C461&gt;MatchDay!$U$2,"",VLOOKUP($A458,timetables,MatchDay!$U$4+C461-1,FALSE)),0)</f>
        <v>1</v>
      </c>
      <c r="E461" s="286" t="str">
        <f ca="1">IFERROR(VLOOKUP($A458&amp;D461,downloads!$A$1:$E$1000,2,FALSE),"")</f>
        <v>Jasmine COOPER</v>
      </c>
      <c r="F461" s="286" t="str">
        <f ca="1">IFERROR(VLOOKUP(D461,teamlookup,5,FALSE),"")</f>
        <v>C&amp;N</v>
      </c>
      <c r="G461" s="291"/>
      <c r="H461" s="297"/>
      <c r="I461" s="298">
        <v>1</v>
      </c>
      <c r="J461" s="298">
        <f ca="1">IFERROR(D461*11,"")</f>
        <v>11</v>
      </c>
      <c r="K461" s="286" t="str">
        <f ca="1">IFERROR(VLOOKUP($A458&amp;J461,downloads!$A$1:$E$1000,2,FALSE),"")</f>
        <v>Ruby WILKINS</v>
      </c>
      <c r="L461" s="286" t="str">
        <f t="shared" ref="L461:L468" ca="1" si="115">IFERROR(VLOOKUP(J461,teamlookup,5,FALSE),"")</f>
        <v>C&amp;N</v>
      </c>
      <c r="O461" s="299"/>
      <c r="Q461" s="307">
        <f ca="1">IFERROR(VLOOKUP($A458&amp;D461,competitors,4,FALSE),"")</f>
        <v>1</v>
      </c>
      <c r="R461" s="307">
        <f ca="1">IFERROR(VLOOKUP($A458&amp;J461,competitors,4,FALSE),"")</f>
        <v>1</v>
      </c>
    </row>
    <row r="462" spans="1:18" ht="15" customHeight="1" x14ac:dyDescent="0.35">
      <c r="A462" s="304">
        <f>A450+1</f>
        <v>47</v>
      </c>
      <c r="C462" s="298">
        <v>2</v>
      </c>
      <c r="D462" s="298">
        <f ca="1">IFERROR(IF(C462&gt;MatchDay!$U$2,"",VLOOKUP($A458,timetables,MatchDay!$U$4+C462-1,FALSE)),0)</f>
        <v>2</v>
      </c>
      <c r="E462" s="286" t="str">
        <f ca="1">IFERROR(VLOOKUP($A458&amp;D462,downloads!$A$1:$E$1000,2,FALSE),"")</f>
        <v>Imogen MCBURNIE</v>
      </c>
      <c r="F462" s="286" t="str">
        <f t="shared" ref="F462:F468" ca="1" si="116">IFERROR(VLOOKUP(D462,teamlookup,5,FALSE),"")</f>
        <v>ECHT</v>
      </c>
      <c r="G462" s="291"/>
      <c r="H462" s="297"/>
      <c r="I462" s="298">
        <v>2</v>
      </c>
      <c r="J462" s="298">
        <f t="shared" ref="J462:J468" ca="1" si="117">IFERROR(D462*11,"")</f>
        <v>22</v>
      </c>
      <c r="K462" s="286" t="str">
        <f ca="1">IFERROR(VLOOKUP($A458&amp;J462,downloads!$A$1:$E$1000,2,FALSE),"")</f>
        <v>Scarlett LYNE</v>
      </c>
      <c r="L462" s="286" t="str">
        <f t="shared" ca="1" si="115"/>
        <v>ECHT</v>
      </c>
      <c r="O462" s="299"/>
      <c r="Q462" s="307">
        <f ca="1">IFERROR(VLOOKUP($A458&amp;D462,competitors,4,FALSE),"")</f>
        <v>1</v>
      </c>
      <c r="R462" s="307">
        <f ca="1">IFERROR(VLOOKUP($A458&amp;J462,competitors,4,FALSE),"")</f>
        <v>1</v>
      </c>
    </row>
    <row r="463" spans="1:18" ht="15" customHeight="1" x14ac:dyDescent="0.35">
      <c r="A463" s="105">
        <f ca="1">IFERROR(VLOOKUP(A458,standards,3,FALSE)+0.01,"-")</f>
        <v>1.01</v>
      </c>
      <c r="B463" s="105"/>
      <c r="C463" s="298">
        <v>3</v>
      </c>
      <c r="D463" s="298">
        <f ca="1">IFERROR(IF(C463&gt;MatchDay!$U$2,"",VLOOKUP($A458,timetables,MatchDay!$U$4+C463-1,FALSE)),0)</f>
        <v>6</v>
      </c>
      <c r="E463" s="286" t="str">
        <f ca="1">IFERROR(VLOOKUP($A458&amp;D463,downloads!$A$1:$E$1000,2,FALSE),"")</f>
        <v/>
      </c>
      <c r="F463" s="286" t="str">
        <f t="shared" ca="1" si="116"/>
        <v>Stock</v>
      </c>
      <c r="G463" s="291"/>
      <c r="H463" s="297"/>
      <c r="I463" s="298">
        <v>3</v>
      </c>
      <c r="J463" s="298">
        <f t="shared" ca="1" si="117"/>
        <v>66</v>
      </c>
      <c r="K463" s="286" t="str">
        <f ca="1">IFERROR(VLOOKUP($A458&amp;J463,downloads!$A$1:$E$1000,2,FALSE),"")</f>
        <v/>
      </c>
      <c r="L463" s="286" t="str">
        <f t="shared" ca="1" si="115"/>
        <v>Stock</v>
      </c>
      <c r="O463" s="299"/>
      <c r="Q463" s="307" t="str">
        <f ca="1">IFERROR(VLOOKUP($A458&amp;D463,competitors,4,FALSE),"")</f>
        <v/>
      </c>
      <c r="R463" s="307" t="str">
        <f ca="1">IFERROR(VLOOKUP($A458&amp;J463,competitors,4,FALSE),"")</f>
        <v/>
      </c>
    </row>
    <row r="464" spans="1:18" ht="15" customHeight="1" x14ac:dyDescent="0.35">
      <c r="A464" s="105">
        <f ca="1">IFERROR(VLOOKUP(A458,standards,4,FALSE)+0.01,"-")</f>
        <v>1.06</v>
      </c>
      <c r="B464" s="105"/>
      <c r="C464" s="298">
        <v>4</v>
      </c>
      <c r="D464" s="298">
        <f ca="1">IFERROR(IF(C464&gt;MatchDay!$U$2,"",VLOOKUP($A458,timetables,MatchDay!$U$4+C464-1,FALSE)),0)</f>
        <v>7</v>
      </c>
      <c r="E464" s="286" t="str">
        <f ca="1">IFERROR(VLOOKUP($A458&amp;D464,downloads!$A$1:$E$1000,2,FALSE),"")</f>
        <v>Layla HALL</v>
      </c>
      <c r="F464" s="286" t="str">
        <f t="shared" ca="1" si="116"/>
        <v>Wigan</v>
      </c>
      <c r="G464" s="291"/>
      <c r="H464" s="297"/>
      <c r="I464" s="298">
        <v>4</v>
      </c>
      <c r="J464" s="298">
        <f t="shared" ca="1" si="117"/>
        <v>77</v>
      </c>
      <c r="K464" s="286" t="str">
        <f ca="1">IFERROR(VLOOKUP($A458&amp;J464,downloads!$A$1:$E$1000,2,FALSE),"")</f>
        <v>Mia LACEY</v>
      </c>
      <c r="L464" s="286" t="str">
        <f t="shared" ca="1" si="115"/>
        <v>Wigan</v>
      </c>
      <c r="O464" s="299"/>
      <c r="Q464" s="307">
        <f ca="1">IFERROR(VLOOKUP($A458&amp;D464,competitors,4,FALSE),"")</f>
        <v>1</v>
      </c>
      <c r="R464" s="307">
        <f ca="1">IFERROR(VLOOKUP($A458&amp;J464,competitors,4,FALSE),"")</f>
        <v>1</v>
      </c>
    </row>
    <row r="465" spans="1:18" ht="15" customHeight="1" x14ac:dyDescent="0.35">
      <c r="A465" s="105">
        <f ca="1">IFERROR(VLOOKUP(A458,standards,5,FALSE)+0.01,"-")</f>
        <v>1.1100000000000001</v>
      </c>
      <c r="B465" s="105"/>
      <c r="C465" s="298">
        <v>5</v>
      </c>
      <c r="D465" s="298">
        <f ca="1">IFERROR(IF(C465&gt;MatchDay!$U$2,"",VLOOKUP($A458,timetables,MatchDay!$U$4+C465-1,FALSE)),0)</f>
        <v>3</v>
      </c>
      <c r="E465" s="286" t="str">
        <f ca="1">IFERROR(VLOOKUP($A458&amp;D465,downloads!$A$1:$E$1000,2,FALSE),"")</f>
        <v>Lois MELLING</v>
      </c>
      <c r="F465" s="286" t="str">
        <f t="shared" ca="1" si="116"/>
        <v>Leigh</v>
      </c>
      <c r="G465" s="291"/>
      <c r="H465" s="297"/>
      <c r="I465" s="298">
        <v>5</v>
      </c>
      <c r="J465" s="298">
        <f t="shared" ca="1" si="117"/>
        <v>33</v>
      </c>
      <c r="K465" s="286" t="str">
        <f ca="1">IFERROR(VLOOKUP($A458&amp;J465,downloads!$A$1:$E$1000,2,FALSE),"")</f>
        <v>Maddison PENDLEBURY</v>
      </c>
      <c r="L465" s="286" t="str">
        <f t="shared" ca="1" si="115"/>
        <v>Leigh</v>
      </c>
      <c r="O465" s="299"/>
      <c r="Q465" s="307">
        <f ca="1">IFERROR(VLOOKUP($A458&amp;D465,competitors,4,FALSE),"")</f>
        <v>1</v>
      </c>
      <c r="R465" s="307">
        <f ca="1">IFERROR(VLOOKUP($A458&amp;J465,competitors,4,FALSE),"")</f>
        <v>1</v>
      </c>
    </row>
    <row r="466" spans="1:18" ht="15" customHeight="1" x14ac:dyDescent="0.35">
      <c r="A466" s="105">
        <f ca="1">IFERROR(VLOOKUP(A458,standards,6,FALSE)+0.01,"-")</f>
        <v>1.1599999999999999</v>
      </c>
      <c r="B466" s="105"/>
      <c r="C466" s="298">
        <v>6</v>
      </c>
      <c r="D466" s="298">
        <f ca="1">IFERROR(IF(C466&gt;MatchDay!$U$2,"",VLOOKUP($A458,timetables,MatchDay!$U$4+C466-1,FALSE)),0)</f>
        <v>4</v>
      </c>
      <c r="E466" s="286" t="str">
        <f ca="1">IFERROR(VLOOKUP($A458&amp;D466,downloads!$A$1:$E$1000,2,FALSE),"")</f>
        <v>Eve O'DONNELL</v>
      </c>
      <c r="F466" s="286" t="str">
        <f t="shared" ca="1" si="116"/>
        <v>Macc</v>
      </c>
      <c r="G466" s="291"/>
      <c r="H466" s="297"/>
      <c r="I466" s="298">
        <v>6</v>
      </c>
      <c r="J466" s="298">
        <f t="shared" ca="1" si="117"/>
        <v>44</v>
      </c>
      <c r="K466" s="286" t="str">
        <f ca="1">IFERROR(VLOOKUP($A458&amp;J466,downloads!$A$1:$E$1000,2,FALSE),"")</f>
        <v>Lauren HARPER</v>
      </c>
      <c r="L466" s="286" t="str">
        <f t="shared" ca="1" si="115"/>
        <v>Macc</v>
      </c>
      <c r="O466" s="299"/>
      <c r="Q466" s="307">
        <f ca="1">IFERROR(VLOOKUP($A458&amp;D466,competitors,4,FALSE),"")</f>
        <v>1</v>
      </c>
      <c r="R466" s="307">
        <f ca="1">IFERROR(VLOOKUP($A458&amp;J466,competitors,4,FALSE),"")</f>
        <v>1</v>
      </c>
    </row>
    <row r="467" spans="1:18" ht="15" customHeight="1" x14ac:dyDescent="0.35">
      <c r="A467" s="300">
        <f ca="1">IFERROR(SEARCH("Girls",C458),0)</f>
        <v>15</v>
      </c>
      <c r="C467" s="298">
        <v>7</v>
      </c>
      <c r="D467" s="298">
        <f ca="1">IFERROR(IF(C467&gt;MatchDay!$U$2,"",VLOOKUP($A458,timetables,MatchDay!$U$4+C467-1,FALSE)),0)</f>
        <v>5</v>
      </c>
      <c r="E467" s="286" t="str">
        <f ca="1">IFERROR(VLOOKUP($A458&amp;D467,downloads!$A$1:$E$1000,2,FALSE),"")</f>
        <v>Tamsin SEGUIN</v>
      </c>
      <c r="F467" s="286" t="str">
        <f t="shared" ca="1" si="116"/>
        <v>Menai</v>
      </c>
      <c r="G467" s="291"/>
      <c r="H467" s="297"/>
      <c r="I467" s="298">
        <v>7</v>
      </c>
      <c r="J467" s="298">
        <f t="shared" ca="1" si="117"/>
        <v>55</v>
      </c>
      <c r="K467" s="286" t="str">
        <f ca="1">IFERROR(VLOOKUP($A458&amp;J467,downloads!$A$1:$E$1000,2,FALSE),"")</f>
        <v/>
      </c>
      <c r="L467" s="286" t="str">
        <f t="shared" ca="1" si="115"/>
        <v>Menai</v>
      </c>
      <c r="O467" s="299"/>
      <c r="Q467" s="307">
        <f ca="1">IFERROR(VLOOKUP($A458&amp;D467,competitors,4,FALSE),"")</f>
        <v>1</v>
      </c>
      <c r="R467" s="307" t="str">
        <f ca="1">IFERROR(VLOOKUP($A458&amp;J467,competitors,4,FALSE),"")</f>
        <v/>
      </c>
    </row>
    <row r="468" spans="1:18" ht="15" customHeight="1" x14ac:dyDescent="0.35">
      <c r="A468" s="103">
        <f ca="1">IFERROR(VLOOKUP(A458,records,5,FALSE),"")</f>
        <v>1.61</v>
      </c>
      <c r="B468" s="103"/>
      <c r="C468" s="298">
        <v>8</v>
      </c>
      <c r="D468" s="298" t="str">
        <f>IFERROR(IF(C468&gt;MatchDay!$U$2,"",VLOOKUP($A458,timetables,MatchDay!$U$4+C468-1,FALSE)),0)</f>
        <v/>
      </c>
      <c r="E468" s="286" t="str">
        <f ca="1">IFERROR(VLOOKUP($A458&amp;D468,downloads!$A$1:$E$1000,2,FALSE),"")</f>
        <v/>
      </c>
      <c r="F468" s="286" t="str">
        <f t="shared" si="116"/>
        <v/>
      </c>
      <c r="G468" s="291"/>
      <c r="H468" s="297"/>
      <c r="I468" s="298">
        <v>8</v>
      </c>
      <c r="J468" s="298" t="str">
        <f t="shared" si="117"/>
        <v/>
      </c>
      <c r="K468" s="286" t="str">
        <f ca="1">IFERROR(VLOOKUP($A458&amp;J468,downloads!$A$1:$E$1000,2,FALSE),"")</f>
        <v/>
      </c>
      <c r="L468" s="286" t="str">
        <f t="shared" si="115"/>
        <v/>
      </c>
      <c r="O468" s="299"/>
      <c r="Q468" s="307" t="str">
        <f ca="1">IFERROR(VLOOKUP($A458&amp;D468,competitors,4,FALSE),"")</f>
        <v/>
      </c>
      <c r="R468" s="307" t="str">
        <f ca="1">IFERROR(VLOOKUP($A458&amp;J468,competitors,4,FALSE),"")</f>
        <v/>
      </c>
    </row>
    <row r="469" spans="1:18" ht="15" customHeight="1" x14ac:dyDescent="0.35">
      <c r="Q469" s="307"/>
      <c r="R469" s="307"/>
    </row>
    <row r="470" spans="1:18" x14ac:dyDescent="0.35">
      <c r="A470" s="98" t="str">
        <f ca="1">IFERROR(INDIRECT(CONCATENATE("'Timetables'!A"&amp;A474)),"")</f>
        <v>LFH04</v>
      </c>
      <c r="B470" s="304" t="str">
        <f ca="1">IFERROR(TEXT(VLOOKUP(A470,timetables,7-MatchDay!$U$7,FALSE),"hh:mm"),"")</f>
        <v>13:00</v>
      </c>
      <c r="C470" s="292" t="str">
        <f ca="1">IFERROR(VLOOKUP(A470,timetables,2,FALSE)&amp;" "&amp;VLOOKUP(A470,timetables,3,FALSE)&amp;" A","")</f>
        <v>Pole Vault U15 Boys A</v>
      </c>
      <c r="D470" s="292"/>
      <c r="F470" s="293"/>
      <c r="G470" s="294"/>
      <c r="L470" s="360"/>
      <c r="M470" s="296"/>
      <c r="N470" s="286"/>
      <c r="Q470" s="307"/>
      <c r="R470" s="307"/>
    </row>
    <row r="471" spans="1:18" x14ac:dyDescent="0.35">
      <c r="A471" s="98"/>
      <c r="B471" s="98"/>
      <c r="C471" s="295" t="str">
        <f ca="1">IFERROR("Rec: "&amp;VLOOKUP(A470,records,4,FALSE),"")</f>
        <v>Rec: 4.32 Frankie Johnson, Bedford &amp; County AC, 2015</v>
      </c>
      <c r="D471" s="292"/>
      <c r="F471" s="293"/>
      <c r="G471" s="294"/>
      <c r="I471" s="295"/>
      <c r="L471" s="360"/>
      <c r="M471" s="296"/>
      <c r="N471" s="286"/>
      <c r="Q471" s="307"/>
      <c r="R471" s="307"/>
    </row>
    <row r="472" spans="1:18" x14ac:dyDescent="0.35">
      <c r="A472" s="82" t="str">
        <f ca="1">MID(A470,2,3)</f>
        <v>FH0</v>
      </c>
      <c r="B472" s="82"/>
      <c r="C472" s="304" t="s">
        <v>122</v>
      </c>
      <c r="D472" s="304" t="s">
        <v>141</v>
      </c>
      <c r="E472" s="286" t="s">
        <v>174</v>
      </c>
      <c r="F472" s="286" t="s">
        <v>175</v>
      </c>
      <c r="G472" s="291"/>
      <c r="I472" s="304" t="s">
        <v>122</v>
      </c>
      <c r="J472" s="304" t="s">
        <v>141</v>
      </c>
      <c r="K472" s="286" t="s">
        <v>174</v>
      </c>
      <c r="L472" s="286" t="s">
        <v>175</v>
      </c>
      <c r="O472" s="299"/>
      <c r="Q472" s="307"/>
      <c r="R472" s="307"/>
    </row>
    <row r="473" spans="1:18" x14ac:dyDescent="0.35">
      <c r="A473" s="138"/>
      <c r="B473" s="103"/>
      <c r="C473" s="298">
        <v>1</v>
      </c>
      <c r="D473" s="298">
        <f ca="1">IFERROR(IF(C473&gt;MatchDay!$U$2,"",VLOOKUP($A470,timetables,MatchDay!$U$4+C473-1,FALSE)),0)</f>
        <v>3</v>
      </c>
      <c r="E473" s="286" t="str">
        <f ca="1">IFERROR(VLOOKUP($A470&amp;D473,downloads!$A$1:$E$1000,2,FALSE),"")</f>
        <v/>
      </c>
      <c r="F473" s="286" t="str">
        <f ca="1">IFERROR(VLOOKUP(D473,teamlookup,5,FALSE),"")</f>
        <v>Leigh</v>
      </c>
      <c r="G473" s="291"/>
      <c r="H473" s="297"/>
      <c r="I473" s="298">
        <v>1</v>
      </c>
      <c r="J473" s="298">
        <f ca="1">IFERROR(D473*11,"")</f>
        <v>33</v>
      </c>
      <c r="K473" s="286" t="str">
        <f ca="1">IFERROR(VLOOKUP($A470&amp;J473,downloads!$A$1:$E$1000,2,FALSE),"")</f>
        <v/>
      </c>
      <c r="L473" s="286" t="str">
        <f t="shared" ref="L473:L480" ca="1" si="118">IFERROR(VLOOKUP(J473,teamlookup,5,FALSE),"")</f>
        <v>Leigh</v>
      </c>
      <c r="O473" s="299"/>
      <c r="Q473" s="307" t="str">
        <f ca="1">IFERROR(VLOOKUP($A470&amp;D473,competitors,4,FALSE),"")</f>
        <v/>
      </c>
      <c r="R473" s="307" t="str">
        <f ca="1">IFERROR(VLOOKUP($A470&amp;J473,competitors,4,FALSE),"")</f>
        <v/>
      </c>
    </row>
    <row r="474" spans="1:18" x14ac:dyDescent="0.35">
      <c r="A474" s="304">
        <f>A462+1</f>
        <v>48</v>
      </c>
      <c r="C474" s="298">
        <v>2</v>
      </c>
      <c r="D474" s="298">
        <f ca="1">IFERROR(IF(C474&gt;MatchDay!$U$2,"",VLOOKUP($A470,timetables,MatchDay!$U$4+C474-1,FALSE)),0)</f>
        <v>2</v>
      </c>
      <c r="E474" s="286" t="str">
        <f ca="1">IFERROR(VLOOKUP($A470&amp;D474,downloads!$A$1:$E$1000,2,FALSE),"")</f>
        <v/>
      </c>
      <c r="F474" s="286" t="str">
        <f t="shared" ref="F474:F480" ca="1" si="119">IFERROR(VLOOKUP(D474,teamlookup,5,FALSE),"")</f>
        <v>ECHT</v>
      </c>
      <c r="G474" s="291"/>
      <c r="H474" s="297"/>
      <c r="I474" s="298">
        <v>2</v>
      </c>
      <c r="J474" s="298">
        <f t="shared" ref="J474:J480" ca="1" si="120">IFERROR(D474*11,"")</f>
        <v>22</v>
      </c>
      <c r="K474" s="286" t="str">
        <f ca="1">IFERROR(VLOOKUP($A470&amp;J474,downloads!$A$1:$E$1000,2,FALSE),"")</f>
        <v/>
      </c>
      <c r="L474" s="286" t="str">
        <f t="shared" ca="1" si="118"/>
        <v>ECHT</v>
      </c>
      <c r="O474" s="299"/>
      <c r="Q474" s="307" t="str">
        <f ca="1">IFERROR(VLOOKUP($A470&amp;D474,competitors,4,FALSE),"")</f>
        <v/>
      </c>
      <c r="R474" s="307" t="str">
        <f ca="1">IFERROR(VLOOKUP($A470&amp;J474,competitors,4,FALSE),"")</f>
        <v/>
      </c>
    </row>
    <row r="475" spans="1:18" x14ac:dyDescent="0.35">
      <c r="A475" s="105">
        <f ca="1">IFERROR(VLOOKUP(A470,standards,3,FALSE)+0.01,"-")</f>
        <v>2.0099999999999998</v>
      </c>
      <c r="B475" s="105"/>
      <c r="C475" s="298">
        <v>3</v>
      </c>
      <c r="D475" s="298">
        <f ca="1">IFERROR(IF(C475&gt;MatchDay!$U$2,"",VLOOKUP($A470,timetables,MatchDay!$U$4+C475-1,FALSE)),0)</f>
        <v>6</v>
      </c>
      <c r="E475" s="286" t="str">
        <f ca="1">IFERROR(VLOOKUP($A470&amp;D475,downloads!$A$1:$E$1000,2,FALSE),"")</f>
        <v/>
      </c>
      <c r="F475" s="286" t="str">
        <f t="shared" ca="1" si="119"/>
        <v>Stock</v>
      </c>
      <c r="G475" s="291"/>
      <c r="H475" s="297"/>
      <c r="I475" s="298">
        <v>3</v>
      </c>
      <c r="J475" s="298">
        <f t="shared" ca="1" si="120"/>
        <v>66</v>
      </c>
      <c r="K475" s="286" t="str">
        <f ca="1">IFERROR(VLOOKUP($A470&amp;J475,downloads!$A$1:$E$1000,2,FALSE),"")</f>
        <v/>
      </c>
      <c r="L475" s="286" t="str">
        <f t="shared" ca="1" si="118"/>
        <v>Stock</v>
      </c>
      <c r="O475" s="299"/>
      <c r="Q475" s="307" t="str">
        <f ca="1">IFERROR(VLOOKUP($A470&amp;D475,competitors,4,FALSE),"")</f>
        <v/>
      </c>
      <c r="R475" s="307" t="str">
        <f ca="1">IFERROR(VLOOKUP($A470&amp;J475,competitors,4,FALSE),"")</f>
        <v/>
      </c>
    </row>
    <row r="476" spans="1:18" x14ac:dyDescent="0.35">
      <c r="A476" s="105">
        <f ca="1">IFERROR(VLOOKUP(A470,standards,4,FALSE)+0.01,"-")</f>
        <v>2.21</v>
      </c>
      <c r="B476" s="105"/>
      <c r="C476" s="298">
        <v>4</v>
      </c>
      <c r="D476" s="298">
        <f ca="1">IFERROR(IF(C476&gt;MatchDay!$U$2,"",VLOOKUP($A470,timetables,MatchDay!$U$4+C476-1,FALSE)),0)</f>
        <v>1</v>
      </c>
      <c r="E476" s="286" t="str">
        <f ca="1">IFERROR(VLOOKUP($A470&amp;D476,downloads!$A$1:$E$1000,2,FALSE),"")</f>
        <v>Isaac PICKERING</v>
      </c>
      <c r="F476" s="286" t="str">
        <f t="shared" ca="1" si="119"/>
        <v>C&amp;N</v>
      </c>
      <c r="G476" s="291"/>
      <c r="H476" s="297"/>
      <c r="I476" s="298">
        <v>4</v>
      </c>
      <c r="J476" s="298">
        <f t="shared" ca="1" si="120"/>
        <v>11</v>
      </c>
      <c r="K476" s="286" t="str">
        <f ca="1">IFERROR(VLOOKUP($A470&amp;J476,downloads!$A$1:$E$1000,2,FALSE),"")</f>
        <v/>
      </c>
      <c r="L476" s="286" t="str">
        <f t="shared" ca="1" si="118"/>
        <v>C&amp;N</v>
      </c>
      <c r="O476" s="299"/>
      <c r="Q476" s="307">
        <f ca="1">IFERROR(VLOOKUP($A470&amp;D476,competitors,4,FALSE),"")</f>
        <v>1</v>
      </c>
      <c r="R476" s="307" t="str">
        <f ca="1">IFERROR(VLOOKUP($A470&amp;J476,competitors,4,FALSE),"")</f>
        <v/>
      </c>
    </row>
    <row r="477" spans="1:18" x14ac:dyDescent="0.35">
      <c r="A477" s="105">
        <f ca="1">IFERROR(VLOOKUP(A470,standards,5,FALSE)+0.01,"-")</f>
        <v>2.4099999999999997</v>
      </c>
      <c r="B477" s="105"/>
      <c r="C477" s="298">
        <v>5</v>
      </c>
      <c r="D477" s="298">
        <f ca="1">IFERROR(IF(C477&gt;MatchDay!$U$2,"",VLOOKUP($A470,timetables,MatchDay!$U$4+C477-1,FALSE)),0)</f>
        <v>5</v>
      </c>
      <c r="E477" s="286" t="str">
        <f ca="1">IFERROR(VLOOKUP($A470&amp;D477,downloads!$A$1:$E$1000,2,FALSE),"")</f>
        <v/>
      </c>
      <c r="F477" s="286" t="str">
        <f t="shared" ca="1" si="119"/>
        <v>Menai</v>
      </c>
      <c r="G477" s="291"/>
      <c r="H477" s="297"/>
      <c r="I477" s="298">
        <v>5</v>
      </c>
      <c r="J477" s="298">
        <f t="shared" ca="1" si="120"/>
        <v>55</v>
      </c>
      <c r="K477" s="286" t="str">
        <f ca="1">IFERROR(VLOOKUP($A470&amp;J477,downloads!$A$1:$E$1000,2,FALSE),"")</f>
        <v/>
      </c>
      <c r="L477" s="286" t="str">
        <f t="shared" ca="1" si="118"/>
        <v>Menai</v>
      </c>
      <c r="O477" s="299"/>
      <c r="Q477" s="307" t="str">
        <f ca="1">IFERROR(VLOOKUP($A470&amp;D477,competitors,4,FALSE),"")</f>
        <v/>
      </c>
      <c r="R477" s="307" t="str">
        <f ca="1">IFERROR(VLOOKUP($A470&amp;J477,competitors,4,FALSE),"")</f>
        <v/>
      </c>
    </row>
    <row r="478" spans="1:18" x14ac:dyDescent="0.35">
      <c r="A478" s="105">
        <f ca="1">IFERROR(VLOOKUP(A470,standards,6,FALSE)+0.01,"-")</f>
        <v>2.61</v>
      </c>
      <c r="B478" s="105"/>
      <c r="C478" s="298">
        <v>6</v>
      </c>
      <c r="D478" s="298">
        <f ca="1">IFERROR(IF(C478&gt;MatchDay!$U$2,"",VLOOKUP($A470,timetables,MatchDay!$U$4+C478-1,FALSE)),0)</f>
        <v>4</v>
      </c>
      <c r="E478" s="286" t="str">
        <f ca="1">IFERROR(VLOOKUP($A470&amp;D478,downloads!$A$1:$E$1000,2,FALSE),"")</f>
        <v/>
      </c>
      <c r="F478" s="286" t="str">
        <f t="shared" ca="1" si="119"/>
        <v>Macc</v>
      </c>
      <c r="G478" s="291"/>
      <c r="H478" s="297"/>
      <c r="I478" s="298">
        <v>6</v>
      </c>
      <c r="J478" s="298">
        <f t="shared" ca="1" si="120"/>
        <v>44</v>
      </c>
      <c r="K478" s="286" t="str">
        <f ca="1">IFERROR(VLOOKUP($A470&amp;J478,downloads!$A$1:$E$1000,2,FALSE),"")</f>
        <v/>
      </c>
      <c r="L478" s="286" t="str">
        <f t="shared" ca="1" si="118"/>
        <v>Macc</v>
      </c>
      <c r="O478" s="299"/>
      <c r="Q478" s="307" t="str">
        <f ca="1">IFERROR(VLOOKUP($A470&amp;D478,competitors,4,FALSE),"")</f>
        <v/>
      </c>
      <c r="R478" s="307" t="str">
        <f ca="1">IFERROR(VLOOKUP($A470&amp;J478,competitors,4,FALSE),"")</f>
        <v/>
      </c>
    </row>
    <row r="479" spans="1:18" x14ac:dyDescent="0.35">
      <c r="A479" s="300">
        <f ca="1">IFERROR(SEARCH("Girls",C470),0)</f>
        <v>0</v>
      </c>
      <c r="C479" s="298">
        <v>7</v>
      </c>
      <c r="D479" s="298">
        <f ca="1">IFERROR(IF(C479&gt;MatchDay!$U$2,"",VLOOKUP($A470,timetables,MatchDay!$U$4+C479-1,FALSE)),0)</f>
        <v>7</v>
      </c>
      <c r="E479" s="286" t="str">
        <f ca="1">IFERROR(VLOOKUP($A470&amp;D479,downloads!$A$1:$E$1000,2,FALSE),"")</f>
        <v/>
      </c>
      <c r="F479" s="286" t="str">
        <f t="shared" ca="1" si="119"/>
        <v>Wigan</v>
      </c>
      <c r="G479" s="291"/>
      <c r="H479" s="297"/>
      <c r="I479" s="298">
        <v>7</v>
      </c>
      <c r="J479" s="298">
        <f t="shared" ca="1" si="120"/>
        <v>77</v>
      </c>
      <c r="K479" s="286" t="str">
        <f ca="1">IFERROR(VLOOKUP($A470&amp;J479,downloads!$A$1:$E$1000,2,FALSE),"")</f>
        <v/>
      </c>
      <c r="L479" s="286" t="str">
        <f t="shared" ca="1" si="118"/>
        <v>Wigan</v>
      </c>
      <c r="O479" s="299"/>
      <c r="Q479" s="307" t="str">
        <f ca="1">IFERROR(VLOOKUP($A470&amp;D479,competitors,4,FALSE),"")</f>
        <v/>
      </c>
      <c r="R479" s="307" t="str">
        <f ca="1">IFERROR(VLOOKUP($A470&amp;J479,competitors,4,FALSE),"")</f>
        <v/>
      </c>
    </row>
    <row r="480" spans="1:18" x14ac:dyDescent="0.35">
      <c r="A480" s="103">
        <f ca="1">IFERROR(VLOOKUP(A470,records,5,FALSE),"")</f>
        <v>4.32</v>
      </c>
      <c r="B480" s="103"/>
      <c r="C480" s="298">
        <v>8</v>
      </c>
      <c r="D480" s="298" t="str">
        <f>IFERROR(IF(C480&gt;MatchDay!$U$2,"",VLOOKUP($A470,timetables,MatchDay!$U$4+C480-1,FALSE)),0)</f>
        <v/>
      </c>
      <c r="E480" s="286" t="str">
        <f ca="1">IFERROR(VLOOKUP($A470&amp;D480,downloads!$A$1:$E$1000,2,FALSE),"")</f>
        <v/>
      </c>
      <c r="F480" s="286" t="str">
        <f t="shared" si="119"/>
        <v/>
      </c>
      <c r="G480" s="291"/>
      <c r="H480" s="297"/>
      <c r="I480" s="298">
        <v>8</v>
      </c>
      <c r="J480" s="298" t="str">
        <f t="shared" si="120"/>
        <v/>
      </c>
      <c r="K480" s="286" t="str">
        <f ca="1">IFERROR(VLOOKUP($A470&amp;J480,downloads!$A$1:$E$1000,2,FALSE),"")</f>
        <v/>
      </c>
      <c r="L480" s="286" t="str">
        <f t="shared" si="118"/>
        <v/>
      </c>
      <c r="O480" s="299"/>
      <c r="Q480" s="307" t="str">
        <f ca="1">IFERROR(VLOOKUP($A470&amp;D480,competitors,4,FALSE),"")</f>
        <v/>
      </c>
      <c r="R480" s="307" t="str">
        <f ca="1">IFERROR(VLOOKUP($A470&amp;J480,competitors,4,FALSE),"")</f>
        <v/>
      </c>
    </row>
    <row r="481" spans="1:18" x14ac:dyDescent="0.35">
      <c r="Q481" s="307"/>
      <c r="R481" s="307"/>
    </row>
    <row r="482" spans="1:18" x14ac:dyDescent="0.35">
      <c r="A482" s="98" t="str">
        <f ca="1">IFERROR(INDIRECT(CONCATENATE("'Timetables'!A"&amp;A486)),"")</f>
        <v>LFH05</v>
      </c>
      <c r="B482" s="304" t="str">
        <f ca="1">IFERROR(TEXT(VLOOKUP(A482,timetables,7-MatchDay!$U$7,FALSE),"hh:mm"),"")</f>
        <v>13:00</v>
      </c>
      <c r="C482" s="292" t="str">
        <f ca="1">IFERROR(VLOOKUP(A482,timetables,2,FALSE)&amp;" "&amp;VLOOKUP(A482,timetables,3,FALSE)&amp;" A","")</f>
        <v>Pole Vault U15 Girls A</v>
      </c>
      <c r="D482" s="292"/>
      <c r="F482" s="293"/>
      <c r="G482" s="294"/>
      <c r="L482" s="360"/>
      <c r="M482" s="296"/>
      <c r="N482" s="286"/>
      <c r="Q482" s="307"/>
      <c r="R482" s="307"/>
    </row>
    <row r="483" spans="1:18" x14ac:dyDescent="0.35">
      <c r="A483" s="98"/>
      <c r="B483" s="98"/>
      <c r="C483" s="295" t="str">
        <f ca="1">IFERROR("Rec: "&amp;VLOOKUP(A482,records,4,FALSE),"")</f>
        <v>Rec: 3.43 Emilie Oakden, Lewes AC, 2019</v>
      </c>
      <c r="D483" s="292"/>
      <c r="F483" s="293"/>
      <c r="G483" s="294"/>
      <c r="I483" s="295"/>
      <c r="L483" s="360"/>
      <c r="M483" s="296"/>
      <c r="N483" s="286"/>
      <c r="Q483" s="307"/>
      <c r="R483" s="307"/>
    </row>
    <row r="484" spans="1:18" x14ac:dyDescent="0.35">
      <c r="A484" s="82" t="str">
        <f ca="1">MID(A482,2,3)</f>
        <v>FH0</v>
      </c>
      <c r="B484" s="82"/>
      <c r="C484" s="304" t="s">
        <v>122</v>
      </c>
      <c r="D484" s="304" t="s">
        <v>141</v>
      </c>
      <c r="E484" s="286" t="s">
        <v>174</v>
      </c>
      <c r="F484" s="286" t="s">
        <v>175</v>
      </c>
      <c r="G484" s="291"/>
      <c r="I484" s="304" t="s">
        <v>122</v>
      </c>
      <c r="J484" s="304" t="s">
        <v>141</v>
      </c>
      <c r="K484" s="286" t="s">
        <v>174</v>
      </c>
      <c r="L484" s="286" t="s">
        <v>175</v>
      </c>
      <c r="O484" s="299"/>
      <c r="Q484" s="307"/>
      <c r="R484" s="307"/>
    </row>
    <row r="485" spans="1:18" x14ac:dyDescent="0.35">
      <c r="A485" s="138"/>
      <c r="B485" s="103"/>
      <c r="C485" s="298">
        <v>1</v>
      </c>
      <c r="D485" s="298">
        <f ca="1">IFERROR(IF(C485&gt;MatchDay!$U$2,"",VLOOKUP($A482,timetables,MatchDay!$U$4+C485-1,FALSE)),0)</f>
        <v>3</v>
      </c>
      <c r="E485" s="286" t="str">
        <f ca="1">IFERROR(VLOOKUP($A482&amp;D485,downloads!$A$1:$E$1000,2,FALSE),"")</f>
        <v/>
      </c>
      <c r="F485" s="286" t="str">
        <f ca="1">IFERROR(VLOOKUP(D485,teamlookup,5,FALSE),"")</f>
        <v>Leigh</v>
      </c>
      <c r="G485" s="291"/>
      <c r="H485" s="297"/>
      <c r="I485" s="298">
        <v>1</v>
      </c>
      <c r="J485" s="298">
        <f ca="1">IFERROR(D485*11,"")</f>
        <v>33</v>
      </c>
      <c r="K485" s="286" t="str">
        <f ca="1">IFERROR(VLOOKUP($A482&amp;J485,downloads!$A$1:$E$1000,2,FALSE),"")</f>
        <v/>
      </c>
      <c r="L485" s="286" t="str">
        <f t="shared" ref="L485:L492" ca="1" si="121">IFERROR(VLOOKUP(J485,teamlookup,5,FALSE),"")</f>
        <v>Leigh</v>
      </c>
      <c r="O485" s="299"/>
      <c r="Q485" s="307" t="str">
        <f ca="1">IFERROR(VLOOKUP($A482&amp;D485,competitors,4,FALSE),"")</f>
        <v/>
      </c>
      <c r="R485" s="307" t="str">
        <f ca="1">IFERROR(VLOOKUP($A482&amp;J485,competitors,4,FALSE),"")</f>
        <v/>
      </c>
    </row>
    <row r="486" spans="1:18" x14ac:dyDescent="0.35">
      <c r="A486" s="304">
        <f>A474+1</f>
        <v>49</v>
      </c>
      <c r="C486" s="298">
        <v>2</v>
      </c>
      <c r="D486" s="298">
        <f ca="1">IFERROR(IF(C486&gt;MatchDay!$U$2,"",VLOOKUP($A482,timetables,MatchDay!$U$4+C486-1,FALSE)),0)</f>
        <v>2</v>
      </c>
      <c r="E486" s="286" t="str">
        <f ca="1">IFERROR(VLOOKUP($A482&amp;D486,downloads!$A$1:$E$1000,2,FALSE),"")</f>
        <v/>
      </c>
      <c r="F486" s="286" t="str">
        <f t="shared" ref="F486:F492" ca="1" si="122">IFERROR(VLOOKUP(D486,teamlookup,5,FALSE),"")</f>
        <v>ECHT</v>
      </c>
      <c r="G486" s="291"/>
      <c r="H486" s="297"/>
      <c r="I486" s="298">
        <v>2</v>
      </c>
      <c r="J486" s="298">
        <f t="shared" ref="J486:J492" ca="1" si="123">IFERROR(D486*11,"")</f>
        <v>22</v>
      </c>
      <c r="K486" s="286" t="str">
        <f ca="1">IFERROR(VLOOKUP($A482&amp;J486,downloads!$A$1:$E$1000,2,FALSE),"")</f>
        <v/>
      </c>
      <c r="L486" s="286" t="str">
        <f t="shared" ca="1" si="121"/>
        <v>ECHT</v>
      </c>
      <c r="O486" s="299"/>
      <c r="Q486" s="307" t="str">
        <f ca="1">IFERROR(VLOOKUP($A482&amp;D486,competitors,4,FALSE),"")</f>
        <v/>
      </c>
      <c r="R486" s="307" t="str">
        <f ca="1">IFERROR(VLOOKUP($A482&amp;J486,competitors,4,FALSE),"")</f>
        <v/>
      </c>
    </row>
    <row r="487" spans="1:18" x14ac:dyDescent="0.35">
      <c r="A487" s="105">
        <f ca="1">IFERROR(VLOOKUP(A482,standards,3,FALSE)+0.01,"-")</f>
        <v>1.01</v>
      </c>
      <c r="B487" s="105"/>
      <c r="C487" s="298">
        <v>3</v>
      </c>
      <c r="D487" s="298">
        <f ca="1">IFERROR(IF(C487&gt;MatchDay!$U$2,"",VLOOKUP($A482,timetables,MatchDay!$U$4+C487-1,FALSE)),0)</f>
        <v>6</v>
      </c>
      <c r="E487" s="286" t="str">
        <f ca="1">IFERROR(VLOOKUP($A482&amp;D487,downloads!$A$1:$E$1000,2,FALSE),"")</f>
        <v/>
      </c>
      <c r="F487" s="286" t="str">
        <f t="shared" ca="1" si="122"/>
        <v>Stock</v>
      </c>
      <c r="G487" s="291"/>
      <c r="H487" s="297"/>
      <c r="I487" s="298">
        <v>3</v>
      </c>
      <c r="J487" s="298">
        <f t="shared" ca="1" si="123"/>
        <v>66</v>
      </c>
      <c r="K487" s="286" t="str">
        <f ca="1">IFERROR(VLOOKUP($A482&amp;J487,downloads!$A$1:$E$1000,2,FALSE),"")</f>
        <v/>
      </c>
      <c r="L487" s="286" t="str">
        <f t="shared" ca="1" si="121"/>
        <v>Stock</v>
      </c>
      <c r="O487" s="299"/>
      <c r="Q487" s="307" t="str">
        <f ca="1">IFERROR(VLOOKUP($A482&amp;D487,competitors,4,FALSE),"")</f>
        <v/>
      </c>
      <c r="R487" s="307" t="str">
        <f ca="1">IFERROR(VLOOKUP($A482&amp;J487,competitors,4,FALSE),"")</f>
        <v/>
      </c>
    </row>
    <row r="488" spans="1:18" x14ac:dyDescent="0.35">
      <c r="A488" s="105">
        <f ca="1">IFERROR(VLOOKUP(A482,standards,4,FALSE)+0.01,"-")</f>
        <v>1.21</v>
      </c>
      <c r="B488" s="105"/>
      <c r="C488" s="298">
        <v>4</v>
      </c>
      <c r="D488" s="298">
        <f ca="1">IFERROR(IF(C488&gt;MatchDay!$U$2,"",VLOOKUP($A482,timetables,MatchDay!$U$4+C488-1,FALSE)),0)</f>
        <v>1</v>
      </c>
      <c r="E488" s="286" t="str">
        <f ca="1">IFERROR(VLOOKUP($A482&amp;D488,downloads!$A$1:$E$1000,2,FALSE),"")</f>
        <v/>
      </c>
      <c r="F488" s="286" t="str">
        <f t="shared" ca="1" si="122"/>
        <v>C&amp;N</v>
      </c>
      <c r="G488" s="291"/>
      <c r="H488" s="297"/>
      <c r="I488" s="298">
        <v>4</v>
      </c>
      <c r="J488" s="298">
        <f t="shared" ca="1" si="123"/>
        <v>11</v>
      </c>
      <c r="K488" s="286" t="str">
        <f ca="1">IFERROR(VLOOKUP($A482&amp;J488,downloads!$A$1:$E$1000,2,FALSE),"")</f>
        <v/>
      </c>
      <c r="L488" s="286" t="str">
        <f t="shared" ca="1" si="121"/>
        <v>C&amp;N</v>
      </c>
      <c r="O488" s="299"/>
      <c r="Q488" s="307" t="str">
        <f ca="1">IFERROR(VLOOKUP($A482&amp;D488,competitors,4,FALSE),"")</f>
        <v/>
      </c>
      <c r="R488" s="307" t="str">
        <f ca="1">IFERROR(VLOOKUP($A482&amp;J488,competitors,4,FALSE),"")</f>
        <v/>
      </c>
    </row>
    <row r="489" spans="1:18" x14ac:dyDescent="0.35">
      <c r="A489" s="105">
        <f ca="1">IFERROR(VLOOKUP(A482,standards,5,FALSE)+0.01,"-")</f>
        <v>1.41</v>
      </c>
      <c r="B489" s="105"/>
      <c r="C489" s="298">
        <v>5</v>
      </c>
      <c r="D489" s="298">
        <f ca="1">IFERROR(IF(C489&gt;MatchDay!$U$2,"",VLOOKUP($A482,timetables,MatchDay!$U$4+C489-1,FALSE)),0)</f>
        <v>5</v>
      </c>
      <c r="E489" s="286" t="str">
        <f ca="1">IFERROR(VLOOKUP($A482&amp;D489,downloads!$A$1:$E$1000,2,FALSE),"")</f>
        <v/>
      </c>
      <c r="F489" s="286" t="str">
        <f t="shared" ca="1" si="122"/>
        <v>Menai</v>
      </c>
      <c r="G489" s="291"/>
      <c r="H489" s="297"/>
      <c r="I489" s="298">
        <v>5</v>
      </c>
      <c r="J489" s="298">
        <f t="shared" ca="1" si="123"/>
        <v>55</v>
      </c>
      <c r="K489" s="286" t="str">
        <f ca="1">IFERROR(VLOOKUP($A482&amp;J489,downloads!$A$1:$E$1000,2,FALSE),"")</f>
        <v/>
      </c>
      <c r="L489" s="286" t="str">
        <f t="shared" ca="1" si="121"/>
        <v>Menai</v>
      </c>
      <c r="O489" s="299"/>
      <c r="Q489" s="307" t="str">
        <f ca="1">IFERROR(VLOOKUP($A482&amp;D489,competitors,4,FALSE),"")</f>
        <v/>
      </c>
      <c r="R489" s="307" t="str">
        <f ca="1">IFERROR(VLOOKUP($A482&amp;J489,competitors,4,FALSE),"")</f>
        <v/>
      </c>
    </row>
    <row r="490" spans="1:18" x14ac:dyDescent="0.35">
      <c r="A490" s="105">
        <f ca="1">IFERROR(VLOOKUP(A482,standards,6,FALSE)+0.01,"-")</f>
        <v>1.61</v>
      </c>
      <c r="B490" s="105"/>
      <c r="C490" s="298">
        <v>6</v>
      </c>
      <c r="D490" s="298">
        <f ca="1">IFERROR(IF(C490&gt;MatchDay!$U$2,"",VLOOKUP($A482,timetables,MatchDay!$U$4+C490-1,FALSE)),0)</f>
        <v>4</v>
      </c>
      <c r="E490" s="286" t="str">
        <f ca="1">IFERROR(VLOOKUP($A482&amp;D490,downloads!$A$1:$E$1000,2,FALSE),"")</f>
        <v/>
      </c>
      <c r="F490" s="286" t="str">
        <f t="shared" ca="1" si="122"/>
        <v>Macc</v>
      </c>
      <c r="G490" s="291"/>
      <c r="H490" s="297"/>
      <c r="I490" s="298">
        <v>6</v>
      </c>
      <c r="J490" s="298">
        <f t="shared" ca="1" si="123"/>
        <v>44</v>
      </c>
      <c r="K490" s="286" t="str">
        <f ca="1">IFERROR(VLOOKUP($A482&amp;J490,downloads!$A$1:$E$1000,2,FALSE),"")</f>
        <v/>
      </c>
      <c r="L490" s="286" t="str">
        <f t="shared" ca="1" si="121"/>
        <v>Macc</v>
      </c>
      <c r="O490" s="299"/>
      <c r="Q490" s="307" t="str">
        <f ca="1">IFERROR(VLOOKUP($A482&amp;D490,competitors,4,FALSE),"")</f>
        <v/>
      </c>
      <c r="R490" s="307" t="str">
        <f ca="1">IFERROR(VLOOKUP($A482&amp;J490,competitors,4,FALSE),"")</f>
        <v/>
      </c>
    </row>
    <row r="491" spans="1:18" x14ac:dyDescent="0.35">
      <c r="A491" s="300">
        <f ca="1">IFERROR(SEARCH("Girls",C482),0)</f>
        <v>16</v>
      </c>
      <c r="C491" s="298">
        <v>7</v>
      </c>
      <c r="D491" s="298">
        <f ca="1">IFERROR(IF(C491&gt;MatchDay!$U$2,"",VLOOKUP($A482,timetables,MatchDay!$U$4+C491-1,FALSE)),0)</f>
        <v>7</v>
      </c>
      <c r="E491" s="286" t="str">
        <f ca="1">IFERROR(VLOOKUP($A482&amp;D491,downloads!$A$1:$E$1000,2,FALSE),"")</f>
        <v>Claudia BERRY</v>
      </c>
      <c r="F491" s="286" t="str">
        <f t="shared" ca="1" si="122"/>
        <v>Wigan</v>
      </c>
      <c r="G491" s="291"/>
      <c r="H491" s="297"/>
      <c r="I491" s="298">
        <v>7</v>
      </c>
      <c r="J491" s="298">
        <f t="shared" ca="1" si="123"/>
        <v>77</v>
      </c>
      <c r="K491" s="286" t="str">
        <f ca="1">IFERROR(VLOOKUP($A482&amp;J491,downloads!$A$1:$E$1000,2,FALSE),"")</f>
        <v>Lucy STRETTON</v>
      </c>
      <c r="L491" s="286" t="str">
        <f t="shared" ca="1" si="121"/>
        <v>Wigan</v>
      </c>
      <c r="O491" s="299"/>
      <c r="Q491" s="307">
        <f ca="1">IFERROR(VLOOKUP($A482&amp;D491,competitors,4,FALSE),"")</f>
        <v>1</v>
      </c>
      <c r="R491" s="307">
        <f ca="1">IFERROR(VLOOKUP($A482&amp;J491,competitors,4,FALSE),"")</f>
        <v>1</v>
      </c>
    </row>
    <row r="492" spans="1:18" x14ac:dyDescent="0.35">
      <c r="A492" s="103">
        <f ca="1">IFERROR(VLOOKUP(A482,records,5,FALSE),"")</f>
        <v>3.43</v>
      </c>
      <c r="B492" s="103"/>
      <c r="C492" s="298">
        <v>8</v>
      </c>
      <c r="D492" s="298" t="str">
        <f>IFERROR(IF(C492&gt;MatchDay!$U$2,"",VLOOKUP($A482,timetables,MatchDay!$U$4+C492-1,FALSE)),0)</f>
        <v/>
      </c>
      <c r="E492" s="286" t="str">
        <f ca="1">IFERROR(VLOOKUP($A482&amp;D492,downloads!$A$1:$E$1000,2,FALSE),"")</f>
        <v/>
      </c>
      <c r="F492" s="286" t="str">
        <f t="shared" si="122"/>
        <v/>
      </c>
      <c r="G492" s="291"/>
      <c r="H492" s="297"/>
      <c r="I492" s="298">
        <v>8</v>
      </c>
      <c r="J492" s="298" t="str">
        <f t="shared" si="123"/>
        <v/>
      </c>
      <c r="K492" s="286" t="str">
        <f ca="1">IFERROR(VLOOKUP($A482&amp;J492,downloads!$A$1:$E$1000,2,FALSE),"")</f>
        <v/>
      </c>
      <c r="L492" s="286" t="str">
        <f t="shared" si="121"/>
        <v/>
      </c>
      <c r="O492" s="299"/>
      <c r="Q492" s="307" t="str">
        <f ca="1">IFERROR(VLOOKUP($A482&amp;D492,competitors,4,FALSE),"")</f>
        <v/>
      </c>
      <c r="R492" s="307" t="str">
        <f ca="1">IFERROR(VLOOKUP($A482&amp;J492,competitors,4,FALSE),"")</f>
        <v/>
      </c>
    </row>
    <row r="493" spans="1:18" x14ac:dyDescent="0.35">
      <c r="Q493" s="307"/>
      <c r="R493" s="307"/>
    </row>
    <row r="494" spans="1:18" x14ac:dyDescent="0.35">
      <c r="A494" s="98" t="str">
        <f ca="1">IFERROR(INDIRECT(CONCATENATE("'Timetables'!A"&amp;A498)),"")</f>
        <v>LFD05</v>
      </c>
      <c r="B494" s="304" t="str">
        <f ca="1">IFERROR(TEXT(VLOOKUP(A494,timetables,7-MatchDay!$U$7,FALSE),"hh:mm"),"")</f>
        <v>13:00</v>
      </c>
      <c r="C494" s="292" t="str">
        <f ca="1">IFERROR(VLOOKUP(A494,timetables,2,FALSE)&amp;" "&amp;VLOOKUP(A494,timetables,3,FALSE)&amp;" A","")</f>
        <v>Discus U15 Girls A</v>
      </c>
      <c r="D494" s="292"/>
      <c r="F494" s="293"/>
      <c r="G494" s="294"/>
      <c r="L494" s="360"/>
      <c r="M494" s="296"/>
      <c r="N494" s="286"/>
      <c r="Q494" s="307"/>
      <c r="R494" s="307"/>
    </row>
    <row r="495" spans="1:18" x14ac:dyDescent="0.35">
      <c r="A495" s="98"/>
      <c r="B495" s="98"/>
      <c r="C495" s="295" t="str">
        <f ca="1">IFERROR("Rec: "&amp;VLOOKUP(A494,records,4,FALSE),"")</f>
        <v>Rec: 39.94 Sophie Mace, Walton AC, 2013</v>
      </c>
      <c r="D495" s="292"/>
      <c r="F495" s="293"/>
      <c r="G495" s="294"/>
      <c r="I495" s="295"/>
      <c r="L495" s="360"/>
      <c r="M495" s="296"/>
      <c r="N495" s="286"/>
      <c r="Q495" s="307"/>
      <c r="R495" s="307"/>
    </row>
    <row r="496" spans="1:18" x14ac:dyDescent="0.35">
      <c r="A496" s="82" t="str">
        <f ca="1">MID(A494,2,3)</f>
        <v>FD0</v>
      </c>
      <c r="B496" s="82"/>
      <c r="C496" s="304" t="s">
        <v>122</v>
      </c>
      <c r="D496" s="304" t="s">
        <v>141</v>
      </c>
      <c r="E496" s="286" t="s">
        <v>174</v>
      </c>
      <c r="F496" s="286" t="s">
        <v>175</v>
      </c>
      <c r="G496" s="291"/>
      <c r="I496" s="304" t="s">
        <v>122</v>
      </c>
      <c r="J496" s="304" t="s">
        <v>141</v>
      </c>
      <c r="K496" s="286" t="s">
        <v>174</v>
      </c>
      <c r="L496" s="286" t="s">
        <v>175</v>
      </c>
      <c r="O496" s="299"/>
      <c r="Q496" s="307"/>
      <c r="R496" s="307"/>
    </row>
    <row r="497" spans="1:18" x14ac:dyDescent="0.35">
      <c r="A497" s="138"/>
      <c r="B497" s="103"/>
      <c r="C497" s="298">
        <v>1</v>
      </c>
      <c r="D497" s="298">
        <f ca="1">IFERROR(IF(C497&gt;MatchDay!$U$2,"-",VLOOKUP(A494,timetables,MatchDay!$U$4,FALSE)),0)</f>
        <v>6</v>
      </c>
      <c r="E497" s="286" t="str">
        <f ca="1">IFERROR(VLOOKUP($A494&amp;D497,downloads!$A$1:$E$1000,2,FALSE),"")</f>
        <v/>
      </c>
      <c r="F497" s="286" t="str">
        <f ca="1">IFERROR(VLOOKUP(D497,teamlookup,5,FALSE),"")</f>
        <v>Stock</v>
      </c>
      <c r="G497" s="291"/>
      <c r="H497" s="297"/>
      <c r="I497" s="298">
        <v>1</v>
      </c>
      <c r="J497" s="298">
        <f ca="1">IFERROR(D497*11,"")</f>
        <v>66</v>
      </c>
      <c r="K497" s="286" t="str">
        <f ca="1">IFERROR(VLOOKUP($A494&amp;J497,downloads!$A$1:$E$1000,2,FALSE),"")</f>
        <v/>
      </c>
      <c r="L497" s="286" t="str">
        <f t="shared" ref="L497:L504" ca="1" si="124">IFERROR(VLOOKUP(J497,teamlookup,5,FALSE),"")</f>
        <v>Stock</v>
      </c>
      <c r="O497" s="299"/>
      <c r="Q497" s="307" t="str">
        <f ca="1">IFERROR(VLOOKUP($A494&amp;D497,competitors,4,FALSE),"")</f>
        <v/>
      </c>
      <c r="R497" s="307" t="str">
        <f ca="1">IFERROR(VLOOKUP($A494&amp;J497,competitors,4,FALSE),"")</f>
        <v/>
      </c>
    </row>
    <row r="498" spans="1:18" x14ac:dyDescent="0.35">
      <c r="A498" s="304">
        <f>A486+1</f>
        <v>50</v>
      </c>
      <c r="C498" s="298">
        <v>2</v>
      </c>
      <c r="D498" s="298">
        <f ca="1">IFERROR(IF(C498&gt;MatchDay!$U$2,"-",VLOOKUP(A494,timetables,MatchDay!$U$4+1,FALSE)),0)</f>
        <v>2</v>
      </c>
      <c r="E498" s="286" t="str">
        <f ca="1">IFERROR(VLOOKUP($A494&amp;D498,downloads!$A$1:$E$1000,2,FALSE),"")</f>
        <v/>
      </c>
      <c r="F498" s="286" t="str">
        <f t="shared" ref="F498:F504" ca="1" si="125">IFERROR(VLOOKUP(D498,teamlookup,5,FALSE),"")</f>
        <v>ECHT</v>
      </c>
      <c r="G498" s="291"/>
      <c r="H498" s="297"/>
      <c r="I498" s="298">
        <v>2</v>
      </c>
      <c r="J498" s="298">
        <f t="shared" ref="J498:J504" ca="1" si="126">IFERROR(D498*11,"")</f>
        <v>22</v>
      </c>
      <c r="K498" s="286" t="str">
        <f ca="1">IFERROR(VLOOKUP($A494&amp;J498,downloads!$A$1:$E$1000,2,FALSE),"")</f>
        <v/>
      </c>
      <c r="L498" s="286" t="str">
        <f t="shared" ca="1" si="124"/>
        <v>ECHT</v>
      </c>
      <c r="O498" s="299"/>
      <c r="Q498" s="307" t="str">
        <f ca="1">IFERROR(VLOOKUP($A494&amp;D498,competitors,4,FALSE),"")</f>
        <v/>
      </c>
      <c r="R498" s="307" t="str">
        <f ca="1">IFERROR(VLOOKUP($A494&amp;J498,competitors,4,FALSE),"")</f>
        <v/>
      </c>
    </row>
    <row r="499" spans="1:18" x14ac:dyDescent="0.35">
      <c r="A499" s="105">
        <f ca="1">IFERROR(VLOOKUP(A494,standards,3,FALSE)+0.01,"-")</f>
        <v>14.01</v>
      </c>
      <c r="B499" s="105"/>
      <c r="C499" s="298">
        <v>3</v>
      </c>
      <c r="D499" s="298">
        <f ca="1">IFERROR(IF(C499&gt;MatchDay!$U$2,"-",VLOOKUP(A494,timetables,MatchDay!$U$4+2,FALSE)),0)</f>
        <v>4</v>
      </c>
      <c r="E499" s="286" t="str">
        <f ca="1">IFERROR(VLOOKUP($A494&amp;D499,downloads!$A$1:$E$1000,2,FALSE),"")</f>
        <v/>
      </c>
      <c r="F499" s="286" t="str">
        <f t="shared" ca="1" si="125"/>
        <v>Macc</v>
      </c>
      <c r="G499" s="291"/>
      <c r="H499" s="297"/>
      <c r="I499" s="298">
        <v>3</v>
      </c>
      <c r="J499" s="298">
        <f t="shared" ca="1" si="126"/>
        <v>44</v>
      </c>
      <c r="K499" s="286" t="str">
        <f ca="1">IFERROR(VLOOKUP($A494&amp;J499,downloads!$A$1:$E$1000,2,FALSE),"")</f>
        <v/>
      </c>
      <c r="L499" s="286" t="str">
        <f t="shared" ca="1" si="124"/>
        <v>Macc</v>
      </c>
      <c r="O499" s="299"/>
      <c r="Q499" s="307" t="str">
        <f ca="1">IFERROR(VLOOKUP($A494&amp;D499,competitors,4,FALSE),"")</f>
        <v/>
      </c>
      <c r="R499" s="307" t="str">
        <f ca="1">IFERROR(VLOOKUP($A494&amp;J499,competitors,4,FALSE),"")</f>
        <v/>
      </c>
    </row>
    <row r="500" spans="1:18" x14ac:dyDescent="0.35">
      <c r="A500" s="105">
        <f ca="1">IFERROR(VLOOKUP(A494,standards,4,FALSE)+0.01,"-")</f>
        <v>16.010000000000002</v>
      </c>
      <c r="B500" s="105"/>
      <c r="C500" s="298">
        <v>4</v>
      </c>
      <c r="D500" s="298">
        <f ca="1">IFERROR(IF(C500&gt;MatchDay!$U$2,"-",VLOOKUP(A494,timetables,MatchDay!$U$4+3,FALSE)),0)</f>
        <v>3</v>
      </c>
      <c r="E500" s="286" t="str">
        <f ca="1">IFERROR(VLOOKUP($A494&amp;D500,downloads!$A$1:$E$1000,2,FALSE),"")</f>
        <v>Eva MELLING</v>
      </c>
      <c r="F500" s="286" t="str">
        <f t="shared" ca="1" si="125"/>
        <v>Leigh</v>
      </c>
      <c r="G500" s="291"/>
      <c r="H500" s="297"/>
      <c r="I500" s="298">
        <v>4</v>
      </c>
      <c r="J500" s="298">
        <f t="shared" ca="1" si="126"/>
        <v>33</v>
      </c>
      <c r="K500" s="286" t="str">
        <f ca="1">IFERROR(VLOOKUP($A494&amp;J500,downloads!$A$1:$E$1000,2,FALSE),"")</f>
        <v/>
      </c>
      <c r="L500" s="286" t="str">
        <f t="shared" ca="1" si="124"/>
        <v>Leigh</v>
      </c>
      <c r="O500" s="299"/>
      <c r="Q500" s="307">
        <f ca="1">IFERROR(VLOOKUP($A494&amp;D500,competitors,4,FALSE),"")</f>
        <v>1</v>
      </c>
      <c r="R500" s="307" t="str">
        <f ca="1">IFERROR(VLOOKUP($A494&amp;J500,competitors,4,FALSE),"")</f>
        <v/>
      </c>
    </row>
    <row r="501" spans="1:18" x14ac:dyDescent="0.35">
      <c r="A501" s="105">
        <f ca="1">IFERROR(VLOOKUP(A494,standards,5,FALSE)+0.01,"-")</f>
        <v>18.010000000000002</v>
      </c>
      <c r="B501" s="105"/>
      <c r="C501" s="298">
        <v>5</v>
      </c>
      <c r="D501" s="298">
        <f ca="1">IFERROR(IF(C501&gt;MatchDay!$U$2,"-",VLOOKUP(A494,timetables,MatchDay!$U$4+4,FALSE)),0)</f>
        <v>1</v>
      </c>
      <c r="E501" s="286" t="str">
        <f ca="1">IFERROR(VLOOKUP($A494&amp;D501,downloads!$A$1:$E$1000,2,FALSE),"")</f>
        <v>Elisha CARTER</v>
      </c>
      <c r="F501" s="286" t="str">
        <f t="shared" ca="1" si="125"/>
        <v>C&amp;N</v>
      </c>
      <c r="G501" s="291"/>
      <c r="H501" s="297"/>
      <c r="I501" s="298">
        <v>5</v>
      </c>
      <c r="J501" s="298">
        <f t="shared" ca="1" si="126"/>
        <v>11</v>
      </c>
      <c r="K501" s="286" t="str">
        <f ca="1">IFERROR(VLOOKUP($A494&amp;J501,downloads!$A$1:$E$1000,2,FALSE),"")</f>
        <v>Freya MASON</v>
      </c>
      <c r="L501" s="286" t="str">
        <f t="shared" ca="1" si="124"/>
        <v>C&amp;N</v>
      </c>
      <c r="O501" s="299"/>
      <c r="Q501" s="307">
        <f ca="1">IFERROR(VLOOKUP($A494&amp;D501,competitors,4,FALSE),"")</f>
        <v>1</v>
      </c>
      <c r="R501" s="307">
        <f ca="1">IFERROR(VLOOKUP($A494&amp;J501,competitors,4,FALSE),"")</f>
        <v>1</v>
      </c>
    </row>
    <row r="502" spans="1:18" x14ac:dyDescent="0.35">
      <c r="A502" s="105">
        <f ca="1">IFERROR(VLOOKUP(A494,standards,6,FALSE)+0.01,"-")</f>
        <v>20.010000000000002</v>
      </c>
      <c r="B502" s="105"/>
      <c r="C502" s="298">
        <v>6</v>
      </c>
      <c r="D502" s="298">
        <f ca="1">IFERROR(IF(C502&gt;MatchDay!$U$2,"-",VLOOKUP(A494,timetables,MatchDay!$U$4+5,FALSE)),0)</f>
        <v>5</v>
      </c>
      <c r="E502" s="286" t="str">
        <f ca="1">IFERROR(VLOOKUP($A494&amp;D502,downloads!$A$1:$E$1000,2,FALSE),"")</f>
        <v>Erin JACOBS</v>
      </c>
      <c r="F502" s="286" t="str">
        <f t="shared" ca="1" si="125"/>
        <v>Menai</v>
      </c>
      <c r="G502" s="291"/>
      <c r="H502" s="297"/>
      <c r="I502" s="298">
        <v>6</v>
      </c>
      <c r="J502" s="298">
        <f t="shared" ca="1" si="126"/>
        <v>55</v>
      </c>
      <c r="K502" s="286" t="str">
        <f ca="1">IFERROR(VLOOKUP($A494&amp;J502,downloads!$A$1:$E$1000,2,FALSE),"")</f>
        <v>Elliw MOSS</v>
      </c>
      <c r="L502" s="286" t="str">
        <f t="shared" ca="1" si="124"/>
        <v>Menai</v>
      </c>
      <c r="O502" s="299"/>
      <c r="Q502" s="307">
        <f ca="1">IFERROR(VLOOKUP($A494&amp;D502,competitors,4,FALSE),"")</f>
        <v>1</v>
      </c>
      <c r="R502" s="307">
        <f ca="1">IFERROR(VLOOKUP($A494&amp;J502,competitors,4,FALSE),"")</f>
        <v>0</v>
      </c>
    </row>
    <row r="503" spans="1:18" x14ac:dyDescent="0.35">
      <c r="A503" s="300">
        <f ca="1">IFERROR(SEARCH("Girls",C494),0)</f>
        <v>12</v>
      </c>
      <c r="C503" s="298">
        <v>7</v>
      </c>
      <c r="D503" s="298">
        <f ca="1">IFERROR(IF(C503&gt;MatchDay!$U$2,"-",VLOOKUP(A494,timetables,MatchDay!$U$4+6,FALSE)),0)</f>
        <v>7</v>
      </c>
      <c r="E503" s="286" t="str">
        <f ca="1">IFERROR(VLOOKUP($A494&amp;D503,downloads!$A$1:$E$1000,2,FALSE),"")</f>
        <v/>
      </c>
      <c r="F503" s="286" t="str">
        <f t="shared" ca="1" si="125"/>
        <v>Wigan</v>
      </c>
      <c r="G503" s="291"/>
      <c r="H503" s="297"/>
      <c r="I503" s="298">
        <v>7</v>
      </c>
      <c r="J503" s="298">
        <f t="shared" ca="1" si="126"/>
        <v>77</v>
      </c>
      <c r="K503" s="286" t="str">
        <f ca="1">IFERROR(VLOOKUP($A494&amp;J503,downloads!$A$1:$E$1000,2,FALSE),"")</f>
        <v/>
      </c>
      <c r="L503" s="286" t="str">
        <f t="shared" ca="1" si="124"/>
        <v>Wigan</v>
      </c>
      <c r="O503" s="299"/>
      <c r="Q503" s="307" t="str">
        <f ca="1">IFERROR(VLOOKUP($A494&amp;D503,competitors,4,FALSE),"")</f>
        <v/>
      </c>
      <c r="R503" s="307" t="str">
        <f ca="1">IFERROR(VLOOKUP($A494&amp;J503,competitors,4,FALSE),"")</f>
        <v/>
      </c>
    </row>
    <row r="504" spans="1:18" x14ac:dyDescent="0.35">
      <c r="A504" s="103">
        <f ca="1">IFERROR(VLOOKUP(A494,records,5,FALSE),"")</f>
        <v>39.94</v>
      </c>
      <c r="B504" s="103"/>
      <c r="C504" s="298">
        <v>8</v>
      </c>
      <c r="D504" s="298" t="str">
        <f>IFERROR(IF(C504&gt;MatchDay!$U$2,"-",VLOOKUP(A494,timetables,MatchDay!$U$4+7,FALSE)),0)</f>
        <v>-</v>
      </c>
      <c r="E504" s="286" t="str">
        <f ca="1">IFERROR(VLOOKUP($A494&amp;D504,downloads!$A$1:$E$1000,2,FALSE),"")</f>
        <v/>
      </c>
      <c r="F504" s="286" t="str">
        <f t="shared" si="125"/>
        <v/>
      </c>
      <c r="G504" s="291"/>
      <c r="H504" s="297"/>
      <c r="I504" s="298">
        <v>8</v>
      </c>
      <c r="J504" s="298" t="str">
        <f t="shared" si="126"/>
        <v/>
      </c>
      <c r="K504" s="286" t="str">
        <f ca="1">IFERROR(VLOOKUP($A494&amp;J504,downloads!$A$1:$E$1000,2,FALSE),"")</f>
        <v/>
      </c>
      <c r="L504" s="286" t="str">
        <f t="shared" si="124"/>
        <v/>
      </c>
      <c r="O504" s="299"/>
      <c r="Q504" s="307" t="str">
        <f ca="1">IFERROR(VLOOKUP($A494&amp;D504,competitors,4,FALSE),"")</f>
        <v/>
      </c>
      <c r="R504" s="307" t="str">
        <f ca="1">IFERROR(VLOOKUP($A494&amp;J504,competitors,4,FALSE),"")</f>
        <v/>
      </c>
    </row>
    <row r="505" spans="1:18" x14ac:dyDescent="0.35">
      <c r="Q505" s="307"/>
      <c r="R505" s="307"/>
    </row>
    <row r="506" spans="1:18" x14ac:dyDescent="0.35">
      <c r="A506" s="98" t="str">
        <f ca="1">IFERROR(INDIRECT(CONCATENATE("'Timetables'!A"&amp;A510)),"")</f>
        <v>LFD06</v>
      </c>
      <c r="B506" s="304" t="str">
        <f ca="1">IFERROR(TEXT(VLOOKUP(A506,timetables,7-MatchDay!$U$7,FALSE),"hh:mm"),"")</f>
        <v>13:15</v>
      </c>
      <c r="C506" s="292" t="str">
        <f ca="1">IFERROR(VLOOKUP(A506,timetables,2,FALSE)&amp;" "&amp;VLOOKUP(A506,timetables,3,FALSE)&amp;" A","")</f>
        <v>Shot U15 Boys A</v>
      </c>
      <c r="D506" s="292"/>
      <c r="F506" s="293"/>
      <c r="G506" s="294"/>
      <c r="L506" s="360"/>
      <c r="M506" s="296"/>
      <c r="N506" s="286"/>
      <c r="Q506" s="307"/>
      <c r="R506" s="307"/>
    </row>
    <row r="507" spans="1:18" x14ac:dyDescent="0.35">
      <c r="A507" s="98"/>
      <c r="B507" s="98"/>
      <c r="C507" s="295" t="str">
        <f ca="1">IFERROR("Rec: "&amp;VLOOKUP(A506,records,4,FALSE),"")</f>
        <v>Rec: 15.49 Thomas Hanson, Cardiff AAC, 2015</v>
      </c>
      <c r="D507" s="292"/>
      <c r="F507" s="293"/>
      <c r="G507" s="294"/>
      <c r="I507" s="295"/>
      <c r="L507" s="360"/>
      <c r="M507" s="296"/>
      <c r="N507" s="286"/>
      <c r="Q507" s="307"/>
      <c r="R507" s="307"/>
    </row>
    <row r="508" spans="1:18" x14ac:dyDescent="0.35">
      <c r="A508" s="82" t="str">
        <f ca="1">MID(A506,2,3)</f>
        <v>FD0</v>
      </c>
      <c r="B508" s="82"/>
      <c r="C508" s="304" t="s">
        <v>122</v>
      </c>
      <c r="D508" s="304" t="s">
        <v>141</v>
      </c>
      <c r="E508" s="286" t="s">
        <v>174</v>
      </c>
      <c r="F508" s="286" t="s">
        <v>175</v>
      </c>
      <c r="G508" s="291"/>
      <c r="I508" s="304" t="s">
        <v>122</v>
      </c>
      <c r="J508" s="304" t="s">
        <v>141</v>
      </c>
      <c r="K508" s="286" t="s">
        <v>174</v>
      </c>
      <c r="L508" s="286" t="s">
        <v>175</v>
      </c>
      <c r="O508" s="299"/>
      <c r="Q508" s="307"/>
      <c r="R508" s="307"/>
    </row>
    <row r="509" spans="1:18" x14ac:dyDescent="0.35">
      <c r="A509" s="138"/>
      <c r="B509" s="103"/>
      <c r="C509" s="298">
        <v>1</v>
      </c>
      <c r="D509" s="298">
        <f ca="1">IFERROR(IF(C509&gt;MatchDay!$U$2,"",VLOOKUP($A506,timetables,MatchDay!$U$4+C509-1,FALSE)),0)</f>
        <v>4</v>
      </c>
      <c r="E509" s="286" t="str">
        <f ca="1">IFERROR(VLOOKUP($A506&amp;D509,downloads!$A$1:$E$1000,2,FALSE),"")</f>
        <v/>
      </c>
      <c r="F509" s="286" t="str">
        <f ca="1">IFERROR(VLOOKUP(D509,teamlookup,5,FALSE),"")</f>
        <v>Macc</v>
      </c>
      <c r="G509" s="291"/>
      <c r="H509" s="297"/>
      <c r="I509" s="298">
        <v>1</v>
      </c>
      <c r="J509" s="298">
        <f ca="1">IFERROR(D509*11,"")</f>
        <v>44</v>
      </c>
      <c r="K509" s="286" t="str">
        <f ca="1">IFERROR(VLOOKUP($A506&amp;J509,downloads!$A$1:$E$1000,2,FALSE),"")</f>
        <v/>
      </c>
      <c r="L509" s="286" t="str">
        <f t="shared" ref="L509:L516" ca="1" si="127">IFERROR(VLOOKUP(J509,teamlookup,5,FALSE),"")</f>
        <v>Macc</v>
      </c>
      <c r="O509" s="299"/>
      <c r="Q509" s="307" t="str">
        <f ca="1">IFERROR(VLOOKUP($A506&amp;D509,competitors,4,FALSE),"")</f>
        <v/>
      </c>
      <c r="R509" s="307" t="str">
        <f ca="1">IFERROR(VLOOKUP($A506&amp;J509,competitors,4,FALSE),"")</f>
        <v/>
      </c>
    </row>
    <row r="510" spans="1:18" x14ac:dyDescent="0.35">
      <c r="A510" s="304">
        <f>A498+1</f>
        <v>51</v>
      </c>
      <c r="C510" s="298">
        <v>2</v>
      </c>
      <c r="D510" s="298">
        <f ca="1">IFERROR(IF(C510&gt;MatchDay!$U$2,"",VLOOKUP($A506,timetables,MatchDay!$U$4+C510-1,FALSE)),0)</f>
        <v>1</v>
      </c>
      <c r="E510" s="286" t="str">
        <f ca="1">IFERROR(VLOOKUP($A506&amp;D510,downloads!$A$1:$E$1000,2,FALSE),"")</f>
        <v>Lucas BEECH</v>
      </c>
      <c r="F510" s="286" t="str">
        <f t="shared" ref="F510:F516" ca="1" si="128">IFERROR(VLOOKUP(D510,teamlookup,5,FALSE),"")</f>
        <v>C&amp;N</v>
      </c>
      <c r="G510" s="291"/>
      <c r="H510" s="297"/>
      <c r="I510" s="298">
        <v>2</v>
      </c>
      <c r="J510" s="298">
        <f t="shared" ref="J510:J516" ca="1" si="129">IFERROR(D510*11,"")</f>
        <v>11</v>
      </c>
      <c r="K510" s="286" t="str">
        <f ca="1">IFERROR(VLOOKUP($A506&amp;J510,downloads!$A$1:$E$1000,2,FALSE),"")</f>
        <v>Oliver BORG-HEFFERNAN</v>
      </c>
      <c r="L510" s="286" t="str">
        <f t="shared" ca="1" si="127"/>
        <v>C&amp;N</v>
      </c>
      <c r="O510" s="299"/>
      <c r="Q510" s="307">
        <f ca="1">IFERROR(VLOOKUP($A506&amp;D510,competitors,4,FALSE),"")</f>
        <v>1</v>
      </c>
      <c r="R510" s="307">
        <f ca="1">IFERROR(VLOOKUP($A506&amp;J510,competitors,4,FALSE),"")</f>
        <v>1</v>
      </c>
    </row>
    <row r="511" spans="1:18" x14ac:dyDescent="0.35">
      <c r="A511" s="105">
        <f ca="1">IFERROR(VLOOKUP(A506,standards,3,FALSE)+0.01,"-")</f>
        <v>7.41</v>
      </c>
      <c r="B511" s="105"/>
      <c r="C511" s="298">
        <v>3</v>
      </c>
      <c r="D511" s="298">
        <f ca="1">IFERROR(IF(C511&gt;MatchDay!$U$2,"",VLOOKUP($A506,timetables,MatchDay!$U$4+C511-1,FALSE)),0)</f>
        <v>5</v>
      </c>
      <c r="E511" s="286" t="str">
        <f ca="1">IFERROR(VLOOKUP($A506&amp;D511,downloads!$A$1:$E$1000,2,FALSE),"")</f>
        <v/>
      </c>
      <c r="F511" s="286" t="str">
        <f t="shared" ca="1" si="128"/>
        <v>Menai</v>
      </c>
      <c r="G511" s="291"/>
      <c r="H511" s="297"/>
      <c r="I511" s="298">
        <v>3</v>
      </c>
      <c r="J511" s="298">
        <f t="shared" ca="1" si="129"/>
        <v>55</v>
      </c>
      <c r="K511" s="286" t="str">
        <f ca="1">IFERROR(VLOOKUP($A506&amp;J511,downloads!$A$1:$E$1000,2,FALSE),"")</f>
        <v/>
      </c>
      <c r="L511" s="286" t="str">
        <f t="shared" ca="1" si="127"/>
        <v>Menai</v>
      </c>
      <c r="O511" s="299"/>
      <c r="Q511" s="307" t="str">
        <f ca="1">IFERROR(VLOOKUP($A506&amp;D511,competitors,4,FALSE),"")</f>
        <v/>
      </c>
      <c r="R511" s="307" t="str">
        <f ca="1">IFERROR(VLOOKUP($A506&amp;J511,competitors,4,FALSE),"")</f>
        <v/>
      </c>
    </row>
    <row r="512" spans="1:18" x14ac:dyDescent="0.35">
      <c r="A512" s="105">
        <f ca="1">IFERROR(VLOOKUP(A506,standards,4,FALSE)+0.01,"-")</f>
        <v>8.01</v>
      </c>
      <c r="B512" s="105"/>
      <c r="C512" s="298">
        <v>4</v>
      </c>
      <c r="D512" s="298">
        <f ca="1">IFERROR(IF(C512&gt;MatchDay!$U$2,"",VLOOKUP($A506,timetables,MatchDay!$U$4+C512-1,FALSE)),0)</f>
        <v>7</v>
      </c>
      <c r="E512" s="286" t="str">
        <f ca="1">IFERROR(VLOOKUP($A506&amp;D512,downloads!$A$1:$E$1000,2,FALSE),"")</f>
        <v>Matthew HAYTON</v>
      </c>
      <c r="F512" s="286" t="str">
        <f t="shared" ca="1" si="128"/>
        <v>Wigan</v>
      </c>
      <c r="G512" s="291"/>
      <c r="H512" s="297"/>
      <c r="I512" s="298">
        <v>4</v>
      </c>
      <c r="J512" s="298">
        <f t="shared" ca="1" si="129"/>
        <v>77</v>
      </c>
      <c r="K512" s="286" t="str">
        <f ca="1">IFERROR(VLOOKUP($A506&amp;J512,downloads!$A$1:$E$1000,2,FALSE),"")</f>
        <v/>
      </c>
      <c r="L512" s="286" t="str">
        <f t="shared" ca="1" si="127"/>
        <v>Wigan</v>
      </c>
      <c r="O512" s="299"/>
      <c r="Q512" s="307">
        <f ca="1">IFERROR(VLOOKUP($A506&amp;D512,competitors,4,FALSE),"")</f>
        <v>1</v>
      </c>
      <c r="R512" s="307" t="str">
        <f ca="1">IFERROR(VLOOKUP($A506&amp;J512,competitors,4,FALSE),"")</f>
        <v/>
      </c>
    </row>
    <row r="513" spans="1:18" x14ac:dyDescent="0.35">
      <c r="A513" s="105">
        <f ca="1">IFERROR(VLOOKUP(A506,standards,5,FALSE)+0.01,"-")</f>
        <v>8.61</v>
      </c>
      <c r="B513" s="105"/>
      <c r="C513" s="298">
        <v>5</v>
      </c>
      <c r="D513" s="298">
        <f ca="1">IFERROR(IF(C513&gt;MatchDay!$U$2,"",VLOOKUP($A506,timetables,MatchDay!$U$4+C513-1,FALSE)),0)</f>
        <v>3</v>
      </c>
      <c r="E513" s="286" t="str">
        <f ca="1">IFERROR(VLOOKUP($A506&amp;D513,downloads!$A$1:$E$1000,2,FALSE),"")</f>
        <v>Oliver SANDERSON</v>
      </c>
      <c r="F513" s="286" t="str">
        <f t="shared" ca="1" si="128"/>
        <v>Leigh</v>
      </c>
      <c r="G513" s="291"/>
      <c r="H513" s="297"/>
      <c r="I513" s="298">
        <v>5</v>
      </c>
      <c r="J513" s="298">
        <f t="shared" ca="1" si="129"/>
        <v>33</v>
      </c>
      <c r="K513" s="286" t="str">
        <f ca="1">IFERROR(VLOOKUP($A506&amp;J513,downloads!$A$1:$E$1000,2,FALSE),"")</f>
        <v>Archer GILDART</v>
      </c>
      <c r="L513" s="286" t="str">
        <f t="shared" ca="1" si="127"/>
        <v>Leigh</v>
      </c>
      <c r="O513" s="299"/>
      <c r="Q513" s="307">
        <f ca="1">IFERROR(VLOOKUP($A506&amp;D513,competitors,4,FALSE),"")</f>
        <v>1</v>
      </c>
      <c r="R513" s="307">
        <f ca="1">IFERROR(VLOOKUP($A506&amp;J513,competitors,4,FALSE),"")</f>
        <v>0</v>
      </c>
    </row>
    <row r="514" spans="1:18" x14ac:dyDescent="0.35">
      <c r="A514" s="105">
        <f ca="1">IFERROR(VLOOKUP(A506,standards,6,FALSE)+0.01,"-")</f>
        <v>9.2099999999999991</v>
      </c>
      <c r="B514" s="105"/>
      <c r="C514" s="298">
        <v>6</v>
      </c>
      <c r="D514" s="298">
        <f ca="1">IFERROR(IF(C514&gt;MatchDay!$U$2,"",VLOOKUP($A506,timetables,MatchDay!$U$4+C514-1,FALSE)),0)</f>
        <v>6</v>
      </c>
      <c r="E514" s="286" t="str">
        <f ca="1">IFERROR(VLOOKUP($A506&amp;D514,downloads!$A$1:$E$1000,2,FALSE),"")</f>
        <v>Campbell JOHNSON</v>
      </c>
      <c r="F514" s="286" t="str">
        <f t="shared" ca="1" si="128"/>
        <v>Stock</v>
      </c>
      <c r="G514" s="291"/>
      <c r="H514" s="297"/>
      <c r="I514" s="298">
        <v>6</v>
      </c>
      <c r="J514" s="298">
        <f t="shared" ca="1" si="129"/>
        <v>66</v>
      </c>
      <c r="K514" s="286" t="str">
        <f ca="1">IFERROR(VLOOKUP($A506&amp;J514,downloads!$A$1:$E$1000,2,FALSE),"")</f>
        <v/>
      </c>
      <c r="L514" s="286" t="str">
        <f t="shared" ca="1" si="127"/>
        <v>Stock</v>
      </c>
      <c r="O514" s="299"/>
      <c r="Q514" s="307">
        <f ca="1">IFERROR(VLOOKUP($A506&amp;D514,competitors,4,FALSE),"")</f>
        <v>1</v>
      </c>
      <c r="R514" s="307" t="str">
        <f ca="1">IFERROR(VLOOKUP($A506&amp;J514,competitors,4,FALSE),"")</f>
        <v/>
      </c>
    </row>
    <row r="515" spans="1:18" x14ac:dyDescent="0.35">
      <c r="A515" s="300">
        <f ca="1">IFERROR(SEARCH("Girls",C506),0)</f>
        <v>0</v>
      </c>
      <c r="C515" s="298">
        <v>7</v>
      </c>
      <c r="D515" s="298">
        <f ca="1">IFERROR(IF(C515&gt;MatchDay!$U$2,"",VLOOKUP($A506,timetables,MatchDay!$U$4+C515-1,FALSE)),0)</f>
        <v>2</v>
      </c>
      <c r="E515" s="286" t="str">
        <f ca="1">IFERROR(VLOOKUP($A506&amp;D515,downloads!$A$1:$E$1000,2,FALSE),"")</f>
        <v>Marshall FLEET</v>
      </c>
      <c r="F515" s="286" t="str">
        <f t="shared" ca="1" si="128"/>
        <v>ECHT</v>
      </c>
      <c r="G515" s="291"/>
      <c r="H515" s="297"/>
      <c r="I515" s="298">
        <v>7</v>
      </c>
      <c r="J515" s="298">
        <f t="shared" ca="1" si="129"/>
        <v>22</v>
      </c>
      <c r="K515" s="286" t="str">
        <f ca="1">IFERROR(VLOOKUP($A506&amp;J515,downloads!$A$1:$E$1000,2,FALSE),"")</f>
        <v/>
      </c>
      <c r="L515" s="286" t="str">
        <f t="shared" ca="1" si="127"/>
        <v>ECHT</v>
      </c>
      <c r="O515" s="299"/>
      <c r="Q515" s="307">
        <f ca="1">IFERROR(VLOOKUP($A506&amp;D515,competitors,4,FALSE),"")</f>
        <v>1</v>
      </c>
      <c r="R515" s="307" t="str">
        <f ca="1">IFERROR(VLOOKUP($A506&amp;J515,competitors,4,FALSE),"")</f>
        <v/>
      </c>
    </row>
    <row r="516" spans="1:18" x14ac:dyDescent="0.35">
      <c r="A516" s="103">
        <f ca="1">IFERROR(VLOOKUP(A506,records,5,FALSE),"")</f>
        <v>15.49</v>
      </c>
      <c r="B516" s="103"/>
      <c r="C516" s="298">
        <v>8</v>
      </c>
      <c r="D516" s="298" t="str">
        <f>IFERROR(IF(C516&gt;MatchDay!$U$2,"",VLOOKUP($A506,timetables,MatchDay!$U$4+C516-1,FALSE)),0)</f>
        <v/>
      </c>
      <c r="E516" s="286" t="str">
        <f ca="1">IFERROR(VLOOKUP($A506&amp;D516,downloads!$A$1:$E$1000,2,FALSE),"")</f>
        <v/>
      </c>
      <c r="F516" s="286" t="str">
        <f t="shared" si="128"/>
        <v/>
      </c>
      <c r="G516" s="291"/>
      <c r="H516" s="297"/>
      <c r="I516" s="298">
        <v>8</v>
      </c>
      <c r="J516" s="298" t="str">
        <f t="shared" si="129"/>
        <v/>
      </c>
      <c r="K516" s="286" t="str">
        <f ca="1">IFERROR(VLOOKUP($A506&amp;J516,downloads!$A$1:$E$1000,2,FALSE),"")</f>
        <v/>
      </c>
      <c r="L516" s="286" t="str">
        <f t="shared" si="127"/>
        <v/>
      </c>
      <c r="O516" s="299"/>
      <c r="Q516" s="307" t="str">
        <f ca="1">IFERROR(VLOOKUP($A506&amp;D516,competitors,4,FALSE),"")</f>
        <v/>
      </c>
      <c r="R516" s="307" t="str">
        <f ca="1">IFERROR(VLOOKUP($A506&amp;J516,competitors,4,FALSE),"")</f>
        <v/>
      </c>
    </row>
    <row r="517" spans="1:18" x14ac:dyDescent="0.35">
      <c r="Q517" s="307"/>
      <c r="R517" s="307"/>
    </row>
    <row r="518" spans="1:18" ht="15" customHeight="1" x14ac:dyDescent="0.35">
      <c r="A518" s="98" t="str">
        <f ca="1">IFERROR(INDIRECT(CONCATENATE("'Timetables'!A"&amp;A522)),"")</f>
        <v>LFD07</v>
      </c>
      <c r="B518" s="304" t="str">
        <f ca="1">IFERROR(TEXT(VLOOKUP(A518,timetables,7-MatchDay!$U$7,FALSE),"hh:mm"),"")</f>
        <v>13:45</v>
      </c>
      <c r="C518" s="292" t="str">
        <f ca="1">IFERROR(VLOOKUP(A518,timetables,2,FALSE)&amp;" "&amp;VLOOKUP(A518,timetables,3,FALSE)&amp;" A","")</f>
        <v>Javelin U15 Boys A</v>
      </c>
      <c r="D518" s="292"/>
      <c r="F518" s="293"/>
      <c r="G518" s="294"/>
      <c r="L518" s="360"/>
      <c r="M518" s="296"/>
      <c r="N518" s="286"/>
      <c r="Q518" s="307"/>
      <c r="R518" s="307"/>
    </row>
    <row r="519" spans="1:18" ht="15" customHeight="1" x14ac:dyDescent="0.35">
      <c r="A519" s="98"/>
      <c r="B519" s="98"/>
      <c r="C519" s="295" t="str">
        <f ca="1">IFERROR("Rec: "&amp;VLOOKUP(A518,records,4,FALSE),"")</f>
        <v>Rec: 61.40 Max Law, Havering AC, 2016</v>
      </c>
      <c r="D519" s="292"/>
      <c r="F519" s="293"/>
      <c r="G519" s="294"/>
      <c r="I519" s="295"/>
      <c r="L519" s="360"/>
      <c r="M519" s="296"/>
      <c r="N519" s="286"/>
      <c r="Q519" s="307"/>
      <c r="R519" s="307"/>
    </row>
    <row r="520" spans="1:18" ht="15" customHeight="1" x14ac:dyDescent="0.35">
      <c r="A520" s="82" t="str">
        <f ca="1">MID(A518,2,3)</f>
        <v>FD0</v>
      </c>
      <c r="B520" s="82"/>
      <c r="C520" s="304" t="s">
        <v>122</v>
      </c>
      <c r="D520" s="304" t="s">
        <v>141</v>
      </c>
      <c r="E520" s="286" t="s">
        <v>174</v>
      </c>
      <c r="F520" s="286" t="s">
        <v>175</v>
      </c>
      <c r="G520" s="291"/>
      <c r="I520" s="304" t="s">
        <v>122</v>
      </c>
      <c r="J520" s="304" t="s">
        <v>141</v>
      </c>
      <c r="K520" s="286" t="s">
        <v>174</v>
      </c>
      <c r="L520" s="286" t="s">
        <v>175</v>
      </c>
      <c r="O520" s="299"/>
      <c r="Q520" s="307"/>
      <c r="R520" s="307"/>
    </row>
    <row r="521" spans="1:18" ht="15" customHeight="1" x14ac:dyDescent="0.35">
      <c r="A521" s="138"/>
      <c r="B521" s="103"/>
      <c r="C521" s="298">
        <v>1</v>
      </c>
      <c r="D521" s="298">
        <f ca="1">IFERROR(IF(C521&gt;MatchDay!$U$2,"",VLOOKUP($A518,timetables,MatchDay!$U$4+C521-1,FALSE)),0)</f>
        <v>1</v>
      </c>
      <c r="E521" s="286" t="str">
        <f ca="1">IFERROR(VLOOKUP($A518&amp;D521,downloads!$A$1:$E$1000,2,FALSE),"")</f>
        <v>Jack TILLEY</v>
      </c>
      <c r="F521" s="286" t="str">
        <f ca="1">IFERROR(VLOOKUP(D521,teamlookup,5,FALSE),"")</f>
        <v>C&amp;N</v>
      </c>
      <c r="G521" s="291"/>
      <c r="H521" s="297"/>
      <c r="I521" s="298">
        <v>1</v>
      </c>
      <c r="J521" s="298">
        <f ca="1">IFERROR(D521*11,"")</f>
        <v>11</v>
      </c>
      <c r="K521" s="286" t="str">
        <f ca="1">IFERROR(VLOOKUP($A518&amp;J521,downloads!$A$1:$E$1000,2,FALSE),"")</f>
        <v>Saif AL-BAYATTI</v>
      </c>
      <c r="L521" s="286" t="str">
        <f t="shared" ref="L521:L528" ca="1" si="130">IFERROR(VLOOKUP(J521,teamlookup,5,FALSE),"")</f>
        <v>C&amp;N</v>
      </c>
      <c r="O521" s="299"/>
      <c r="Q521" s="307">
        <f ca="1">IFERROR(VLOOKUP($A518&amp;D521,competitors,4,FALSE),"")</f>
        <v>1</v>
      </c>
      <c r="R521" s="307">
        <f ca="1">IFERROR(VLOOKUP($A518&amp;J521,competitors,4,FALSE),"")</f>
        <v>1</v>
      </c>
    </row>
    <row r="522" spans="1:18" ht="15" customHeight="1" x14ac:dyDescent="0.35">
      <c r="A522" s="304">
        <f>A510+1</f>
        <v>52</v>
      </c>
      <c r="C522" s="298">
        <v>2</v>
      </c>
      <c r="D522" s="298">
        <f ca="1">IFERROR(IF(C522&gt;MatchDay!$U$2,"",VLOOKUP($A518,timetables,MatchDay!$U$4+C522-1,FALSE)),0)</f>
        <v>2</v>
      </c>
      <c r="E522" s="286" t="str">
        <f ca="1">IFERROR(VLOOKUP($A518&amp;D522,downloads!$A$1:$E$1000,2,FALSE),"")</f>
        <v>Sebastian STEWART</v>
      </c>
      <c r="F522" s="286" t="str">
        <f t="shared" ref="F522:F528" ca="1" si="131">IFERROR(VLOOKUP(D522,teamlookup,5,FALSE),"")</f>
        <v>ECHT</v>
      </c>
      <c r="G522" s="291"/>
      <c r="H522" s="297"/>
      <c r="I522" s="298">
        <v>2</v>
      </c>
      <c r="J522" s="298">
        <f t="shared" ref="J522:J528" ca="1" si="132">IFERROR(D522*11,"")</f>
        <v>22</v>
      </c>
      <c r="K522" s="286" t="str">
        <f ca="1">IFERROR(VLOOKUP($A518&amp;J522,downloads!$A$1:$E$1000,2,FALSE),"")</f>
        <v/>
      </c>
      <c r="L522" s="286" t="str">
        <f t="shared" ca="1" si="130"/>
        <v>ECHT</v>
      </c>
      <c r="O522" s="299"/>
      <c r="Q522" s="307">
        <f ca="1">IFERROR(VLOOKUP($A518&amp;D522,competitors,4,FALSE),"")</f>
        <v>1</v>
      </c>
      <c r="R522" s="307" t="str">
        <f ca="1">IFERROR(VLOOKUP($A518&amp;J522,competitors,4,FALSE),"")</f>
        <v/>
      </c>
    </row>
    <row r="523" spans="1:18" ht="15" customHeight="1" x14ac:dyDescent="0.35">
      <c r="A523" s="105">
        <f ca="1">IFERROR(VLOOKUP(A518,standards,3,FALSE)+0.01,"-")</f>
        <v>20.010000000000002</v>
      </c>
      <c r="B523" s="105"/>
      <c r="C523" s="298">
        <v>3</v>
      </c>
      <c r="D523" s="298">
        <f ca="1">IFERROR(IF(C523&gt;MatchDay!$U$2,"",VLOOKUP($A518,timetables,MatchDay!$U$4+C523-1,FALSE)),0)</f>
        <v>6</v>
      </c>
      <c r="E523" s="286" t="str">
        <f ca="1">IFERROR(VLOOKUP($A518&amp;D523,downloads!$A$1:$E$1000,2,FALSE),"")</f>
        <v>Jacob HARWOOD-BRETNALL</v>
      </c>
      <c r="F523" s="286" t="str">
        <f t="shared" ca="1" si="131"/>
        <v>Stock</v>
      </c>
      <c r="G523" s="291"/>
      <c r="H523" s="297"/>
      <c r="I523" s="298">
        <v>3</v>
      </c>
      <c r="J523" s="298">
        <f t="shared" ca="1" si="132"/>
        <v>66</v>
      </c>
      <c r="K523" s="286" t="str">
        <f ca="1">IFERROR(VLOOKUP($A518&amp;J523,downloads!$A$1:$E$1000,2,FALSE),"")</f>
        <v>Arthur WOLSTENHOLME</v>
      </c>
      <c r="L523" s="286" t="str">
        <f t="shared" ca="1" si="130"/>
        <v>Stock</v>
      </c>
      <c r="O523" s="299"/>
      <c r="Q523" s="307">
        <f ca="1">IFERROR(VLOOKUP($A518&amp;D523,competitors,4,FALSE),"")</f>
        <v>1</v>
      </c>
      <c r="R523" s="307">
        <f ca="1">IFERROR(VLOOKUP($A518&amp;J523,competitors,4,FALSE),"")</f>
        <v>1</v>
      </c>
    </row>
    <row r="524" spans="1:18" ht="15" customHeight="1" x14ac:dyDescent="0.35">
      <c r="A524" s="105">
        <f ca="1">IFERROR(VLOOKUP(A518,standards,4,FALSE)+0.01,"-")</f>
        <v>23.01</v>
      </c>
      <c r="B524" s="105"/>
      <c r="C524" s="298">
        <v>4</v>
      </c>
      <c r="D524" s="298">
        <f ca="1">IFERROR(IF(C524&gt;MatchDay!$U$2,"",VLOOKUP($A518,timetables,MatchDay!$U$4+C524-1,FALSE)),0)</f>
        <v>7</v>
      </c>
      <c r="E524" s="286" t="str">
        <f ca="1">IFERROR(VLOOKUP($A518&amp;D524,downloads!$A$1:$E$1000,2,FALSE),"")</f>
        <v>Joshua BOURNE</v>
      </c>
      <c r="F524" s="286" t="str">
        <f t="shared" ca="1" si="131"/>
        <v>Wigan</v>
      </c>
      <c r="G524" s="291"/>
      <c r="H524" s="297"/>
      <c r="I524" s="298">
        <v>4</v>
      </c>
      <c r="J524" s="298">
        <f t="shared" ca="1" si="132"/>
        <v>77</v>
      </c>
      <c r="K524" s="286" t="str">
        <f ca="1">IFERROR(VLOOKUP($A518&amp;J524,downloads!$A$1:$E$1000,2,FALSE),"")</f>
        <v/>
      </c>
      <c r="L524" s="286" t="str">
        <f t="shared" ca="1" si="130"/>
        <v>Wigan</v>
      </c>
      <c r="O524" s="299"/>
      <c r="Q524" s="307">
        <f ca="1">IFERROR(VLOOKUP($A518&amp;D524,competitors,4,FALSE),"")</f>
        <v>1</v>
      </c>
      <c r="R524" s="307" t="str">
        <f ca="1">IFERROR(VLOOKUP($A518&amp;J524,competitors,4,FALSE),"")</f>
        <v/>
      </c>
    </row>
    <row r="525" spans="1:18" ht="15" customHeight="1" x14ac:dyDescent="0.35">
      <c r="A525" s="105">
        <f ca="1">IFERROR(VLOOKUP(A518,standards,5,FALSE)+0.01,"-")</f>
        <v>26.01</v>
      </c>
      <c r="B525" s="105"/>
      <c r="C525" s="298">
        <v>5</v>
      </c>
      <c r="D525" s="298">
        <f ca="1">IFERROR(IF(C525&gt;MatchDay!$U$2,"",VLOOKUP($A518,timetables,MatchDay!$U$4+C525-1,FALSE)),0)</f>
        <v>3</v>
      </c>
      <c r="E525" s="286" t="str">
        <f ca="1">IFERROR(VLOOKUP($A518&amp;D525,downloads!$A$1:$E$1000,2,FALSE),"")</f>
        <v>Oliver SANDERSON</v>
      </c>
      <c r="F525" s="286" t="str">
        <f t="shared" ca="1" si="131"/>
        <v>Leigh</v>
      </c>
      <c r="G525" s="291"/>
      <c r="H525" s="297"/>
      <c r="I525" s="298">
        <v>5</v>
      </c>
      <c r="J525" s="298">
        <f t="shared" ca="1" si="132"/>
        <v>33</v>
      </c>
      <c r="K525" s="286" t="str">
        <f ca="1">IFERROR(VLOOKUP($A518&amp;J525,downloads!$A$1:$E$1000,2,FALSE),"")</f>
        <v/>
      </c>
      <c r="L525" s="286" t="str">
        <f t="shared" ca="1" si="130"/>
        <v>Leigh</v>
      </c>
      <c r="O525" s="299"/>
      <c r="Q525" s="307">
        <f ca="1">IFERROR(VLOOKUP($A518&amp;D525,competitors,4,FALSE),"")</f>
        <v>1</v>
      </c>
      <c r="R525" s="307" t="str">
        <f ca="1">IFERROR(VLOOKUP($A518&amp;J525,competitors,4,FALSE),"")</f>
        <v/>
      </c>
    </row>
    <row r="526" spans="1:18" ht="15" customHeight="1" x14ac:dyDescent="0.35">
      <c r="A526" s="105">
        <f ca="1">IFERROR(VLOOKUP(A518,standards,6,FALSE)+0.01,"-")</f>
        <v>29.01</v>
      </c>
      <c r="B526" s="105"/>
      <c r="C526" s="298">
        <v>6</v>
      </c>
      <c r="D526" s="298">
        <f ca="1">IFERROR(IF(C526&gt;MatchDay!$U$2,"",VLOOKUP($A518,timetables,MatchDay!$U$4+C526-1,FALSE)),0)</f>
        <v>4</v>
      </c>
      <c r="E526" s="286" t="str">
        <f ca="1">IFERROR(VLOOKUP($A518&amp;D526,downloads!$A$1:$E$1000,2,FALSE),"")</f>
        <v>Tristan LAMPRECHT</v>
      </c>
      <c r="F526" s="286" t="str">
        <f t="shared" ca="1" si="131"/>
        <v>Macc</v>
      </c>
      <c r="G526" s="291"/>
      <c r="H526" s="297"/>
      <c r="I526" s="298">
        <v>6</v>
      </c>
      <c r="J526" s="298">
        <f t="shared" ca="1" si="132"/>
        <v>44</v>
      </c>
      <c r="K526" s="286" t="str">
        <f ca="1">IFERROR(VLOOKUP($A518&amp;J526,downloads!$A$1:$E$1000,2,FALSE),"")</f>
        <v/>
      </c>
      <c r="L526" s="286" t="str">
        <f t="shared" ca="1" si="130"/>
        <v>Macc</v>
      </c>
      <c r="O526" s="299"/>
      <c r="Q526" s="307">
        <f ca="1">IFERROR(VLOOKUP($A518&amp;D526,competitors,4,FALSE),"")</f>
        <v>1</v>
      </c>
      <c r="R526" s="307" t="str">
        <f ca="1">IFERROR(VLOOKUP($A518&amp;J526,competitors,4,FALSE),"")</f>
        <v/>
      </c>
    </row>
    <row r="527" spans="1:18" ht="15" customHeight="1" x14ac:dyDescent="0.35">
      <c r="A527" s="300">
        <f ca="1">IFERROR(SEARCH("Girls",C518),0)</f>
        <v>0</v>
      </c>
      <c r="C527" s="298">
        <v>7</v>
      </c>
      <c r="D527" s="298">
        <f ca="1">IFERROR(IF(C527&gt;MatchDay!$U$2,"",VLOOKUP($A518,timetables,MatchDay!$U$4+C527-1,FALSE)),0)</f>
        <v>5</v>
      </c>
      <c r="E527" s="286" t="str">
        <f ca="1">IFERROR(VLOOKUP($A518&amp;D527,downloads!$A$1:$E$1000,2,FALSE),"")</f>
        <v>Alex BAYNHAM</v>
      </c>
      <c r="F527" s="286" t="str">
        <f t="shared" ca="1" si="131"/>
        <v>Menai</v>
      </c>
      <c r="G527" s="291"/>
      <c r="H527" s="297"/>
      <c r="I527" s="298">
        <v>7</v>
      </c>
      <c r="J527" s="298">
        <f t="shared" ca="1" si="132"/>
        <v>55</v>
      </c>
      <c r="K527" s="286" t="str">
        <f ca="1">IFERROR(VLOOKUP($A518&amp;J527,downloads!$A$1:$E$1000,2,FALSE),"")</f>
        <v/>
      </c>
      <c r="L527" s="286" t="str">
        <f t="shared" ca="1" si="130"/>
        <v>Menai</v>
      </c>
      <c r="O527" s="299"/>
      <c r="Q527" s="307">
        <f ca="1">IFERROR(VLOOKUP($A518&amp;D527,competitors,4,FALSE),"")</f>
        <v>1</v>
      </c>
      <c r="R527" s="307" t="str">
        <f ca="1">IFERROR(VLOOKUP($A518&amp;J527,competitors,4,FALSE),"")</f>
        <v/>
      </c>
    </row>
    <row r="528" spans="1:18" ht="15" customHeight="1" x14ac:dyDescent="0.35">
      <c r="A528" s="103">
        <f ca="1">IFERROR(VLOOKUP(A518,records,5,FALSE),"")</f>
        <v>61.4</v>
      </c>
      <c r="B528" s="103"/>
      <c r="C528" s="298">
        <v>8</v>
      </c>
      <c r="D528" s="298" t="str">
        <f>IFERROR(IF(C528&gt;MatchDay!$U$2,"",VLOOKUP($A518,timetables,MatchDay!$U$4+C528-1,FALSE)),0)</f>
        <v/>
      </c>
      <c r="E528" s="286" t="str">
        <f ca="1">IFERROR(VLOOKUP($A518&amp;D528,downloads!$A$1:$E$1000,2,FALSE),"")</f>
        <v/>
      </c>
      <c r="F528" s="286" t="str">
        <f t="shared" si="131"/>
        <v/>
      </c>
      <c r="G528" s="291"/>
      <c r="H528" s="297"/>
      <c r="I528" s="298">
        <v>8</v>
      </c>
      <c r="J528" s="298" t="str">
        <f t="shared" si="132"/>
        <v/>
      </c>
      <c r="K528" s="286" t="str">
        <f ca="1">IFERROR(VLOOKUP($A518&amp;J528,downloads!$A$1:$E$1000,2,FALSE),"")</f>
        <v/>
      </c>
      <c r="L528" s="286" t="str">
        <f t="shared" si="130"/>
        <v/>
      </c>
      <c r="O528" s="299"/>
      <c r="Q528" s="307" t="str">
        <f ca="1">IFERROR(VLOOKUP($A518&amp;D528,competitors,4,FALSE),"")</f>
        <v/>
      </c>
      <c r="R528" s="307" t="str">
        <f ca="1">IFERROR(VLOOKUP($A518&amp;J528,competitors,4,FALSE),"")</f>
        <v/>
      </c>
    </row>
    <row r="529" spans="1:18" ht="15" customHeight="1" x14ac:dyDescent="0.35">
      <c r="Q529" s="307"/>
      <c r="R529" s="307"/>
    </row>
    <row r="530" spans="1:18" ht="15" customHeight="1" x14ac:dyDescent="0.35">
      <c r="A530" s="98" t="str">
        <f ca="1">IFERROR(INDIRECT(CONCATENATE("'Timetables'!A"&amp;A534)),"")</f>
        <v>LFD08</v>
      </c>
      <c r="B530" s="304" t="str">
        <f ca="1">IFERROR(TEXT(VLOOKUP(A530,timetables,7-MatchDay!$U$7,FALSE),"hh:mm"),"")</f>
        <v>14:30</v>
      </c>
      <c r="C530" s="292" t="str">
        <f ca="1">IFERROR(VLOOKUP(A530,timetables,2,FALSE)&amp;" "&amp;VLOOKUP(A530,timetables,3,FALSE)&amp;" A","")</f>
        <v>Javelin U15 Girls A</v>
      </c>
      <c r="D530" s="292"/>
      <c r="F530" s="293"/>
      <c r="G530" s="294"/>
      <c r="L530" s="360"/>
      <c r="M530" s="296"/>
      <c r="N530" s="286"/>
      <c r="Q530" s="307"/>
      <c r="R530" s="307"/>
    </row>
    <row r="531" spans="1:18" ht="15" customHeight="1" x14ac:dyDescent="0.35">
      <c r="A531" s="98"/>
      <c r="B531" s="98"/>
      <c r="C531" s="295" t="str">
        <f ca="1">IFERROR("Rec: "&amp;VLOOKUP(A530,records,4,FALSE),"")</f>
        <v>Rec: 45.76 Bethany Moule, Neath Harriers, 2016</v>
      </c>
      <c r="D531" s="292"/>
      <c r="F531" s="293"/>
      <c r="G531" s="294"/>
      <c r="I531" s="295"/>
      <c r="L531" s="360"/>
      <c r="M531" s="296"/>
      <c r="N531" s="286"/>
      <c r="Q531" s="307"/>
      <c r="R531" s="307"/>
    </row>
    <row r="532" spans="1:18" ht="15" customHeight="1" x14ac:dyDescent="0.35">
      <c r="A532" s="82" t="str">
        <f ca="1">MID(A530,2,3)</f>
        <v>FD0</v>
      </c>
      <c r="B532" s="82"/>
      <c r="C532" s="304" t="s">
        <v>122</v>
      </c>
      <c r="D532" s="304" t="s">
        <v>141</v>
      </c>
      <c r="E532" s="286" t="s">
        <v>174</v>
      </c>
      <c r="F532" s="286" t="s">
        <v>175</v>
      </c>
      <c r="G532" s="291"/>
      <c r="I532" s="304" t="s">
        <v>122</v>
      </c>
      <c r="J532" s="304" t="s">
        <v>141</v>
      </c>
      <c r="K532" s="286" t="s">
        <v>174</v>
      </c>
      <c r="L532" s="286" t="s">
        <v>175</v>
      </c>
      <c r="O532" s="299"/>
      <c r="Q532" s="307"/>
      <c r="R532" s="307"/>
    </row>
    <row r="533" spans="1:18" ht="15" customHeight="1" x14ac:dyDescent="0.35">
      <c r="A533" s="138"/>
      <c r="B533" s="103"/>
      <c r="C533" s="298">
        <v>1</v>
      </c>
      <c r="D533" s="298">
        <f ca="1">IFERROR(IF(C533&gt;MatchDay!$U$2,"",VLOOKUP($A530,timetables,MatchDay!$U$4+C533-1,FALSE)),0)</f>
        <v>1</v>
      </c>
      <c r="E533" s="286" t="str">
        <f ca="1">IFERROR(VLOOKUP($A530&amp;D533,downloads!$A$1:$E$1000,2,FALSE),"")</f>
        <v>Elisha CARTER</v>
      </c>
      <c r="F533" s="286" t="str">
        <f ca="1">IFERROR(VLOOKUP(D533,teamlookup,5,FALSE),"")</f>
        <v>C&amp;N</v>
      </c>
      <c r="G533" s="291"/>
      <c r="H533" s="297"/>
      <c r="I533" s="298">
        <v>1</v>
      </c>
      <c r="J533" s="298">
        <f ca="1">IFERROR(D533*11,"")</f>
        <v>11</v>
      </c>
      <c r="K533" s="286" t="str">
        <f ca="1">IFERROR(VLOOKUP($A530&amp;J533,downloads!$A$1:$E$1000,2,FALSE),"")</f>
        <v>Lucy HARDING</v>
      </c>
      <c r="L533" s="286" t="str">
        <f t="shared" ref="L533:L540" ca="1" si="133">IFERROR(VLOOKUP(J533,teamlookup,5,FALSE),"")</f>
        <v>C&amp;N</v>
      </c>
      <c r="O533" s="299"/>
      <c r="Q533" s="307">
        <f ca="1">IFERROR(VLOOKUP($A530&amp;D533,competitors,4,FALSE),"")</f>
        <v>1</v>
      </c>
      <c r="R533" s="307">
        <f ca="1">IFERROR(VLOOKUP($A530&amp;J533,competitors,4,FALSE),"")</f>
        <v>1</v>
      </c>
    </row>
    <row r="534" spans="1:18" ht="15" customHeight="1" x14ac:dyDescent="0.35">
      <c r="A534" s="304">
        <f>A522+1</f>
        <v>53</v>
      </c>
      <c r="C534" s="298">
        <v>2</v>
      </c>
      <c r="D534" s="298">
        <f ca="1">IFERROR(IF(C534&gt;MatchDay!$U$2,"",VLOOKUP($A530,timetables,MatchDay!$U$4+C534-1,FALSE)),0)</f>
        <v>2</v>
      </c>
      <c r="E534" s="286" t="str">
        <f ca="1">IFERROR(VLOOKUP($A530&amp;D534,downloads!$A$1:$E$1000,2,FALSE),"")</f>
        <v>Anna ROOKE</v>
      </c>
      <c r="F534" s="286" t="str">
        <f t="shared" ref="F534:F540" ca="1" si="134">IFERROR(VLOOKUP(D534,teamlookup,5,FALSE),"")</f>
        <v>ECHT</v>
      </c>
      <c r="G534" s="291"/>
      <c r="H534" s="297"/>
      <c r="I534" s="298">
        <v>2</v>
      </c>
      <c r="J534" s="298">
        <f t="shared" ref="J534:J540" ca="1" si="135">IFERROR(D534*11,"")</f>
        <v>22</v>
      </c>
      <c r="K534" s="286" t="str">
        <f ca="1">IFERROR(VLOOKUP($A530&amp;J534,downloads!$A$1:$E$1000,2,FALSE),"")</f>
        <v>Sophia GUSH</v>
      </c>
      <c r="L534" s="286" t="str">
        <f t="shared" ca="1" si="133"/>
        <v>ECHT</v>
      </c>
      <c r="O534" s="299"/>
      <c r="Q534" s="307">
        <f ca="1">IFERROR(VLOOKUP($A530&amp;D534,competitors,4,FALSE),"")</f>
        <v>1</v>
      </c>
      <c r="R534" s="307">
        <f ca="1">IFERROR(VLOOKUP($A530&amp;J534,competitors,4,FALSE),"")</f>
        <v>1</v>
      </c>
    </row>
    <row r="535" spans="1:18" ht="15" customHeight="1" x14ac:dyDescent="0.35">
      <c r="A535" s="105">
        <f ca="1">IFERROR(VLOOKUP(A530,standards,3,FALSE)+0.01,"-")</f>
        <v>16.510000000000002</v>
      </c>
      <c r="B535" s="105"/>
      <c r="C535" s="298">
        <v>3</v>
      </c>
      <c r="D535" s="298">
        <f ca="1">IFERROR(IF(C535&gt;MatchDay!$U$2,"",VLOOKUP($A530,timetables,MatchDay!$U$4+C535-1,FALSE)),0)</f>
        <v>6</v>
      </c>
      <c r="E535" s="286" t="str">
        <f ca="1">IFERROR(VLOOKUP($A530&amp;D535,downloads!$A$1:$E$1000,2,FALSE),"")</f>
        <v>Molly MILLS</v>
      </c>
      <c r="F535" s="286" t="str">
        <f t="shared" ca="1" si="134"/>
        <v>Stock</v>
      </c>
      <c r="G535" s="291"/>
      <c r="H535" s="297"/>
      <c r="I535" s="298">
        <v>3</v>
      </c>
      <c r="J535" s="298">
        <f t="shared" ca="1" si="135"/>
        <v>66</v>
      </c>
      <c r="K535" s="286" t="str">
        <f ca="1">IFERROR(VLOOKUP($A530&amp;J535,downloads!$A$1:$E$1000,2,FALSE),"")</f>
        <v/>
      </c>
      <c r="L535" s="286" t="str">
        <f t="shared" ca="1" si="133"/>
        <v>Stock</v>
      </c>
      <c r="O535" s="299"/>
      <c r="Q535" s="307">
        <f ca="1">IFERROR(VLOOKUP($A530&amp;D535,competitors,4,FALSE),"")</f>
        <v>1</v>
      </c>
      <c r="R535" s="307" t="str">
        <f ca="1">IFERROR(VLOOKUP($A530&amp;J535,competitors,4,FALSE),"")</f>
        <v/>
      </c>
    </row>
    <row r="536" spans="1:18" ht="15" customHeight="1" x14ac:dyDescent="0.35">
      <c r="A536" s="105">
        <f ca="1">IFERROR(VLOOKUP(A530,standards,4,FALSE)+0.01,"-")</f>
        <v>19.010000000000002</v>
      </c>
      <c r="B536" s="105"/>
      <c r="C536" s="298">
        <v>4</v>
      </c>
      <c r="D536" s="298">
        <f ca="1">IFERROR(IF(C536&gt;MatchDay!$U$2,"",VLOOKUP($A530,timetables,MatchDay!$U$4+C536-1,FALSE)),0)</f>
        <v>7</v>
      </c>
      <c r="E536" s="286" t="str">
        <f ca="1">IFERROR(VLOOKUP($A530&amp;D536,downloads!$A$1:$E$1000,2,FALSE),"")</f>
        <v>Niamh JOHNSON</v>
      </c>
      <c r="F536" s="286" t="str">
        <f t="shared" ca="1" si="134"/>
        <v>Wigan</v>
      </c>
      <c r="G536" s="291"/>
      <c r="H536" s="297"/>
      <c r="I536" s="298">
        <v>4</v>
      </c>
      <c r="J536" s="298">
        <f t="shared" ca="1" si="135"/>
        <v>77</v>
      </c>
      <c r="K536" s="286" t="str">
        <f ca="1">IFERROR(VLOOKUP($A530&amp;J536,downloads!$A$1:$E$1000,2,FALSE),"")</f>
        <v>Esme HARRIS</v>
      </c>
      <c r="L536" s="286" t="str">
        <f t="shared" ca="1" si="133"/>
        <v>Wigan</v>
      </c>
      <c r="O536" s="299"/>
      <c r="Q536" s="307">
        <f ca="1">IFERROR(VLOOKUP($A530&amp;D536,competitors,4,FALSE),"")</f>
        <v>1</v>
      </c>
      <c r="R536" s="307">
        <f ca="1">IFERROR(VLOOKUP($A530&amp;J536,competitors,4,FALSE),"")</f>
        <v>1</v>
      </c>
    </row>
    <row r="537" spans="1:18" ht="15" customHeight="1" x14ac:dyDescent="0.35">
      <c r="A537" s="105">
        <f ca="1">IFERROR(VLOOKUP(A530,standards,5,FALSE)+0.01,"-")</f>
        <v>21.51</v>
      </c>
      <c r="B537" s="105"/>
      <c r="C537" s="298">
        <v>5</v>
      </c>
      <c r="D537" s="298">
        <f ca="1">IFERROR(IF(C537&gt;MatchDay!$U$2,"",VLOOKUP($A530,timetables,MatchDay!$U$4+C537-1,FALSE)),0)</f>
        <v>3</v>
      </c>
      <c r="E537" s="286" t="str">
        <f ca="1">IFERROR(VLOOKUP($A530&amp;D537,downloads!$A$1:$E$1000,2,FALSE),"")</f>
        <v/>
      </c>
      <c r="F537" s="286" t="str">
        <f t="shared" ca="1" si="134"/>
        <v>Leigh</v>
      </c>
      <c r="G537" s="291"/>
      <c r="H537" s="297"/>
      <c r="I537" s="298">
        <v>5</v>
      </c>
      <c r="J537" s="298">
        <f t="shared" ca="1" si="135"/>
        <v>33</v>
      </c>
      <c r="K537" s="286" t="str">
        <f ca="1">IFERROR(VLOOKUP($A530&amp;J537,downloads!$A$1:$E$1000,2,FALSE),"")</f>
        <v/>
      </c>
      <c r="L537" s="286" t="str">
        <f t="shared" ca="1" si="133"/>
        <v>Leigh</v>
      </c>
      <c r="O537" s="299"/>
      <c r="Q537" s="307" t="str">
        <f ca="1">IFERROR(VLOOKUP($A530&amp;D537,competitors,4,FALSE),"")</f>
        <v/>
      </c>
      <c r="R537" s="307" t="str">
        <f ca="1">IFERROR(VLOOKUP($A530&amp;J537,competitors,4,FALSE),"")</f>
        <v/>
      </c>
    </row>
    <row r="538" spans="1:18" ht="15" customHeight="1" x14ac:dyDescent="0.35">
      <c r="A538" s="105">
        <f ca="1">IFERROR(VLOOKUP(A530,standards,6,FALSE)+0.01,"-")</f>
        <v>24.01</v>
      </c>
      <c r="B538" s="105"/>
      <c r="C538" s="298">
        <v>6</v>
      </c>
      <c r="D538" s="298">
        <f ca="1">IFERROR(IF(C538&gt;MatchDay!$U$2,"",VLOOKUP($A530,timetables,MatchDay!$U$4+C538-1,FALSE)),0)</f>
        <v>4</v>
      </c>
      <c r="E538" s="286" t="str">
        <f ca="1">IFERROR(VLOOKUP($A530&amp;D538,downloads!$A$1:$E$1000,2,FALSE),"")</f>
        <v/>
      </c>
      <c r="F538" s="286" t="str">
        <f t="shared" ca="1" si="134"/>
        <v>Macc</v>
      </c>
      <c r="G538" s="291"/>
      <c r="H538" s="297"/>
      <c r="I538" s="298">
        <v>6</v>
      </c>
      <c r="J538" s="298">
        <f t="shared" ca="1" si="135"/>
        <v>44</v>
      </c>
      <c r="K538" s="286" t="str">
        <f ca="1">IFERROR(VLOOKUP($A530&amp;J538,downloads!$A$1:$E$1000,2,FALSE),"")</f>
        <v/>
      </c>
      <c r="L538" s="286" t="str">
        <f t="shared" ca="1" si="133"/>
        <v>Macc</v>
      </c>
      <c r="O538" s="299"/>
      <c r="Q538" s="307" t="str">
        <f ca="1">IFERROR(VLOOKUP($A530&amp;D538,competitors,4,FALSE),"")</f>
        <v/>
      </c>
      <c r="R538" s="307" t="str">
        <f ca="1">IFERROR(VLOOKUP($A530&amp;J538,competitors,4,FALSE),"")</f>
        <v/>
      </c>
    </row>
    <row r="539" spans="1:18" ht="15" customHeight="1" x14ac:dyDescent="0.35">
      <c r="A539" s="300">
        <f ca="1">IFERROR(SEARCH("Girls",C530),0)</f>
        <v>13</v>
      </c>
      <c r="C539" s="298">
        <v>7</v>
      </c>
      <c r="D539" s="298">
        <f ca="1">IFERROR(IF(C539&gt;MatchDay!$U$2,"",VLOOKUP($A530,timetables,MatchDay!$U$4+C539-1,FALSE)),0)</f>
        <v>5</v>
      </c>
      <c r="E539" s="286" t="str">
        <f ca="1">IFERROR(VLOOKUP($A530&amp;D539,downloads!$A$1:$E$1000,2,FALSE),"")</f>
        <v>Erin JACOBS</v>
      </c>
      <c r="F539" s="286" t="str">
        <f t="shared" ca="1" si="134"/>
        <v>Menai</v>
      </c>
      <c r="G539" s="291"/>
      <c r="H539" s="297"/>
      <c r="I539" s="298">
        <v>7</v>
      </c>
      <c r="J539" s="298">
        <f t="shared" ca="1" si="135"/>
        <v>55</v>
      </c>
      <c r="K539" s="286" t="str">
        <f ca="1">IFERROR(VLOOKUP($A530&amp;J539,downloads!$A$1:$E$1000,2,FALSE),"")</f>
        <v>Elliw MOSS</v>
      </c>
      <c r="L539" s="286" t="str">
        <f t="shared" ca="1" si="133"/>
        <v>Menai</v>
      </c>
      <c r="O539" s="299"/>
      <c r="Q539" s="307">
        <f ca="1">IFERROR(VLOOKUP($A530&amp;D539,competitors,4,FALSE),"")</f>
        <v>1</v>
      </c>
      <c r="R539" s="307">
        <f ca="1">IFERROR(VLOOKUP($A530&amp;J539,competitors,4,FALSE),"")</f>
        <v>0</v>
      </c>
    </row>
    <row r="540" spans="1:18" ht="15" customHeight="1" x14ac:dyDescent="0.35">
      <c r="A540" s="103">
        <f ca="1">IFERROR(VLOOKUP(A530,records,5,FALSE),"")</f>
        <v>45.76</v>
      </c>
      <c r="B540" s="103"/>
      <c r="C540" s="298">
        <v>8</v>
      </c>
      <c r="D540" s="298" t="str">
        <f>IFERROR(IF(C540&gt;MatchDay!$U$2,"",VLOOKUP($A530,timetables,MatchDay!$U$4+C540-1,FALSE)),0)</f>
        <v/>
      </c>
      <c r="E540" s="286" t="str">
        <f ca="1">IFERROR(VLOOKUP($A530&amp;D540,downloads!$A$1:$E$1000,2,FALSE),"")</f>
        <v/>
      </c>
      <c r="F540" s="286" t="str">
        <f t="shared" si="134"/>
        <v/>
      </c>
      <c r="G540" s="291"/>
      <c r="H540" s="297"/>
      <c r="I540" s="298">
        <v>8</v>
      </c>
      <c r="J540" s="298" t="str">
        <f t="shared" si="135"/>
        <v/>
      </c>
      <c r="K540" s="286" t="str">
        <f ca="1">IFERROR(VLOOKUP($A530&amp;J540,downloads!$A$1:$E$1000,2,FALSE),"")</f>
        <v/>
      </c>
      <c r="L540" s="286" t="str">
        <f t="shared" si="133"/>
        <v/>
      </c>
      <c r="O540" s="299"/>
      <c r="Q540" s="307" t="str">
        <f ca="1">IFERROR(VLOOKUP($A530&amp;D540,competitors,4,FALSE),"")</f>
        <v/>
      </c>
      <c r="R540" s="307" t="str">
        <f ca="1">IFERROR(VLOOKUP($A530&amp;J540,competitors,4,FALSE),"")</f>
        <v/>
      </c>
    </row>
    <row r="541" spans="1:18" ht="15" customHeight="1" x14ac:dyDescent="0.35">
      <c r="Q541" s="307"/>
      <c r="R541" s="307"/>
    </row>
    <row r="542" spans="1:18" x14ac:dyDescent="0.35">
      <c r="A542" s="98" t="str">
        <f ca="1">IFERROR(INDIRECT(CONCATENATE("'Timetables'!A"&amp;A546)),"")</f>
        <v>LFW03</v>
      </c>
      <c r="B542" s="304" t="str">
        <f ca="1">IFERROR(TEXT(VLOOKUP(A542,timetables,7-MatchDay!$U$7,FALSE),"hh:mm"),"")</f>
        <v>14:30</v>
      </c>
      <c r="C542" s="292" t="str">
        <f ca="1">IFERROR(VLOOKUP(A542,timetables,2,FALSE)&amp;" "&amp;VLOOKUP(A542,timetables,3,FALSE)&amp;" A","")</f>
        <v>Long Jump U13 Girls A</v>
      </c>
      <c r="D542" s="292"/>
      <c r="F542" s="293"/>
      <c r="G542" s="294"/>
      <c r="L542" s="360"/>
      <c r="M542" s="296"/>
      <c r="N542" s="286"/>
      <c r="Q542" s="307"/>
      <c r="R542" s="307"/>
    </row>
    <row r="543" spans="1:18" x14ac:dyDescent="0.35">
      <c r="A543" s="98"/>
      <c r="B543" s="98"/>
      <c r="C543" s="295" t="str">
        <f ca="1">IFERROR("Rec: "&amp;VLOOKUP(A542,records,4,FALSE),"")</f>
        <v>Rec: 5.23 Tomi Adejuwon, Reading AC, 2019</v>
      </c>
      <c r="D543" s="292"/>
      <c r="F543" s="293"/>
      <c r="G543" s="294"/>
      <c r="I543" s="295"/>
      <c r="L543" s="360"/>
      <c r="M543" s="296"/>
      <c r="N543" s="286"/>
      <c r="Q543" s="307"/>
      <c r="R543" s="307"/>
    </row>
    <row r="544" spans="1:18" x14ac:dyDescent="0.35">
      <c r="A544" s="82" t="str">
        <f ca="1">MID(A542,2,3)</f>
        <v>FW0</v>
      </c>
      <c r="B544" s="82"/>
      <c r="C544" s="304" t="s">
        <v>122</v>
      </c>
      <c r="D544" s="304" t="s">
        <v>141</v>
      </c>
      <c r="E544" s="286" t="s">
        <v>174</v>
      </c>
      <c r="F544" s="286" t="s">
        <v>175</v>
      </c>
      <c r="G544" s="291"/>
      <c r="I544" s="304" t="s">
        <v>122</v>
      </c>
      <c r="J544" s="304" t="s">
        <v>141</v>
      </c>
      <c r="K544" s="286" t="s">
        <v>174</v>
      </c>
      <c r="L544" s="286" t="s">
        <v>175</v>
      </c>
      <c r="O544" s="299"/>
      <c r="Q544" s="307"/>
      <c r="R544" s="307"/>
    </row>
    <row r="545" spans="1:18" x14ac:dyDescent="0.35">
      <c r="A545" s="138"/>
      <c r="B545" s="103"/>
      <c r="C545" s="298">
        <v>1</v>
      </c>
      <c r="D545" s="298">
        <f ca="1">IFERROR(IF(C545&gt;MatchDay!$U$2,"",VLOOKUP($A542,timetables,MatchDay!$U$4+C545-1,FALSE)),0)</f>
        <v>4</v>
      </c>
      <c r="E545" s="286" t="str">
        <f ca="1">IFERROR(VLOOKUP($A542&amp;D545,downloads!$A$1:$E$1000,2,FALSE),"")</f>
        <v>Lara ADU-GYAMFI</v>
      </c>
      <c r="F545" s="286" t="str">
        <f ca="1">IFERROR(VLOOKUP(D545,teamlookup,5,FALSE),"")</f>
        <v>Macc</v>
      </c>
      <c r="G545" s="291"/>
      <c r="H545" s="297"/>
      <c r="I545" s="298">
        <v>1</v>
      </c>
      <c r="J545" s="298">
        <f ca="1">IFERROR(D545*11,"")</f>
        <v>44</v>
      </c>
      <c r="K545" s="286" t="str">
        <f ca="1">IFERROR(VLOOKUP($A542&amp;J545,downloads!$A$1:$E$1000,2,FALSE),"")</f>
        <v>Iona FISHER</v>
      </c>
      <c r="L545" s="286" t="str">
        <f t="shared" ref="L545:L552" ca="1" si="136">IFERROR(VLOOKUP(J545,teamlookup,5,FALSE),"")</f>
        <v>Macc</v>
      </c>
      <c r="O545" s="299"/>
      <c r="Q545" s="307">
        <f ca="1">IFERROR(VLOOKUP($A542&amp;D545,competitors,4,FALSE),"")</f>
        <v>1</v>
      </c>
      <c r="R545" s="307">
        <f ca="1">IFERROR(VLOOKUP($A542&amp;J545,competitors,4,FALSE),"")</f>
        <v>1</v>
      </c>
    </row>
    <row r="546" spans="1:18" x14ac:dyDescent="0.35">
      <c r="A546" s="304">
        <f>A534+1</f>
        <v>54</v>
      </c>
      <c r="C546" s="298">
        <v>2</v>
      </c>
      <c r="D546" s="298">
        <f ca="1">IFERROR(IF(C546&gt;MatchDay!$U$2,"",VLOOKUP($A542,timetables,MatchDay!$U$4+C546-1,FALSE)),0)</f>
        <v>2</v>
      </c>
      <c r="E546" s="286" t="str">
        <f ca="1">IFERROR(VLOOKUP($A542&amp;D546,downloads!$A$1:$E$1000,2,FALSE),"")</f>
        <v>Madaline BURKE</v>
      </c>
      <c r="F546" s="286" t="str">
        <f t="shared" ref="F546:F552" ca="1" si="137">IFERROR(VLOOKUP(D546,teamlookup,5,FALSE),"")</f>
        <v>ECHT</v>
      </c>
      <c r="G546" s="291"/>
      <c r="H546" s="297"/>
      <c r="I546" s="298">
        <v>2</v>
      </c>
      <c r="J546" s="298">
        <f t="shared" ref="J546:J552" ca="1" si="138">IFERROR(D546*11,"")</f>
        <v>22</v>
      </c>
      <c r="K546" s="286" t="str">
        <f ca="1">IFERROR(VLOOKUP($A542&amp;J546,downloads!$A$1:$E$1000,2,FALSE),"")</f>
        <v>Kyla MILLINGTON</v>
      </c>
      <c r="L546" s="286" t="str">
        <f t="shared" ca="1" si="136"/>
        <v>ECHT</v>
      </c>
      <c r="O546" s="299"/>
      <c r="Q546" s="307">
        <f ca="1">IFERROR(VLOOKUP($A542&amp;D546,competitors,4,FALSE),"")</f>
        <v>1</v>
      </c>
      <c r="R546" s="307">
        <f ca="1">IFERROR(VLOOKUP($A542&amp;J546,competitors,4,FALSE),"")</f>
        <v>1</v>
      </c>
    </row>
    <row r="547" spans="1:18" x14ac:dyDescent="0.35">
      <c r="A547" s="105">
        <f ca="1">IFERROR(VLOOKUP(A542,standards,3,FALSE)+0.01,"-")</f>
        <v>2.5099999999999998</v>
      </c>
      <c r="B547" s="105"/>
      <c r="C547" s="298">
        <v>3</v>
      </c>
      <c r="D547" s="298">
        <f ca="1">IFERROR(IF(C547&gt;MatchDay!$U$2,"",VLOOKUP($A542,timetables,MatchDay!$U$4+C547-1,FALSE)),0)</f>
        <v>3</v>
      </c>
      <c r="E547" s="286" t="str">
        <f ca="1">IFERROR(VLOOKUP($A542&amp;D547,downloads!$A$1:$E$1000,2,FALSE),"")</f>
        <v>Ava BROOMES</v>
      </c>
      <c r="F547" s="286" t="str">
        <f t="shared" ca="1" si="137"/>
        <v>Leigh</v>
      </c>
      <c r="G547" s="291"/>
      <c r="H547" s="297"/>
      <c r="I547" s="298">
        <v>3</v>
      </c>
      <c r="J547" s="298">
        <f t="shared" ca="1" si="138"/>
        <v>33</v>
      </c>
      <c r="K547" s="286" t="str">
        <f ca="1">IFERROR(VLOOKUP($A542&amp;J547,downloads!$A$1:$E$1000,2,FALSE),"")</f>
        <v>Isabella GORMAN</v>
      </c>
      <c r="L547" s="286" t="str">
        <f t="shared" ca="1" si="136"/>
        <v>Leigh</v>
      </c>
      <c r="O547" s="299"/>
      <c r="Q547" s="307">
        <f ca="1">IFERROR(VLOOKUP($A542&amp;D547,competitors,4,FALSE),"")</f>
        <v>1</v>
      </c>
      <c r="R547" s="307">
        <f ca="1">IFERROR(VLOOKUP($A542&amp;J547,competitors,4,FALSE),"")</f>
        <v>1</v>
      </c>
    </row>
    <row r="548" spans="1:18" x14ac:dyDescent="0.35">
      <c r="A548" s="105">
        <f ca="1">IFERROR(VLOOKUP(A542,standards,4,FALSE)+0.01,"-")</f>
        <v>2.76</v>
      </c>
      <c r="B548" s="105"/>
      <c r="C548" s="298">
        <v>4</v>
      </c>
      <c r="D548" s="298">
        <f ca="1">IFERROR(IF(C548&gt;MatchDay!$U$2,"",VLOOKUP($A542,timetables,MatchDay!$U$4+C548-1,FALSE)),0)</f>
        <v>1</v>
      </c>
      <c r="E548" s="286" t="str">
        <f ca="1">IFERROR(VLOOKUP($A542&amp;D548,downloads!$A$1:$E$1000,2,FALSE),"")</f>
        <v>Lucy HOWARTH</v>
      </c>
      <c r="F548" s="286" t="str">
        <f t="shared" ca="1" si="137"/>
        <v>C&amp;N</v>
      </c>
      <c r="G548" s="291"/>
      <c r="H548" s="297"/>
      <c r="I548" s="298">
        <v>4</v>
      </c>
      <c r="J548" s="298">
        <f t="shared" ca="1" si="138"/>
        <v>11</v>
      </c>
      <c r="K548" s="286" t="str">
        <f ca="1">IFERROR(VLOOKUP($A542&amp;J548,downloads!$A$1:$E$1000,2,FALSE),"")</f>
        <v>Bethany HALL</v>
      </c>
      <c r="L548" s="286" t="str">
        <f t="shared" ca="1" si="136"/>
        <v>C&amp;N</v>
      </c>
      <c r="O548" s="299"/>
      <c r="Q548" s="307">
        <f ca="1">IFERROR(VLOOKUP($A542&amp;D548,competitors,4,FALSE),"")</f>
        <v>1</v>
      </c>
      <c r="R548" s="307">
        <f ca="1">IFERROR(VLOOKUP($A542&amp;J548,competitors,4,FALSE),"")</f>
        <v>1</v>
      </c>
    </row>
    <row r="549" spans="1:18" x14ac:dyDescent="0.35">
      <c r="A549" s="105">
        <f ca="1">IFERROR(VLOOKUP(A542,standards,5,FALSE)+0.01,"-")</f>
        <v>3.01</v>
      </c>
      <c r="B549" s="105"/>
      <c r="C549" s="298">
        <v>5</v>
      </c>
      <c r="D549" s="298">
        <f ca="1">IFERROR(IF(C549&gt;MatchDay!$U$2,"",VLOOKUP($A542,timetables,MatchDay!$U$4+C549-1,FALSE)),0)</f>
        <v>7</v>
      </c>
      <c r="E549" s="286" t="str">
        <f ca="1">IFERROR(VLOOKUP($A542&amp;D549,downloads!$A$1:$E$1000,2,FALSE),"")</f>
        <v>Elody HILL</v>
      </c>
      <c r="F549" s="286" t="str">
        <f t="shared" ca="1" si="137"/>
        <v>Wigan</v>
      </c>
      <c r="G549" s="291"/>
      <c r="H549" s="297"/>
      <c r="I549" s="298">
        <v>5</v>
      </c>
      <c r="J549" s="298">
        <f t="shared" ca="1" si="138"/>
        <v>77</v>
      </c>
      <c r="K549" s="286" t="str">
        <f ca="1">IFERROR(VLOOKUP($A542&amp;J549,downloads!$A$1:$E$1000,2,FALSE),"")</f>
        <v>Katie-lou MALLEY</v>
      </c>
      <c r="L549" s="286" t="str">
        <f t="shared" ca="1" si="136"/>
        <v>Wigan</v>
      </c>
      <c r="O549" s="299"/>
      <c r="Q549" s="307">
        <f ca="1">IFERROR(VLOOKUP($A542&amp;D549,competitors,4,FALSE),"")</f>
        <v>1</v>
      </c>
      <c r="R549" s="307">
        <f ca="1">IFERROR(VLOOKUP($A542&amp;J549,competitors,4,FALSE),"")</f>
        <v>1</v>
      </c>
    </row>
    <row r="550" spans="1:18" x14ac:dyDescent="0.35">
      <c r="A550" s="105">
        <f ca="1">IFERROR(VLOOKUP(A542,standards,6,FALSE)+0.01,"-")</f>
        <v>3.26</v>
      </c>
      <c r="B550" s="105"/>
      <c r="C550" s="298">
        <v>6</v>
      </c>
      <c r="D550" s="298">
        <f ca="1">IFERROR(IF(C550&gt;MatchDay!$U$2,"",VLOOKUP($A542,timetables,MatchDay!$U$4+C550-1,FALSE)),0)</f>
        <v>5</v>
      </c>
      <c r="E550" s="286" t="str">
        <f ca="1">IFERROR(VLOOKUP($A542&amp;D550,downloads!$A$1:$E$1000,2,FALSE),"")</f>
        <v>Holly WORTH</v>
      </c>
      <c r="F550" s="286" t="str">
        <f t="shared" ca="1" si="137"/>
        <v>Menai</v>
      </c>
      <c r="G550" s="291"/>
      <c r="H550" s="297"/>
      <c r="I550" s="298">
        <v>6</v>
      </c>
      <c r="J550" s="298">
        <f t="shared" ca="1" si="138"/>
        <v>55</v>
      </c>
      <c r="K550" s="286" t="str">
        <f ca="1">IFERROR(VLOOKUP($A542&amp;J550,downloads!$A$1:$E$1000,2,FALSE),"")</f>
        <v>Ela EDWARDS</v>
      </c>
      <c r="L550" s="286" t="str">
        <f t="shared" ca="1" si="136"/>
        <v>Menai</v>
      </c>
      <c r="O550" s="299"/>
      <c r="Q550" s="307">
        <f ca="1">IFERROR(VLOOKUP($A542&amp;D550,competitors,4,FALSE),"")</f>
        <v>1</v>
      </c>
      <c r="R550" s="307">
        <f ca="1">IFERROR(VLOOKUP($A542&amp;J550,competitors,4,FALSE),"")</f>
        <v>1</v>
      </c>
    </row>
    <row r="551" spans="1:18" x14ac:dyDescent="0.35">
      <c r="A551" s="300">
        <f ca="1">IFERROR(SEARCH("Girls",C542),0)</f>
        <v>15</v>
      </c>
      <c r="C551" s="298">
        <v>7</v>
      </c>
      <c r="D551" s="298">
        <f ca="1">IFERROR(IF(C551&gt;MatchDay!$U$2,"",VLOOKUP($A542,timetables,MatchDay!$U$4+C551-1,FALSE)),0)</f>
        <v>6</v>
      </c>
      <c r="E551" s="286" t="str">
        <f ca="1">IFERROR(VLOOKUP($A542&amp;D551,downloads!$A$1:$E$1000,2,FALSE),"")</f>
        <v>Emily WALTON</v>
      </c>
      <c r="F551" s="286" t="str">
        <f t="shared" ca="1" si="137"/>
        <v>Stock</v>
      </c>
      <c r="G551" s="291"/>
      <c r="H551" s="297"/>
      <c r="I551" s="298">
        <v>7</v>
      </c>
      <c r="J551" s="298">
        <f t="shared" ca="1" si="138"/>
        <v>66</v>
      </c>
      <c r="K551" s="286" t="str">
        <f ca="1">IFERROR(VLOOKUP($A542&amp;J551,downloads!$A$1:$E$1000,2,FALSE),"")</f>
        <v/>
      </c>
      <c r="L551" s="286" t="str">
        <f t="shared" ca="1" si="136"/>
        <v>Stock</v>
      </c>
      <c r="O551" s="299"/>
      <c r="Q551" s="307">
        <f ca="1">IFERROR(VLOOKUP($A542&amp;D551,competitors,4,FALSE),"")</f>
        <v>1</v>
      </c>
      <c r="R551" s="307" t="str">
        <f ca="1">IFERROR(VLOOKUP($A542&amp;J551,competitors,4,FALSE),"")</f>
        <v/>
      </c>
    </row>
    <row r="552" spans="1:18" x14ac:dyDescent="0.35">
      <c r="A552" s="103">
        <f ca="1">IFERROR(VLOOKUP(A542,records,5,FALSE),"")</f>
        <v>5.23</v>
      </c>
      <c r="B552" s="103"/>
      <c r="C552" s="298">
        <v>8</v>
      </c>
      <c r="D552" s="298" t="str">
        <f>IFERROR(IF(C552&gt;MatchDay!$U$2,"",VLOOKUP($A542,timetables,MatchDay!$U$4+C552-1,FALSE)),0)</f>
        <v/>
      </c>
      <c r="E552" s="286" t="str">
        <f ca="1">IFERROR(VLOOKUP($A542&amp;D552,downloads!$A$1:$E$1000,2,FALSE),"")</f>
        <v/>
      </c>
      <c r="F552" s="286" t="str">
        <f t="shared" si="137"/>
        <v/>
      </c>
      <c r="G552" s="291"/>
      <c r="H552" s="297"/>
      <c r="I552" s="298">
        <v>8</v>
      </c>
      <c r="J552" s="298" t="str">
        <f t="shared" si="138"/>
        <v/>
      </c>
      <c r="K552" s="286" t="str">
        <f ca="1">IFERROR(VLOOKUP($A542&amp;J552,downloads!$A$1:$E$1000,2,FALSE),"")</f>
        <v/>
      </c>
      <c r="L552" s="286" t="str">
        <f t="shared" si="136"/>
        <v/>
      </c>
      <c r="O552" s="299"/>
      <c r="Q552" s="307" t="str">
        <f ca="1">IFERROR(VLOOKUP($A542&amp;D552,competitors,4,FALSE),"")</f>
        <v/>
      </c>
      <c r="R552" s="307" t="str">
        <f ca="1">IFERROR(VLOOKUP($A542&amp;J552,competitors,4,FALSE),"")</f>
        <v/>
      </c>
    </row>
    <row r="553" spans="1:18" x14ac:dyDescent="0.35">
      <c r="Q553" s="307"/>
      <c r="R553" s="307"/>
    </row>
    <row r="554" spans="1:18" x14ac:dyDescent="0.35">
      <c r="A554" s="98" t="str">
        <f ca="1">IFERROR(INDIRECT(CONCATENATE("'Timetables'!A"&amp;A558)),"")</f>
        <v>LFH06</v>
      </c>
      <c r="B554" s="304" t="str">
        <f ca="1">IFERROR(TEXT(VLOOKUP(A554,timetables,7-MatchDay!$U$7,FALSE),"hh:mm"),"")</f>
        <v>14:30</v>
      </c>
      <c r="C554" s="292" t="str">
        <f ca="1">IFERROR(VLOOKUP(A554,timetables,2,FALSE)&amp;" "&amp;VLOOKUP(A554,timetables,3,FALSE)&amp;" A","")</f>
        <v>High Jump U15 Boys A</v>
      </c>
      <c r="D554" s="292"/>
      <c r="F554" s="293"/>
      <c r="G554" s="294"/>
      <c r="L554" s="360"/>
      <c r="M554" s="296"/>
      <c r="N554" s="286"/>
      <c r="Q554" s="307"/>
      <c r="R554" s="307"/>
    </row>
    <row r="555" spans="1:18" x14ac:dyDescent="0.35">
      <c r="A555" s="98"/>
      <c r="B555" s="98"/>
      <c r="C555" s="295" t="str">
        <f ca="1">IFERROR("Rec: "&amp;VLOOKUP(A554,records,4,FALSE),"")</f>
        <v>Rec: 1.93 Basil Zola, Sale Harriers, 2019</v>
      </c>
      <c r="D555" s="292"/>
      <c r="F555" s="293"/>
      <c r="G555" s="294"/>
      <c r="I555" s="295"/>
      <c r="L555" s="360"/>
      <c r="M555" s="296"/>
      <c r="N555" s="286"/>
      <c r="Q555" s="307"/>
      <c r="R555" s="307"/>
    </row>
    <row r="556" spans="1:18" x14ac:dyDescent="0.35">
      <c r="A556" s="82" t="str">
        <f ca="1">MID(A554,2,3)</f>
        <v>FH0</v>
      </c>
      <c r="B556" s="82"/>
      <c r="C556" s="304" t="s">
        <v>122</v>
      </c>
      <c r="D556" s="304" t="s">
        <v>141</v>
      </c>
      <c r="E556" s="286" t="s">
        <v>174</v>
      </c>
      <c r="F556" s="286" t="s">
        <v>175</v>
      </c>
      <c r="G556" s="291"/>
      <c r="I556" s="304" t="s">
        <v>122</v>
      </c>
      <c r="J556" s="304" t="s">
        <v>141</v>
      </c>
      <c r="K556" s="286" t="s">
        <v>174</v>
      </c>
      <c r="L556" s="286" t="s">
        <v>175</v>
      </c>
      <c r="O556" s="299"/>
      <c r="Q556" s="307"/>
      <c r="R556" s="307"/>
    </row>
    <row r="557" spans="1:18" x14ac:dyDescent="0.35">
      <c r="A557" s="138"/>
      <c r="B557" s="103"/>
      <c r="C557" s="298">
        <v>1</v>
      </c>
      <c r="D557" s="298">
        <f ca="1">IFERROR(IF(C557&gt;MatchDay!$U$2,"",VLOOKUP($A554,timetables,MatchDay!$U$4+C557-1,FALSE)),0)</f>
        <v>1</v>
      </c>
      <c r="E557" s="286" t="str">
        <f ca="1">IFERROR(VLOOKUP($A554&amp;D557,downloads!$A$1:$E$1000,2,FALSE),"")</f>
        <v>William CATTELL</v>
      </c>
      <c r="F557" s="286" t="str">
        <f ca="1">IFERROR(VLOOKUP(D557,teamlookup,5,FALSE),"")</f>
        <v>C&amp;N</v>
      </c>
      <c r="G557" s="291"/>
      <c r="H557" s="297"/>
      <c r="I557" s="298">
        <v>1</v>
      </c>
      <c r="J557" s="298">
        <f ca="1">IFERROR(D557*11,"")</f>
        <v>11</v>
      </c>
      <c r="K557" s="286" t="str">
        <f ca="1">IFERROR(VLOOKUP($A554&amp;J557,downloads!$A$1:$E$1000,2,FALSE),"")</f>
        <v>Sam FIRMAN</v>
      </c>
      <c r="L557" s="286" t="str">
        <f t="shared" ref="L557:L564" ca="1" si="139">IFERROR(VLOOKUP(J557,teamlookup,5,FALSE),"")</f>
        <v>C&amp;N</v>
      </c>
      <c r="O557" s="299"/>
      <c r="Q557" s="307">
        <f ca="1">IFERROR(VLOOKUP($A554&amp;D557,competitors,4,FALSE),"")</f>
        <v>1</v>
      </c>
      <c r="R557" s="307">
        <f ca="1">IFERROR(VLOOKUP($A554&amp;J557,competitors,4,FALSE),"")</f>
        <v>1</v>
      </c>
    </row>
    <row r="558" spans="1:18" x14ac:dyDescent="0.35">
      <c r="A558" s="304">
        <f>A546+1</f>
        <v>55</v>
      </c>
      <c r="C558" s="298">
        <v>2</v>
      </c>
      <c r="D558" s="298">
        <f ca="1">IFERROR(IF(C558&gt;MatchDay!$U$2,"",VLOOKUP($A554,timetables,MatchDay!$U$4+C558-1,FALSE)),0)</f>
        <v>2</v>
      </c>
      <c r="E558" s="286" t="str">
        <f ca="1">IFERROR(VLOOKUP($A554&amp;D558,downloads!$A$1:$E$1000,2,FALSE),"")</f>
        <v/>
      </c>
      <c r="F558" s="286" t="str">
        <f t="shared" ref="F558:F564" ca="1" si="140">IFERROR(VLOOKUP(D558,teamlookup,5,FALSE),"")</f>
        <v>ECHT</v>
      </c>
      <c r="G558" s="291"/>
      <c r="H558" s="297"/>
      <c r="I558" s="298">
        <v>2</v>
      </c>
      <c r="J558" s="298">
        <f t="shared" ref="J558:J564" ca="1" si="141">IFERROR(D558*11,"")</f>
        <v>22</v>
      </c>
      <c r="K558" s="286" t="str">
        <f ca="1">IFERROR(VLOOKUP($A554&amp;J558,downloads!$A$1:$E$1000,2,FALSE),"")</f>
        <v/>
      </c>
      <c r="L558" s="286" t="str">
        <f t="shared" ca="1" si="139"/>
        <v>ECHT</v>
      </c>
      <c r="O558" s="299"/>
      <c r="Q558" s="307" t="str">
        <f ca="1">IFERROR(VLOOKUP($A554&amp;D558,competitors,4,FALSE),"")</f>
        <v/>
      </c>
      <c r="R558" s="307" t="str">
        <f ca="1">IFERROR(VLOOKUP($A554&amp;J558,competitors,4,FALSE),"")</f>
        <v/>
      </c>
    </row>
    <row r="559" spans="1:18" x14ac:dyDescent="0.35">
      <c r="A559" s="105">
        <f ca="1">IFERROR(VLOOKUP(A554,standards,3,FALSE)+0.01,"-")</f>
        <v>1.26</v>
      </c>
      <c r="B559" s="105"/>
      <c r="C559" s="298">
        <v>3</v>
      </c>
      <c r="D559" s="298">
        <f ca="1">IFERROR(IF(C559&gt;MatchDay!$U$2,"",VLOOKUP($A554,timetables,MatchDay!$U$4+C559-1,FALSE)),0)</f>
        <v>6</v>
      </c>
      <c r="E559" s="286" t="str">
        <f ca="1">IFERROR(VLOOKUP($A554&amp;D559,downloads!$A$1:$E$1000,2,FALSE),"")</f>
        <v>Jacob HARWOOD-BRETNALL</v>
      </c>
      <c r="F559" s="286" t="str">
        <f t="shared" ca="1" si="140"/>
        <v>Stock</v>
      </c>
      <c r="G559" s="291"/>
      <c r="H559" s="297"/>
      <c r="I559" s="298">
        <v>3</v>
      </c>
      <c r="J559" s="298">
        <f t="shared" ca="1" si="141"/>
        <v>66</v>
      </c>
      <c r="K559" s="286" t="str">
        <f ca="1">IFERROR(VLOOKUP($A554&amp;J559,downloads!$A$1:$E$1000,2,FALSE),"")</f>
        <v>Campbell JOHNSON</v>
      </c>
      <c r="L559" s="286" t="str">
        <f t="shared" ca="1" si="139"/>
        <v>Stock</v>
      </c>
      <c r="O559" s="299"/>
      <c r="Q559" s="307">
        <f ca="1">IFERROR(VLOOKUP($A554&amp;D559,competitors,4,FALSE),"")</f>
        <v>1</v>
      </c>
      <c r="R559" s="307">
        <f ca="1">IFERROR(VLOOKUP($A554&amp;J559,competitors,4,FALSE),"")</f>
        <v>1</v>
      </c>
    </row>
    <row r="560" spans="1:18" x14ac:dyDescent="0.35">
      <c r="A560" s="105">
        <f ca="1">IFERROR(VLOOKUP(A554,standards,4,FALSE)+0.01,"-")</f>
        <v>1.31</v>
      </c>
      <c r="B560" s="105"/>
      <c r="C560" s="298">
        <v>4</v>
      </c>
      <c r="D560" s="298">
        <f ca="1">IFERROR(IF(C560&gt;MatchDay!$U$2,"",VLOOKUP($A554,timetables,MatchDay!$U$4+C560-1,FALSE)),0)</f>
        <v>7</v>
      </c>
      <c r="E560" s="286" t="str">
        <f ca="1">IFERROR(VLOOKUP($A554&amp;D560,downloads!$A$1:$E$1000,2,FALSE),"")</f>
        <v/>
      </c>
      <c r="F560" s="286" t="str">
        <f t="shared" ca="1" si="140"/>
        <v>Wigan</v>
      </c>
      <c r="G560" s="291"/>
      <c r="H560" s="297"/>
      <c r="I560" s="298">
        <v>4</v>
      </c>
      <c r="J560" s="298">
        <f t="shared" ca="1" si="141"/>
        <v>77</v>
      </c>
      <c r="K560" s="286" t="str">
        <f ca="1">IFERROR(VLOOKUP($A554&amp;J560,downloads!$A$1:$E$1000,2,FALSE),"")</f>
        <v/>
      </c>
      <c r="L560" s="286" t="str">
        <f t="shared" ca="1" si="139"/>
        <v>Wigan</v>
      </c>
      <c r="O560" s="299"/>
      <c r="Q560" s="307" t="str">
        <f ca="1">IFERROR(VLOOKUP($A554&amp;D560,competitors,4,FALSE),"")</f>
        <v/>
      </c>
      <c r="R560" s="307" t="str">
        <f ca="1">IFERROR(VLOOKUP($A554&amp;J560,competitors,4,FALSE),"")</f>
        <v/>
      </c>
    </row>
    <row r="561" spans="1:18" x14ac:dyDescent="0.35">
      <c r="A561" s="105">
        <f ca="1">IFERROR(VLOOKUP(A554,standards,5,FALSE)+0.01,"-")</f>
        <v>1.36</v>
      </c>
      <c r="B561" s="105"/>
      <c r="C561" s="298">
        <v>5</v>
      </c>
      <c r="D561" s="298">
        <f ca="1">IFERROR(IF(C561&gt;MatchDay!$U$2,"",VLOOKUP($A554,timetables,MatchDay!$U$4+C561-1,FALSE)),0)</f>
        <v>3</v>
      </c>
      <c r="E561" s="286" t="str">
        <f ca="1">IFERROR(VLOOKUP($A554&amp;D561,downloads!$A$1:$E$1000,2,FALSE),"")</f>
        <v>Hugo JAMES</v>
      </c>
      <c r="F561" s="286" t="str">
        <f t="shared" ca="1" si="140"/>
        <v>Leigh</v>
      </c>
      <c r="G561" s="291"/>
      <c r="H561" s="297"/>
      <c r="I561" s="298">
        <v>5</v>
      </c>
      <c r="J561" s="298">
        <f t="shared" ca="1" si="141"/>
        <v>33</v>
      </c>
      <c r="K561" s="286" t="str">
        <f ca="1">IFERROR(VLOOKUP($A554&amp;J561,downloads!$A$1:$E$1000,2,FALSE),"")</f>
        <v/>
      </c>
      <c r="L561" s="286" t="str">
        <f t="shared" ca="1" si="139"/>
        <v>Leigh</v>
      </c>
      <c r="O561" s="299"/>
      <c r="Q561" s="307">
        <f ca="1">IFERROR(VLOOKUP($A554&amp;D561,competitors,4,FALSE),"")</f>
        <v>1</v>
      </c>
      <c r="R561" s="307" t="str">
        <f ca="1">IFERROR(VLOOKUP($A554&amp;J561,competitors,4,FALSE),"")</f>
        <v/>
      </c>
    </row>
    <row r="562" spans="1:18" x14ac:dyDescent="0.35">
      <c r="A562" s="105">
        <f ca="1">IFERROR(VLOOKUP(A554,standards,6,FALSE)+0.01,"-")</f>
        <v>1.41</v>
      </c>
      <c r="B562" s="105"/>
      <c r="C562" s="298">
        <v>6</v>
      </c>
      <c r="D562" s="298">
        <f ca="1">IFERROR(IF(C562&gt;MatchDay!$U$2,"",VLOOKUP($A554,timetables,MatchDay!$U$4+C562-1,FALSE)),0)</f>
        <v>4</v>
      </c>
      <c r="E562" s="286" t="str">
        <f ca="1">IFERROR(VLOOKUP($A554&amp;D562,downloads!$A$1:$E$1000,2,FALSE),"")</f>
        <v>Will HAMMOND</v>
      </c>
      <c r="F562" s="286" t="str">
        <f t="shared" ca="1" si="140"/>
        <v>Macc</v>
      </c>
      <c r="G562" s="291"/>
      <c r="H562" s="297"/>
      <c r="I562" s="298">
        <v>6</v>
      </c>
      <c r="J562" s="298">
        <f t="shared" ca="1" si="141"/>
        <v>44</v>
      </c>
      <c r="K562" s="286" t="str">
        <f ca="1">IFERROR(VLOOKUP($A554&amp;J562,downloads!$A$1:$E$1000,2,FALSE),"")</f>
        <v>Tristan LAMPRECHT</v>
      </c>
      <c r="L562" s="286" t="str">
        <f t="shared" ca="1" si="139"/>
        <v>Macc</v>
      </c>
      <c r="O562" s="299"/>
      <c r="Q562" s="307">
        <f ca="1">IFERROR(VLOOKUP($A554&amp;D562,competitors,4,FALSE),"")</f>
        <v>1</v>
      </c>
      <c r="R562" s="307">
        <f ca="1">IFERROR(VLOOKUP($A554&amp;J562,competitors,4,FALSE),"")</f>
        <v>1</v>
      </c>
    </row>
    <row r="563" spans="1:18" x14ac:dyDescent="0.35">
      <c r="A563" s="300">
        <f ca="1">IFERROR(SEARCH("Girls",C554),0)</f>
        <v>0</v>
      </c>
      <c r="C563" s="298">
        <v>7</v>
      </c>
      <c r="D563" s="298">
        <f ca="1">IFERROR(IF(C563&gt;MatchDay!$U$2,"",VLOOKUP($A554,timetables,MatchDay!$U$4+C563-1,FALSE)),0)</f>
        <v>5</v>
      </c>
      <c r="E563" s="286" t="str">
        <f ca="1">IFERROR(VLOOKUP($A554&amp;D563,downloads!$A$1:$E$1000,2,FALSE),"")</f>
        <v/>
      </c>
      <c r="F563" s="286" t="str">
        <f t="shared" ca="1" si="140"/>
        <v>Menai</v>
      </c>
      <c r="G563" s="291"/>
      <c r="H563" s="297"/>
      <c r="I563" s="298">
        <v>7</v>
      </c>
      <c r="J563" s="298">
        <f t="shared" ca="1" si="141"/>
        <v>55</v>
      </c>
      <c r="K563" s="286" t="str">
        <f ca="1">IFERROR(VLOOKUP($A554&amp;J563,downloads!$A$1:$E$1000,2,FALSE),"")</f>
        <v/>
      </c>
      <c r="L563" s="286" t="str">
        <f t="shared" ca="1" si="139"/>
        <v>Menai</v>
      </c>
      <c r="O563" s="299"/>
      <c r="Q563" s="307" t="str">
        <f ca="1">IFERROR(VLOOKUP($A554&amp;D563,competitors,4,FALSE),"")</f>
        <v/>
      </c>
      <c r="R563" s="307" t="str">
        <f ca="1">IFERROR(VLOOKUP($A554&amp;J563,competitors,4,FALSE),"")</f>
        <v/>
      </c>
    </row>
    <row r="564" spans="1:18" x14ac:dyDescent="0.35">
      <c r="A564" s="103">
        <f ca="1">IFERROR(VLOOKUP(A554,records,5,FALSE),"")</f>
        <v>1.93</v>
      </c>
      <c r="B564" s="103"/>
      <c r="C564" s="298">
        <v>8</v>
      </c>
      <c r="D564" s="298" t="str">
        <f>IFERROR(IF(C564&gt;MatchDay!$U$2,"",VLOOKUP($A554,timetables,MatchDay!$U$4+C564-1,FALSE)),0)</f>
        <v/>
      </c>
      <c r="E564" s="286" t="str">
        <f ca="1">IFERROR(VLOOKUP($A554&amp;D564,downloads!$A$1:$E$1000,2,FALSE),"")</f>
        <v/>
      </c>
      <c r="F564" s="286" t="str">
        <f t="shared" si="140"/>
        <v/>
      </c>
      <c r="G564" s="291"/>
      <c r="H564" s="297"/>
      <c r="I564" s="298">
        <v>8</v>
      </c>
      <c r="J564" s="298" t="str">
        <f t="shared" si="141"/>
        <v/>
      </c>
      <c r="K564" s="286" t="str">
        <f ca="1">IFERROR(VLOOKUP($A554&amp;J564,downloads!$A$1:$E$1000,2,FALSE),"")</f>
        <v/>
      </c>
      <c r="L564" s="286" t="str">
        <f t="shared" si="139"/>
        <v/>
      </c>
      <c r="O564" s="299"/>
      <c r="Q564" s="307" t="str">
        <f ca="1">IFERROR(VLOOKUP($A554&amp;D564,competitors,4,FALSE),"")</f>
        <v/>
      </c>
      <c r="R564" s="307" t="str">
        <f ca="1">IFERROR(VLOOKUP($A554&amp;J564,competitors,4,FALSE),"")</f>
        <v/>
      </c>
    </row>
    <row r="565" spans="1:18" x14ac:dyDescent="0.35">
      <c r="Q565" s="307"/>
      <c r="R565" s="307"/>
    </row>
    <row r="566" spans="1:18" ht="15" customHeight="1" x14ac:dyDescent="0.35">
      <c r="A566" s="98" t="str">
        <f ca="1">IFERROR(INDIRECT(CONCATENATE("'Timetables'!A"&amp;A570)),"")</f>
        <v>LFD09</v>
      </c>
      <c r="B566" s="304" t="str">
        <f ca="1">IFERROR(TEXT(VLOOKUP(A566,timetables,7-MatchDay!$U$7,FALSE),"hh:mm"),"")</f>
        <v>14:30</v>
      </c>
      <c r="C566" s="292" t="str">
        <f ca="1">IFERROR(VLOOKUP(A566,timetables,2,FALSE)&amp;" "&amp;VLOOKUP(A566,timetables,3,FALSE)&amp;" A","")</f>
        <v>Shot U13 Boys A</v>
      </c>
      <c r="D566" s="292"/>
      <c r="F566" s="293"/>
      <c r="G566" s="294"/>
      <c r="L566" s="360"/>
      <c r="M566" s="296"/>
      <c r="N566" s="286"/>
      <c r="Q566" s="307"/>
      <c r="R566" s="307"/>
    </row>
    <row r="567" spans="1:18" ht="15" customHeight="1" x14ac:dyDescent="0.35">
      <c r="A567" s="98"/>
      <c r="B567" s="98"/>
      <c r="C567" s="295" t="str">
        <f ca="1">IFERROR("Rec: "&amp;VLOOKUP(A566,records,4,FALSE),"")</f>
        <v>Rec: 12.35 Sam Mace, Walton A.C., 2013</v>
      </c>
      <c r="D567" s="292"/>
      <c r="F567" s="293"/>
      <c r="G567" s="294"/>
      <c r="I567" s="295"/>
      <c r="L567" s="360"/>
      <c r="M567" s="296"/>
      <c r="N567" s="286"/>
      <c r="Q567" s="307"/>
      <c r="R567" s="307"/>
    </row>
    <row r="568" spans="1:18" ht="15" customHeight="1" x14ac:dyDescent="0.35">
      <c r="A568" s="82" t="str">
        <f ca="1">MID(A566,2,3)</f>
        <v>FD0</v>
      </c>
      <c r="B568" s="82"/>
      <c r="C568" s="304" t="s">
        <v>122</v>
      </c>
      <c r="D568" s="304" t="s">
        <v>141</v>
      </c>
      <c r="E568" s="286" t="s">
        <v>174</v>
      </c>
      <c r="F568" s="286" t="s">
        <v>175</v>
      </c>
      <c r="G568" s="291"/>
      <c r="I568" s="304" t="s">
        <v>122</v>
      </c>
      <c r="J568" s="304" t="s">
        <v>141</v>
      </c>
      <c r="K568" s="286" t="s">
        <v>174</v>
      </c>
      <c r="L568" s="286" t="s">
        <v>175</v>
      </c>
      <c r="O568" s="299"/>
      <c r="Q568" s="307"/>
      <c r="R568" s="307"/>
    </row>
    <row r="569" spans="1:18" ht="15" customHeight="1" x14ac:dyDescent="0.35">
      <c r="A569" s="138"/>
      <c r="B569" s="103"/>
      <c r="C569" s="298">
        <v>1</v>
      </c>
      <c r="D569" s="298">
        <f ca="1">IFERROR(IF(C569&gt;MatchDay!$U$2,"",VLOOKUP($A566,timetables,MatchDay!$U$4+C569-1,FALSE)),0)</f>
        <v>4</v>
      </c>
      <c r="E569" s="286" t="str">
        <f ca="1">IFERROR(VLOOKUP($A566&amp;D569,downloads!$A$1:$E$1000,2,FALSE),"")</f>
        <v>Samuel SAVAGE</v>
      </c>
      <c r="F569" s="286" t="str">
        <f ca="1">IFERROR(VLOOKUP(D569,teamlookup,5,FALSE),"")</f>
        <v>Macc</v>
      </c>
      <c r="G569" s="291"/>
      <c r="H569" s="297"/>
      <c r="I569" s="298">
        <v>1</v>
      </c>
      <c r="J569" s="298">
        <f ca="1">IFERROR(D569*11,"")</f>
        <v>44</v>
      </c>
      <c r="K569" s="286" t="str">
        <f ca="1">IFERROR(VLOOKUP($A566&amp;J569,downloads!$A$1:$E$1000,2,FALSE),"")</f>
        <v>Robert NWANKWO</v>
      </c>
      <c r="L569" s="286" t="str">
        <f t="shared" ref="L569:L576" ca="1" si="142">IFERROR(VLOOKUP(J569,teamlookup,5,FALSE),"")</f>
        <v>Macc</v>
      </c>
      <c r="O569" s="299"/>
      <c r="Q569" s="307">
        <f ca="1">IFERROR(VLOOKUP($A566&amp;D569,competitors,4,FALSE),"")</f>
        <v>1</v>
      </c>
      <c r="R569" s="307">
        <f ca="1">IFERROR(VLOOKUP($A566&amp;J569,competitors,4,FALSE),"")</f>
        <v>1</v>
      </c>
    </row>
    <row r="570" spans="1:18" ht="15" customHeight="1" x14ac:dyDescent="0.35">
      <c r="A570" s="304">
        <f>A558+1</f>
        <v>56</v>
      </c>
      <c r="C570" s="298">
        <v>2</v>
      </c>
      <c r="D570" s="298">
        <f ca="1">IFERROR(IF(C570&gt;MatchDay!$U$2,"",VLOOKUP($A566,timetables,MatchDay!$U$4+C570-1,FALSE)),0)</f>
        <v>1</v>
      </c>
      <c r="E570" s="286" t="str">
        <f ca="1">IFERROR(VLOOKUP($A566&amp;D570,downloads!$A$1:$E$1000,2,FALSE),"")</f>
        <v>Ben JEFFS</v>
      </c>
      <c r="F570" s="286" t="str">
        <f t="shared" ref="F570:F576" ca="1" si="143">IFERROR(VLOOKUP(D570,teamlookup,5,FALSE),"")</f>
        <v>C&amp;N</v>
      </c>
      <c r="G570" s="291"/>
      <c r="H570" s="297"/>
      <c r="I570" s="298">
        <v>2</v>
      </c>
      <c r="J570" s="298">
        <f t="shared" ref="J570:J576" ca="1" si="144">IFERROR(D570*11,"")</f>
        <v>11</v>
      </c>
      <c r="K570" s="286" t="str">
        <f ca="1">IFERROR(VLOOKUP($A566&amp;J570,downloads!$A$1:$E$1000,2,FALSE),"")</f>
        <v>Ewan DAVIES</v>
      </c>
      <c r="L570" s="286" t="str">
        <f t="shared" ca="1" si="142"/>
        <v>C&amp;N</v>
      </c>
      <c r="O570" s="299"/>
      <c r="Q570" s="307">
        <f ca="1">IFERROR(VLOOKUP($A566&amp;D570,competitors,4,FALSE),"")</f>
        <v>1</v>
      </c>
      <c r="R570" s="307">
        <f ca="1">IFERROR(VLOOKUP($A566&amp;J570,competitors,4,FALSE),"")</f>
        <v>1</v>
      </c>
    </row>
    <row r="571" spans="1:18" ht="15" customHeight="1" x14ac:dyDescent="0.35">
      <c r="A571" s="105">
        <f ca="1">IFERROR(VLOOKUP(A566,standards,3,FALSE)+0.01,"-")</f>
        <v>6.21</v>
      </c>
      <c r="B571" s="105"/>
      <c r="C571" s="298">
        <v>3</v>
      </c>
      <c r="D571" s="298">
        <f ca="1">IFERROR(IF(C571&gt;MatchDay!$U$2,"",VLOOKUP($A566,timetables,MatchDay!$U$4+C571-1,FALSE)),0)</f>
        <v>5</v>
      </c>
      <c r="E571" s="286" t="str">
        <f ca="1">IFERROR(VLOOKUP($A566&amp;D571,downloads!$A$1:$E$1000,2,FALSE),"")</f>
        <v/>
      </c>
      <c r="F571" s="286" t="str">
        <f t="shared" ca="1" si="143"/>
        <v>Menai</v>
      </c>
      <c r="G571" s="291"/>
      <c r="H571" s="297"/>
      <c r="I571" s="298">
        <v>3</v>
      </c>
      <c r="J571" s="298">
        <f t="shared" ca="1" si="144"/>
        <v>55</v>
      </c>
      <c r="K571" s="286" t="str">
        <f ca="1">IFERROR(VLOOKUP($A566&amp;J571,downloads!$A$1:$E$1000,2,FALSE),"")</f>
        <v/>
      </c>
      <c r="L571" s="286" t="str">
        <f t="shared" ca="1" si="142"/>
        <v>Menai</v>
      </c>
      <c r="O571" s="299"/>
      <c r="Q571" s="307" t="str">
        <f ca="1">IFERROR(VLOOKUP($A566&amp;D571,competitors,4,FALSE),"")</f>
        <v/>
      </c>
      <c r="R571" s="307" t="str">
        <f ca="1">IFERROR(VLOOKUP($A566&amp;J571,competitors,4,FALSE),"")</f>
        <v/>
      </c>
    </row>
    <row r="572" spans="1:18" ht="15" customHeight="1" x14ac:dyDescent="0.35">
      <c r="A572" s="105">
        <f ca="1">IFERROR(VLOOKUP(A566,standards,4,FALSE)+0.01,"-")</f>
        <v>6.6099999999999994</v>
      </c>
      <c r="B572" s="105"/>
      <c r="C572" s="298">
        <v>4</v>
      </c>
      <c r="D572" s="298">
        <f ca="1">IFERROR(IF(C572&gt;MatchDay!$U$2,"",VLOOKUP($A566,timetables,MatchDay!$U$4+C572-1,FALSE)),0)</f>
        <v>7</v>
      </c>
      <c r="E572" s="286" t="str">
        <f ca="1">IFERROR(VLOOKUP($A566&amp;D572,downloads!$A$1:$E$1000,2,FALSE),"")</f>
        <v>Charlie STRETTON</v>
      </c>
      <c r="F572" s="286" t="str">
        <f t="shared" ca="1" si="143"/>
        <v>Wigan</v>
      </c>
      <c r="G572" s="291"/>
      <c r="H572" s="297"/>
      <c r="I572" s="298">
        <v>4</v>
      </c>
      <c r="J572" s="298">
        <f t="shared" ca="1" si="144"/>
        <v>77</v>
      </c>
      <c r="K572" s="286" t="str">
        <f ca="1">IFERROR(VLOOKUP($A566&amp;J572,downloads!$A$1:$E$1000,2,FALSE),"")</f>
        <v>Theo MORGAN</v>
      </c>
      <c r="L572" s="286" t="str">
        <f t="shared" ca="1" si="142"/>
        <v>Wigan</v>
      </c>
      <c r="O572" s="299"/>
      <c r="Q572" s="307">
        <f ca="1">IFERROR(VLOOKUP($A566&amp;D572,competitors,4,FALSE),"")</f>
        <v>1</v>
      </c>
      <c r="R572" s="307">
        <f ca="1">IFERROR(VLOOKUP($A566&amp;J572,competitors,4,FALSE),"")</f>
        <v>1</v>
      </c>
    </row>
    <row r="573" spans="1:18" ht="15" customHeight="1" x14ac:dyDescent="0.35">
      <c r="A573" s="105">
        <f ca="1">IFERROR(VLOOKUP(A566,standards,5,FALSE)+0.01,"-")</f>
        <v>7.01</v>
      </c>
      <c r="B573" s="105"/>
      <c r="C573" s="298">
        <v>5</v>
      </c>
      <c r="D573" s="298">
        <f ca="1">IFERROR(IF(C573&gt;MatchDay!$U$2,"",VLOOKUP($A566,timetables,MatchDay!$U$4+C573-1,FALSE)),0)</f>
        <v>3</v>
      </c>
      <c r="E573" s="286" t="str">
        <f ca="1">IFERROR(VLOOKUP($A566&amp;D573,downloads!$A$1:$E$1000,2,FALSE),"")</f>
        <v>Henri MANNION</v>
      </c>
      <c r="F573" s="286" t="str">
        <f t="shared" ca="1" si="143"/>
        <v>Leigh</v>
      </c>
      <c r="G573" s="291"/>
      <c r="H573" s="297"/>
      <c r="I573" s="298">
        <v>5</v>
      </c>
      <c r="J573" s="298">
        <f t="shared" ca="1" si="144"/>
        <v>33</v>
      </c>
      <c r="K573" s="286" t="str">
        <f ca="1">IFERROR(VLOOKUP($A566&amp;J573,downloads!$A$1:$E$1000,2,FALSE),"")</f>
        <v>Jack FLETCHER</v>
      </c>
      <c r="L573" s="286" t="str">
        <f t="shared" ca="1" si="142"/>
        <v>Leigh</v>
      </c>
      <c r="O573" s="299"/>
      <c r="Q573" s="307">
        <f ca="1">IFERROR(VLOOKUP($A566&amp;D573,competitors,4,FALSE),"")</f>
        <v>1</v>
      </c>
      <c r="R573" s="307">
        <f ca="1">IFERROR(VLOOKUP($A566&amp;J573,competitors,4,FALSE),"")</f>
        <v>1</v>
      </c>
    </row>
    <row r="574" spans="1:18" ht="15" customHeight="1" x14ac:dyDescent="0.35">
      <c r="A574" s="105">
        <f ca="1">IFERROR(VLOOKUP(A566,standards,6,FALSE)+0.01,"-")</f>
        <v>7.41</v>
      </c>
      <c r="B574" s="105"/>
      <c r="C574" s="298">
        <v>6</v>
      </c>
      <c r="D574" s="298">
        <f ca="1">IFERROR(IF(C574&gt;MatchDay!$U$2,"",VLOOKUP($A566,timetables,MatchDay!$U$4+C574-1,FALSE)),0)</f>
        <v>6</v>
      </c>
      <c r="E574" s="286" t="str">
        <f ca="1">IFERROR(VLOOKUP($A566&amp;D574,downloads!$A$1:$E$1000,2,FALSE),"")</f>
        <v/>
      </c>
      <c r="F574" s="286" t="str">
        <f t="shared" ca="1" si="143"/>
        <v>Stock</v>
      </c>
      <c r="G574" s="291"/>
      <c r="H574" s="297"/>
      <c r="I574" s="298">
        <v>6</v>
      </c>
      <c r="J574" s="298">
        <f t="shared" ca="1" si="144"/>
        <v>66</v>
      </c>
      <c r="K574" s="286" t="str">
        <f ca="1">IFERROR(VLOOKUP($A566&amp;J574,downloads!$A$1:$E$1000,2,FALSE),"")</f>
        <v/>
      </c>
      <c r="L574" s="286" t="str">
        <f t="shared" ca="1" si="142"/>
        <v>Stock</v>
      </c>
      <c r="O574" s="299"/>
      <c r="Q574" s="307" t="str">
        <f ca="1">IFERROR(VLOOKUP($A566&amp;D574,competitors,4,FALSE),"")</f>
        <v/>
      </c>
      <c r="R574" s="307" t="str">
        <f ca="1">IFERROR(VLOOKUP($A566&amp;J574,competitors,4,FALSE),"")</f>
        <v/>
      </c>
    </row>
    <row r="575" spans="1:18" ht="15" customHeight="1" x14ac:dyDescent="0.35">
      <c r="A575" s="300">
        <f ca="1">IFERROR(SEARCH("Girls",C566),0)</f>
        <v>0</v>
      </c>
      <c r="C575" s="298">
        <v>7</v>
      </c>
      <c r="D575" s="298">
        <f ca="1">IFERROR(IF(C575&gt;MatchDay!$U$2,"",VLOOKUP($A566,timetables,MatchDay!$U$4+C575-1,FALSE)),0)</f>
        <v>2</v>
      </c>
      <c r="E575" s="286" t="str">
        <f ca="1">IFERROR(VLOOKUP($A566&amp;D575,downloads!$A$1:$E$1000,2,FALSE),"")</f>
        <v>Benjamin SYKES</v>
      </c>
      <c r="F575" s="286" t="str">
        <f t="shared" ca="1" si="143"/>
        <v>ECHT</v>
      </c>
      <c r="G575" s="291"/>
      <c r="H575" s="297"/>
      <c r="I575" s="298">
        <v>7</v>
      </c>
      <c r="J575" s="298">
        <f t="shared" ca="1" si="144"/>
        <v>22</v>
      </c>
      <c r="K575" s="286" t="str">
        <f ca="1">IFERROR(VLOOKUP($A566&amp;J575,downloads!$A$1:$E$1000,2,FALSE),"")</f>
        <v>Oliver MANNION</v>
      </c>
      <c r="L575" s="286" t="str">
        <f t="shared" ca="1" si="142"/>
        <v>ECHT</v>
      </c>
      <c r="O575" s="299"/>
      <c r="Q575" s="307">
        <f ca="1">IFERROR(VLOOKUP($A566&amp;D575,competitors,4,FALSE),"")</f>
        <v>1</v>
      </c>
      <c r="R575" s="307">
        <f ca="1">IFERROR(VLOOKUP($A566&amp;J575,competitors,4,FALSE),"")</f>
        <v>1</v>
      </c>
    </row>
    <row r="576" spans="1:18" ht="15" customHeight="1" x14ac:dyDescent="0.35">
      <c r="A576" s="103">
        <f ca="1">IFERROR(VLOOKUP(A566,records,5,FALSE),"")</f>
        <v>12.35</v>
      </c>
      <c r="B576" s="103"/>
      <c r="C576" s="298">
        <v>8</v>
      </c>
      <c r="D576" s="298" t="str">
        <f>IFERROR(IF(C576&gt;MatchDay!$U$2,"",VLOOKUP($A566,timetables,MatchDay!$U$4+C576-1,FALSE)),0)</f>
        <v/>
      </c>
      <c r="E576" s="286" t="str">
        <f ca="1">IFERROR(VLOOKUP($A566&amp;D576,downloads!$A$1:$E$1000,2,FALSE),"")</f>
        <v/>
      </c>
      <c r="F576" s="286" t="str">
        <f t="shared" si="143"/>
        <v/>
      </c>
      <c r="G576" s="291"/>
      <c r="H576" s="297"/>
      <c r="I576" s="298">
        <v>8</v>
      </c>
      <c r="J576" s="298" t="str">
        <f t="shared" si="144"/>
        <v/>
      </c>
      <c r="K576" s="286" t="str">
        <f ca="1">IFERROR(VLOOKUP($A566&amp;J576,downloads!$A$1:$E$1000,2,FALSE),"")</f>
        <v/>
      </c>
      <c r="L576" s="286" t="str">
        <f t="shared" si="142"/>
        <v/>
      </c>
      <c r="O576" s="299"/>
      <c r="Q576" s="307" t="str">
        <f ca="1">IFERROR(VLOOKUP($A566&amp;D576,competitors,4,FALSE),"")</f>
        <v/>
      </c>
      <c r="R576" s="307" t="str">
        <f ca="1">IFERROR(VLOOKUP($A566&amp;J576,competitors,4,FALSE),"")</f>
        <v/>
      </c>
    </row>
    <row r="577" spans="1:18" ht="15" customHeight="1" x14ac:dyDescent="0.35">
      <c r="Q577" s="307"/>
      <c r="R577" s="307"/>
    </row>
    <row r="578" spans="1:18" x14ac:dyDescent="0.35">
      <c r="A578" s="98" t="str">
        <f ca="1">IFERROR(INDIRECT(CONCATENATE("'Timetables'!A"&amp;A582)),"")</f>
        <v>LFD10</v>
      </c>
      <c r="B578" s="304" t="str">
        <f ca="1">IFERROR(TEXT(VLOOKUP(A578,timetables,7-MatchDay!$U$7,FALSE),"hh:mm"),"")</f>
        <v>15:15</v>
      </c>
      <c r="C578" s="292" t="str">
        <f ca="1">IFERROR(VLOOKUP(A578,timetables,2,FALSE)&amp;" "&amp;VLOOKUP(A578,timetables,3,FALSE)&amp;" A","")</f>
        <v>Javelin U13 Boys A</v>
      </c>
      <c r="D578" s="292"/>
      <c r="F578" s="293"/>
      <c r="G578" s="294"/>
      <c r="L578" s="360"/>
      <c r="M578" s="296"/>
      <c r="N578" s="286"/>
      <c r="Q578" s="307"/>
      <c r="R578" s="307"/>
    </row>
    <row r="579" spans="1:18" x14ac:dyDescent="0.35">
      <c r="A579" s="98"/>
      <c r="B579" s="98"/>
      <c r="C579" s="295" t="str">
        <f ca="1">IFERROR("Rec: "&amp;VLOOKUP(A578,records,4,FALSE),"")</f>
        <v>Rec: 49.49 Travis Harfield, Chorley ATC, 2019</v>
      </c>
      <c r="D579" s="292"/>
      <c r="F579" s="293"/>
      <c r="G579" s="294"/>
      <c r="I579" s="295"/>
      <c r="L579" s="360"/>
      <c r="M579" s="296"/>
      <c r="N579" s="286"/>
      <c r="Q579" s="307"/>
      <c r="R579" s="307"/>
    </row>
    <row r="580" spans="1:18" x14ac:dyDescent="0.35">
      <c r="A580" s="82" t="str">
        <f ca="1">MID(A578,2,3)</f>
        <v>FD1</v>
      </c>
      <c r="B580" s="82"/>
      <c r="C580" s="304" t="s">
        <v>122</v>
      </c>
      <c r="D580" s="304" t="s">
        <v>141</v>
      </c>
      <c r="E580" s="286" t="s">
        <v>174</v>
      </c>
      <c r="F580" s="286" t="s">
        <v>175</v>
      </c>
      <c r="G580" s="291"/>
      <c r="I580" s="304" t="s">
        <v>122</v>
      </c>
      <c r="J580" s="304" t="s">
        <v>141</v>
      </c>
      <c r="K580" s="286" t="s">
        <v>174</v>
      </c>
      <c r="L580" s="286" t="s">
        <v>175</v>
      </c>
      <c r="O580" s="299"/>
      <c r="Q580" s="307"/>
      <c r="R580" s="307"/>
    </row>
    <row r="581" spans="1:18" x14ac:dyDescent="0.35">
      <c r="A581" s="138"/>
      <c r="B581" s="103"/>
      <c r="C581" s="298">
        <v>1</v>
      </c>
      <c r="D581" s="298">
        <f ca="1">IFERROR(IF(C581&gt;MatchDay!$U$2,"",VLOOKUP($A578,timetables,MatchDay!$U$4+C581-1,FALSE)),0)</f>
        <v>1</v>
      </c>
      <c r="E581" s="286" t="str">
        <f ca="1">IFERROR(VLOOKUP($A578&amp;D581,downloads!$A$1:$E$1000,2,FALSE),"")</f>
        <v>Kaidan DOS REIS</v>
      </c>
      <c r="F581" s="286" t="str">
        <f ca="1">IFERROR(VLOOKUP(D581,teamlookup,5,FALSE),"")</f>
        <v>C&amp;N</v>
      </c>
      <c r="G581" s="291"/>
      <c r="H581" s="297"/>
      <c r="I581" s="298">
        <v>1</v>
      </c>
      <c r="J581" s="298">
        <f ca="1">IFERROR(D581*11,"")</f>
        <v>11</v>
      </c>
      <c r="K581" s="286" t="str">
        <f ca="1">IFERROR(VLOOKUP($A578&amp;J581,downloads!$A$1:$E$1000,2,FALSE),"")</f>
        <v>Gabriel BRZEZINSKI</v>
      </c>
      <c r="L581" s="286" t="str">
        <f t="shared" ref="L581:L588" ca="1" si="145">IFERROR(VLOOKUP(J581,teamlookup,5,FALSE),"")</f>
        <v>C&amp;N</v>
      </c>
      <c r="O581" s="299"/>
      <c r="Q581" s="307">
        <f ca="1">IFERROR(VLOOKUP($A578&amp;D581,competitors,4,FALSE),"")</f>
        <v>1</v>
      </c>
      <c r="R581" s="307">
        <f ca="1">IFERROR(VLOOKUP($A578&amp;J581,competitors,4,FALSE),"")</f>
        <v>1</v>
      </c>
    </row>
    <row r="582" spans="1:18" x14ac:dyDescent="0.35">
      <c r="A582" s="304">
        <f>A570+1</f>
        <v>57</v>
      </c>
      <c r="C582" s="298">
        <v>2</v>
      </c>
      <c r="D582" s="298">
        <f ca="1">IFERROR(IF(C582&gt;MatchDay!$U$2,"",VLOOKUP($A578,timetables,MatchDay!$U$4+C582-1,FALSE)),0)</f>
        <v>2</v>
      </c>
      <c r="E582" s="286" t="str">
        <f ca="1">IFERROR(VLOOKUP($A578&amp;D582,downloads!$A$1:$E$1000,2,FALSE),"")</f>
        <v>Benjamin SYKES</v>
      </c>
      <c r="F582" s="286" t="str">
        <f t="shared" ref="F582:F588" ca="1" si="146">IFERROR(VLOOKUP(D582,teamlookup,5,FALSE),"")</f>
        <v>ECHT</v>
      </c>
      <c r="G582" s="291"/>
      <c r="H582" s="297"/>
      <c r="I582" s="298">
        <v>2</v>
      </c>
      <c r="J582" s="298">
        <f t="shared" ref="J582:J588" ca="1" si="147">IFERROR(D582*11,"")</f>
        <v>22</v>
      </c>
      <c r="K582" s="286" t="str">
        <f ca="1">IFERROR(VLOOKUP($A578&amp;J582,downloads!$A$1:$E$1000,2,FALSE),"")</f>
        <v>James NELSON</v>
      </c>
      <c r="L582" s="286" t="str">
        <f t="shared" ca="1" si="145"/>
        <v>ECHT</v>
      </c>
      <c r="O582" s="299"/>
      <c r="Q582" s="307">
        <f ca="1">IFERROR(VLOOKUP($A578&amp;D582,competitors,4,FALSE),"")</f>
        <v>1</v>
      </c>
      <c r="R582" s="307">
        <f ca="1">IFERROR(VLOOKUP($A578&amp;J582,competitors,4,FALSE),"")</f>
        <v>1</v>
      </c>
    </row>
    <row r="583" spans="1:18" x14ac:dyDescent="0.35">
      <c r="A583" s="105">
        <f ca="1">IFERROR(VLOOKUP(A578,standards,3,FALSE)+0.01,"-")</f>
        <v>12.01</v>
      </c>
      <c r="B583" s="105"/>
      <c r="C583" s="298">
        <v>3</v>
      </c>
      <c r="D583" s="298">
        <f ca="1">IFERROR(IF(C583&gt;MatchDay!$U$2,"",VLOOKUP($A578,timetables,MatchDay!$U$4+C583-1,FALSE)),0)</f>
        <v>6</v>
      </c>
      <c r="E583" s="286" t="str">
        <f ca="1">IFERROR(VLOOKUP($A578&amp;D583,downloads!$A$1:$E$1000,2,FALSE),"")</f>
        <v/>
      </c>
      <c r="F583" s="286" t="str">
        <f t="shared" ca="1" si="146"/>
        <v>Stock</v>
      </c>
      <c r="G583" s="291"/>
      <c r="H583" s="297"/>
      <c r="I583" s="298">
        <v>3</v>
      </c>
      <c r="J583" s="298">
        <f t="shared" ca="1" si="147"/>
        <v>66</v>
      </c>
      <c r="K583" s="286" t="str">
        <f ca="1">IFERROR(VLOOKUP($A578&amp;J583,downloads!$A$1:$E$1000,2,FALSE),"")</f>
        <v/>
      </c>
      <c r="L583" s="286" t="str">
        <f t="shared" ca="1" si="145"/>
        <v>Stock</v>
      </c>
      <c r="O583" s="299"/>
      <c r="Q583" s="307" t="str">
        <f ca="1">IFERROR(VLOOKUP($A578&amp;D583,competitors,4,FALSE),"")</f>
        <v/>
      </c>
      <c r="R583" s="307" t="str">
        <f ca="1">IFERROR(VLOOKUP($A578&amp;J583,competitors,4,FALSE),"")</f>
        <v/>
      </c>
    </row>
    <row r="584" spans="1:18" x14ac:dyDescent="0.35">
      <c r="A584" s="105">
        <f ca="1">IFERROR(VLOOKUP(A578,standards,4,FALSE)+0.01,"-")</f>
        <v>14.01</v>
      </c>
      <c r="B584" s="105"/>
      <c r="C584" s="298">
        <v>4</v>
      </c>
      <c r="D584" s="298">
        <f ca="1">IFERROR(IF(C584&gt;MatchDay!$U$2,"",VLOOKUP($A578,timetables,MatchDay!$U$4+C584-1,FALSE)),0)</f>
        <v>7</v>
      </c>
      <c r="E584" s="286" t="str">
        <f ca="1">IFERROR(VLOOKUP($A578&amp;D584,downloads!$A$1:$E$1000,2,FALSE),"")</f>
        <v>Samuel HODGKINSON</v>
      </c>
      <c r="F584" s="286" t="str">
        <f t="shared" ca="1" si="146"/>
        <v>Wigan</v>
      </c>
      <c r="G584" s="291"/>
      <c r="H584" s="297"/>
      <c r="I584" s="298">
        <v>4</v>
      </c>
      <c r="J584" s="298">
        <f t="shared" ca="1" si="147"/>
        <v>77</v>
      </c>
      <c r="K584" s="286" t="str">
        <f ca="1">IFERROR(VLOOKUP($A578&amp;J584,downloads!$A$1:$E$1000,2,FALSE),"")</f>
        <v>Charlie STRETTON</v>
      </c>
      <c r="L584" s="286" t="str">
        <f t="shared" ca="1" si="145"/>
        <v>Wigan</v>
      </c>
      <c r="O584" s="299"/>
      <c r="Q584" s="307">
        <f ca="1">IFERROR(VLOOKUP($A578&amp;D584,competitors,4,FALSE),"")</f>
        <v>1</v>
      </c>
      <c r="R584" s="307">
        <f ca="1">IFERROR(VLOOKUP($A578&amp;J584,competitors,4,FALSE),"")</f>
        <v>1</v>
      </c>
    </row>
    <row r="585" spans="1:18" x14ac:dyDescent="0.35">
      <c r="A585" s="105">
        <f ca="1">IFERROR(VLOOKUP(A578,standards,5,FALSE)+0.01,"-")</f>
        <v>17.010000000000002</v>
      </c>
      <c r="B585" s="105"/>
      <c r="C585" s="298">
        <v>5</v>
      </c>
      <c r="D585" s="298">
        <f ca="1">IFERROR(IF(C585&gt;MatchDay!$U$2,"",VLOOKUP($A578,timetables,MatchDay!$U$4+C585-1,FALSE)),0)</f>
        <v>3</v>
      </c>
      <c r="E585" s="286" t="str">
        <f ca="1">IFERROR(VLOOKUP($A578&amp;D585,downloads!$A$1:$E$1000,2,FALSE),"")</f>
        <v>Oscar FINCH</v>
      </c>
      <c r="F585" s="286" t="str">
        <f t="shared" ca="1" si="146"/>
        <v>Leigh</v>
      </c>
      <c r="G585" s="291"/>
      <c r="H585" s="297"/>
      <c r="I585" s="298">
        <v>5</v>
      </c>
      <c r="J585" s="298">
        <f t="shared" ca="1" si="147"/>
        <v>33</v>
      </c>
      <c r="K585" s="286" t="str">
        <f ca="1">IFERROR(VLOOKUP($A578&amp;J585,downloads!$A$1:$E$1000,2,FALSE),"")</f>
        <v>James HOWARTH-LINTON</v>
      </c>
      <c r="L585" s="286" t="str">
        <f t="shared" ca="1" si="145"/>
        <v>Leigh</v>
      </c>
      <c r="O585" s="299"/>
      <c r="Q585" s="307">
        <f ca="1">IFERROR(VLOOKUP($A578&amp;D585,competitors,4,FALSE),"")</f>
        <v>1</v>
      </c>
      <c r="R585" s="307">
        <f ca="1">IFERROR(VLOOKUP($A578&amp;J585,competitors,4,FALSE),"")</f>
        <v>1</v>
      </c>
    </row>
    <row r="586" spans="1:18" x14ac:dyDescent="0.35">
      <c r="A586" s="105">
        <f ca="1">IFERROR(VLOOKUP(A578,standards,6,FALSE)+0.01,"-")</f>
        <v>20.010000000000002</v>
      </c>
      <c r="B586" s="105"/>
      <c r="C586" s="298">
        <v>6</v>
      </c>
      <c r="D586" s="298">
        <f ca="1">IFERROR(IF(C586&gt;MatchDay!$U$2,"",VLOOKUP($A578,timetables,MatchDay!$U$4+C586-1,FALSE)),0)</f>
        <v>4</v>
      </c>
      <c r="E586" s="286" t="str">
        <f ca="1">IFERROR(VLOOKUP($A578&amp;D586,downloads!$A$1:$E$1000,2,FALSE),"")</f>
        <v>Robert NWANKWO</v>
      </c>
      <c r="F586" s="286" t="str">
        <f t="shared" ca="1" si="146"/>
        <v>Macc</v>
      </c>
      <c r="G586" s="291"/>
      <c r="H586" s="297"/>
      <c r="I586" s="298">
        <v>6</v>
      </c>
      <c r="J586" s="298">
        <f t="shared" ca="1" si="147"/>
        <v>44</v>
      </c>
      <c r="K586" s="286" t="str">
        <f ca="1">IFERROR(VLOOKUP($A578&amp;J586,downloads!$A$1:$E$1000,2,FALSE),"")</f>
        <v>Isaac BAKER</v>
      </c>
      <c r="L586" s="286" t="str">
        <f t="shared" ca="1" si="145"/>
        <v>Macc</v>
      </c>
      <c r="O586" s="299"/>
      <c r="Q586" s="307">
        <f ca="1">IFERROR(VLOOKUP($A578&amp;D586,competitors,4,FALSE),"")</f>
        <v>1</v>
      </c>
      <c r="R586" s="307">
        <f ca="1">IFERROR(VLOOKUP($A578&amp;J586,competitors,4,FALSE),"")</f>
        <v>1</v>
      </c>
    </row>
    <row r="587" spans="1:18" x14ac:dyDescent="0.35">
      <c r="A587" s="300">
        <f ca="1">IFERROR(SEARCH("Girls",C578),0)</f>
        <v>0</v>
      </c>
      <c r="C587" s="298">
        <v>7</v>
      </c>
      <c r="D587" s="298">
        <f ca="1">IFERROR(IF(C587&gt;MatchDay!$U$2,"",VLOOKUP($A578,timetables,MatchDay!$U$4+C587-1,FALSE)),0)</f>
        <v>5</v>
      </c>
      <c r="E587" s="286" t="str">
        <f ca="1">IFERROR(VLOOKUP($A578&amp;D587,downloads!$A$1:$E$1000,2,FALSE),"")</f>
        <v/>
      </c>
      <c r="F587" s="286" t="str">
        <f t="shared" ca="1" si="146"/>
        <v>Menai</v>
      </c>
      <c r="G587" s="291"/>
      <c r="H587" s="297"/>
      <c r="I587" s="298">
        <v>7</v>
      </c>
      <c r="J587" s="298">
        <f t="shared" ca="1" si="147"/>
        <v>55</v>
      </c>
      <c r="K587" s="286" t="str">
        <f ca="1">IFERROR(VLOOKUP($A578&amp;J587,downloads!$A$1:$E$1000,2,FALSE),"")</f>
        <v/>
      </c>
      <c r="L587" s="286" t="str">
        <f t="shared" ca="1" si="145"/>
        <v>Menai</v>
      </c>
      <c r="O587" s="299"/>
      <c r="Q587" s="307" t="str">
        <f ca="1">IFERROR(VLOOKUP($A578&amp;D587,competitors,4,FALSE),"")</f>
        <v/>
      </c>
      <c r="R587" s="307" t="str">
        <f ca="1">IFERROR(VLOOKUP($A578&amp;J587,competitors,4,FALSE),"")</f>
        <v/>
      </c>
    </row>
    <row r="588" spans="1:18" x14ac:dyDescent="0.35">
      <c r="A588" s="103">
        <f ca="1">IFERROR(VLOOKUP(A578,records,5,FALSE),"")</f>
        <v>49.49</v>
      </c>
      <c r="B588" s="103"/>
      <c r="C588" s="298">
        <v>8</v>
      </c>
      <c r="D588" s="298" t="str">
        <f>IFERROR(IF(C588&gt;MatchDay!$U$2,"",VLOOKUP($A578,timetables,MatchDay!$U$4+C588-1,FALSE)),0)</f>
        <v/>
      </c>
      <c r="E588" s="286" t="str">
        <f ca="1">IFERROR(VLOOKUP($A578&amp;D588,downloads!$A$1:$E$1000,2,FALSE),"")</f>
        <v/>
      </c>
      <c r="F588" s="286" t="str">
        <f t="shared" si="146"/>
        <v/>
      </c>
      <c r="G588" s="291"/>
      <c r="H588" s="297"/>
      <c r="I588" s="298">
        <v>8</v>
      </c>
      <c r="J588" s="298" t="str">
        <f t="shared" si="147"/>
        <v/>
      </c>
      <c r="K588" s="286" t="str">
        <f ca="1">IFERROR(VLOOKUP($A578&amp;J588,downloads!$A$1:$E$1000,2,FALSE),"")</f>
        <v/>
      </c>
      <c r="L588" s="286" t="str">
        <f t="shared" si="145"/>
        <v/>
      </c>
      <c r="O588" s="299"/>
      <c r="Q588" s="307" t="str">
        <f ca="1">IFERROR(VLOOKUP($A578&amp;D588,competitors,4,FALSE),"")</f>
        <v/>
      </c>
      <c r="R588" s="307" t="str">
        <f ca="1">IFERROR(VLOOKUP($A578&amp;J588,competitors,4,FALSE),"")</f>
        <v/>
      </c>
    </row>
    <row r="589" spans="1:18" x14ac:dyDescent="0.35">
      <c r="Q589" s="307"/>
      <c r="R589" s="307"/>
    </row>
    <row r="590" spans="1:18" ht="15" customHeight="1" x14ac:dyDescent="0.35">
      <c r="A590" s="98" t="str">
        <f ca="1">IFERROR(INDIRECT(CONCATENATE("'Timetables'!A"&amp;A594)),"")</f>
        <v>LFW04</v>
      </c>
      <c r="B590" s="304" t="str">
        <f ca="1">IFERROR(TEXT(VLOOKUP(A590,timetables,7-MatchDay!$U$7,FALSE),"hh:mm"),"")</f>
        <v>15:30</v>
      </c>
      <c r="C590" s="292" t="str">
        <f ca="1">IFERROR(VLOOKUP(A590,timetables,2,FALSE)&amp;" "&amp;VLOOKUP(A590,timetables,3,FALSE)&amp;" A","")</f>
        <v>Long Jump U15 Boys A</v>
      </c>
      <c r="D590" s="292"/>
      <c r="F590" s="293"/>
      <c r="G590" s="294"/>
      <c r="L590" s="360"/>
      <c r="M590" s="296"/>
      <c r="N590" s="286"/>
      <c r="Q590" s="307"/>
      <c r="R590" s="307"/>
    </row>
    <row r="591" spans="1:18" ht="15" customHeight="1" x14ac:dyDescent="0.35">
      <c r="A591" s="98"/>
      <c r="B591" s="98"/>
      <c r="C591" s="295" t="str">
        <f ca="1">IFERROR("Rec: "&amp;VLOOKUP(A590,records,4,FALSE),"")</f>
        <v>Rec: 6.82 Patrick Sylla, Bournemouth A.C., 2013</v>
      </c>
      <c r="D591" s="292"/>
      <c r="F591" s="293"/>
      <c r="G591" s="294"/>
      <c r="I591" s="295"/>
      <c r="L591" s="360"/>
      <c r="M591" s="296"/>
      <c r="N591" s="286"/>
      <c r="Q591" s="307"/>
      <c r="R591" s="307"/>
    </row>
    <row r="592" spans="1:18" ht="15" customHeight="1" x14ac:dyDescent="0.35">
      <c r="A592" s="82" t="str">
        <f ca="1">MID(A590,2,3)</f>
        <v>FW0</v>
      </c>
      <c r="B592" s="82"/>
      <c r="C592" s="304" t="s">
        <v>122</v>
      </c>
      <c r="D592" s="304" t="s">
        <v>141</v>
      </c>
      <c r="E592" s="286" t="s">
        <v>174</v>
      </c>
      <c r="F592" s="286" t="s">
        <v>175</v>
      </c>
      <c r="G592" s="291"/>
      <c r="I592" s="304" t="s">
        <v>122</v>
      </c>
      <c r="J592" s="304" t="s">
        <v>141</v>
      </c>
      <c r="K592" s="286" t="s">
        <v>174</v>
      </c>
      <c r="L592" s="286" t="s">
        <v>175</v>
      </c>
      <c r="O592" s="299"/>
      <c r="Q592" s="307"/>
      <c r="R592" s="307"/>
    </row>
    <row r="593" spans="1:18" ht="15" customHeight="1" x14ac:dyDescent="0.35">
      <c r="A593" s="138"/>
      <c r="B593" s="103"/>
      <c r="C593" s="298">
        <v>1</v>
      </c>
      <c r="D593" s="298">
        <f ca="1">IFERROR(IF(C593&gt;MatchDay!$U$2,"",VLOOKUP($A590,timetables,MatchDay!$U$4+C593-1,FALSE)),0)</f>
        <v>4</v>
      </c>
      <c r="E593" s="286" t="str">
        <f ca="1">IFERROR(VLOOKUP($A590&amp;D593,downloads!$A$1:$E$1000,2,FALSE),"")</f>
        <v>Thomas WOOD</v>
      </c>
      <c r="F593" s="286" t="str">
        <f ca="1">IFERROR(VLOOKUP(D593,teamlookup,5,FALSE),"")</f>
        <v>Macc</v>
      </c>
      <c r="G593" s="291"/>
      <c r="H593" s="297"/>
      <c r="I593" s="298">
        <v>1</v>
      </c>
      <c r="J593" s="298">
        <f ca="1">IFERROR(D593*11,"")</f>
        <v>44</v>
      </c>
      <c r="K593" s="286" t="str">
        <f ca="1">IFERROR(VLOOKUP($A590&amp;J593,downloads!$A$1:$E$1000,2,FALSE),"")</f>
        <v>Will HAMMOND</v>
      </c>
      <c r="L593" s="286" t="str">
        <f t="shared" ref="L593:L600" ca="1" si="148">IFERROR(VLOOKUP(J593,teamlookup,5,FALSE),"")</f>
        <v>Macc</v>
      </c>
      <c r="O593" s="299"/>
      <c r="Q593" s="307">
        <f ca="1">IFERROR(VLOOKUP($A590&amp;D593,competitors,4,FALSE),"")</f>
        <v>1</v>
      </c>
      <c r="R593" s="307">
        <f ca="1">IFERROR(VLOOKUP($A590&amp;J593,competitors,4,FALSE),"")</f>
        <v>1</v>
      </c>
    </row>
    <row r="594" spans="1:18" ht="15" customHeight="1" x14ac:dyDescent="0.35">
      <c r="A594" s="304">
        <f>A582+1</f>
        <v>58</v>
      </c>
      <c r="C594" s="298">
        <v>2</v>
      </c>
      <c r="D594" s="298">
        <f ca="1">IFERROR(IF(C594&gt;MatchDay!$U$2,"",VLOOKUP($A590,timetables,MatchDay!$U$4+C594-1,FALSE)),0)</f>
        <v>2</v>
      </c>
      <c r="E594" s="286" t="str">
        <f ca="1">IFERROR(VLOOKUP($A590&amp;D594,downloads!$A$1:$E$1000,2,FALSE),"")</f>
        <v>Max ORMSTON</v>
      </c>
      <c r="F594" s="286" t="str">
        <f t="shared" ref="F594:F600" ca="1" si="149">IFERROR(VLOOKUP(D594,teamlookup,5,FALSE),"")</f>
        <v>ECHT</v>
      </c>
      <c r="G594" s="291"/>
      <c r="H594" s="297"/>
      <c r="I594" s="298">
        <v>2</v>
      </c>
      <c r="J594" s="298">
        <f t="shared" ref="J594:J600" ca="1" si="150">IFERROR(D594*11,"")</f>
        <v>22</v>
      </c>
      <c r="K594" s="286" t="str">
        <f ca="1">IFERROR(VLOOKUP($A590&amp;J594,downloads!$A$1:$E$1000,2,FALSE),"")</f>
        <v>Alfie MILLINGTON</v>
      </c>
      <c r="L594" s="286" t="str">
        <f t="shared" ca="1" si="148"/>
        <v>ECHT</v>
      </c>
      <c r="O594" s="299"/>
      <c r="Q594" s="307">
        <f ca="1">IFERROR(VLOOKUP($A590&amp;D594,competitors,4,FALSE),"")</f>
        <v>1</v>
      </c>
      <c r="R594" s="307">
        <f ca="1">IFERROR(VLOOKUP($A590&amp;J594,competitors,4,FALSE),"")</f>
        <v>1</v>
      </c>
    </row>
    <row r="595" spans="1:18" ht="15" customHeight="1" x14ac:dyDescent="0.35">
      <c r="A595" s="105">
        <f ca="1">IFERROR(VLOOKUP(A590,standards,3,FALSE)+0.01,"-")</f>
        <v>3.76</v>
      </c>
      <c r="B595" s="105"/>
      <c r="C595" s="298">
        <v>3</v>
      </c>
      <c r="D595" s="298">
        <f ca="1">IFERROR(IF(C595&gt;MatchDay!$U$2,"",VLOOKUP($A590,timetables,MatchDay!$U$4+C595-1,FALSE)),0)</f>
        <v>3</v>
      </c>
      <c r="E595" s="286" t="str">
        <f ca="1">IFERROR(VLOOKUP($A590&amp;D595,downloads!$A$1:$E$1000,2,FALSE),"")</f>
        <v>Hugo JAMES</v>
      </c>
      <c r="F595" s="286" t="str">
        <f t="shared" ca="1" si="149"/>
        <v>Leigh</v>
      </c>
      <c r="G595" s="291"/>
      <c r="H595" s="297"/>
      <c r="I595" s="298">
        <v>3</v>
      </c>
      <c r="J595" s="298">
        <f t="shared" ca="1" si="150"/>
        <v>33</v>
      </c>
      <c r="K595" s="286" t="str">
        <f ca="1">IFERROR(VLOOKUP($A590&amp;J595,downloads!$A$1:$E$1000,2,FALSE),"")</f>
        <v>Ben JAYATILLEKE</v>
      </c>
      <c r="L595" s="286" t="str">
        <f t="shared" ca="1" si="148"/>
        <v>Leigh</v>
      </c>
      <c r="O595" s="299"/>
      <c r="Q595" s="307">
        <f ca="1">IFERROR(VLOOKUP($A590&amp;D595,competitors,4,FALSE),"")</f>
        <v>1</v>
      </c>
      <c r="R595" s="307">
        <f ca="1">IFERROR(VLOOKUP($A590&amp;J595,competitors,4,FALSE),"")</f>
        <v>1</v>
      </c>
    </row>
    <row r="596" spans="1:18" ht="15" customHeight="1" x14ac:dyDescent="0.35">
      <c r="A596" s="105">
        <f ca="1">IFERROR(VLOOKUP(A590,standards,4,FALSE)+0.01,"-")</f>
        <v>4.01</v>
      </c>
      <c r="B596" s="105"/>
      <c r="C596" s="298">
        <v>4</v>
      </c>
      <c r="D596" s="298">
        <f ca="1">IFERROR(IF(C596&gt;MatchDay!$U$2,"",VLOOKUP($A590,timetables,MatchDay!$U$4+C596-1,FALSE)),0)</f>
        <v>1</v>
      </c>
      <c r="E596" s="286" t="str">
        <f ca="1">IFERROR(VLOOKUP($A590&amp;D596,downloads!$A$1:$E$1000,2,FALSE),"")</f>
        <v>Isaac PICKERING</v>
      </c>
      <c r="F596" s="286" t="str">
        <f t="shared" ca="1" si="149"/>
        <v>C&amp;N</v>
      </c>
      <c r="G596" s="291"/>
      <c r="H596" s="297"/>
      <c r="I596" s="298">
        <v>4</v>
      </c>
      <c r="J596" s="298">
        <f t="shared" ca="1" si="150"/>
        <v>11</v>
      </c>
      <c r="K596" s="286" t="str">
        <f ca="1">IFERROR(VLOOKUP($A590&amp;J596,downloads!$A$1:$E$1000,2,FALSE),"")</f>
        <v>William CATTELL</v>
      </c>
      <c r="L596" s="286" t="str">
        <f t="shared" ca="1" si="148"/>
        <v>C&amp;N</v>
      </c>
      <c r="O596" s="299"/>
      <c r="Q596" s="307">
        <f ca="1">IFERROR(VLOOKUP($A590&amp;D596,competitors,4,FALSE),"")</f>
        <v>1</v>
      </c>
      <c r="R596" s="307">
        <f ca="1">IFERROR(VLOOKUP($A590&amp;J596,competitors,4,FALSE),"")</f>
        <v>1</v>
      </c>
    </row>
    <row r="597" spans="1:18" ht="15" customHeight="1" x14ac:dyDescent="0.35">
      <c r="A597" s="105">
        <f ca="1">IFERROR(VLOOKUP(A590,standards,5,FALSE)+0.01,"-")</f>
        <v>4.26</v>
      </c>
      <c r="B597" s="105"/>
      <c r="C597" s="298">
        <v>5</v>
      </c>
      <c r="D597" s="298">
        <f ca="1">IFERROR(IF(C597&gt;MatchDay!$U$2,"",VLOOKUP($A590,timetables,MatchDay!$U$4+C597-1,FALSE)),0)</f>
        <v>7</v>
      </c>
      <c r="E597" s="286" t="str">
        <f ca="1">IFERROR(VLOOKUP($A590&amp;D597,downloads!$A$1:$E$1000,2,FALSE),"")</f>
        <v>Joshua ROBERTS</v>
      </c>
      <c r="F597" s="286" t="str">
        <f t="shared" ca="1" si="149"/>
        <v>Wigan</v>
      </c>
      <c r="G597" s="291"/>
      <c r="H597" s="297"/>
      <c r="I597" s="298">
        <v>5</v>
      </c>
      <c r="J597" s="298">
        <f t="shared" ca="1" si="150"/>
        <v>77</v>
      </c>
      <c r="K597" s="286" t="str">
        <f ca="1">IFERROR(VLOOKUP($A590&amp;J597,downloads!$A$1:$E$1000,2,FALSE),"")</f>
        <v>Joshua BOURNE</v>
      </c>
      <c r="L597" s="286" t="str">
        <f t="shared" ca="1" si="148"/>
        <v>Wigan</v>
      </c>
      <c r="O597" s="299"/>
      <c r="Q597" s="307">
        <f ca="1">IFERROR(VLOOKUP($A590&amp;D597,competitors,4,FALSE),"")</f>
        <v>1</v>
      </c>
      <c r="R597" s="307">
        <f ca="1">IFERROR(VLOOKUP($A590&amp;J597,competitors,4,FALSE),"")</f>
        <v>1</v>
      </c>
    </row>
    <row r="598" spans="1:18" ht="15" customHeight="1" x14ac:dyDescent="0.35">
      <c r="A598" s="105">
        <f ca="1">IFERROR(VLOOKUP(A590,standards,6,FALSE)+0.01,"-")</f>
        <v>4.51</v>
      </c>
      <c r="B598" s="105"/>
      <c r="C598" s="298">
        <v>6</v>
      </c>
      <c r="D598" s="298">
        <f ca="1">IFERROR(IF(C598&gt;MatchDay!$U$2,"",VLOOKUP($A590,timetables,MatchDay!$U$4+C598-1,FALSE)),0)</f>
        <v>5</v>
      </c>
      <c r="E598" s="286" t="str">
        <f ca="1">IFERROR(VLOOKUP($A590&amp;D598,downloads!$A$1:$E$1000,2,FALSE),"")</f>
        <v>Morgan JONES</v>
      </c>
      <c r="F598" s="286" t="str">
        <f t="shared" ca="1" si="149"/>
        <v>Menai</v>
      </c>
      <c r="G598" s="291"/>
      <c r="H598" s="297"/>
      <c r="I598" s="298">
        <v>6</v>
      </c>
      <c r="J598" s="298">
        <f t="shared" ca="1" si="150"/>
        <v>55</v>
      </c>
      <c r="K598" s="286" t="str">
        <f ca="1">IFERROR(VLOOKUP($A590&amp;J598,downloads!$A$1:$E$1000,2,FALSE),"")</f>
        <v>Owain WILLIAMS</v>
      </c>
      <c r="L598" s="286" t="str">
        <f t="shared" ca="1" si="148"/>
        <v>Menai</v>
      </c>
      <c r="O598" s="299"/>
      <c r="Q598" s="307">
        <f ca="1">IFERROR(VLOOKUP($A590&amp;D598,competitors,4,FALSE),"")</f>
        <v>1</v>
      </c>
      <c r="R598" s="307">
        <f ca="1">IFERROR(VLOOKUP($A590&amp;J598,competitors,4,FALSE),"")</f>
        <v>1</v>
      </c>
    </row>
    <row r="599" spans="1:18" ht="15" customHeight="1" x14ac:dyDescent="0.35">
      <c r="A599" s="300">
        <f ca="1">IFERROR(SEARCH("Girls",C590),0)</f>
        <v>0</v>
      </c>
      <c r="C599" s="298">
        <v>7</v>
      </c>
      <c r="D599" s="298">
        <f ca="1">IFERROR(IF(C599&gt;MatchDay!$U$2,"",VLOOKUP($A590,timetables,MatchDay!$U$4+C599-1,FALSE)),0)</f>
        <v>6</v>
      </c>
      <c r="E599" s="286" t="str">
        <f ca="1">IFERROR(VLOOKUP($A590&amp;D599,downloads!$A$1:$E$1000,2,FALSE),"")</f>
        <v>Quaid SIN</v>
      </c>
      <c r="F599" s="286" t="str">
        <f t="shared" ca="1" si="149"/>
        <v>Stock</v>
      </c>
      <c r="G599" s="291"/>
      <c r="H599" s="297"/>
      <c r="I599" s="298">
        <v>7</v>
      </c>
      <c r="J599" s="298">
        <f t="shared" ca="1" si="150"/>
        <v>66</v>
      </c>
      <c r="K599" s="286" t="str">
        <f ca="1">IFERROR(VLOOKUP($A590&amp;J599,downloads!$A$1:$E$1000,2,FALSE),"")</f>
        <v>Campbell JOHNSON</v>
      </c>
      <c r="L599" s="286" t="str">
        <f t="shared" ca="1" si="148"/>
        <v>Stock</v>
      </c>
      <c r="O599" s="299"/>
      <c r="Q599" s="307">
        <f ca="1">IFERROR(VLOOKUP($A590&amp;D599,competitors,4,FALSE),"")</f>
        <v>1</v>
      </c>
      <c r="R599" s="307">
        <f ca="1">IFERROR(VLOOKUP($A590&amp;J599,competitors,4,FALSE),"")</f>
        <v>1</v>
      </c>
    </row>
    <row r="600" spans="1:18" ht="15" customHeight="1" x14ac:dyDescent="0.35">
      <c r="A600" s="103">
        <f ca="1">IFERROR(VLOOKUP(A590,records,5,FALSE),"")</f>
        <v>6.82</v>
      </c>
      <c r="B600" s="103"/>
      <c r="C600" s="298">
        <v>8</v>
      </c>
      <c r="D600" s="298" t="str">
        <f>IFERROR(IF(C600&gt;MatchDay!$U$2,"",VLOOKUP($A590,timetables,MatchDay!$U$4+C600-1,FALSE)),0)</f>
        <v/>
      </c>
      <c r="E600" s="286" t="str">
        <f ca="1">IFERROR(VLOOKUP($A590&amp;D600,downloads!$A$1:$E$1000,2,FALSE),"")</f>
        <v/>
      </c>
      <c r="F600" s="286" t="str">
        <f t="shared" si="149"/>
        <v/>
      </c>
      <c r="G600" s="291"/>
      <c r="H600" s="297"/>
      <c r="I600" s="298">
        <v>8</v>
      </c>
      <c r="J600" s="298" t="str">
        <f t="shared" si="150"/>
        <v/>
      </c>
      <c r="K600" s="286" t="str">
        <f ca="1">IFERROR(VLOOKUP($A590&amp;J600,downloads!$A$1:$E$1000,2,FALSE),"")</f>
        <v/>
      </c>
      <c r="L600" s="286" t="str">
        <f t="shared" si="148"/>
        <v/>
      </c>
      <c r="O600" s="299"/>
      <c r="Q600" s="307" t="str">
        <f ca="1">IFERROR(VLOOKUP($A590&amp;D600,competitors,4,FALSE),"")</f>
        <v/>
      </c>
      <c r="R600" s="307" t="str">
        <f ca="1">IFERROR(VLOOKUP($A590&amp;J600,competitors,4,FALSE),"")</f>
        <v/>
      </c>
    </row>
    <row r="601" spans="1:18" ht="15" customHeight="1" x14ac:dyDescent="0.35">
      <c r="Q601" s="307"/>
      <c r="R601" s="307"/>
    </row>
    <row r="602" spans="1:18" x14ac:dyDescent="0.35">
      <c r="A602" s="98" t="str">
        <f ca="1">IFERROR(INDIRECT(CONCATENATE("'Timetables'!A"&amp;A606)),"")</f>
        <v>LFD11</v>
      </c>
      <c r="B602" s="304" t="str">
        <f ca="1">IFERROR(TEXT(VLOOKUP(A602,timetables,7-MatchDay!$U$7,FALSE),"hh:mm"),"")</f>
        <v>15:30</v>
      </c>
      <c r="C602" s="292" t="str">
        <f ca="1">IFERROR(VLOOKUP(A602,timetables,2,FALSE)&amp;" "&amp;VLOOKUP(A602,timetables,3,FALSE)&amp;" A","")</f>
        <v>Shot U15 Girls A</v>
      </c>
      <c r="D602" s="292"/>
      <c r="F602" s="293"/>
      <c r="G602" s="294"/>
      <c r="L602" s="360"/>
      <c r="M602" s="296"/>
      <c r="N602" s="286"/>
      <c r="Q602" s="307"/>
      <c r="R602" s="307"/>
    </row>
    <row r="603" spans="1:18" x14ac:dyDescent="0.35">
      <c r="A603" s="98"/>
      <c r="B603" s="98"/>
      <c r="C603" s="295" t="str">
        <f ca="1">IFERROR("Rec: "&amp;VLOOKUP(A602,records,4,FALSE),"")</f>
        <v>Rec: 13.72 Omolola Kuponiyi, Havering AC, 2018</v>
      </c>
      <c r="D603" s="292"/>
      <c r="F603" s="293"/>
      <c r="G603" s="294"/>
      <c r="I603" s="295"/>
      <c r="L603" s="360"/>
      <c r="M603" s="296"/>
      <c r="N603" s="286"/>
      <c r="Q603" s="307"/>
      <c r="R603" s="307"/>
    </row>
    <row r="604" spans="1:18" x14ac:dyDescent="0.35">
      <c r="A604" s="82" t="str">
        <f ca="1">MID(A602,2,3)</f>
        <v>FD1</v>
      </c>
      <c r="B604" s="82"/>
      <c r="C604" s="304" t="s">
        <v>122</v>
      </c>
      <c r="D604" s="304" t="s">
        <v>141</v>
      </c>
      <c r="E604" s="286" t="s">
        <v>174</v>
      </c>
      <c r="F604" s="286" t="s">
        <v>175</v>
      </c>
      <c r="G604" s="291"/>
      <c r="I604" s="304" t="s">
        <v>122</v>
      </c>
      <c r="J604" s="304" t="s">
        <v>141</v>
      </c>
      <c r="K604" s="286" t="s">
        <v>174</v>
      </c>
      <c r="L604" s="286" t="s">
        <v>175</v>
      </c>
      <c r="O604" s="299"/>
      <c r="Q604" s="307"/>
      <c r="R604" s="307"/>
    </row>
    <row r="605" spans="1:18" x14ac:dyDescent="0.35">
      <c r="A605" s="138"/>
      <c r="B605" s="103"/>
      <c r="C605" s="298">
        <v>1</v>
      </c>
      <c r="D605" s="298">
        <f ca="1">IFERROR(IF(C605&gt;MatchDay!$U$2,"",VLOOKUP($A602,timetables,MatchDay!$U$4+C605-1,FALSE)),0)</f>
        <v>4</v>
      </c>
      <c r="E605" s="286" t="str">
        <f ca="1">IFERROR(VLOOKUP($A602&amp;D605,downloads!$A$1:$E$1000,2,FALSE),"")</f>
        <v/>
      </c>
      <c r="F605" s="286" t="str">
        <f ca="1">IFERROR(VLOOKUP(D605,teamlookup,5,FALSE),"")</f>
        <v>Macc</v>
      </c>
      <c r="G605" s="291"/>
      <c r="H605" s="297"/>
      <c r="I605" s="298">
        <v>1</v>
      </c>
      <c r="J605" s="298">
        <f ca="1">IFERROR(D605*11,"")</f>
        <v>44</v>
      </c>
      <c r="K605" s="286" t="str">
        <f ca="1">IFERROR(VLOOKUP($A602&amp;J605,downloads!$A$1:$E$1000,2,FALSE),"")</f>
        <v/>
      </c>
      <c r="L605" s="286" t="str">
        <f t="shared" ref="L605:L612" ca="1" si="151">IFERROR(VLOOKUP(J605,teamlookup,5,FALSE),"")</f>
        <v>Macc</v>
      </c>
      <c r="O605" s="299"/>
      <c r="Q605" s="307" t="str">
        <f ca="1">IFERROR(VLOOKUP($A602&amp;D605,competitors,4,FALSE),"")</f>
        <v/>
      </c>
      <c r="R605" s="307" t="str">
        <f ca="1">IFERROR(VLOOKUP($A602&amp;J605,competitors,4,FALSE),"")</f>
        <v/>
      </c>
    </row>
    <row r="606" spans="1:18" x14ac:dyDescent="0.35">
      <c r="A606" s="304">
        <f>A594+1</f>
        <v>59</v>
      </c>
      <c r="C606" s="298">
        <v>2</v>
      </c>
      <c r="D606" s="298">
        <f ca="1">IFERROR(IF(C606&gt;MatchDay!$U$2,"",VLOOKUP($A602,timetables,MatchDay!$U$4+C606-1,FALSE)),0)</f>
        <v>1</v>
      </c>
      <c r="E606" s="286" t="str">
        <f ca="1">IFERROR(VLOOKUP($A602&amp;D606,downloads!$A$1:$E$1000,2,FALSE),"")</f>
        <v>Lucy HARDING</v>
      </c>
      <c r="F606" s="286" t="str">
        <f t="shared" ref="F606:F612" ca="1" si="152">IFERROR(VLOOKUP(D606,teamlookup,5,FALSE),"")</f>
        <v>C&amp;N</v>
      </c>
      <c r="G606" s="291"/>
      <c r="H606" s="297"/>
      <c r="I606" s="298">
        <v>2</v>
      </c>
      <c r="J606" s="298">
        <f t="shared" ref="J606:J612" ca="1" si="153">IFERROR(D606*11,"")</f>
        <v>11</v>
      </c>
      <c r="K606" s="286" t="str">
        <f ca="1">IFERROR(VLOOKUP($A602&amp;J606,downloads!$A$1:$E$1000,2,FALSE),"")</f>
        <v>Bella VARLEY</v>
      </c>
      <c r="L606" s="286" t="str">
        <f t="shared" ca="1" si="151"/>
        <v>C&amp;N</v>
      </c>
      <c r="O606" s="299"/>
      <c r="Q606" s="307">
        <f ca="1">IFERROR(VLOOKUP($A602&amp;D606,competitors,4,FALSE),"")</f>
        <v>1</v>
      </c>
      <c r="R606" s="307">
        <f ca="1">IFERROR(VLOOKUP($A602&amp;J606,competitors,4,FALSE),"")</f>
        <v>1</v>
      </c>
    </row>
    <row r="607" spans="1:18" x14ac:dyDescent="0.35">
      <c r="A607" s="105">
        <f ca="1">IFERROR(VLOOKUP(A602,standards,3,FALSE)+0.01,"-")</f>
        <v>6.01</v>
      </c>
      <c r="B607" s="105"/>
      <c r="C607" s="298">
        <v>3</v>
      </c>
      <c r="D607" s="298">
        <f ca="1">IFERROR(IF(C607&gt;MatchDay!$U$2,"",VLOOKUP($A602,timetables,MatchDay!$U$4+C607-1,FALSE)),0)</f>
        <v>5</v>
      </c>
      <c r="E607" s="286" t="str">
        <f ca="1">IFERROR(VLOOKUP($A602&amp;D607,downloads!$A$1:$E$1000,2,FALSE),"")</f>
        <v>Erin JACOBS</v>
      </c>
      <c r="F607" s="286" t="str">
        <f t="shared" ca="1" si="152"/>
        <v>Menai</v>
      </c>
      <c r="G607" s="291"/>
      <c r="H607" s="297"/>
      <c r="I607" s="298">
        <v>3</v>
      </c>
      <c r="J607" s="298">
        <f t="shared" ca="1" si="153"/>
        <v>55</v>
      </c>
      <c r="K607" s="286" t="str">
        <f ca="1">IFERROR(VLOOKUP($A602&amp;J607,downloads!$A$1:$E$1000,2,FALSE),"")</f>
        <v>Krista JONES</v>
      </c>
      <c r="L607" s="286" t="str">
        <f t="shared" ca="1" si="151"/>
        <v>Menai</v>
      </c>
      <c r="O607" s="299"/>
      <c r="Q607" s="307">
        <f ca="1">IFERROR(VLOOKUP($A602&amp;D607,competitors,4,FALSE),"")</f>
        <v>1</v>
      </c>
      <c r="R607" s="307">
        <f ca="1">IFERROR(VLOOKUP($A602&amp;J607,competitors,4,FALSE),"")</f>
        <v>1</v>
      </c>
    </row>
    <row r="608" spans="1:18" x14ac:dyDescent="0.35">
      <c r="A608" s="105">
        <f ca="1">IFERROR(VLOOKUP(A602,standards,4,FALSE)+0.01,"-")</f>
        <v>6.51</v>
      </c>
      <c r="B608" s="105"/>
      <c r="C608" s="298">
        <v>4</v>
      </c>
      <c r="D608" s="298">
        <f ca="1">IFERROR(IF(C608&gt;MatchDay!$U$2,"",VLOOKUP($A602,timetables,MatchDay!$U$4+C608-1,FALSE)),0)</f>
        <v>7</v>
      </c>
      <c r="E608" s="286" t="str">
        <f ca="1">IFERROR(VLOOKUP($A602&amp;D608,downloads!$A$1:$E$1000,2,FALSE),"")</f>
        <v>Lauren HEWITT</v>
      </c>
      <c r="F608" s="286" t="str">
        <f t="shared" ca="1" si="152"/>
        <v>Wigan</v>
      </c>
      <c r="G608" s="291"/>
      <c r="H608" s="297"/>
      <c r="I608" s="298">
        <v>4</v>
      </c>
      <c r="J608" s="298">
        <f t="shared" ca="1" si="153"/>
        <v>77</v>
      </c>
      <c r="K608" s="286" t="str">
        <f ca="1">IFERROR(VLOOKUP($A602&amp;J608,downloads!$A$1:$E$1000,2,FALSE),"")</f>
        <v>Lucy STRETTON</v>
      </c>
      <c r="L608" s="286" t="str">
        <f t="shared" ca="1" si="151"/>
        <v>Wigan</v>
      </c>
      <c r="O608" s="299"/>
      <c r="Q608" s="307">
        <f ca="1">IFERROR(VLOOKUP($A602&amp;D608,competitors,4,FALSE),"")</f>
        <v>1</v>
      </c>
      <c r="R608" s="307">
        <f ca="1">IFERROR(VLOOKUP($A602&amp;J608,competitors,4,FALSE),"")</f>
        <v>1</v>
      </c>
    </row>
    <row r="609" spans="1:18" x14ac:dyDescent="0.35">
      <c r="A609" s="105">
        <f ca="1">IFERROR(VLOOKUP(A602,standards,5,FALSE)+0.01,"-")</f>
        <v>7.01</v>
      </c>
      <c r="B609" s="105"/>
      <c r="C609" s="298">
        <v>5</v>
      </c>
      <c r="D609" s="298">
        <f ca="1">IFERROR(IF(C609&gt;MatchDay!$U$2,"",VLOOKUP($A602,timetables,MatchDay!$U$4+C609-1,FALSE)),0)</f>
        <v>3</v>
      </c>
      <c r="E609" s="286" t="str">
        <f ca="1">IFERROR(VLOOKUP($A602&amp;D609,downloads!$A$1:$E$1000,2,FALSE),"")</f>
        <v>Eva MELLING</v>
      </c>
      <c r="F609" s="286" t="str">
        <f t="shared" ca="1" si="152"/>
        <v>Leigh</v>
      </c>
      <c r="G609" s="291"/>
      <c r="H609" s="297"/>
      <c r="I609" s="298">
        <v>5</v>
      </c>
      <c r="J609" s="298">
        <f t="shared" ca="1" si="153"/>
        <v>33</v>
      </c>
      <c r="K609" s="286" t="str">
        <f ca="1">IFERROR(VLOOKUP($A602&amp;J609,downloads!$A$1:$E$1000,2,FALSE),"")</f>
        <v>Olivia COPPER</v>
      </c>
      <c r="L609" s="286" t="str">
        <f t="shared" ca="1" si="151"/>
        <v>Leigh</v>
      </c>
      <c r="O609" s="299"/>
      <c r="Q609" s="307">
        <f ca="1">IFERROR(VLOOKUP($A602&amp;D609,competitors,4,FALSE),"")</f>
        <v>1</v>
      </c>
      <c r="R609" s="307">
        <f ca="1">IFERROR(VLOOKUP($A602&amp;J609,competitors,4,FALSE),"")</f>
        <v>1</v>
      </c>
    </row>
    <row r="610" spans="1:18" x14ac:dyDescent="0.35">
      <c r="A610" s="105">
        <f ca="1">IFERROR(VLOOKUP(A602,standards,6,FALSE)+0.01,"-")</f>
        <v>7.6099999999999994</v>
      </c>
      <c r="B610" s="105"/>
      <c r="C610" s="298">
        <v>6</v>
      </c>
      <c r="D610" s="298">
        <f ca="1">IFERROR(IF(C610&gt;MatchDay!$U$2,"",VLOOKUP($A602,timetables,MatchDay!$U$4+C610-1,FALSE)),0)</f>
        <v>6</v>
      </c>
      <c r="E610" s="286" t="str">
        <f ca="1">IFERROR(VLOOKUP($A602&amp;D610,downloads!$A$1:$E$1000,2,FALSE),"")</f>
        <v>Lucy JONES</v>
      </c>
      <c r="F610" s="286" t="str">
        <f t="shared" ca="1" si="152"/>
        <v>Stock</v>
      </c>
      <c r="G610" s="291"/>
      <c r="H610" s="297"/>
      <c r="I610" s="298">
        <v>6</v>
      </c>
      <c r="J610" s="298">
        <f t="shared" ca="1" si="153"/>
        <v>66</v>
      </c>
      <c r="K610" s="286" t="str">
        <f ca="1">IFERROR(VLOOKUP($A602&amp;J610,downloads!$A$1:$E$1000,2,FALSE),"")</f>
        <v/>
      </c>
      <c r="L610" s="286" t="str">
        <f t="shared" ca="1" si="151"/>
        <v>Stock</v>
      </c>
      <c r="O610" s="299"/>
      <c r="Q610" s="307">
        <f ca="1">IFERROR(VLOOKUP($A602&amp;D610,competitors,4,FALSE),"")</f>
        <v>1</v>
      </c>
      <c r="R610" s="307" t="str">
        <f ca="1">IFERROR(VLOOKUP($A602&amp;J610,competitors,4,FALSE),"")</f>
        <v/>
      </c>
    </row>
    <row r="611" spans="1:18" x14ac:dyDescent="0.35">
      <c r="A611" s="300">
        <f ca="1">IFERROR(SEARCH("Girls",C602),0)</f>
        <v>10</v>
      </c>
      <c r="C611" s="298">
        <v>7</v>
      </c>
      <c r="D611" s="298">
        <f ca="1">IFERROR(IF(C611&gt;MatchDay!$U$2,"",VLOOKUP($A602,timetables,MatchDay!$U$4+C611-1,FALSE)),0)</f>
        <v>2</v>
      </c>
      <c r="E611" s="286" t="str">
        <f ca="1">IFERROR(VLOOKUP($A602&amp;D611,downloads!$A$1:$E$1000,2,FALSE),"")</f>
        <v>Isla HERRING</v>
      </c>
      <c r="F611" s="286" t="str">
        <f t="shared" ca="1" si="152"/>
        <v>ECHT</v>
      </c>
      <c r="G611" s="291"/>
      <c r="H611" s="297"/>
      <c r="I611" s="298">
        <v>7</v>
      </c>
      <c r="J611" s="298">
        <f t="shared" ca="1" si="153"/>
        <v>22</v>
      </c>
      <c r="K611" s="286" t="str">
        <f ca="1">IFERROR(VLOOKUP($A602&amp;J611,downloads!$A$1:$E$1000,2,FALSE),"")</f>
        <v>Lily-grace POOLE</v>
      </c>
      <c r="L611" s="286" t="str">
        <f t="shared" ca="1" si="151"/>
        <v>ECHT</v>
      </c>
      <c r="O611" s="299"/>
      <c r="Q611" s="307">
        <f ca="1">IFERROR(VLOOKUP($A602&amp;D611,competitors,4,FALSE),"")</f>
        <v>1</v>
      </c>
      <c r="R611" s="307">
        <f ca="1">IFERROR(VLOOKUP($A602&amp;J611,competitors,4,FALSE),"")</f>
        <v>1</v>
      </c>
    </row>
    <row r="612" spans="1:18" x14ac:dyDescent="0.35">
      <c r="A612" s="103">
        <f ca="1">IFERROR(VLOOKUP(A602,records,5,FALSE),"")</f>
        <v>13.72</v>
      </c>
      <c r="B612" s="103"/>
      <c r="C612" s="298">
        <v>8</v>
      </c>
      <c r="D612" s="298" t="str">
        <f>IFERROR(IF(C612&gt;MatchDay!$U$2,"",VLOOKUP($A602,timetables,MatchDay!$U$4+C612-1,FALSE)),0)</f>
        <v/>
      </c>
      <c r="E612" s="286" t="str">
        <f ca="1">IFERROR(VLOOKUP($A602&amp;D612,downloads!$A$1:$E$1000,2,FALSE),"")</f>
        <v/>
      </c>
      <c r="F612" s="286" t="str">
        <f t="shared" si="152"/>
        <v/>
      </c>
      <c r="G612" s="291"/>
      <c r="H612" s="297"/>
      <c r="I612" s="298">
        <v>8</v>
      </c>
      <c r="J612" s="298" t="str">
        <f t="shared" si="153"/>
        <v/>
      </c>
      <c r="K612" s="286" t="str">
        <f ca="1">IFERROR(VLOOKUP($A602&amp;J612,downloads!$A$1:$E$1000,2,FALSE),"")</f>
        <v/>
      </c>
      <c r="L612" s="286" t="str">
        <f t="shared" si="151"/>
        <v/>
      </c>
      <c r="O612" s="299"/>
      <c r="Q612" s="307" t="str">
        <f ca="1">IFERROR(VLOOKUP($A602&amp;D612,competitors,4,FALSE),"")</f>
        <v/>
      </c>
      <c r="R612" s="307" t="str">
        <f ca="1">IFERROR(VLOOKUP($A602&amp;J612,competitors,4,FALSE),"")</f>
        <v/>
      </c>
    </row>
    <row r="613" spans="1:18" x14ac:dyDescent="0.35">
      <c r="Q613" s="307"/>
      <c r="R613" s="307"/>
    </row>
    <row r="614" spans="1:18" x14ac:dyDescent="0.35">
      <c r="A614" s="98" t="str">
        <f ca="1">IFERROR(INDIRECT(CONCATENATE("'Timetables'!A"&amp;A618)),"")</f>
        <v>LFD12</v>
      </c>
      <c r="B614" s="304" t="str">
        <f ca="1">IFERROR(TEXT(VLOOKUP(A614,timetables,7-MatchDay!$U$7,FALSE),"hh:mm"),"")</f>
        <v>16:00</v>
      </c>
      <c r="C614" s="292" t="str">
        <f ca="1">IFERROR(VLOOKUP(A614,timetables,2,FALSE)&amp;" "&amp;VLOOKUP(A614,timetables,3,FALSE)&amp;" A","")</f>
        <v>Javelin U13 Girls A</v>
      </c>
      <c r="D614" s="292"/>
      <c r="F614" s="293"/>
      <c r="G614" s="294"/>
      <c r="L614" s="360"/>
      <c r="M614" s="296"/>
      <c r="N614" s="286"/>
      <c r="Q614" s="307"/>
      <c r="R614" s="307"/>
    </row>
    <row r="615" spans="1:18" x14ac:dyDescent="0.35">
      <c r="A615" s="98"/>
      <c r="B615" s="98"/>
      <c r="C615" s="295" t="str">
        <f ca="1">IFERROR("Rec: "&amp;VLOOKUP(A614,records,4,FALSE),"")</f>
        <v>Rec: 44.02 Dulcie Yelling, Brighton &amp; Hove, 2019</v>
      </c>
      <c r="D615" s="292"/>
      <c r="F615" s="293"/>
      <c r="G615" s="294"/>
      <c r="I615" s="295"/>
      <c r="L615" s="360"/>
      <c r="M615" s="296"/>
      <c r="N615" s="286"/>
      <c r="Q615" s="307"/>
      <c r="R615" s="307"/>
    </row>
    <row r="616" spans="1:18" x14ac:dyDescent="0.35">
      <c r="A616" s="82" t="str">
        <f ca="1">MID(A614,2,3)</f>
        <v>FD1</v>
      </c>
      <c r="B616" s="82"/>
      <c r="C616" s="304" t="s">
        <v>122</v>
      </c>
      <c r="D616" s="304" t="s">
        <v>141</v>
      </c>
      <c r="E616" s="286" t="s">
        <v>174</v>
      </c>
      <c r="F616" s="286" t="s">
        <v>175</v>
      </c>
      <c r="G616" s="291"/>
      <c r="I616" s="304" t="s">
        <v>122</v>
      </c>
      <c r="J616" s="304" t="s">
        <v>141</v>
      </c>
      <c r="K616" s="286" t="s">
        <v>174</v>
      </c>
      <c r="L616" s="286" t="s">
        <v>175</v>
      </c>
      <c r="O616" s="299"/>
      <c r="Q616" s="307"/>
      <c r="R616" s="307"/>
    </row>
    <row r="617" spans="1:18" x14ac:dyDescent="0.35">
      <c r="A617" s="138"/>
      <c r="B617" s="103"/>
      <c r="C617" s="298">
        <v>1</v>
      </c>
      <c r="D617" s="298">
        <f ca="1">IFERROR(IF(C617&gt;MatchDay!$U$2,"",VLOOKUP($A614,timetables,MatchDay!$U$4+C617-1,FALSE)),0)</f>
        <v>1</v>
      </c>
      <c r="E617" s="286" t="str">
        <f ca="1">IFERROR(VLOOKUP($A614&amp;D617,downloads!$A$1:$E$1000,2,FALSE),"")</f>
        <v>Ruby WILKINS</v>
      </c>
      <c r="F617" s="286" t="str">
        <f ca="1">IFERROR(VLOOKUP(D617,teamlookup,5,FALSE),"")</f>
        <v>C&amp;N</v>
      </c>
      <c r="G617" s="291"/>
      <c r="H617" s="297"/>
      <c r="I617" s="298">
        <v>1</v>
      </c>
      <c r="J617" s="298">
        <f ca="1">IFERROR(D617*11,"")</f>
        <v>11</v>
      </c>
      <c r="K617" s="286" t="str">
        <f ca="1">IFERROR(VLOOKUP($A614&amp;J617,downloads!$A$1:$E$1000,2,FALSE),"")</f>
        <v>Malkia HENRY</v>
      </c>
      <c r="L617" s="286" t="str">
        <f t="shared" ref="L617:L624" ca="1" si="154">IFERROR(VLOOKUP(J617,teamlookup,5,FALSE),"")</f>
        <v>C&amp;N</v>
      </c>
      <c r="O617" s="299"/>
      <c r="Q617" s="307">
        <f ca="1">IFERROR(VLOOKUP($A614&amp;D617,competitors,4,FALSE),"")</f>
        <v>1</v>
      </c>
      <c r="R617" s="307">
        <f ca="1">IFERROR(VLOOKUP($A614&amp;J617,competitors,4,FALSE),"")</f>
        <v>1</v>
      </c>
    </row>
    <row r="618" spans="1:18" x14ac:dyDescent="0.35">
      <c r="A618" s="304">
        <f>A606+1</f>
        <v>60</v>
      </c>
      <c r="C618" s="298">
        <v>2</v>
      </c>
      <c r="D618" s="298">
        <f ca="1">IFERROR(IF(C618&gt;MatchDay!$U$2,"",VLOOKUP($A614,timetables,MatchDay!$U$4+C618-1,FALSE)),0)</f>
        <v>2</v>
      </c>
      <c r="E618" s="286" t="str">
        <f ca="1">IFERROR(VLOOKUP($A614&amp;D618,downloads!$A$1:$E$1000,2,FALSE),"")</f>
        <v>Imogen MCBURNIE</v>
      </c>
      <c r="F618" s="286" t="str">
        <f t="shared" ref="F618:F624" ca="1" si="155">IFERROR(VLOOKUP(D618,teamlookup,5,FALSE),"")</f>
        <v>ECHT</v>
      </c>
      <c r="G618" s="291"/>
      <c r="H618" s="297"/>
      <c r="I618" s="298">
        <v>2</v>
      </c>
      <c r="J618" s="298">
        <f t="shared" ref="J618:J624" ca="1" si="156">IFERROR(D618*11,"")</f>
        <v>22</v>
      </c>
      <c r="K618" s="286" t="str">
        <f ca="1">IFERROR(VLOOKUP($A614&amp;J618,downloads!$A$1:$E$1000,2,FALSE),"")</f>
        <v>Demi BAXTER</v>
      </c>
      <c r="L618" s="286" t="str">
        <f t="shared" ca="1" si="154"/>
        <v>ECHT</v>
      </c>
      <c r="O618" s="299"/>
      <c r="Q618" s="307">
        <f ca="1">IFERROR(VLOOKUP($A614&amp;D618,competitors,4,FALSE),"")</f>
        <v>1</v>
      </c>
      <c r="R618" s="307">
        <f ca="1">IFERROR(VLOOKUP($A614&amp;J618,competitors,4,FALSE),"")</f>
        <v>1</v>
      </c>
    </row>
    <row r="619" spans="1:18" x14ac:dyDescent="0.35">
      <c r="A619" s="105">
        <f ca="1">IFERROR(VLOOKUP(A614,standards,3,FALSE)+0.01,"-")</f>
        <v>9.01</v>
      </c>
      <c r="B619" s="105"/>
      <c r="C619" s="298">
        <v>3</v>
      </c>
      <c r="D619" s="298">
        <f ca="1">IFERROR(IF(C619&gt;MatchDay!$U$2,"",VLOOKUP($A614,timetables,MatchDay!$U$4+C619-1,FALSE)),0)</f>
        <v>6</v>
      </c>
      <c r="E619" s="286" t="str">
        <f ca="1">IFERROR(VLOOKUP($A614&amp;D619,downloads!$A$1:$E$1000,2,FALSE),"")</f>
        <v/>
      </c>
      <c r="F619" s="286" t="str">
        <f t="shared" ca="1" si="155"/>
        <v>Stock</v>
      </c>
      <c r="G619" s="291"/>
      <c r="H619" s="297"/>
      <c r="I619" s="298">
        <v>3</v>
      </c>
      <c r="J619" s="298">
        <f t="shared" ca="1" si="156"/>
        <v>66</v>
      </c>
      <c r="K619" s="286" t="str">
        <f ca="1">IFERROR(VLOOKUP($A614&amp;J619,downloads!$A$1:$E$1000,2,FALSE),"")</f>
        <v/>
      </c>
      <c r="L619" s="286" t="str">
        <f t="shared" ca="1" si="154"/>
        <v>Stock</v>
      </c>
      <c r="O619" s="299"/>
      <c r="Q619" s="307" t="str">
        <f ca="1">IFERROR(VLOOKUP($A614&amp;D619,competitors,4,FALSE),"")</f>
        <v/>
      </c>
      <c r="R619" s="307" t="str">
        <f ca="1">IFERROR(VLOOKUP($A614&amp;J619,competitors,4,FALSE),"")</f>
        <v/>
      </c>
    </row>
    <row r="620" spans="1:18" x14ac:dyDescent="0.35">
      <c r="A620" s="105">
        <f ca="1">IFERROR(VLOOKUP(A614,standards,4,FALSE)+0.01,"-")</f>
        <v>11.51</v>
      </c>
      <c r="B620" s="105"/>
      <c r="C620" s="298">
        <v>4</v>
      </c>
      <c r="D620" s="298">
        <f ca="1">IFERROR(IF(C620&gt;MatchDay!$U$2,"",VLOOKUP($A614,timetables,MatchDay!$U$4+C620-1,FALSE)),0)</f>
        <v>7</v>
      </c>
      <c r="E620" s="286" t="str">
        <f ca="1">IFERROR(VLOOKUP($A614&amp;D620,downloads!$A$1:$E$1000,2,FALSE),"")</f>
        <v>Maisie CADMAN</v>
      </c>
      <c r="F620" s="286" t="str">
        <f t="shared" ca="1" si="155"/>
        <v>Wigan</v>
      </c>
      <c r="G620" s="291"/>
      <c r="H620" s="297"/>
      <c r="I620" s="298">
        <v>4</v>
      </c>
      <c r="J620" s="298">
        <f t="shared" ca="1" si="156"/>
        <v>77</v>
      </c>
      <c r="K620" s="286" t="str">
        <f ca="1">IFERROR(VLOOKUP($A614&amp;J620,downloads!$A$1:$E$1000,2,FALSE),"")</f>
        <v>Grace HARRIS</v>
      </c>
      <c r="L620" s="286" t="str">
        <f t="shared" ca="1" si="154"/>
        <v>Wigan</v>
      </c>
      <c r="O620" s="299"/>
      <c r="Q620" s="307">
        <f ca="1">IFERROR(VLOOKUP($A614&amp;D620,competitors,4,FALSE),"")</f>
        <v>0</v>
      </c>
      <c r="R620" s="307">
        <f ca="1">IFERROR(VLOOKUP($A614&amp;J620,competitors,4,FALSE),"")</f>
        <v>1</v>
      </c>
    </row>
    <row r="621" spans="1:18" x14ac:dyDescent="0.35">
      <c r="A621" s="105">
        <f ca="1">IFERROR(VLOOKUP(A614,standards,5,FALSE)+0.01,"-")</f>
        <v>14.01</v>
      </c>
      <c r="B621" s="105"/>
      <c r="C621" s="298">
        <v>5</v>
      </c>
      <c r="D621" s="298">
        <f ca="1">IFERROR(IF(C621&gt;MatchDay!$U$2,"",VLOOKUP($A614,timetables,MatchDay!$U$4+C621-1,FALSE)),0)</f>
        <v>3</v>
      </c>
      <c r="E621" s="286" t="str">
        <f ca="1">IFERROR(VLOOKUP($A614&amp;D621,downloads!$A$1:$E$1000,2,FALSE),"")</f>
        <v>Emily ASHTON</v>
      </c>
      <c r="F621" s="286" t="str">
        <f t="shared" ca="1" si="155"/>
        <v>Leigh</v>
      </c>
      <c r="G621" s="291"/>
      <c r="H621" s="297"/>
      <c r="I621" s="298">
        <v>5</v>
      </c>
      <c r="J621" s="298">
        <f t="shared" ca="1" si="156"/>
        <v>33</v>
      </c>
      <c r="K621" s="286" t="str">
        <f ca="1">IFERROR(VLOOKUP($A614&amp;J621,downloads!$A$1:$E$1000,2,FALSE),"")</f>
        <v>Aniko BEHARRIE</v>
      </c>
      <c r="L621" s="286" t="str">
        <f t="shared" ca="1" si="154"/>
        <v>Leigh</v>
      </c>
      <c r="O621" s="299"/>
      <c r="Q621" s="307">
        <f ca="1">IFERROR(VLOOKUP($A614&amp;D621,competitors,4,FALSE),"")</f>
        <v>1</v>
      </c>
      <c r="R621" s="307">
        <f ca="1">IFERROR(VLOOKUP($A614&amp;J621,competitors,4,FALSE),"")</f>
        <v>1</v>
      </c>
    </row>
    <row r="622" spans="1:18" x14ac:dyDescent="0.35">
      <c r="A622" s="105">
        <f ca="1">IFERROR(VLOOKUP(A614,standards,6,FALSE)+0.01,"-")</f>
        <v>16.510000000000002</v>
      </c>
      <c r="B622" s="105"/>
      <c r="C622" s="298">
        <v>6</v>
      </c>
      <c r="D622" s="298">
        <f ca="1">IFERROR(IF(C622&gt;MatchDay!$U$2,"",VLOOKUP($A614,timetables,MatchDay!$U$4+C622-1,FALSE)),0)</f>
        <v>4</v>
      </c>
      <c r="E622" s="286" t="str">
        <f ca="1">IFERROR(VLOOKUP($A614&amp;D622,downloads!$A$1:$E$1000,2,FALSE),"")</f>
        <v>Lauren HARPER</v>
      </c>
      <c r="F622" s="286" t="str">
        <f t="shared" ca="1" si="155"/>
        <v>Macc</v>
      </c>
      <c r="G622" s="291"/>
      <c r="H622" s="297"/>
      <c r="I622" s="298">
        <v>6</v>
      </c>
      <c r="J622" s="298">
        <f t="shared" ca="1" si="156"/>
        <v>44</v>
      </c>
      <c r="K622" s="286" t="str">
        <f ca="1">IFERROR(VLOOKUP($A614&amp;J622,downloads!$A$1:$E$1000,2,FALSE),"")</f>
        <v>Charlotte RHODES</v>
      </c>
      <c r="L622" s="286" t="str">
        <f t="shared" ca="1" si="154"/>
        <v>Macc</v>
      </c>
      <c r="O622" s="299"/>
      <c r="Q622" s="307">
        <f ca="1">IFERROR(VLOOKUP($A614&amp;D622,competitors,4,FALSE),"")</f>
        <v>1</v>
      </c>
      <c r="R622" s="307">
        <f ca="1">IFERROR(VLOOKUP($A614&amp;J622,competitors,4,FALSE),"")</f>
        <v>1</v>
      </c>
    </row>
    <row r="623" spans="1:18" x14ac:dyDescent="0.35">
      <c r="A623" s="300">
        <f ca="1">IFERROR(SEARCH("Girls",C614),0)</f>
        <v>13</v>
      </c>
      <c r="C623" s="298">
        <v>7</v>
      </c>
      <c r="D623" s="298">
        <f ca="1">IFERROR(IF(C623&gt;MatchDay!$U$2,"",VLOOKUP($A614,timetables,MatchDay!$U$4+C623-1,FALSE)),0)</f>
        <v>5</v>
      </c>
      <c r="E623" s="286" t="str">
        <f ca="1">IFERROR(VLOOKUP($A614&amp;D623,downloads!$A$1:$E$1000,2,FALSE),"")</f>
        <v/>
      </c>
      <c r="F623" s="286" t="str">
        <f t="shared" ca="1" si="155"/>
        <v>Menai</v>
      </c>
      <c r="G623" s="291"/>
      <c r="H623" s="297"/>
      <c r="I623" s="298">
        <v>7</v>
      </c>
      <c r="J623" s="298">
        <f t="shared" ca="1" si="156"/>
        <v>55</v>
      </c>
      <c r="K623" s="286" t="str">
        <f ca="1">IFERROR(VLOOKUP($A614&amp;J623,downloads!$A$1:$E$1000,2,FALSE),"")</f>
        <v/>
      </c>
      <c r="L623" s="286" t="str">
        <f t="shared" ca="1" si="154"/>
        <v>Menai</v>
      </c>
      <c r="O623" s="299"/>
      <c r="Q623" s="307" t="str">
        <f ca="1">IFERROR(VLOOKUP($A614&amp;D623,competitors,4,FALSE),"")</f>
        <v/>
      </c>
      <c r="R623" s="307" t="str">
        <f ca="1">IFERROR(VLOOKUP($A614&amp;J623,competitors,4,FALSE),"")</f>
        <v/>
      </c>
    </row>
    <row r="624" spans="1:18" x14ac:dyDescent="0.35">
      <c r="A624" s="103">
        <f ca="1">IFERROR(VLOOKUP(A614,records,5,FALSE),"")</f>
        <v>44.02</v>
      </c>
      <c r="B624" s="103"/>
      <c r="C624" s="298">
        <v>8</v>
      </c>
      <c r="D624" s="298" t="str">
        <f>IFERROR(IF(C624&gt;MatchDay!$U$2,"",VLOOKUP($A614,timetables,MatchDay!$U$4+C624-1,FALSE)),0)</f>
        <v/>
      </c>
      <c r="E624" s="286" t="str">
        <f ca="1">IFERROR(VLOOKUP($A614&amp;D624,downloads!$A$1:$E$1000,2,FALSE),"")</f>
        <v/>
      </c>
      <c r="F624" s="286" t="str">
        <f t="shared" si="155"/>
        <v/>
      </c>
      <c r="G624" s="291"/>
      <c r="H624" s="297"/>
      <c r="I624" s="298">
        <v>8</v>
      </c>
      <c r="J624" s="298" t="str">
        <f t="shared" si="156"/>
        <v/>
      </c>
      <c r="K624" s="286" t="str">
        <f ca="1">IFERROR(VLOOKUP($A614&amp;J624,downloads!$A$1:$E$1000,2,FALSE),"")</f>
        <v/>
      </c>
      <c r="L624" s="286" t="str">
        <f t="shared" si="154"/>
        <v/>
      </c>
      <c r="O624" s="299"/>
      <c r="Q624" s="307" t="str">
        <f ca="1">IFERROR(VLOOKUP($A614&amp;D624,competitors,4,FALSE),"")</f>
        <v/>
      </c>
      <c r="R624" s="307" t="str">
        <f ca="1">IFERROR(VLOOKUP($A614&amp;J624,competitors,4,FALSE),"")</f>
        <v/>
      </c>
    </row>
    <row r="625" spans="1:22" x14ac:dyDescent="0.35">
      <c r="Q625" s="307"/>
      <c r="R625" s="307"/>
    </row>
    <row r="626" spans="1:22" x14ac:dyDescent="0.35">
      <c r="A626" s="98" t="str">
        <f>IFERROR("L"&amp;A628,"")</f>
        <v>LTR1</v>
      </c>
      <c r="B626" s="304" t="str">
        <f>IFERROR(TEXT(VLOOKUP(A626,timetables,7-MatchDay!$U$7,FALSE),"hh:mm"),"")</f>
        <v>16:05</v>
      </c>
      <c r="C626" s="292" t="str">
        <f>IFERROR(VLOOKUP(A626,timetables,2,FALSE)&amp;" "&amp;VLOOKUP(A626,timetables,3,FALSE),"")</f>
        <v>4 x 100m U13 Girls</v>
      </c>
      <c r="D626" s="292"/>
      <c r="F626" s="293"/>
      <c r="G626" s="294"/>
      <c r="L626" s="360"/>
      <c r="M626" s="296"/>
      <c r="N626" s="286"/>
      <c r="Q626" s="307"/>
      <c r="R626" s="307"/>
    </row>
    <row r="627" spans="1:22" x14ac:dyDescent="0.35">
      <c r="A627" s="98"/>
      <c r="B627" s="98"/>
      <c r="C627" s="295" t="str">
        <f>IFERROR("Rec: "&amp;VLOOKUP(A626,records,4,FALSE),"")</f>
        <v>Rec: 52.0 -, Preston Harriers, 2018</v>
      </c>
      <c r="D627" s="292"/>
      <c r="F627" s="293"/>
      <c r="G627" s="294"/>
      <c r="I627" s="295"/>
      <c r="L627" s="360"/>
      <c r="M627" s="296"/>
      <c r="N627" s="286"/>
      <c r="Q627" s="307"/>
      <c r="R627" s="307"/>
    </row>
    <row r="628" spans="1:22" x14ac:dyDescent="0.35">
      <c r="A628" s="82" t="s">
        <v>342</v>
      </c>
      <c r="B628" s="82"/>
      <c r="C628" s="304" t="s">
        <v>542</v>
      </c>
      <c r="D628" s="304" t="s">
        <v>141</v>
      </c>
      <c r="E628" s="457" t="s">
        <v>694</v>
      </c>
      <c r="F628" s="457"/>
      <c r="G628" s="457"/>
      <c r="H628" s="457"/>
      <c r="I628" s="457"/>
      <c r="J628" s="457"/>
      <c r="K628" s="457"/>
      <c r="L628" s="457"/>
      <c r="M628" s="291">
        <f>IFERROR(SEARCH("NS",C626),0)</f>
        <v>0</v>
      </c>
      <c r="N628" s="286"/>
      <c r="P628" s="297"/>
      <c r="Q628" s="307"/>
      <c r="R628" s="307"/>
    </row>
    <row r="629" spans="1:22" x14ac:dyDescent="0.35">
      <c r="A629" s="138"/>
      <c r="B629" s="103"/>
      <c r="C629" s="298">
        <v>1</v>
      </c>
      <c r="D629" s="298">
        <f>IFERROR(IF(C629&gt;MatchDay!$U$2,"",IF(MatchDay!$D$6=2,"",VLOOKUP(A626,Timetables!$A:$EB,MatchDay!$U$4+C629-MatchDay!$D$6,FALSE))),"")</f>
        <v>7</v>
      </c>
      <c r="E629" s="457" t="str">
        <f>IFERROR(VLOOKUP($A626&amp;1&amp;D629,downloads!$A$1:$E$1000,2,FALSE)&amp;", "&amp;VLOOKUP($A626&amp;2&amp;D629,downloads!$A$1:$E$1000,2,FALSE)&amp;", "&amp;VLOOKUP($A626&amp;3&amp;D629,downloads!$A$1:$E$1000,2,FALSE)&amp;", "&amp;VLOOKUP($A626&amp;4&amp;D629,downloads!$A$1:$E$1000,2,FALSE),"")</f>
        <v>Sophia BOWDEN-MCKAY, Elody HILL, Mia LACEY, Katie-lou MALLEY</v>
      </c>
      <c r="F629" s="457"/>
      <c r="G629" s="457"/>
      <c r="H629" s="457"/>
      <c r="I629" s="457"/>
      <c r="J629" s="457"/>
      <c r="K629" s="457"/>
      <c r="L629" s="286" t="str">
        <f t="shared" ref="L629:L636" si="157">IFERROR(VLOOKUP(D629,teamlookup,5,FALSE),"")</f>
        <v>Wigan</v>
      </c>
      <c r="N629" s="286"/>
      <c r="Q629" s="307" t="str">
        <f>IFERROR(VLOOKUP($A626&amp;D629,competitors,4,FALSE),"")</f>
        <v/>
      </c>
      <c r="R629" s="307" t="str">
        <f>IFERROR(VLOOKUP($A626&amp;J629,competitors,4,FALSE),"")</f>
        <v/>
      </c>
      <c r="V629" s="287"/>
    </row>
    <row r="630" spans="1:22" x14ac:dyDescent="0.35">
      <c r="A630" s="304">
        <v>33</v>
      </c>
      <c r="C630" s="298">
        <v>2</v>
      </c>
      <c r="D630" s="298">
        <f>IFERROR(IF(C630&gt;MatchDay!$U$2+MatchDay!$D$6-1,"",VLOOKUP(A626,Timetables!$A:$EB,MatchDay!$U$4+C630-MatchDay!$D$6,FALSE)),"")</f>
        <v>6</v>
      </c>
      <c r="E630" s="457" t="str">
        <f>IFERROR(VLOOKUP($A626&amp;1&amp;D630,downloads!$A$1:$E$1000,2,FALSE)&amp;", "&amp;VLOOKUP($A626&amp;2&amp;D630,downloads!$A$1:$E$1000,2,FALSE)&amp;", "&amp;VLOOKUP($A626&amp;3&amp;D630,downloads!$A$1:$E$1000,2,FALSE)&amp;", "&amp;VLOOKUP($A626&amp;4&amp;D630,downloads!$A$1:$E$1000,2,FALSE),"")</f>
        <v/>
      </c>
      <c r="F630" s="457"/>
      <c r="G630" s="457"/>
      <c r="H630" s="457"/>
      <c r="I630" s="457"/>
      <c r="J630" s="457"/>
      <c r="K630" s="457"/>
      <c r="L630" s="286" t="str">
        <f t="shared" si="157"/>
        <v>Stock</v>
      </c>
      <c r="N630" s="286"/>
      <c r="Q630" s="307" t="str">
        <f>IFERROR(VLOOKUP($A626&amp;D630,competitors,4,FALSE),"")</f>
        <v/>
      </c>
      <c r="R630" s="307" t="str">
        <f>IFERROR(VLOOKUP($A626&amp;J630,competitors,4,FALSE),"")</f>
        <v/>
      </c>
      <c r="V630" s="287"/>
    </row>
    <row r="631" spans="1:22" x14ac:dyDescent="0.35">
      <c r="A631" s="105" t="str">
        <f>IFERROR(VLOOKUP(A626,standards,3,FALSE)+0.01,"-")</f>
        <v>-</v>
      </c>
      <c r="B631" s="105"/>
      <c r="C631" s="298">
        <v>3</v>
      </c>
      <c r="D631" s="298">
        <f>IFERROR(IF(C631&gt;MatchDay!$U$2+MatchDay!$D$6-1,"",VLOOKUP(A626,Timetables!$A:$EB,MatchDay!$U$4+C631-MatchDay!$D$6,FALSE)),"")</f>
        <v>3</v>
      </c>
      <c r="E631" s="457" t="str">
        <f>IFERROR(VLOOKUP($A626&amp;1&amp;D631,downloads!$A$1:$E$1000,2,FALSE)&amp;", "&amp;VLOOKUP($A626&amp;2&amp;D631,downloads!$A$1:$E$1000,2,FALSE)&amp;", "&amp;VLOOKUP($A626&amp;3&amp;D631,downloads!$A$1:$E$1000,2,FALSE)&amp;", "&amp;VLOOKUP($A626&amp;4&amp;D631,downloads!$A$1:$E$1000,2,FALSE),"")</f>
        <v>Isabella GORMAN, Ava BROOMES, Maddison PENDLEBURY, Lois MELLING</v>
      </c>
      <c r="F631" s="457"/>
      <c r="G631" s="457"/>
      <c r="H631" s="457"/>
      <c r="I631" s="457"/>
      <c r="J631" s="457"/>
      <c r="K631" s="457"/>
      <c r="L631" s="286" t="str">
        <f t="shared" si="157"/>
        <v>Leigh</v>
      </c>
      <c r="N631" s="286"/>
      <c r="Q631" s="307" t="str">
        <f>IFERROR(VLOOKUP($A626&amp;D631,competitors,4,FALSE),"")</f>
        <v/>
      </c>
      <c r="R631" s="307" t="str">
        <f>IFERROR(VLOOKUP($A626&amp;J631,competitors,4,FALSE),"")</f>
        <v/>
      </c>
      <c r="V631" s="287"/>
    </row>
    <row r="632" spans="1:22" x14ac:dyDescent="0.35">
      <c r="A632" s="105" t="str">
        <f>IFERROR(VLOOKUP(A626,standards,4,FALSE)+0.01,"-")</f>
        <v>-</v>
      </c>
      <c r="B632" s="105"/>
      <c r="C632" s="298">
        <v>4</v>
      </c>
      <c r="D632" s="298">
        <f>IFERROR(IF(C632&gt;MatchDay!$U$2+MatchDay!$D$6-1,"",VLOOKUP(A626,Timetables!$A:$EB,MatchDay!$U$4+C632-MatchDay!$D$6,FALSE)),"")</f>
        <v>1</v>
      </c>
      <c r="E632" s="457" t="str">
        <f>IFERROR(VLOOKUP($A626&amp;1&amp;D632,downloads!$A$1:$E$1000,2,FALSE)&amp;", "&amp;VLOOKUP($A626&amp;2&amp;D632,downloads!$A$1:$E$1000,2,FALSE)&amp;", "&amp;VLOOKUP($A626&amp;3&amp;D632,downloads!$A$1:$E$1000,2,FALSE)&amp;", "&amp;VLOOKUP($A626&amp;4&amp;D632,downloads!$A$1:$E$1000,2,FALSE),"")</f>
        <v>Freya HOWELLS, Lucy HOWARTH, Jasmine COOPER, Sofiya HARE</v>
      </c>
      <c r="F632" s="457"/>
      <c r="G632" s="457"/>
      <c r="H632" s="457"/>
      <c r="I632" s="457"/>
      <c r="J632" s="457"/>
      <c r="K632" s="457"/>
      <c r="L632" s="286" t="str">
        <f t="shared" si="157"/>
        <v>C&amp;N</v>
      </c>
      <c r="N632" s="286"/>
      <c r="Q632" s="307" t="str">
        <f>IFERROR(VLOOKUP($A626&amp;D632,competitors,4,FALSE),"")</f>
        <v/>
      </c>
      <c r="R632" s="307" t="str">
        <f>IFERROR(VLOOKUP($A626&amp;J632,competitors,4,FALSE),"")</f>
        <v/>
      </c>
      <c r="V632" s="287"/>
    </row>
    <row r="633" spans="1:22" x14ac:dyDescent="0.35">
      <c r="A633" s="105" t="str">
        <f>IFERROR(VLOOKUP(A626,standards,5,FALSE)+0.01,"-")</f>
        <v>-</v>
      </c>
      <c r="B633" s="105"/>
      <c r="C633" s="298">
        <v>5</v>
      </c>
      <c r="D633" s="298">
        <f>IFERROR(IF(C633&gt;MatchDay!$U$2+MatchDay!$D$6-1,"",VLOOKUP(A626,Timetables!$A:$EB,MatchDay!$U$4+C633-MatchDay!$D$6,FALSE)),"")</f>
        <v>5</v>
      </c>
      <c r="E633" s="457" t="str">
        <f>IFERROR(VLOOKUP($A626&amp;1&amp;D633,downloads!$A$1:$E$1000,2,FALSE)&amp;", "&amp;VLOOKUP($A626&amp;2&amp;D633,downloads!$A$1:$E$1000,2,FALSE)&amp;", "&amp;VLOOKUP($A626&amp;3&amp;D633,downloads!$A$1:$E$1000,2,FALSE)&amp;", "&amp;VLOOKUP($A626&amp;4&amp;D633,downloads!$A$1:$E$1000,2,FALSE),"")</f>
        <v>Ela EDWARDS, Tamsin SEGUIN, Holly WORTH, Martha BOWN</v>
      </c>
      <c r="F633" s="457"/>
      <c r="G633" s="457"/>
      <c r="H633" s="457"/>
      <c r="I633" s="457"/>
      <c r="J633" s="457"/>
      <c r="K633" s="457"/>
      <c r="L633" s="286" t="str">
        <f t="shared" si="157"/>
        <v>Menai</v>
      </c>
      <c r="N633" s="286"/>
      <c r="Q633" s="307" t="str">
        <f>IFERROR(VLOOKUP($A626&amp;D633,competitors,4,FALSE),"")</f>
        <v/>
      </c>
      <c r="R633" s="307" t="str">
        <f>IFERROR(VLOOKUP($A626&amp;J633,competitors,4,FALSE),"")</f>
        <v/>
      </c>
      <c r="V633" s="287"/>
    </row>
    <row r="634" spans="1:22" x14ac:dyDescent="0.35">
      <c r="A634" s="105" t="str">
        <f>IFERROR(VLOOKUP(A626,standards,6,FALSE)+0.01,"-")</f>
        <v>-</v>
      </c>
      <c r="B634" s="105"/>
      <c r="C634" s="298">
        <v>6</v>
      </c>
      <c r="D634" s="298">
        <f>IFERROR(IF(C634&gt;MatchDay!$U$2+MatchDay!$D$6-1,"",VLOOKUP(A626,Timetables!$A:$EB,MatchDay!$U$4+C634-MatchDay!$D$6,FALSE)),"")</f>
        <v>4</v>
      </c>
      <c r="E634" s="457" t="str">
        <f>IFERROR(VLOOKUP($A626&amp;1&amp;D634,downloads!$A$1:$E$1000,2,FALSE)&amp;", "&amp;VLOOKUP($A626&amp;2&amp;D634,downloads!$A$1:$E$1000,2,FALSE)&amp;", "&amp;VLOOKUP($A626&amp;3&amp;D634,downloads!$A$1:$E$1000,2,FALSE)&amp;", "&amp;VLOOKUP($A626&amp;4&amp;D634,downloads!$A$1:$E$1000,2,FALSE),"")</f>
        <v>Iona FISHER, Charlotte RHODES, Molly KENT, Lara ADU-GYAMFI</v>
      </c>
      <c r="F634" s="457"/>
      <c r="G634" s="457"/>
      <c r="H634" s="457"/>
      <c r="I634" s="457"/>
      <c r="J634" s="457"/>
      <c r="K634" s="457"/>
      <c r="L634" s="286" t="str">
        <f t="shared" si="157"/>
        <v>Macc</v>
      </c>
      <c r="N634" s="286"/>
      <c r="Q634" s="307" t="str">
        <f>IFERROR(VLOOKUP($A626&amp;D634,competitors,4,FALSE),"")</f>
        <v/>
      </c>
      <c r="R634" s="307" t="str">
        <f>IFERROR(VLOOKUP($A626&amp;J634,competitors,4,FALSE),"")</f>
        <v/>
      </c>
      <c r="V634" s="287"/>
    </row>
    <row r="635" spans="1:22" x14ac:dyDescent="0.35">
      <c r="A635" s="300">
        <f>IFERROR(SEARCH("Girls",C626),0)</f>
        <v>14</v>
      </c>
      <c r="C635" s="298">
        <v>7</v>
      </c>
      <c r="D635" s="298">
        <f>IFERROR(IF(C635&gt;MatchDay!$U$2+MatchDay!$D$6-1,"",VLOOKUP(A626,Timetables!$A:$EB,MatchDay!$U$4+C635-MatchDay!$D$6,FALSE)),"")</f>
        <v>2</v>
      </c>
      <c r="E635" s="457" t="str">
        <f>IFERROR(VLOOKUP($A626&amp;1&amp;D635,downloads!$A$1:$E$1000,2,FALSE)&amp;", "&amp;VLOOKUP($A626&amp;2&amp;D635,downloads!$A$1:$E$1000,2,FALSE)&amp;", "&amp;VLOOKUP($A626&amp;3&amp;D635,downloads!$A$1:$E$1000,2,FALSE)&amp;", "&amp;VLOOKUP($A626&amp;4&amp;D635,downloads!$A$1:$E$1000,2,FALSE),"")</f>
        <v>Imogen MCBURNIE, Madaline BURKE, Demi BAXTER, Olivia JONES</v>
      </c>
      <c r="F635" s="457"/>
      <c r="G635" s="457"/>
      <c r="H635" s="457"/>
      <c r="I635" s="457"/>
      <c r="J635" s="457"/>
      <c r="K635" s="457"/>
      <c r="L635" s="286" t="str">
        <f t="shared" si="157"/>
        <v>ECHT</v>
      </c>
      <c r="N635" s="286"/>
      <c r="Q635" s="307" t="str">
        <f>IFERROR(VLOOKUP($A626&amp;D635,competitors,4,FALSE),"")</f>
        <v/>
      </c>
      <c r="R635" s="307" t="str">
        <f>IFERROR(VLOOKUP($A626&amp;J635,competitors,4,FALSE),"")</f>
        <v/>
      </c>
      <c r="V635" s="287"/>
    </row>
    <row r="636" spans="1:22" x14ac:dyDescent="0.35">
      <c r="A636" s="103">
        <f>IFERROR(VLOOKUP(A626,records,5,FALSE),"")</f>
        <v>52</v>
      </c>
      <c r="B636" s="103"/>
      <c r="C636" s="298">
        <v>8</v>
      </c>
      <c r="D636" s="298" t="str">
        <f>IFERROR(IF(C636&gt;MatchDay!$U$2+MatchDay!$D$6-1,"",VLOOKUP(A626,Timetables!$A:$EB,MatchDay!$U$4+C636-MatchDay!$D$6,FALSE)),"")</f>
        <v/>
      </c>
      <c r="E636" s="457" t="str">
        <f>IFERROR(VLOOKUP($A626&amp;1&amp;D636,downloads!$A$1:$E$1000,2,FALSE)&amp;", "&amp;VLOOKUP($A626&amp;2&amp;D636,downloads!$A$1:$E$1000,2,FALSE)&amp;", "&amp;VLOOKUP($A626&amp;3&amp;D636,downloads!$A$1:$E$1000,2,FALSE)&amp;", "&amp;VLOOKUP($A626&amp;4&amp;D636,downloads!$A$1:$E$1000,2,FALSE),"")</f>
        <v/>
      </c>
      <c r="F636" s="457"/>
      <c r="G636" s="457"/>
      <c r="H636" s="457"/>
      <c r="I636" s="457"/>
      <c r="J636" s="457"/>
      <c r="K636" s="457"/>
      <c r="L636" s="286" t="str">
        <f t="shared" si="157"/>
        <v/>
      </c>
      <c r="N636" s="286"/>
      <c r="Q636" s="307" t="str">
        <f>IFERROR(VLOOKUP($A626&amp;D636,competitors,4,FALSE),"")</f>
        <v/>
      </c>
      <c r="R636" s="307" t="str">
        <f>IFERROR(VLOOKUP($A626&amp;J636,competitors,4,FALSE),"")</f>
        <v/>
      </c>
      <c r="V636" s="287"/>
    </row>
    <row r="637" spans="1:22" x14ac:dyDescent="0.35">
      <c r="Q637" s="307"/>
      <c r="R637" s="307"/>
      <c r="V637" s="287"/>
    </row>
    <row r="638" spans="1:22" x14ac:dyDescent="0.35">
      <c r="A638" s="98" t="str">
        <f>IFERROR("L"&amp;A640,"")</f>
        <v>LTR2</v>
      </c>
      <c r="B638" s="304" t="str">
        <f>IFERROR(TEXT(VLOOKUP(A638,timetables,7-MatchDay!$U$7,FALSE),"hh:mm"),"")</f>
        <v>16:10</v>
      </c>
      <c r="C638" s="292" t="str">
        <f>IFERROR(VLOOKUP(A638,timetables,2,FALSE)&amp;" "&amp;VLOOKUP(A638,timetables,3,FALSE),"")</f>
        <v>4 x 100m U13 Boys</v>
      </c>
      <c r="D638" s="292"/>
      <c r="F638" s="293"/>
      <c r="G638" s="294"/>
      <c r="L638" s="360"/>
      <c r="M638" s="296"/>
      <c r="N638" s="286"/>
      <c r="Q638" s="307"/>
      <c r="R638" s="307"/>
      <c r="V638" s="287"/>
    </row>
    <row r="639" spans="1:22" x14ac:dyDescent="0.35">
      <c r="A639" s="98"/>
      <c r="B639" s="98"/>
      <c r="C639" s="295" t="str">
        <f>IFERROR("Rec: "&amp;VLOOKUP(A638,records,4,FALSE),"")</f>
        <v>Rec: 50.3 -, Newham &amp; Essex Beagles AC, 2018</v>
      </c>
      <c r="D639" s="292"/>
      <c r="F639" s="293"/>
      <c r="G639" s="294"/>
      <c r="I639" s="295"/>
      <c r="L639" s="360"/>
      <c r="M639" s="296"/>
      <c r="N639" s="286"/>
      <c r="Q639" s="307"/>
      <c r="R639" s="307"/>
      <c r="V639" s="287"/>
    </row>
    <row r="640" spans="1:22" x14ac:dyDescent="0.35">
      <c r="A640" s="82" t="s">
        <v>343</v>
      </c>
      <c r="B640" s="82"/>
      <c r="C640" s="304" t="s">
        <v>542</v>
      </c>
      <c r="D640" s="304" t="s">
        <v>141</v>
      </c>
      <c r="E640" s="457" t="s">
        <v>694</v>
      </c>
      <c r="F640" s="457"/>
      <c r="G640" s="457"/>
      <c r="H640" s="457"/>
      <c r="I640" s="457"/>
      <c r="J640" s="457"/>
      <c r="K640" s="457"/>
      <c r="L640" s="457"/>
      <c r="M640" s="291">
        <f>IFERROR(SEARCH("NS",C638),0)</f>
        <v>0</v>
      </c>
      <c r="N640" s="286"/>
      <c r="P640" s="297"/>
      <c r="Q640" s="307"/>
      <c r="R640" s="307"/>
      <c r="V640" s="287"/>
    </row>
    <row r="641" spans="1:22" x14ac:dyDescent="0.35">
      <c r="A641" s="138"/>
      <c r="B641" s="103"/>
      <c r="C641" s="298">
        <v>1</v>
      </c>
      <c r="D641" s="298">
        <f>IFERROR(IF(C641&gt;MatchDay!$U$2,"",IF(MatchDay!$D$6=2,"",VLOOKUP(A638,Timetables!$A:$EB,MatchDay!$U$4+C641-MatchDay!$D$6,FALSE))),"")</f>
        <v>7</v>
      </c>
      <c r="E641" s="457" t="str">
        <f>IFERROR(VLOOKUP($A638&amp;1&amp;D641,downloads!$A$1:$E$1000,2,FALSE)&amp;", "&amp;VLOOKUP($A638&amp;2&amp;D641,downloads!$A$1:$E$1000,2,FALSE)&amp;", "&amp;VLOOKUP($A638&amp;3&amp;D641,downloads!$A$1:$E$1000,2,FALSE)&amp;", "&amp;VLOOKUP($A638&amp;4&amp;D641,downloads!$A$1:$E$1000,2,FALSE),"")</f>
        <v>Evan BARNETT, James DARBY, Theo MORGAN, Henry MORRIS</v>
      </c>
      <c r="F641" s="457"/>
      <c r="G641" s="457"/>
      <c r="H641" s="457"/>
      <c r="I641" s="457"/>
      <c r="J641" s="457"/>
      <c r="K641" s="457"/>
      <c r="L641" s="286" t="str">
        <f t="shared" ref="L641:L648" si="158">IFERROR(VLOOKUP(D641,teamlookup,5,FALSE),"")</f>
        <v>Wigan</v>
      </c>
      <c r="N641" s="286"/>
      <c r="Q641" s="307" t="str">
        <f>IFERROR(VLOOKUP($A626&amp;D641,competitors,4,FALSE),"")</f>
        <v/>
      </c>
      <c r="R641" s="307" t="str">
        <f>IFERROR(VLOOKUP($A626&amp;J641,competitors,4,FALSE),"")</f>
        <v/>
      </c>
      <c r="V641" s="287"/>
    </row>
    <row r="642" spans="1:22" x14ac:dyDescent="0.35">
      <c r="A642" s="304">
        <v>34</v>
      </c>
      <c r="C642" s="298">
        <v>2</v>
      </c>
      <c r="D642" s="298">
        <f>IFERROR(IF(C642&gt;MatchDay!$U$2+MatchDay!$D$6-1,"",VLOOKUP(A638,Timetables!$A:$EB,MatchDay!$U$4+C642-MatchDay!$D$6,FALSE)),"")</f>
        <v>6</v>
      </c>
      <c r="E642" s="457" t="str">
        <f>IFERROR(VLOOKUP($A638&amp;1&amp;D642,downloads!$A$1:$E$1000,2,FALSE)&amp;", "&amp;VLOOKUP($A638&amp;2&amp;D642,downloads!$A$1:$E$1000,2,FALSE)&amp;", "&amp;VLOOKUP($A638&amp;3&amp;D642,downloads!$A$1:$E$1000,2,FALSE)&amp;", "&amp;VLOOKUP($A638&amp;4&amp;D642,downloads!$A$1:$E$1000,2,FALSE),"")</f>
        <v/>
      </c>
      <c r="F642" s="457"/>
      <c r="G642" s="457"/>
      <c r="H642" s="457"/>
      <c r="I642" s="457"/>
      <c r="J642" s="457"/>
      <c r="K642" s="457"/>
      <c r="L642" s="286" t="str">
        <f t="shared" si="158"/>
        <v>Stock</v>
      </c>
      <c r="N642" s="286"/>
      <c r="Q642" s="307" t="str">
        <f>IFERROR(VLOOKUP($A626&amp;D642,competitors,4,FALSE),"")</f>
        <v/>
      </c>
      <c r="R642" s="307" t="str">
        <f>IFERROR(VLOOKUP($A626&amp;J642,competitors,4,FALSE),"")</f>
        <v/>
      </c>
      <c r="V642" s="287"/>
    </row>
    <row r="643" spans="1:22" x14ac:dyDescent="0.35">
      <c r="A643" s="105" t="str">
        <f>IFERROR(VLOOKUP(A638,standards,3,FALSE)+0.01,"-")</f>
        <v>-</v>
      </c>
      <c r="B643" s="105"/>
      <c r="C643" s="298">
        <v>3</v>
      </c>
      <c r="D643" s="298">
        <f>IFERROR(IF(C643&gt;MatchDay!$U$2+MatchDay!$D$6-1,"",VLOOKUP(A638,Timetables!$A:$EB,MatchDay!$U$4+C643-MatchDay!$D$6,FALSE)),"")</f>
        <v>3</v>
      </c>
      <c r="E643" s="457" t="str">
        <f>IFERROR(VLOOKUP($A638&amp;1&amp;D643,downloads!$A$1:$E$1000,2,FALSE)&amp;", "&amp;VLOOKUP($A638&amp;2&amp;D643,downloads!$A$1:$E$1000,2,FALSE)&amp;", "&amp;VLOOKUP($A638&amp;3&amp;D643,downloads!$A$1:$E$1000,2,FALSE)&amp;", "&amp;VLOOKUP($A638&amp;4&amp;D643,downloads!$A$1:$E$1000,2,FALSE),"")</f>
        <v>Jack FLETCHER, Jesse WAI IP CHAN, Oscar FINCH, Thierry KERR</v>
      </c>
      <c r="F643" s="457"/>
      <c r="G643" s="457"/>
      <c r="H643" s="457"/>
      <c r="I643" s="457"/>
      <c r="J643" s="457"/>
      <c r="K643" s="457"/>
      <c r="L643" s="286" t="str">
        <f t="shared" si="158"/>
        <v>Leigh</v>
      </c>
      <c r="N643" s="286"/>
      <c r="Q643" s="307" t="str">
        <f>IFERROR(VLOOKUP($A626&amp;D643,competitors,4,FALSE),"")</f>
        <v/>
      </c>
      <c r="R643" s="307" t="str">
        <f>IFERROR(VLOOKUP($A626&amp;J643,competitors,4,FALSE),"")</f>
        <v/>
      </c>
      <c r="V643" s="287"/>
    </row>
    <row r="644" spans="1:22" x14ac:dyDescent="0.35">
      <c r="A644" s="105" t="str">
        <f>IFERROR(VLOOKUP(A638,standards,4,FALSE)+0.01,"-")</f>
        <v>-</v>
      </c>
      <c r="B644" s="105"/>
      <c r="C644" s="298">
        <v>4</v>
      </c>
      <c r="D644" s="298">
        <f>IFERROR(IF(C644&gt;MatchDay!$U$2+MatchDay!$D$6-1,"",VLOOKUP(A638,Timetables!$A:$EB,MatchDay!$U$4+C644-MatchDay!$D$6,FALSE)),"")</f>
        <v>1</v>
      </c>
      <c r="E644" s="457" t="str">
        <f>IFERROR(VLOOKUP($A638&amp;1&amp;D644,downloads!$A$1:$E$1000,2,FALSE)&amp;", "&amp;VLOOKUP($A638&amp;2&amp;D644,downloads!$A$1:$E$1000,2,FALSE)&amp;", "&amp;VLOOKUP($A638&amp;3&amp;D644,downloads!$A$1:$E$1000,2,FALSE)&amp;", "&amp;VLOOKUP($A638&amp;4&amp;D644,downloads!$A$1:$E$1000,2,FALSE),"")</f>
        <v>Gabriel BRZEZINSKI, Kaidan DOS REIS, Charlie SMITH, Ben JEFFS</v>
      </c>
      <c r="F644" s="457"/>
      <c r="G644" s="457"/>
      <c r="H644" s="457"/>
      <c r="I644" s="457"/>
      <c r="J644" s="457"/>
      <c r="K644" s="457"/>
      <c r="L644" s="286" t="str">
        <f t="shared" si="158"/>
        <v>C&amp;N</v>
      </c>
      <c r="N644" s="286"/>
      <c r="Q644" s="307" t="str">
        <f>IFERROR(VLOOKUP($A626&amp;D644,competitors,4,FALSE),"")</f>
        <v/>
      </c>
      <c r="R644" s="307" t="str">
        <f>IFERROR(VLOOKUP($A626&amp;J644,competitors,4,FALSE),"")</f>
        <v/>
      </c>
      <c r="V644" s="287"/>
    </row>
    <row r="645" spans="1:22" x14ac:dyDescent="0.35">
      <c r="A645" s="105" t="str">
        <f>IFERROR(VLOOKUP(A638,standards,5,FALSE)+0.01,"-")</f>
        <v>-</v>
      </c>
      <c r="B645" s="105"/>
      <c r="C645" s="298">
        <v>5</v>
      </c>
      <c r="D645" s="298">
        <f>IFERROR(IF(C645&gt;MatchDay!$U$2+MatchDay!$D$6-1,"",VLOOKUP(A638,Timetables!$A:$EB,MatchDay!$U$4+C645-MatchDay!$D$6,FALSE)),"")</f>
        <v>5</v>
      </c>
      <c r="E645" s="457" t="str">
        <f>IFERROR(VLOOKUP($A638&amp;1&amp;D645,downloads!$A$1:$E$1000,2,FALSE)&amp;", "&amp;VLOOKUP($A638&amp;2&amp;D645,downloads!$A$1:$E$1000,2,FALSE)&amp;", "&amp;VLOOKUP($A638&amp;3&amp;D645,downloads!$A$1:$E$1000,2,FALSE)&amp;", "&amp;VLOOKUP($A638&amp;4&amp;D645,downloads!$A$1:$E$1000,2,FALSE),"")</f>
        <v/>
      </c>
      <c r="F645" s="457"/>
      <c r="G645" s="457"/>
      <c r="H645" s="457"/>
      <c r="I645" s="457"/>
      <c r="J645" s="457"/>
      <c r="K645" s="457"/>
      <c r="L645" s="286" t="str">
        <f t="shared" si="158"/>
        <v>Menai</v>
      </c>
      <c r="N645" s="286"/>
      <c r="Q645" s="307" t="str">
        <f>IFERROR(VLOOKUP($A626&amp;D645,competitors,4,FALSE),"")</f>
        <v/>
      </c>
      <c r="R645" s="307" t="str">
        <f>IFERROR(VLOOKUP($A626&amp;J645,competitors,4,FALSE),"")</f>
        <v/>
      </c>
      <c r="V645" s="287"/>
    </row>
    <row r="646" spans="1:22" x14ac:dyDescent="0.35">
      <c r="A646" s="105" t="str">
        <f>IFERROR(VLOOKUP(A638,standards,6,FALSE)+0.01,"-")</f>
        <v>-</v>
      </c>
      <c r="B646" s="105"/>
      <c r="C646" s="298">
        <v>6</v>
      </c>
      <c r="D646" s="298">
        <f>IFERROR(IF(C646&gt;MatchDay!$U$2+MatchDay!$D$6-1,"",VLOOKUP(A638,Timetables!$A:$EB,MatchDay!$U$4+C646-MatchDay!$D$6,FALSE)),"")</f>
        <v>4</v>
      </c>
      <c r="E646" s="457" t="str">
        <f>IFERROR(VLOOKUP($A638&amp;1&amp;D646,downloads!$A$1:$E$1000,2,FALSE)&amp;", "&amp;VLOOKUP($A638&amp;2&amp;D646,downloads!$A$1:$E$1000,2,FALSE)&amp;", "&amp;VLOOKUP($A638&amp;3&amp;D646,downloads!$A$1:$E$1000,2,FALSE)&amp;", "&amp;VLOOKUP($A638&amp;4&amp;D646,downloads!$A$1:$E$1000,2,FALSE),"")</f>
        <v>Alexander MCLAREN, Samuel SAVAGE, Dylan BAKER, Tomas BEDOYA</v>
      </c>
      <c r="F646" s="457"/>
      <c r="G646" s="457"/>
      <c r="H646" s="457"/>
      <c r="I646" s="457"/>
      <c r="J646" s="457"/>
      <c r="K646" s="457"/>
      <c r="L646" s="286" t="str">
        <f t="shared" si="158"/>
        <v>Macc</v>
      </c>
      <c r="N646" s="286"/>
      <c r="Q646" s="307" t="str">
        <f>IFERROR(VLOOKUP($A626&amp;D646,competitors,4,FALSE),"")</f>
        <v/>
      </c>
      <c r="R646" s="307" t="str">
        <f>IFERROR(VLOOKUP($A626&amp;J646,competitors,4,FALSE),"")</f>
        <v/>
      </c>
      <c r="V646" s="287"/>
    </row>
    <row r="647" spans="1:22" x14ac:dyDescent="0.35">
      <c r="A647" s="300">
        <f>IFERROR(SEARCH("Girls",C638),0)</f>
        <v>0</v>
      </c>
      <c r="C647" s="298">
        <v>7</v>
      </c>
      <c r="D647" s="298">
        <f>IFERROR(IF(C647&gt;MatchDay!$U$2+MatchDay!$D$6-1,"",VLOOKUP(A638,Timetables!$A:$EB,MatchDay!$U$4+C647-MatchDay!$D$6,FALSE)),"")</f>
        <v>2</v>
      </c>
      <c r="E647" s="457" t="str">
        <f>IFERROR(VLOOKUP($A638&amp;1&amp;D647,downloads!$A$1:$E$1000,2,FALSE)&amp;", "&amp;VLOOKUP($A638&amp;2&amp;D647,downloads!$A$1:$E$1000,2,FALSE)&amp;", "&amp;VLOOKUP($A638&amp;3&amp;D647,downloads!$A$1:$E$1000,2,FALSE)&amp;", "&amp;VLOOKUP($A638&amp;4&amp;D647,downloads!$A$1:$E$1000,2,FALSE),"")</f>
        <v>Ryan MCCARTHY, James NELSON, Jake REANEY, Oliver MANNION</v>
      </c>
      <c r="F647" s="457"/>
      <c r="G647" s="457"/>
      <c r="H647" s="457"/>
      <c r="I647" s="457"/>
      <c r="J647" s="457"/>
      <c r="K647" s="457"/>
      <c r="L647" s="286" t="str">
        <f t="shared" si="158"/>
        <v>ECHT</v>
      </c>
      <c r="N647" s="286"/>
      <c r="Q647" s="307" t="str">
        <f>IFERROR(VLOOKUP($A626&amp;D647,competitors,4,FALSE),"")</f>
        <v/>
      </c>
      <c r="R647" s="307" t="str">
        <f>IFERROR(VLOOKUP($A626&amp;J647,competitors,4,FALSE),"")</f>
        <v/>
      </c>
      <c r="V647" s="287"/>
    </row>
    <row r="648" spans="1:22" x14ac:dyDescent="0.35">
      <c r="A648" s="103">
        <f>IFERROR(VLOOKUP(A638,records,5,FALSE),"")</f>
        <v>50.3</v>
      </c>
      <c r="B648" s="103"/>
      <c r="C648" s="298">
        <v>8</v>
      </c>
      <c r="D648" s="298" t="str">
        <f>IFERROR(IF(C648&gt;MatchDay!$U$2+MatchDay!$D$6-1,"",VLOOKUP(A638,Timetables!$A:$EB,MatchDay!$U$4+C648-MatchDay!$D$6,FALSE)),"")</f>
        <v/>
      </c>
      <c r="E648" s="457" t="str">
        <f>IFERROR(VLOOKUP($A638&amp;1&amp;D648,downloads!$A$1:$E$1000,2,FALSE)&amp;", "&amp;VLOOKUP($A638&amp;2&amp;D648,downloads!$A$1:$E$1000,2,FALSE)&amp;", "&amp;VLOOKUP($A638&amp;3&amp;D648,downloads!$A$1:$E$1000,2,FALSE)&amp;", "&amp;VLOOKUP($A638&amp;4&amp;D648,downloads!$A$1:$E$1000,2,FALSE),"")</f>
        <v/>
      </c>
      <c r="F648" s="457"/>
      <c r="G648" s="457"/>
      <c r="H648" s="457"/>
      <c r="I648" s="457"/>
      <c r="J648" s="457"/>
      <c r="K648" s="457"/>
      <c r="L648" s="286" t="str">
        <f t="shared" si="158"/>
        <v/>
      </c>
      <c r="N648" s="286"/>
      <c r="Q648" s="307" t="str">
        <f>IFERROR(VLOOKUP($A626&amp;D648,competitors,4,FALSE),"")</f>
        <v/>
      </c>
      <c r="R648" s="307" t="str">
        <f>IFERROR(VLOOKUP($A626&amp;J648,competitors,4,FALSE),"")</f>
        <v/>
      </c>
      <c r="V648" s="287"/>
    </row>
    <row r="649" spans="1:22" x14ac:dyDescent="0.35">
      <c r="Q649" s="307"/>
      <c r="R649" s="307"/>
    </row>
    <row r="650" spans="1:22" x14ac:dyDescent="0.35">
      <c r="A650" s="98" t="str">
        <f>IFERROR("L"&amp;A652,"")</f>
        <v>LTR3</v>
      </c>
      <c r="B650" s="304" t="str">
        <f>IFERROR(TEXT(VLOOKUP(A650,timetables,7-MatchDay!$U$7,FALSE),"hh:mm"),"")</f>
        <v>16:15</v>
      </c>
      <c r="C650" s="292" t="str">
        <f>IFERROR(VLOOKUP(A650,timetables,2,FALSE)&amp;" "&amp;VLOOKUP(A650,timetables,3,FALSE),"")</f>
        <v>4 x 100m U15 Girls</v>
      </c>
      <c r="D650" s="292"/>
      <c r="F650" s="293"/>
      <c r="G650" s="294"/>
      <c r="L650" s="360"/>
      <c r="M650" s="296"/>
      <c r="N650" s="286"/>
      <c r="Q650" s="307"/>
      <c r="R650" s="307"/>
    </row>
    <row r="651" spans="1:22" x14ac:dyDescent="0.35">
      <c r="A651" s="98"/>
      <c r="B651" s="98"/>
      <c r="C651" s="295" t="str">
        <f>IFERROR("Rec: "&amp;VLOOKUP(A650,records,4,FALSE),"")</f>
        <v>Rec: 48.61 -, Enfield &amp; Haringey AC, 2015</v>
      </c>
      <c r="D651" s="292"/>
      <c r="F651" s="293"/>
      <c r="G651" s="294"/>
      <c r="I651" s="295"/>
      <c r="L651" s="360"/>
      <c r="M651" s="296"/>
      <c r="N651" s="286"/>
      <c r="Q651" s="307"/>
      <c r="R651" s="307"/>
    </row>
    <row r="652" spans="1:22" x14ac:dyDescent="0.35">
      <c r="A652" s="82" t="s">
        <v>344</v>
      </c>
      <c r="B652" s="82"/>
      <c r="C652" s="304" t="s">
        <v>542</v>
      </c>
      <c r="D652" s="304" t="s">
        <v>141</v>
      </c>
      <c r="E652" s="457" t="s">
        <v>694</v>
      </c>
      <c r="F652" s="457"/>
      <c r="G652" s="457"/>
      <c r="H652" s="457"/>
      <c r="I652" s="457"/>
      <c r="J652" s="457"/>
      <c r="K652" s="457"/>
      <c r="L652" s="457"/>
      <c r="M652" s="291">
        <f>IFERROR(SEARCH("NS",C650),0)</f>
        <v>0</v>
      </c>
      <c r="N652" s="286"/>
      <c r="P652" s="297"/>
      <c r="Q652" s="307"/>
      <c r="R652" s="307"/>
    </row>
    <row r="653" spans="1:22" x14ac:dyDescent="0.35">
      <c r="A653" s="138"/>
      <c r="B653" s="103"/>
      <c r="C653" s="298">
        <v>1</v>
      </c>
      <c r="D653" s="298">
        <f>IFERROR(IF(C653&gt;MatchDay!$U$2,"",IF(MatchDay!$D$6=2,"",VLOOKUP(A650,Timetables!$A:$EB,MatchDay!$U$4+C653-MatchDay!$D$6,FALSE))),"")</f>
        <v>7</v>
      </c>
      <c r="E653" s="457" t="str">
        <f>IFERROR(VLOOKUP($A650&amp;1&amp;D653,downloads!$A$1:$E$1000,2,FALSE)&amp;", "&amp;VLOOKUP($A650&amp;2&amp;D653,downloads!$A$1:$E$1000,2,FALSE)&amp;", "&amp;VLOOKUP($A650&amp;3&amp;D653,downloads!$A$1:$E$1000,2,FALSE)&amp;", "&amp;VLOOKUP($A650&amp;4&amp;D653,downloads!$A$1:$E$1000,2,FALSE),"")</f>
        <v>Lucy STRETTON, Lauren HEWITT, Emily WILSON, Emma PIMBLETT</v>
      </c>
      <c r="F653" s="457"/>
      <c r="G653" s="457"/>
      <c r="H653" s="457"/>
      <c r="I653" s="457"/>
      <c r="J653" s="457"/>
      <c r="K653" s="457"/>
      <c r="L653" s="286" t="str">
        <f t="shared" ref="L653:L660" si="159">IFERROR(VLOOKUP(D653,teamlookup,5,FALSE),"")</f>
        <v>Wigan</v>
      </c>
      <c r="N653" s="286"/>
      <c r="Q653" s="307" t="str">
        <f>IFERROR(VLOOKUP($A650&amp;D653,competitors,4,FALSE),"")</f>
        <v/>
      </c>
      <c r="R653" s="307" t="str">
        <f>IFERROR(VLOOKUP($A650&amp;J653,competitors,4,FALSE),"")</f>
        <v/>
      </c>
      <c r="V653" s="287"/>
    </row>
    <row r="654" spans="1:22" x14ac:dyDescent="0.35">
      <c r="A654" s="304">
        <v>35</v>
      </c>
      <c r="C654" s="298">
        <v>2</v>
      </c>
      <c r="D654" s="298">
        <f>IFERROR(IF(C654&gt;MatchDay!$U$2+MatchDay!$D$6-1,"",VLOOKUP(A650,Timetables!$A:$EB,MatchDay!$U$4+C654-MatchDay!$D$6,FALSE)),"")</f>
        <v>6</v>
      </c>
      <c r="E654" s="457" t="str">
        <f>IFERROR(VLOOKUP($A650&amp;1&amp;D654,downloads!$A$1:$E$1000,2,FALSE)&amp;", "&amp;VLOOKUP($A650&amp;2&amp;D654,downloads!$A$1:$E$1000,2,FALSE)&amp;", "&amp;VLOOKUP($A650&amp;3&amp;D654,downloads!$A$1:$E$1000,2,FALSE)&amp;", "&amp;VLOOKUP($A650&amp;4&amp;D654,downloads!$A$1:$E$1000,2,FALSE),"")</f>
        <v>Lily TYLER, Charlotte UNDERWOOD, Lucy JONES, Molly MILLS</v>
      </c>
      <c r="F654" s="457"/>
      <c r="G654" s="457"/>
      <c r="H654" s="457"/>
      <c r="I654" s="457"/>
      <c r="J654" s="457"/>
      <c r="K654" s="457"/>
      <c r="L654" s="286" t="str">
        <f t="shared" si="159"/>
        <v>Stock</v>
      </c>
      <c r="N654" s="286"/>
      <c r="Q654" s="307" t="str">
        <f>IFERROR(VLOOKUP($A650&amp;D654,competitors,4,FALSE),"")</f>
        <v/>
      </c>
      <c r="R654" s="307" t="str">
        <f>IFERROR(VLOOKUP($A650&amp;J654,competitors,4,FALSE),"")</f>
        <v/>
      </c>
      <c r="V654" s="287"/>
    </row>
    <row r="655" spans="1:22" x14ac:dyDescent="0.35">
      <c r="A655" s="105" t="str">
        <f>IFERROR(VLOOKUP(A650,standards,3,FALSE)+0.01,"-")</f>
        <v>-</v>
      </c>
      <c r="B655" s="105"/>
      <c r="C655" s="298">
        <v>3</v>
      </c>
      <c r="D655" s="298">
        <f>IFERROR(IF(C655&gt;MatchDay!$U$2+MatchDay!$D$6-1,"",VLOOKUP(A650,Timetables!$A:$EB,MatchDay!$U$4+C655-MatchDay!$D$6,FALSE)),"")</f>
        <v>3</v>
      </c>
      <c r="E655" s="457" t="str">
        <f>IFERROR(VLOOKUP($A650&amp;1&amp;D655,downloads!$A$1:$E$1000,2,FALSE)&amp;", "&amp;VLOOKUP($A650&amp;2&amp;D655,downloads!$A$1:$E$1000,2,FALSE)&amp;", "&amp;VLOOKUP($A650&amp;3&amp;D655,downloads!$A$1:$E$1000,2,FALSE)&amp;", "&amp;VLOOKUP($A650&amp;4&amp;D655,downloads!$A$1:$E$1000,2,FALSE),"")</f>
        <v>Olivia COPPER, Eden MOSS TURNER, Eva MELLING, Isobel EVANS</v>
      </c>
      <c r="F655" s="457"/>
      <c r="G655" s="457"/>
      <c r="H655" s="457"/>
      <c r="I655" s="457"/>
      <c r="J655" s="457"/>
      <c r="K655" s="457"/>
      <c r="L655" s="286" t="str">
        <f t="shared" si="159"/>
        <v>Leigh</v>
      </c>
      <c r="N655" s="286"/>
      <c r="Q655" s="307" t="str">
        <f>IFERROR(VLOOKUP($A650&amp;D655,competitors,4,FALSE),"")</f>
        <v/>
      </c>
      <c r="R655" s="307" t="str">
        <f>IFERROR(VLOOKUP($A650&amp;J655,competitors,4,FALSE),"")</f>
        <v/>
      </c>
      <c r="V655" s="287"/>
    </row>
    <row r="656" spans="1:22" x14ac:dyDescent="0.35">
      <c r="A656" s="105" t="str">
        <f>IFERROR(VLOOKUP(A650,standards,4,FALSE)+0.01,"-")</f>
        <v>-</v>
      </c>
      <c r="B656" s="105"/>
      <c r="C656" s="298">
        <v>4</v>
      </c>
      <c r="D656" s="298">
        <f>IFERROR(IF(C656&gt;MatchDay!$U$2+MatchDay!$D$6-1,"",VLOOKUP(A650,Timetables!$A:$EB,MatchDay!$U$4+C656-MatchDay!$D$6,FALSE)),"")</f>
        <v>1</v>
      </c>
      <c r="E656" s="457" t="str">
        <f>IFERROR(VLOOKUP($A650&amp;1&amp;D656,downloads!$A$1:$E$1000,2,FALSE)&amp;", "&amp;VLOOKUP($A650&amp;2&amp;D656,downloads!$A$1:$E$1000,2,FALSE)&amp;", "&amp;VLOOKUP($A650&amp;3&amp;D656,downloads!$A$1:$E$1000,2,FALSE)&amp;", "&amp;VLOOKUP($A650&amp;4&amp;D656,downloads!$A$1:$E$1000,2,FALSE),"")</f>
        <v>Sophie STAINSBY, Heidi WOODS, Freya MASON, Bella VARLEY</v>
      </c>
      <c r="F656" s="457"/>
      <c r="G656" s="457"/>
      <c r="H656" s="457"/>
      <c r="I656" s="457"/>
      <c r="J656" s="457"/>
      <c r="K656" s="457"/>
      <c r="L656" s="286" t="str">
        <f t="shared" si="159"/>
        <v>C&amp;N</v>
      </c>
      <c r="N656" s="286"/>
      <c r="Q656" s="307" t="str">
        <f>IFERROR(VLOOKUP($A650&amp;D656,competitors,4,FALSE),"")</f>
        <v/>
      </c>
      <c r="R656" s="307" t="str">
        <f>IFERROR(VLOOKUP($A650&amp;J656,competitors,4,FALSE),"")</f>
        <v/>
      </c>
      <c r="V656" s="287"/>
    </row>
    <row r="657" spans="1:22" x14ac:dyDescent="0.35">
      <c r="A657" s="105" t="str">
        <f>IFERROR(VLOOKUP(A650,standards,5,FALSE)+0.01,"-")</f>
        <v>-</v>
      </c>
      <c r="B657" s="105"/>
      <c r="C657" s="298">
        <v>5</v>
      </c>
      <c r="D657" s="298">
        <f>IFERROR(IF(C657&gt;MatchDay!$U$2+MatchDay!$D$6-1,"",VLOOKUP(A650,Timetables!$A:$EB,MatchDay!$U$4+C657-MatchDay!$D$6,FALSE)),"")</f>
        <v>5</v>
      </c>
      <c r="E657" s="457" t="str">
        <f>IFERROR(VLOOKUP($A650&amp;1&amp;D657,downloads!$A$1:$E$1000,2,FALSE)&amp;", "&amp;VLOOKUP($A650&amp;2&amp;D657,downloads!$A$1:$E$1000,2,FALSE)&amp;", "&amp;VLOOKUP($A650&amp;3&amp;D657,downloads!$A$1:$E$1000,2,FALSE)&amp;", "&amp;VLOOKUP($A650&amp;4&amp;D657,downloads!$A$1:$E$1000,2,FALSE),"")</f>
        <v>Hawys OWEN, Nest OWEN, Lily HARDY, Mabli WILLIAMS</v>
      </c>
      <c r="F657" s="457"/>
      <c r="G657" s="457"/>
      <c r="H657" s="457"/>
      <c r="I657" s="457"/>
      <c r="J657" s="457"/>
      <c r="K657" s="457"/>
      <c r="L657" s="286" t="str">
        <f t="shared" si="159"/>
        <v>Menai</v>
      </c>
      <c r="N657" s="286"/>
      <c r="Q657" s="307" t="str">
        <f>IFERROR(VLOOKUP($A650&amp;D657,competitors,4,FALSE),"")</f>
        <v/>
      </c>
      <c r="R657" s="307" t="str">
        <f>IFERROR(VLOOKUP($A650&amp;J657,competitors,4,FALSE),"")</f>
        <v/>
      </c>
      <c r="V657" s="287"/>
    </row>
    <row r="658" spans="1:22" x14ac:dyDescent="0.35">
      <c r="A658" s="105" t="str">
        <f>IFERROR(VLOOKUP(A650,standards,6,FALSE)+0.01,"-")</f>
        <v>-</v>
      </c>
      <c r="B658" s="105"/>
      <c r="C658" s="298">
        <v>6</v>
      </c>
      <c r="D658" s="298">
        <f>IFERROR(IF(C658&gt;MatchDay!$U$2+MatchDay!$D$6-1,"",VLOOKUP(A650,Timetables!$A:$EB,MatchDay!$U$4+C658-MatchDay!$D$6,FALSE)),"")</f>
        <v>4</v>
      </c>
      <c r="E658" s="457" t="str">
        <f>IFERROR(VLOOKUP($A650&amp;1&amp;D658,downloads!$A$1:$E$1000,2,FALSE)&amp;", "&amp;VLOOKUP($A650&amp;2&amp;D658,downloads!$A$1:$E$1000,2,FALSE)&amp;", "&amp;VLOOKUP($A650&amp;3&amp;D658,downloads!$A$1:$E$1000,2,FALSE)&amp;", "&amp;VLOOKUP($A650&amp;4&amp;D658,downloads!$A$1:$E$1000,2,FALSE),"")</f>
        <v/>
      </c>
      <c r="F658" s="457"/>
      <c r="G658" s="457"/>
      <c r="H658" s="457"/>
      <c r="I658" s="457"/>
      <c r="J658" s="457"/>
      <c r="K658" s="457"/>
      <c r="L658" s="286" t="str">
        <f t="shared" si="159"/>
        <v>Macc</v>
      </c>
      <c r="N658" s="286"/>
      <c r="Q658" s="307" t="str">
        <f>IFERROR(VLOOKUP($A650&amp;D658,competitors,4,FALSE),"")</f>
        <v/>
      </c>
      <c r="R658" s="307" t="str">
        <f>IFERROR(VLOOKUP($A650&amp;J658,competitors,4,FALSE),"")</f>
        <v/>
      </c>
      <c r="V658" s="287"/>
    </row>
    <row r="659" spans="1:22" x14ac:dyDescent="0.35">
      <c r="A659" s="300">
        <f>IFERROR(SEARCH("Girls",C650),0)</f>
        <v>14</v>
      </c>
      <c r="C659" s="298">
        <v>7</v>
      </c>
      <c r="D659" s="298">
        <f>IFERROR(IF(C659&gt;MatchDay!$U$2+MatchDay!$D$6-1,"",VLOOKUP(A650,Timetables!$A:$EB,MatchDay!$U$4+C659-MatchDay!$D$6,FALSE)),"")</f>
        <v>2</v>
      </c>
      <c r="E659" s="457" t="str">
        <f>IFERROR(VLOOKUP($A650&amp;1&amp;D659,downloads!$A$1:$E$1000,2,FALSE)&amp;", "&amp;VLOOKUP($A650&amp;2&amp;D659,downloads!$A$1:$E$1000,2,FALSE)&amp;", "&amp;VLOOKUP($A650&amp;3&amp;D659,downloads!$A$1:$E$1000,2,FALSE)&amp;", "&amp;VLOOKUP($A650&amp;4&amp;D659,downloads!$A$1:$E$1000,2,FALSE),"")</f>
        <v/>
      </c>
      <c r="F659" s="457"/>
      <c r="G659" s="457"/>
      <c r="H659" s="457"/>
      <c r="I659" s="457"/>
      <c r="J659" s="457"/>
      <c r="K659" s="457"/>
      <c r="L659" s="286" t="str">
        <f t="shared" si="159"/>
        <v>ECHT</v>
      </c>
      <c r="N659" s="286"/>
      <c r="Q659" s="307" t="str">
        <f>IFERROR(VLOOKUP($A650&amp;D659,competitors,4,FALSE),"")</f>
        <v/>
      </c>
      <c r="R659" s="307" t="str">
        <f>IFERROR(VLOOKUP($A650&amp;J659,competitors,4,FALSE),"")</f>
        <v/>
      </c>
      <c r="V659" s="287"/>
    </row>
    <row r="660" spans="1:22" x14ac:dyDescent="0.35">
      <c r="A660" s="103">
        <f>IFERROR(VLOOKUP(A650,records,5,FALSE),"")</f>
        <v>48.61</v>
      </c>
      <c r="B660" s="103"/>
      <c r="C660" s="298">
        <v>8</v>
      </c>
      <c r="D660" s="298" t="str">
        <f>IFERROR(IF(C660&gt;MatchDay!$U$2+MatchDay!$D$6-1,"",VLOOKUP(A650,Timetables!$A:$EB,MatchDay!$U$4+C660-MatchDay!$D$6,FALSE)),"")</f>
        <v/>
      </c>
      <c r="E660" s="457" t="str">
        <f>IFERROR(VLOOKUP($A650&amp;1&amp;D660,downloads!$A$1:$E$1000,2,FALSE)&amp;", "&amp;VLOOKUP($A650&amp;2&amp;D660,downloads!$A$1:$E$1000,2,FALSE)&amp;", "&amp;VLOOKUP($A650&amp;3&amp;D660,downloads!$A$1:$E$1000,2,FALSE)&amp;", "&amp;VLOOKUP($A650&amp;4&amp;D660,downloads!$A$1:$E$1000,2,FALSE),"")</f>
        <v/>
      </c>
      <c r="F660" s="457"/>
      <c r="G660" s="457"/>
      <c r="H660" s="457"/>
      <c r="I660" s="457"/>
      <c r="J660" s="457"/>
      <c r="K660" s="457"/>
      <c r="L660" s="286" t="str">
        <f t="shared" si="159"/>
        <v/>
      </c>
      <c r="N660" s="286"/>
      <c r="Q660" s="307" t="str">
        <f>IFERROR(VLOOKUP($A650&amp;D660,competitors,4,FALSE),"")</f>
        <v/>
      </c>
      <c r="R660" s="307" t="str">
        <f>IFERROR(VLOOKUP($A650&amp;J660,competitors,4,FALSE),"")</f>
        <v/>
      </c>
      <c r="V660" s="287"/>
    </row>
    <row r="661" spans="1:22" x14ac:dyDescent="0.35">
      <c r="Q661" s="307"/>
      <c r="R661" s="307"/>
    </row>
    <row r="662" spans="1:22" x14ac:dyDescent="0.35">
      <c r="A662" s="98" t="str">
        <f>IFERROR("L"&amp;A664,"")</f>
        <v>LTR4</v>
      </c>
      <c r="B662" s="304" t="str">
        <f>IFERROR(TEXT(VLOOKUP(A662,timetables,7-MatchDay!$U$7,FALSE),"hh:mm"),"")</f>
        <v>16:20</v>
      </c>
      <c r="C662" s="292" t="str">
        <f>IFERROR(VLOOKUP(A662,timetables,2,FALSE)&amp;" "&amp;VLOOKUP(A662,timetables,3,FALSE),"")</f>
        <v>4 x 100m U15 Boys</v>
      </c>
      <c r="D662" s="292"/>
      <c r="F662" s="293"/>
      <c r="G662" s="294"/>
      <c r="L662" s="360"/>
      <c r="M662" s="296"/>
      <c r="N662" s="286"/>
      <c r="Q662" s="307"/>
      <c r="R662" s="307"/>
    </row>
    <row r="663" spans="1:22" x14ac:dyDescent="0.35">
      <c r="A663" s="98"/>
      <c r="B663" s="98"/>
      <c r="C663" s="295" t="str">
        <f>IFERROR("Rec: "&amp;VLOOKUP(A662,records,4,FALSE),"")</f>
        <v>Rec: 44.6 -, Thames Valley Harriers, 2019</v>
      </c>
      <c r="D663" s="292"/>
      <c r="F663" s="293"/>
      <c r="G663" s="294"/>
      <c r="I663" s="295"/>
      <c r="L663" s="360"/>
      <c r="M663" s="296"/>
      <c r="N663" s="286"/>
      <c r="Q663" s="307"/>
      <c r="R663" s="307"/>
    </row>
    <row r="664" spans="1:22" x14ac:dyDescent="0.35">
      <c r="A664" s="82" t="s">
        <v>345</v>
      </c>
      <c r="B664" s="82"/>
      <c r="C664" s="304" t="s">
        <v>542</v>
      </c>
      <c r="D664" s="304" t="s">
        <v>141</v>
      </c>
      <c r="E664" s="457" t="s">
        <v>694</v>
      </c>
      <c r="F664" s="457"/>
      <c r="G664" s="457"/>
      <c r="H664" s="457"/>
      <c r="I664" s="457"/>
      <c r="J664" s="457"/>
      <c r="K664" s="457"/>
      <c r="L664" s="457"/>
      <c r="M664" s="286"/>
      <c r="N664" s="286"/>
      <c r="P664" s="297"/>
      <c r="Q664" s="307"/>
      <c r="R664" s="307"/>
    </row>
    <row r="665" spans="1:22" x14ac:dyDescent="0.35">
      <c r="A665" s="138"/>
      <c r="B665" s="103"/>
      <c r="C665" s="298">
        <v>1</v>
      </c>
      <c r="D665" s="298">
        <f>IFERROR(IF(C665&gt;MatchDay!$U$2,"",IF(MatchDay!$D$6=2,"",VLOOKUP(A662,Timetables!$A:$EB,MatchDay!$U$4+C665-MatchDay!$D$6,FALSE))),"")</f>
        <v>7</v>
      </c>
      <c r="E665" s="457" t="str">
        <f>IFERROR(VLOOKUP($A662&amp;1&amp;D665,downloads!$A$1:$E$1000,2,FALSE)&amp;", "&amp;VLOOKUP($A662&amp;2&amp;D665,downloads!$A$1:$E$1000,2,FALSE)&amp;", "&amp;VLOOKUP($A662&amp;3&amp;D665,downloads!$A$1:$E$1000,2,FALSE)&amp;", "&amp;VLOOKUP($A662&amp;4&amp;D665,downloads!$A$1:$E$1000,2,FALSE),"")</f>
        <v/>
      </c>
      <c r="F665" s="457"/>
      <c r="G665" s="457"/>
      <c r="H665" s="457"/>
      <c r="I665" s="457"/>
      <c r="J665" s="457"/>
      <c r="K665" s="457"/>
      <c r="L665" s="286" t="str">
        <f t="shared" ref="L665:L672" si="160">IFERROR(VLOOKUP(D665,teamlookup,5,FALSE),"")</f>
        <v>Wigan</v>
      </c>
      <c r="N665" s="286"/>
      <c r="Q665" s="307" t="str">
        <f>IFERROR(VLOOKUP($A662&amp;D665,competitors,4,FALSE),"")</f>
        <v/>
      </c>
      <c r="R665" s="307" t="str">
        <f>IFERROR(VLOOKUP($A662&amp;J665,competitors,4,FALSE),"")</f>
        <v/>
      </c>
      <c r="V665" s="287"/>
    </row>
    <row r="666" spans="1:22" x14ac:dyDescent="0.35">
      <c r="A666" s="304">
        <v>36</v>
      </c>
      <c r="C666" s="298">
        <v>2</v>
      </c>
      <c r="D666" s="298">
        <f>IFERROR(IF(C666&gt;MatchDay!$U$2+MatchDay!$D$6-1,"",VLOOKUP(A662,Timetables!$A:$EB,MatchDay!$U$4+C666-MatchDay!$D$6,FALSE)),"")</f>
        <v>6</v>
      </c>
      <c r="E666" s="457" t="str">
        <f>IFERROR(VLOOKUP($A662&amp;1&amp;D666,downloads!$A$1:$E$1000,2,FALSE)&amp;", "&amp;VLOOKUP($A662&amp;2&amp;D666,downloads!$A$1:$E$1000,2,FALSE)&amp;", "&amp;VLOOKUP($A662&amp;3&amp;D666,downloads!$A$1:$E$1000,2,FALSE)&amp;", "&amp;VLOOKUP($A662&amp;4&amp;D666,downloads!$A$1:$E$1000,2,FALSE),"")</f>
        <v>Quaid SIN, Campbell JOHNSON, Luc BRADBURY, Jacob HARWOOD-BRETNALL</v>
      </c>
      <c r="F666" s="457"/>
      <c r="G666" s="457"/>
      <c r="H666" s="457"/>
      <c r="I666" s="457"/>
      <c r="J666" s="457"/>
      <c r="K666" s="457"/>
      <c r="L666" s="286" t="str">
        <f t="shared" si="160"/>
        <v>Stock</v>
      </c>
      <c r="N666" s="286"/>
      <c r="Q666" s="307" t="str">
        <f>IFERROR(VLOOKUP($A662&amp;D666,competitors,4,FALSE),"")</f>
        <v/>
      </c>
      <c r="R666" s="307" t="str">
        <f>IFERROR(VLOOKUP($A662&amp;J666,competitors,4,FALSE),"")</f>
        <v/>
      </c>
      <c r="V666" s="287"/>
    </row>
    <row r="667" spans="1:22" x14ac:dyDescent="0.35">
      <c r="A667" s="105" t="str">
        <f>IFERROR(VLOOKUP(A662,standards,3,FALSE)+0.01,"-")</f>
        <v>-</v>
      </c>
      <c r="B667" s="105"/>
      <c r="C667" s="298">
        <v>3</v>
      </c>
      <c r="D667" s="298">
        <f>IFERROR(IF(C667&gt;MatchDay!$U$2+MatchDay!$D$6-1,"",VLOOKUP(A662,Timetables!$A:$EB,MatchDay!$U$4+C667-MatchDay!$D$6,FALSE)),"")</f>
        <v>3</v>
      </c>
      <c r="E667" s="457" t="str">
        <f>IFERROR(VLOOKUP($A662&amp;1&amp;D667,downloads!$A$1:$E$1000,2,FALSE)&amp;", "&amp;VLOOKUP($A662&amp;2&amp;D667,downloads!$A$1:$E$1000,2,FALSE)&amp;", "&amp;VLOOKUP($A662&amp;3&amp;D667,downloads!$A$1:$E$1000,2,FALSE)&amp;", "&amp;VLOOKUP($A662&amp;4&amp;D667,downloads!$A$1:$E$1000,2,FALSE),"")</f>
        <v/>
      </c>
      <c r="F667" s="457"/>
      <c r="G667" s="457"/>
      <c r="H667" s="457"/>
      <c r="I667" s="457"/>
      <c r="J667" s="457"/>
      <c r="K667" s="457"/>
      <c r="L667" s="286" t="str">
        <f t="shared" si="160"/>
        <v>Leigh</v>
      </c>
      <c r="N667" s="286"/>
      <c r="Q667" s="307" t="str">
        <f>IFERROR(VLOOKUP($A662&amp;D667,competitors,4,FALSE),"")</f>
        <v/>
      </c>
      <c r="R667" s="307" t="str">
        <f>IFERROR(VLOOKUP($A662&amp;J667,competitors,4,FALSE),"")</f>
        <v/>
      </c>
      <c r="V667" s="287"/>
    </row>
    <row r="668" spans="1:22" x14ac:dyDescent="0.35">
      <c r="A668" s="105" t="str">
        <f>IFERROR(VLOOKUP(A662,standards,4,FALSE)+0.01,"-")</f>
        <v>-</v>
      </c>
      <c r="B668" s="105"/>
      <c r="C668" s="298">
        <v>4</v>
      </c>
      <c r="D668" s="298">
        <f>IFERROR(IF(C668&gt;MatchDay!$U$2+MatchDay!$D$6-1,"",VLOOKUP(A662,Timetables!$A:$EB,MatchDay!$U$4+C668-MatchDay!$D$6,FALSE)),"")</f>
        <v>1</v>
      </c>
      <c r="E668" s="457" t="str">
        <f>IFERROR(VLOOKUP($A662&amp;1&amp;D668,downloads!$A$1:$E$1000,2,FALSE)&amp;", "&amp;VLOOKUP($A662&amp;2&amp;D668,downloads!$A$1:$E$1000,2,FALSE)&amp;", "&amp;VLOOKUP($A662&amp;3&amp;D668,downloads!$A$1:$E$1000,2,FALSE)&amp;", "&amp;VLOOKUP($A662&amp;4&amp;D668,downloads!$A$1:$E$1000,2,FALSE),"")</f>
        <v>Isaac PICKERING, William CATTELL, Oliver BORG-HEFFERNAN, James HOWARTH</v>
      </c>
      <c r="F668" s="457"/>
      <c r="G668" s="457"/>
      <c r="H668" s="457"/>
      <c r="I668" s="457"/>
      <c r="J668" s="457"/>
      <c r="K668" s="457"/>
      <c r="L668" s="286" t="str">
        <f t="shared" si="160"/>
        <v>C&amp;N</v>
      </c>
      <c r="N668" s="286"/>
      <c r="Q668" s="307" t="str">
        <f>IFERROR(VLOOKUP($A662&amp;D668,competitors,4,FALSE),"")</f>
        <v/>
      </c>
      <c r="R668" s="307" t="str">
        <f>IFERROR(VLOOKUP($A662&amp;J668,competitors,4,FALSE),"")</f>
        <v/>
      </c>
      <c r="V668" s="287"/>
    </row>
    <row r="669" spans="1:22" x14ac:dyDescent="0.35">
      <c r="A669" s="105" t="str">
        <f>IFERROR(VLOOKUP(A662,standards,5,FALSE)+0.01,"-")</f>
        <v>-</v>
      </c>
      <c r="B669" s="105"/>
      <c r="C669" s="298">
        <v>5</v>
      </c>
      <c r="D669" s="298">
        <f>IFERROR(IF(C669&gt;MatchDay!$U$2+MatchDay!$D$6-1,"",VLOOKUP(A662,Timetables!$A:$EB,MatchDay!$U$4+C669-MatchDay!$D$6,FALSE)),"")</f>
        <v>5</v>
      </c>
      <c r="E669" s="457" t="str">
        <f>IFERROR(VLOOKUP($A662&amp;1&amp;D669,downloads!$A$1:$E$1000,2,FALSE)&amp;", "&amp;VLOOKUP($A662&amp;2&amp;D669,downloads!$A$1:$E$1000,2,FALSE)&amp;", "&amp;VLOOKUP($A662&amp;3&amp;D669,downloads!$A$1:$E$1000,2,FALSE)&amp;", "&amp;VLOOKUP($A662&amp;4&amp;D669,downloads!$A$1:$E$1000,2,FALSE),"")</f>
        <v>Morgan JONES, Oliver NESBITT, Owain WILLIAMS, Alex BAYNHAM</v>
      </c>
      <c r="F669" s="457"/>
      <c r="G669" s="457"/>
      <c r="H669" s="457"/>
      <c r="I669" s="457"/>
      <c r="J669" s="457"/>
      <c r="K669" s="457"/>
      <c r="L669" s="286" t="str">
        <f t="shared" si="160"/>
        <v>Menai</v>
      </c>
      <c r="N669" s="286"/>
      <c r="Q669" s="307" t="str">
        <f>IFERROR(VLOOKUP($A662&amp;D669,competitors,4,FALSE),"")</f>
        <v/>
      </c>
      <c r="R669" s="307" t="str">
        <f>IFERROR(VLOOKUP($A662&amp;J669,competitors,4,FALSE),"")</f>
        <v/>
      </c>
      <c r="V669" s="287"/>
    </row>
    <row r="670" spans="1:22" x14ac:dyDescent="0.35">
      <c r="A670" s="105" t="str">
        <f>IFERROR(VLOOKUP(A662,standards,6,FALSE)+0.01,"-")</f>
        <v>-</v>
      </c>
      <c r="B670" s="105"/>
      <c r="C670" s="298">
        <v>6</v>
      </c>
      <c r="D670" s="298">
        <f>IFERROR(IF(C670&gt;MatchDay!$U$2+MatchDay!$D$6-1,"",VLOOKUP(A662,Timetables!$A:$EB,MatchDay!$U$4+C670-MatchDay!$D$6,FALSE)),"")</f>
        <v>4</v>
      </c>
      <c r="E670" s="457" t="str">
        <f>IFERROR(VLOOKUP($A662&amp;1&amp;D670,downloads!$A$1:$E$1000,2,FALSE)&amp;", "&amp;VLOOKUP($A662&amp;2&amp;D670,downloads!$A$1:$E$1000,2,FALSE)&amp;", "&amp;VLOOKUP($A662&amp;3&amp;D670,downloads!$A$1:$E$1000,2,FALSE)&amp;", "&amp;VLOOKUP($A662&amp;4&amp;D670,downloads!$A$1:$E$1000,2,FALSE),"")</f>
        <v>Thomas WOOD, Oliver STEWART, Will HAMMOND, Tristan LAMPRECHT</v>
      </c>
      <c r="F670" s="457"/>
      <c r="G670" s="457"/>
      <c r="H670" s="457"/>
      <c r="I670" s="457"/>
      <c r="J670" s="457"/>
      <c r="K670" s="457"/>
      <c r="L670" s="286" t="str">
        <f t="shared" si="160"/>
        <v>Macc</v>
      </c>
      <c r="N670" s="286"/>
      <c r="Q670" s="307" t="str">
        <f>IFERROR(VLOOKUP($A662&amp;D670,competitors,4,FALSE),"")</f>
        <v/>
      </c>
      <c r="R670" s="307" t="str">
        <f>IFERROR(VLOOKUP($A662&amp;J670,competitors,4,FALSE),"")</f>
        <v/>
      </c>
      <c r="V670" s="287"/>
    </row>
    <row r="671" spans="1:22" x14ac:dyDescent="0.35">
      <c r="A671" s="300">
        <f>IFERROR(SEARCH("Girls",C662),0)</f>
        <v>0</v>
      </c>
      <c r="C671" s="298">
        <v>7</v>
      </c>
      <c r="D671" s="298">
        <f>IFERROR(IF(C671&gt;MatchDay!$U$2+MatchDay!$D$6-1,"",VLOOKUP(A662,Timetables!$A:$EB,MatchDay!$U$4+C671-MatchDay!$D$6,FALSE)),"")</f>
        <v>2</v>
      </c>
      <c r="E671" s="457" t="str">
        <f>IFERROR(VLOOKUP($A662&amp;1&amp;D671,downloads!$A$1:$E$1000,2,FALSE)&amp;", "&amp;VLOOKUP($A662&amp;2&amp;D671,downloads!$A$1:$E$1000,2,FALSE)&amp;", "&amp;VLOOKUP($A662&amp;3&amp;D671,downloads!$A$1:$E$1000,2,FALSE)&amp;", "&amp;VLOOKUP($A662&amp;4&amp;D671,downloads!$A$1:$E$1000,2,FALSE),"")</f>
        <v>James ROOK, Alfie MANSER, Marshall FLEET, Max ORMSTON</v>
      </c>
      <c r="F671" s="457"/>
      <c r="G671" s="457"/>
      <c r="H671" s="457"/>
      <c r="I671" s="457"/>
      <c r="J671" s="457"/>
      <c r="K671" s="457"/>
      <c r="L671" s="286" t="str">
        <f t="shared" si="160"/>
        <v>ECHT</v>
      </c>
      <c r="N671" s="286"/>
      <c r="Q671" s="307" t="str">
        <f>IFERROR(VLOOKUP($A662&amp;D671,competitors,4,FALSE),"")</f>
        <v/>
      </c>
      <c r="R671" s="307" t="str">
        <f>IFERROR(VLOOKUP($A662&amp;J671,competitors,4,FALSE),"")</f>
        <v/>
      </c>
      <c r="V671" s="287"/>
    </row>
    <row r="672" spans="1:22" x14ac:dyDescent="0.35">
      <c r="A672" s="103">
        <f>IFERROR(VLOOKUP(A662,records,5,FALSE),"")</f>
        <v>44.6</v>
      </c>
      <c r="B672" s="103"/>
      <c r="C672" s="298">
        <v>8</v>
      </c>
      <c r="D672" s="298" t="str">
        <f>IFERROR(IF(C672&gt;MatchDay!$U$2+MatchDay!$D$6-1,"",VLOOKUP(A662,Timetables!$A:$EB,MatchDay!$U$4+C672-MatchDay!$D$6,FALSE)),"")</f>
        <v/>
      </c>
      <c r="E672" s="457" t="str">
        <f>IFERROR(VLOOKUP($A662&amp;1&amp;D672,downloads!$A$1:$E$1000,2,FALSE)&amp;", "&amp;VLOOKUP($A662&amp;2&amp;D672,downloads!$A$1:$E$1000,2,FALSE)&amp;", "&amp;VLOOKUP($A662&amp;3&amp;D672,downloads!$A$1:$E$1000,2,FALSE)&amp;", "&amp;VLOOKUP($A662&amp;4&amp;D672,downloads!$A$1:$E$1000,2,FALSE),"")</f>
        <v/>
      </c>
      <c r="F672" s="457"/>
      <c r="G672" s="457"/>
      <c r="H672" s="457"/>
      <c r="I672" s="457"/>
      <c r="J672" s="457"/>
      <c r="K672" s="457"/>
      <c r="L672" s="286" t="str">
        <f t="shared" si="160"/>
        <v/>
      </c>
      <c r="N672" s="286"/>
      <c r="Q672" s="307" t="str">
        <f>IFERROR(VLOOKUP($A662&amp;D672,competitors,4,FALSE),"")</f>
        <v/>
      </c>
      <c r="R672" s="307" t="str">
        <f>IFERROR(VLOOKUP($A662&amp;J672,competitors,4,FALSE),"")</f>
        <v/>
      </c>
      <c r="V672" s="287"/>
    </row>
    <row r="673" spans="1:22" x14ac:dyDescent="0.35">
      <c r="Q673" s="307"/>
      <c r="R673" s="307"/>
    </row>
    <row r="674" spans="1:22" x14ac:dyDescent="0.35">
      <c r="A674" s="98" t="str">
        <f>IFERROR("L"&amp;A676,"")</f>
        <v>LTDR1</v>
      </c>
      <c r="B674" s="304" t="str">
        <f>IFERROR(TEXT(VLOOKUP(A674,timetables,7-MatchDay!$U$7,FALSE),"hh:mm"),"")</f>
        <v>16:25</v>
      </c>
      <c r="C674" s="292" t="str">
        <f>IFERROR(VLOOKUP(A674,timetables,2,FALSE)&amp;" "&amp;VLOOKUP(A674,timetables,3,FALSE),"")</f>
        <v>4 x 300m U15 Girls</v>
      </c>
      <c r="D674" s="292"/>
      <c r="F674" s="293"/>
      <c r="G674" s="294"/>
      <c r="L674" s="360"/>
      <c r="M674" s="296"/>
      <c r="N674" s="286"/>
      <c r="Q674" s="307"/>
      <c r="R674" s="307"/>
    </row>
    <row r="675" spans="1:22" x14ac:dyDescent="0.35">
      <c r="A675" s="98"/>
      <c r="B675" s="98"/>
      <c r="C675" s="295" t="str">
        <f>IFERROR("Rec: "&amp;VLOOKUP(A674,records,4,FALSE),"")</f>
        <v>Rec: 02:49.13 -, Blackheath &amp; Bromley Harriers AC, 2017</v>
      </c>
      <c r="D675" s="292"/>
      <c r="F675" s="293"/>
      <c r="G675" s="294"/>
      <c r="I675" s="295"/>
      <c r="L675" s="360"/>
      <c r="M675" s="296"/>
      <c r="N675" s="286"/>
      <c r="Q675" s="307"/>
      <c r="R675" s="307"/>
    </row>
    <row r="676" spans="1:22" x14ac:dyDescent="0.35">
      <c r="A676" s="82" t="s">
        <v>346</v>
      </c>
      <c r="B676" s="82"/>
      <c r="C676" s="304" t="s">
        <v>542</v>
      </c>
      <c r="D676" s="304" t="s">
        <v>141</v>
      </c>
      <c r="E676" s="457" t="s">
        <v>694</v>
      </c>
      <c r="F676" s="457"/>
      <c r="G676" s="457"/>
      <c r="H676" s="457"/>
      <c r="I676" s="457"/>
      <c r="J676" s="457"/>
      <c r="K676" s="457"/>
      <c r="L676" s="457"/>
      <c r="M676" s="291">
        <f>IFERROR(SEARCH("NS",C674),0)</f>
        <v>0</v>
      </c>
      <c r="N676" s="286"/>
      <c r="P676" s="297"/>
      <c r="Q676" s="307"/>
      <c r="R676" s="307"/>
    </row>
    <row r="677" spans="1:22" x14ac:dyDescent="0.35">
      <c r="A677" s="138"/>
      <c r="B677" s="103"/>
      <c r="C677" s="298">
        <v>1</v>
      </c>
      <c r="D677" s="298">
        <f>IFERROR(IF(C677&gt;MatchDay!$U$2,"",IF(MatchDay!$D$6=2,"",VLOOKUP(A674,Timetables!$A:$EB,MatchDay!$U$4+C677-MatchDay!$D$6,FALSE))),"")</f>
        <v>2</v>
      </c>
      <c r="E677" s="457" t="str">
        <f>IFERROR(VLOOKUP($A674&amp;1&amp;D677,downloads!$A$1:$E$1000,2,FALSE)&amp;", "&amp;VLOOKUP($A674&amp;2&amp;D677,downloads!$A$1:$E$1000,2,FALSE)&amp;", "&amp;VLOOKUP($A674&amp;3&amp;D677,downloads!$A$1:$E$1000,2,FALSE)&amp;", "&amp;VLOOKUP($A674&amp;4&amp;D677,downloads!$A$1:$E$1000,2,FALSE),"")</f>
        <v>Ava ROYLE, Anna ROOKE, Isla HERRING, Amelia JONES</v>
      </c>
      <c r="F677" s="457"/>
      <c r="G677" s="457"/>
      <c r="H677" s="457"/>
      <c r="I677" s="457"/>
      <c r="J677" s="457"/>
      <c r="K677" s="457"/>
      <c r="L677" s="286" t="str">
        <f t="shared" ref="L677:L684" si="161">IFERROR(VLOOKUP(D677,teamlookup,5,FALSE),"")</f>
        <v>ECHT</v>
      </c>
      <c r="N677" s="286"/>
      <c r="Q677" s="307" t="str">
        <f>IFERROR(VLOOKUP($A674&amp;D677,competitors,4,FALSE),"")</f>
        <v/>
      </c>
      <c r="R677" s="307" t="str">
        <f>IFERROR(VLOOKUP($A674&amp;J677,competitors,4,FALSE),"")</f>
        <v/>
      </c>
      <c r="V677" s="287"/>
    </row>
    <row r="678" spans="1:22" x14ac:dyDescent="0.35">
      <c r="A678" s="304">
        <v>37</v>
      </c>
      <c r="C678" s="298">
        <v>2</v>
      </c>
      <c r="D678" s="298">
        <f>IFERROR(IF(C678&gt;MatchDay!$U$2+MatchDay!$D$6-1,"",VLOOKUP(A674,Timetables!$A:$EB,MatchDay!$U$4+C678-MatchDay!$D$6,FALSE)),"")</f>
        <v>6</v>
      </c>
      <c r="E678" s="457" t="str">
        <f>IFERROR(VLOOKUP($A674&amp;1&amp;D678,downloads!$A$1:$E$1000,2,FALSE)&amp;", "&amp;VLOOKUP($A674&amp;2&amp;D678,downloads!$A$1:$E$1000,2,FALSE)&amp;", "&amp;VLOOKUP($A674&amp;3&amp;D678,downloads!$A$1:$E$1000,2,FALSE)&amp;", "&amp;VLOOKUP($A674&amp;4&amp;D678,downloads!$A$1:$E$1000,2,FALSE),"")</f>
        <v/>
      </c>
      <c r="F678" s="457"/>
      <c r="G678" s="457"/>
      <c r="H678" s="457"/>
      <c r="I678" s="457"/>
      <c r="J678" s="457"/>
      <c r="K678" s="457"/>
      <c r="L678" s="286" t="str">
        <f t="shared" si="161"/>
        <v>Stock</v>
      </c>
      <c r="N678" s="286"/>
      <c r="Q678" s="307" t="str">
        <f>IFERROR(VLOOKUP($A674&amp;D678,competitors,4,FALSE),"")</f>
        <v/>
      </c>
      <c r="R678" s="307" t="str">
        <f>IFERROR(VLOOKUP($A674&amp;J678,competitors,4,FALSE),"")</f>
        <v/>
      </c>
      <c r="V678" s="287"/>
    </row>
    <row r="679" spans="1:22" x14ac:dyDescent="0.35">
      <c r="A679" s="105" t="str">
        <f>IFERROR(VLOOKUP(A674,standards,3,FALSE)+0.01,"-")</f>
        <v>-</v>
      </c>
      <c r="B679" s="105"/>
      <c r="C679" s="298">
        <v>3</v>
      </c>
      <c r="D679" s="298">
        <f>IFERROR(IF(C679&gt;MatchDay!$U$2+MatchDay!$D$6-1,"",VLOOKUP(A674,Timetables!$A:$EB,MatchDay!$U$4+C679-MatchDay!$D$6,FALSE)),"")</f>
        <v>1</v>
      </c>
      <c r="E679" s="457" t="str">
        <f>IFERROR(VLOOKUP($A674&amp;1&amp;D679,downloads!$A$1:$E$1000,2,FALSE)&amp;", "&amp;VLOOKUP($A674&amp;2&amp;D679,downloads!$A$1:$E$1000,2,FALSE)&amp;", "&amp;VLOOKUP($A674&amp;3&amp;D679,downloads!$A$1:$E$1000,2,FALSE)&amp;", "&amp;VLOOKUP($A674&amp;4&amp;D679,downloads!$A$1:$E$1000,2,FALSE),"")</f>
        <v>Lucy HARDING, Elisha CARTER, Mia O'DONNELL, Olivia WELCH</v>
      </c>
      <c r="F679" s="457"/>
      <c r="G679" s="457"/>
      <c r="H679" s="457"/>
      <c r="I679" s="457"/>
      <c r="J679" s="457"/>
      <c r="K679" s="457"/>
      <c r="L679" s="286" t="str">
        <f t="shared" si="161"/>
        <v>C&amp;N</v>
      </c>
      <c r="N679" s="286"/>
      <c r="Q679" s="307" t="str">
        <f>IFERROR(VLOOKUP($A674&amp;D679,competitors,4,FALSE),"")</f>
        <v/>
      </c>
      <c r="R679" s="307" t="str">
        <f>IFERROR(VLOOKUP($A674&amp;J679,competitors,4,FALSE),"")</f>
        <v/>
      </c>
      <c r="V679" s="287"/>
    </row>
    <row r="680" spans="1:22" x14ac:dyDescent="0.35">
      <c r="A680" s="105" t="str">
        <f>IFERROR(VLOOKUP(A674,standards,4,FALSE)+0.01,"-")</f>
        <v>-</v>
      </c>
      <c r="B680" s="105"/>
      <c r="C680" s="298">
        <v>4</v>
      </c>
      <c r="D680" s="298">
        <f>IFERROR(IF(C680&gt;MatchDay!$U$2+MatchDay!$D$6-1,"",VLOOKUP(A674,Timetables!$A:$EB,MatchDay!$U$4+C680-MatchDay!$D$6,FALSE)),"")</f>
        <v>7</v>
      </c>
      <c r="E680" s="457" t="str">
        <f>IFERROR(VLOOKUP($A674&amp;1&amp;D680,downloads!$A$1:$E$1000,2,FALSE)&amp;", "&amp;VLOOKUP($A674&amp;2&amp;D680,downloads!$A$1:$E$1000,2,FALSE)&amp;", "&amp;VLOOKUP($A674&amp;3&amp;D680,downloads!$A$1:$E$1000,2,FALSE)&amp;", "&amp;VLOOKUP($A674&amp;4&amp;D680,downloads!$A$1:$E$1000,2,FALSE),"")</f>
        <v>Claudia BERRY, Esme HARRIS, Nour KHOLEIF, Kady HALL</v>
      </c>
      <c r="F680" s="457"/>
      <c r="G680" s="457"/>
      <c r="H680" s="457"/>
      <c r="I680" s="457"/>
      <c r="J680" s="457"/>
      <c r="K680" s="457"/>
      <c r="L680" s="286" t="str">
        <f t="shared" si="161"/>
        <v>Wigan</v>
      </c>
      <c r="N680" s="286"/>
      <c r="Q680" s="307" t="str">
        <f>IFERROR(VLOOKUP($A674&amp;D680,competitors,4,FALSE),"")</f>
        <v/>
      </c>
      <c r="R680" s="307" t="str">
        <f>IFERROR(VLOOKUP($A674&amp;J680,competitors,4,FALSE),"")</f>
        <v/>
      </c>
      <c r="V680" s="287"/>
    </row>
    <row r="681" spans="1:22" x14ac:dyDescent="0.35">
      <c r="A681" s="105" t="str">
        <f>IFERROR(VLOOKUP(A674,standards,5,FALSE)+0.01,"-")</f>
        <v>-</v>
      </c>
      <c r="B681" s="105"/>
      <c r="C681" s="298">
        <v>5</v>
      </c>
      <c r="D681" s="298">
        <f>IFERROR(IF(C681&gt;MatchDay!$U$2+MatchDay!$D$6-1,"",VLOOKUP(A674,Timetables!$A:$EB,MatchDay!$U$4+C681-MatchDay!$D$6,FALSE)),"")</f>
        <v>3</v>
      </c>
      <c r="E681" s="457" t="str">
        <f>IFERROR(VLOOKUP($A674&amp;1&amp;D681,downloads!$A$1:$E$1000,2,FALSE)&amp;", "&amp;VLOOKUP($A674&amp;2&amp;D681,downloads!$A$1:$E$1000,2,FALSE)&amp;", "&amp;VLOOKUP($A674&amp;3&amp;D681,downloads!$A$1:$E$1000,2,FALSE)&amp;", "&amp;VLOOKUP($A674&amp;4&amp;D681,downloads!$A$1:$E$1000,2,FALSE),"")</f>
        <v>Freya CASH, Lexie SHANNON, Gabriella TAYLOR, Jessica HODGKINSON</v>
      </c>
      <c r="F681" s="457"/>
      <c r="G681" s="457"/>
      <c r="H681" s="457"/>
      <c r="I681" s="457"/>
      <c r="J681" s="457"/>
      <c r="K681" s="457"/>
      <c r="L681" s="286" t="str">
        <f t="shared" si="161"/>
        <v>Leigh</v>
      </c>
      <c r="N681" s="286"/>
      <c r="Q681" s="307" t="str">
        <f>IFERROR(VLOOKUP($A674&amp;D681,competitors,4,FALSE),"")</f>
        <v/>
      </c>
      <c r="R681" s="307" t="str">
        <f>IFERROR(VLOOKUP($A674&amp;J681,competitors,4,FALSE),"")</f>
        <v/>
      </c>
      <c r="V681" s="287"/>
    </row>
    <row r="682" spans="1:22" x14ac:dyDescent="0.35">
      <c r="A682" s="105" t="str">
        <f>IFERROR(VLOOKUP(A674,standards,6,FALSE)+0.01,"-")</f>
        <v>-</v>
      </c>
      <c r="B682" s="105"/>
      <c r="C682" s="298">
        <v>6</v>
      </c>
      <c r="D682" s="298">
        <f>IFERROR(IF(C682&gt;MatchDay!$U$2+MatchDay!$D$6-1,"",VLOOKUP(A674,Timetables!$A:$EB,MatchDay!$U$4+C682-MatchDay!$D$6,FALSE)),"")</f>
        <v>5</v>
      </c>
      <c r="E682" s="457" t="str">
        <f>IFERROR(VLOOKUP($A674&amp;1&amp;D682,downloads!$A$1:$E$1000,2,FALSE)&amp;", "&amp;VLOOKUP($A674&amp;2&amp;D682,downloads!$A$1:$E$1000,2,FALSE)&amp;", "&amp;VLOOKUP($A674&amp;3&amp;D682,downloads!$A$1:$E$1000,2,FALSE)&amp;", "&amp;VLOOKUP($A674&amp;4&amp;D682,downloads!$A$1:$E$1000,2,FALSE),"")</f>
        <v/>
      </c>
      <c r="F682" s="457"/>
      <c r="G682" s="457"/>
      <c r="H682" s="457"/>
      <c r="I682" s="457"/>
      <c r="J682" s="457"/>
      <c r="K682" s="457"/>
      <c r="L682" s="286" t="str">
        <f t="shared" si="161"/>
        <v>Menai</v>
      </c>
      <c r="N682" s="286"/>
      <c r="Q682" s="307" t="str">
        <f>IFERROR(VLOOKUP($A674&amp;D682,competitors,4,FALSE),"")</f>
        <v/>
      </c>
      <c r="R682" s="307" t="str">
        <f>IFERROR(VLOOKUP($A674&amp;J682,competitors,4,FALSE),"")</f>
        <v/>
      </c>
      <c r="V682" s="287"/>
    </row>
    <row r="683" spans="1:22" x14ac:dyDescent="0.35">
      <c r="A683" s="300">
        <f>IFERROR(SEARCH("Girls",C674),0)</f>
        <v>14</v>
      </c>
      <c r="C683" s="298">
        <v>7</v>
      </c>
      <c r="D683" s="298">
        <f>IFERROR(IF(C683&gt;MatchDay!$U$2+MatchDay!$D$6-1,"",VLOOKUP(A674,Timetables!$A:$EB,MatchDay!$U$4+C683-MatchDay!$D$6,FALSE)),"")</f>
        <v>4</v>
      </c>
      <c r="E683" s="457" t="str">
        <f>IFERROR(VLOOKUP($A674&amp;1&amp;D683,downloads!$A$1:$E$1000,2,FALSE)&amp;", "&amp;VLOOKUP($A674&amp;2&amp;D683,downloads!$A$1:$E$1000,2,FALSE)&amp;", "&amp;VLOOKUP($A674&amp;3&amp;D683,downloads!$A$1:$E$1000,2,FALSE)&amp;", "&amp;VLOOKUP($A674&amp;4&amp;D683,downloads!$A$1:$E$1000,2,FALSE),"")</f>
        <v/>
      </c>
      <c r="F683" s="457"/>
      <c r="G683" s="457"/>
      <c r="H683" s="457"/>
      <c r="I683" s="457"/>
      <c r="J683" s="457"/>
      <c r="K683" s="457"/>
      <c r="L683" s="286" t="str">
        <f t="shared" si="161"/>
        <v>Macc</v>
      </c>
      <c r="N683" s="286"/>
      <c r="Q683" s="307" t="str">
        <f>IFERROR(VLOOKUP($A674&amp;D683,competitors,4,FALSE),"")</f>
        <v/>
      </c>
      <c r="R683" s="307" t="str">
        <f>IFERROR(VLOOKUP($A674&amp;J683,competitors,4,FALSE),"")</f>
        <v/>
      </c>
      <c r="V683" s="287"/>
    </row>
    <row r="684" spans="1:22" x14ac:dyDescent="0.35">
      <c r="A684" s="103">
        <f>IFERROR(VLOOKUP(A674,records,5,FALSE),"")</f>
        <v>1.9575231481481483E-3</v>
      </c>
      <c r="B684" s="103"/>
      <c r="C684" s="298">
        <v>8</v>
      </c>
      <c r="D684" s="298" t="str">
        <f>IFERROR(IF(C684&gt;MatchDay!$U$2+MatchDay!$D$6-1,"",VLOOKUP(A674,Timetables!$A:$EB,MatchDay!$U$4+C684-MatchDay!$D$6,FALSE)),"")</f>
        <v/>
      </c>
      <c r="E684" s="457" t="str">
        <f>IFERROR(VLOOKUP($A674&amp;1&amp;D684,downloads!$A$1:$E$1000,2,FALSE)&amp;", "&amp;VLOOKUP($A674&amp;2&amp;D684,downloads!$A$1:$E$1000,2,FALSE)&amp;", "&amp;VLOOKUP($A674&amp;3&amp;D684,downloads!$A$1:$E$1000,2,FALSE)&amp;", "&amp;VLOOKUP($A674&amp;4&amp;D684,downloads!$A$1:$E$1000,2,FALSE),"")</f>
        <v/>
      </c>
      <c r="F684" s="457"/>
      <c r="G684" s="457"/>
      <c r="H684" s="457"/>
      <c r="I684" s="457"/>
      <c r="J684" s="457"/>
      <c r="K684" s="457"/>
      <c r="L684" s="286" t="str">
        <f t="shared" si="161"/>
        <v/>
      </c>
      <c r="N684" s="286"/>
      <c r="Q684" s="307" t="str">
        <f>IFERROR(VLOOKUP($A674&amp;D684,competitors,4,FALSE),"")</f>
        <v/>
      </c>
      <c r="R684" s="307" t="str">
        <f>IFERROR(VLOOKUP($A674&amp;J684,competitors,4,FALSE),"")</f>
        <v/>
      </c>
      <c r="V684" s="287"/>
    </row>
    <row r="685" spans="1:22" x14ac:dyDescent="0.35">
      <c r="Q685" s="307"/>
      <c r="R685" s="307"/>
    </row>
    <row r="686" spans="1:22" x14ac:dyDescent="0.35">
      <c r="A686" s="98" t="str">
        <f>IFERROR("L"&amp;A688,"")</f>
        <v>LTDR2</v>
      </c>
      <c r="B686" s="304" t="str">
        <f>IFERROR(TEXT(VLOOKUP(A686,timetables,7-MatchDay!$U$7,FALSE),"hh:mm"),"")</f>
        <v>16:30</v>
      </c>
      <c r="C686" s="292" t="str">
        <f>IFERROR(VLOOKUP(A686,timetables,2,FALSE)&amp;" "&amp;VLOOKUP(A686,timetables,3,FALSE),"")</f>
        <v>4 x 300m U15 Boys</v>
      </c>
      <c r="D686" s="292"/>
      <c r="F686" s="293"/>
      <c r="G686" s="294"/>
      <c r="L686" s="360"/>
      <c r="M686" s="296"/>
      <c r="N686" s="286"/>
      <c r="Q686" s="307"/>
      <c r="R686" s="307"/>
    </row>
    <row r="687" spans="1:22" x14ac:dyDescent="0.35">
      <c r="A687" s="98"/>
      <c r="B687" s="98"/>
      <c r="C687" s="295" t="str">
        <f>IFERROR("Rec: "&amp;VLOOKUP(A686,records,4,FALSE),"")</f>
        <v>Rec: 02:33.4 -, Sale Harriers, 2017</v>
      </c>
      <c r="D687" s="292"/>
      <c r="F687" s="293"/>
      <c r="G687" s="294"/>
      <c r="I687" s="295"/>
      <c r="L687" s="360"/>
      <c r="M687" s="296"/>
      <c r="N687" s="286"/>
      <c r="Q687" s="307"/>
      <c r="R687" s="307"/>
    </row>
    <row r="688" spans="1:22" x14ac:dyDescent="0.35">
      <c r="A688" s="82" t="s">
        <v>347</v>
      </c>
      <c r="B688" s="82"/>
      <c r="C688" s="304" t="s">
        <v>542</v>
      </c>
      <c r="D688" s="304" t="s">
        <v>141</v>
      </c>
      <c r="E688" s="457" t="s">
        <v>694</v>
      </c>
      <c r="F688" s="457"/>
      <c r="G688" s="457"/>
      <c r="H688" s="457"/>
      <c r="I688" s="457"/>
      <c r="J688" s="457"/>
      <c r="K688" s="457"/>
      <c r="L688" s="457"/>
      <c r="M688" s="291">
        <f>IFERROR(SEARCH("NS",C686),0)</f>
        <v>0</v>
      </c>
      <c r="N688" s="286"/>
      <c r="P688" s="297"/>
      <c r="Q688" s="307" t="str">
        <f>IFERROR(VLOOKUP($A673&amp;D688,competitors,4,FALSE),"")</f>
        <v/>
      </c>
      <c r="R688" s="307" t="str">
        <f>IFERROR(VLOOKUP($A673&amp;J688,competitors,4,FALSE),"")</f>
        <v/>
      </c>
    </row>
    <row r="689" spans="1:22" x14ac:dyDescent="0.35">
      <c r="A689" s="138"/>
      <c r="B689" s="103"/>
      <c r="C689" s="298">
        <v>1</v>
      </c>
      <c r="D689" s="298">
        <f>IFERROR(IF(C689&gt;MatchDay!$U$2,"",IF(MatchDay!$D$6=2,"",VLOOKUP(A686,Timetables!$A:$EB,MatchDay!$U$4+C689-MatchDay!$D$6,FALSE))),"")</f>
        <v>2</v>
      </c>
      <c r="E689" s="457" t="str">
        <f>IFERROR(VLOOKUP($A686&amp;1&amp;D689,downloads!$A$1:$E$1000,2,FALSE)&amp;", "&amp;VLOOKUP($A686&amp;2&amp;D689,downloads!$A$1:$E$1000,2,FALSE)&amp;", "&amp;VLOOKUP($A686&amp;3&amp;D689,downloads!$A$1:$E$1000,2,FALSE)&amp;", "&amp;VLOOKUP($A686&amp;4&amp;D689,downloads!$A$1:$E$1000,2,FALSE),"")</f>
        <v>Marshall FLEET, Sebastian STEWART, Oliver WALKER, Alfie MANSER</v>
      </c>
      <c r="F689" s="457"/>
      <c r="G689" s="457"/>
      <c r="H689" s="457"/>
      <c r="I689" s="457"/>
      <c r="J689" s="457"/>
      <c r="K689" s="457"/>
      <c r="L689" s="286" t="str">
        <f t="shared" ref="L689:L696" si="162">IFERROR(VLOOKUP(D689,teamlookup,5,FALSE),"")</f>
        <v>ECHT</v>
      </c>
      <c r="N689" s="286"/>
      <c r="Q689" s="307" t="str">
        <f>IFERROR(VLOOKUP($A673&amp;D689,competitors,4,FALSE),"")</f>
        <v/>
      </c>
      <c r="R689" s="307" t="str">
        <f>IFERROR(VLOOKUP($A673&amp;J689,competitors,4,FALSE),"")</f>
        <v/>
      </c>
      <c r="V689" s="287"/>
    </row>
    <row r="690" spans="1:22" x14ac:dyDescent="0.35">
      <c r="A690" s="304">
        <v>38</v>
      </c>
      <c r="C690" s="298">
        <v>2</v>
      </c>
      <c r="D690" s="298">
        <f>IFERROR(IF(C690&gt;MatchDay!$U$2+MatchDay!$D$6-1,"",VLOOKUP(A686,Timetables!$A:$EB,MatchDay!$U$4+C690-MatchDay!$D$6,FALSE)),"")</f>
        <v>6</v>
      </c>
      <c r="E690" s="457" t="str">
        <f>IFERROR(VLOOKUP($A686&amp;1&amp;D690,downloads!$A$1:$E$1000,2,FALSE)&amp;", "&amp;VLOOKUP($A686&amp;2&amp;D690,downloads!$A$1:$E$1000,2,FALSE)&amp;", "&amp;VLOOKUP($A686&amp;3&amp;D690,downloads!$A$1:$E$1000,2,FALSE)&amp;", "&amp;VLOOKUP($A686&amp;4&amp;D690,downloads!$A$1:$E$1000,2,FALSE),"")</f>
        <v/>
      </c>
      <c r="F690" s="457"/>
      <c r="G690" s="457"/>
      <c r="H690" s="457"/>
      <c r="I690" s="457"/>
      <c r="J690" s="457"/>
      <c r="K690" s="457"/>
      <c r="L690" s="286" t="str">
        <f t="shared" si="162"/>
        <v>Stock</v>
      </c>
      <c r="N690" s="286"/>
      <c r="Q690" s="307" t="str">
        <f>IFERROR(VLOOKUP($A673&amp;D690,competitors,4,FALSE),"")</f>
        <v/>
      </c>
      <c r="R690" s="307" t="str">
        <f>IFERROR(VLOOKUP($A673&amp;J690,competitors,4,FALSE),"")</f>
        <v/>
      </c>
      <c r="V690" s="287"/>
    </row>
    <row r="691" spans="1:22" x14ac:dyDescent="0.35">
      <c r="A691" s="105" t="str">
        <f>IFERROR(VLOOKUP(A686,standards,3,FALSE)+0.01,"-")</f>
        <v>-</v>
      </c>
      <c r="B691" s="105"/>
      <c r="C691" s="298">
        <v>3</v>
      </c>
      <c r="D691" s="298">
        <f>IFERROR(IF(C691&gt;MatchDay!$U$2+MatchDay!$D$6-1,"",VLOOKUP(A686,Timetables!$A:$EB,MatchDay!$U$4+C691-MatchDay!$D$6,FALSE)),"")</f>
        <v>1</v>
      </c>
      <c r="E691" s="457" t="str">
        <f>IFERROR(VLOOKUP($A686&amp;1&amp;D691,downloads!$A$1:$E$1000,2,FALSE)&amp;", "&amp;VLOOKUP($A686&amp;2&amp;D691,downloads!$A$1:$E$1000,2,FALSE)&amp;", "&amp;VLOOKUP($A686&amp;3&amp;D691,downloads!$A$1:$E$1000,2,FALSE)&amp;", "&amp;VLOOKUP($A686&amp;4&amp;D691,downloads!$A$1:$E$1000,2,FALSE),"")</f>
        <v/>
      </c>
      <c r="F691" s="457"/>
      <c r="G691" s="457"/>
      <c r="H691" s="457"/>
      <c r="I691" s="457"/>
      <c r="J691" s="457"/>
      <c r="K691" s="457"/>
      <c r="L691" s="286" t="str">
        <f t="shared" si="162"/>
        <v>C&amp;N</v>
      </c>
      <c r="N691" s="286"/>
      <c r="Q691" s="307" t="str">
        <f>IFERROR(VLOOKUP($A673&amp;D691,competitors,4,FALSE),"")</f>
        <v/>
      </c>
      <c r="R691" s="307" t="str">
        <f>IFERROR(VLOOKUP($A673&amp;J691,competitors,4,FALSE),"")</f>
        <v/>
      </c>
      <c r="V691" s="287"/>
    </row>
    <row r="692" spans="1:22" x14ac:dyDescent="0.35">
      <c r="A692" s="105" t="str">
        <f>IFERROR(VLOOKUP(A686,standards,4,FALSE)+0.01,"-")</f>
        <v>-</v>
      </c>
      <c r="B692" s="105"/>
      <c r="C692" s="298">
        <v>4</v>
      </c>
      <c r="D692" s="298">
        <f>IFERROR(IF(C692&gt;MatchDay!$U$2+MatchDay!$D$6-1,"",VLOOKUP(A686,Timetables!$A:$EB,MatchDay!$U$4+C692-MatchDay!$D$6,FALSE)),"")</f>
        <v>7</v>
      </c>
      <c r="E692" s="457" t="str">
        <f>IFERROR(VLOOKUP($A686&amp;1&amp;D692,downloads!$A$1:$E$1000,2,FALSE)&amp;", "&amp;VLOOKUP($A686&amp;2&amp;D692,downloads!$A$1:$E$1000,2,FALSE)&amp;", "&amp;VLOOKUP($A686&amp;3&amp;D692,downloads!$A$1:$E$1000,2,FALSE)&amp;", "&amp;VLOOKUP($A686&amp;4&amp;D692,downloads!$A$1:$E$1000,2,FALSE),"")</f>
        <v/>
      </c>
      <c r="F692" s="457"/>
      <c r="G692" s="457"/>
      <c r="H692" s="457"/>
      <c r="I692" s="457"/>
      <c r="J692" s="457"/>
      <c r="K692" s="457"/>
      <c r="L692" s="286" t="str">
        <f t="shared" si="162"/>
        <v>Wigan</v>
      </c>
      <c r="N692" s="286"/>
      <c r="Q692" s="307" t="str">
        <f>IFERROR(VLOOKUP($A673&amp;D692,competitors,4,FALSE),"")</f>
        <v/>
      </c>
      <c r="R692" s="307" t="str">
        <f>IFERROR(VLOOKUP($A673&amp;J692,competitors,4,FALSE),"")</f>
        <v/>
      </c>
      <c r="V692" s="287"/>
    </row>
    <row r="693" spans="1:22" x14ac:dyDescent="0.35">
      <c r="A693" s="105" t="str">
        <f>IFERROR(VLOOKUP(A686,standards,5,FALSE)+0.01,"-")</f>
        <v>-</v>
      </c>
      <c r="B693" s="105"/>
      <c r="C693" s="298">
        <v>5</v>
      </c>
      <c r="D693" s="298">
        <f>IFERROR(IF(C693&gt;MatchDay!$U$2+MatchDay!$D$6-1,"",VLOOKUP(A686,Timetables!$A:$EB,MatchDay!$U$4+C693-MatchDay!$D$6,FALSE)),"")</f>
        <v>3</v>
      </c>
      <c r="E693" s="457" t="str">
        <f>IFERROR(VLOOKUP($A686&amp;1&amp;D693,downloads!$A$1:$E$1000,2,FALSE)&amp;", "&amp;VLOOKUP($A686&amp;2&amp;D693,downloads!$A$1:$E$1000,2,FALSE)&amp;", "&amp;VLOOKUP($A686&amp;3&amp;D693,downloads!$A$1:$E$1000,2,FALSE)&amp;", "&amp;VLOOKUP($A686&amp;4&amp;D693,downloads!$A$1:$E$1000,2,FALSE),"")</f>
        <v>Barnaby CROMBLEHOLME, Lucas GREGORY, William GUY, Archer GILDART</v>
      </c>
      <c r="F693" s="457"/>
      <c r="G693" s="457"/>
      <c r="H693" s="457"/>
      <c r="I693" s="457"/>
      <c r="J693" s="457"/>
      <c r="K693" s="457"/>
      <c r="L693" s="286" t="str">
        <f t="shared" si="162"/>
        <v>Leigh</v>
      </c>
      <c r="N693" s="286"/>
      <c r="Q693" s="307" t="str">
        <f>IFERROR(VLOOKUP($A673&amp;D693,competitors,4,FALSE),"")</f>
        <v/>
      </c>
      <c r="R693" s="307" t="str">
        <f>IFERROR(VLOOKUP($A673&amp;J693,competitors,4,FALSE),"")</f>
        <v/>
      </c>
      <c r="V693" s="287"/>
    </row>
    <row r="694" spans="1:22" x14ac:dyDescent="0.35">
      <c r="A694" s="105" t="str">
        <f>IFERROR(VLOOKUP(A686,standards,6,FALSE)+0.01,"-")</f>
        <v>-</v>
      </c>
      <c r="B694" s="105"/>
      <c r="C694" s="298">
        <v>6</v>
      </c>
      <c r="D694" s="298">
        <f>IFERROR(IF(C694&gt;MatchDay!$U$2+MatchDay!$D$6-1,"",VLOOKUP(A686,Timetables!$A:$EB,MatchDay!$U$4+C694-MatchDay!$D$6,FALSE)),"")</f>
        <v>5</v>
      </c>
      <c r="E694" s="457" t="str">
        <f>IFERROR(VLOOKUP($A686&amp;1&amp;D694,downloads!$A$1:$E$1000,2,FALSE)&amp;", "&amp;VLOOKUP($A686&amp;2&amp;D694,downloads!$A$1:$E$1000,2,FALSE)&amp;", "&amp;VLOOKUP($A686&amp;3&amp;D694,downloads!$A$1:$E$1000,2,FALSE)&amp;", "&amp;VLOOKUP($A686&amp;4&amp;D694,downloads!$A$1:$E$1000,2,FALSE),"")</f>
        <v/>
      </c>
      <c r="F694" s="457"/>
      <c r="G694" s="457"/>
      <c r="H694" s="457"/>
      <c r="I694" s="457"/>
      <c r="J694" s="457"/>
      <c r="K694" s="457"/>
      <c r="L694" s="286" t="str">
        <f t="shared" si="162"/>
        <v>Menai</v>
      </c>
      <c r="N694" s="286"/>
      <c r="Q694" s="307" t="str">
        <f>IFERROR(VLOOKUP($A673&amp;D694,competitors,4,FALSE),"")</f>
        <v/>
      </c>
      <c r="R694" s="307" t="str">
        <f>IFERROR(VLOOKUP($A673&amp;J694,competitors,4,FALSE),"")</f>
        <v/>
      </c>
      <c r="V694" s="287"/>
    </row>
    <row r="695" spans="1:22" x14ac:dyDescent="0.35">
      <c r="A695" s="300">
        <f>IFERROR(SEARCH("Girls",C686),0)</f>
        <v>0</v>
      </c>
      <c r="C695" s="298">
        <v>7</v>
      </c>
      <c r="D695" s="298">
        <f>IFERROR(IF(C695&gt;MatchDay!$U$2+MatchDay!$D$6-1,"",VLOOKUP(A686,Timetables!$A:$EB,MatchDay!$U$4+C695-MatchDay!$D$6,FALSE)),"")</f>
        <v>4</v>
      </c>
      <c r="E695" s="457" t="str">
        <f>IFERROR(VLOOKUP($A686&amp;1&amp;D695,downloads!$A$1:$E$1000,2,FALSE)&amp;", "&amp;VLOOKUP($A686&amp;2&amp;D695,downloads!$A$1:$E$1000,2,FALSE)&amp;", "&amp;VLOOKUP($A686&amp;3&amp;D695,downloads!$A$1:$E$1000,2,FALSE)&amp;", "&amp;VLOOKUP($A686&amp;4&amp;D695,downloads!$A$1:$E$1000,2,FALSE),"")</f>
        <v>Toby BROADRICK, Bobby TOMLINSON, Douglas POINTON, Thomas WOOD</v>
      </c>
      <c r="F695" s="457"/>
      <c r="G695" s="457"/>
      <c r="H695" s="457"/>
      <c r="I695" s="457"/>
      <c r="J695" s="457"/>
      <c r="K695" s="457"/>
      <c r="L695" s="286" t="str">
        <f t="shared" si="162"/>
        <v>Macc</v>
      </c>
      <c r="N695" s="286"/>
      <c r="Q695" s="307" t="str">
        <f>IFERROR(VLOOKUP($A673&amp;D695,competitors,4,FALSE),"")</f>
        <v/>
      </c>
      <c r="R695" s="307" t="str">
        <f>IFERROR(VLOOKUP($A673&amp;J695,competitors,4,FALSE),"")</f>
        <v/>
      </c>
      <c r="V695" s="287"/>
    </row>
    <row r="696" spans="1:22" x14ac:dyDescent="0.35">
      <c r="A696" s="103">
        <f>IFERROR(VLOOKUP(A686,records,5,FALSE),"")</f>
        <v>1.7754629629629631E-3</v>
      </c>
      <c r="B696" s="103"/>
      <c r="C696" s="298">
        <v>8</v>
      </c>
      <c r="D696" s="298" t="str">
        <f>IFERROR(IF(C696&gt;MatchDay!$U$2+MatchDay!$D$6-1,"",VLOOKUP(A686,Timetables!$A:$EB,MatchDay!$U$4+C696-MatchDay!$D$6,FALSE)),"")</f>
        <v/>
      </c>
      <c r="E696" s="457" t="str">
        <f>IFERROR(VLOOKUP($A686&amp;1&amp;D696,downloads!$A$1:$E$1000,2,FALSE)&amp;", "&amp;VLOOKUP($A686&amp;2&amp;D696,downloads!$A$1:$E$1000,2,FALSE)&amp;", "&amp;VLOOKUP($A686&amp;3&amp;D696,downloads!$A$1:$E$1000,2,FALSE)&amp;", "&amp;VLOOKUP($A686&amp;4&amp;D696,downloads!$A$1:$E$1000,2,FALSE),"")</f>
        <v/>
      </c>
      <c r="F696" s="457"/>
      <c r="G696" s="457"/>
      <c r="H696" s="457"/>
      <c r="I696" s="457"/>
      <c r="J696" s="457"/>
      <c r="K696" s="457"/>
      <c r="L696" s="286" t="str">
        <f t="shared" si="162"/>
        <v/>
      </c>
      <c r="N696" s="286"/>
      <c r="Q696" s="307" t="str">
        <f>IFERROR(VLOOKUP($A686&amp;D696,competitors,4,FALSE),"")</f>
        <v/>
      </c>
      <c r="R696" s="307" t="str">
        <f>IFERROR(VLOOKUP($A686&amp;J696,competitors,4,FALSE),"")</f>
        <v/>
      </c>
      <c r="V696" s="287"/>
    </row>
    <row r="697" spans="1:22" x14ac:dyDescent="0.35">
      <c r="Q697" s="307"/>
      <c r="R697" s="307"/>
    </row>
    <row r="698" spans="1:22" x14ac:dyDescent="0.35">
      <c r="Q698" s="307"/>
      <c r="R698" s="307"/>
    </row>
    <row r="699" spans="1:22" x14ac:dyDescent="0.35">
      <c r="Q699" s="307"/>
      <c r="R699" s="307"/>
    </row>
    <row r="700" spans="1:22" x14ac:dyDescent="0.35">
      <c r="Q700" s="307" t="str">
        <f>IFERROR(VLOOKUP($A698&amp;D700,competitors,4,FALSE),"")</f>
        <v/>
      </c>
      <c r="R700" s="307" t="str">
        <f>IFERROR(VLOOKUP($A698&amp;J700,competitors,4,FALSE),"")</f>
        <v/>
      </c>
    </row>
    <row r="701" spans="1:22" x14ac:dyDescent="0.35">
      <c r="Q701" s="307" t="str">
        <f>IFERROR(VLOOKUP($A698&amp;D701,competitors,4,FALSE),"")</f>
        <v/>
      </c>
      <c r="R701" s="307" t="str">
        <f>IFERROR(VLOOKUP($A698&amp;J701,competitors,4,FALSE),"")</f>
        <v/>
      </c>
    </row>
    <row r="702" spans="1:22" x14ac:dyDescent="0.35">
      <c r="Q702" s="307" t="str">
        <f>IFERROR(VLOOKUP($A698&amp;D702,competitors,4,FALSE),"")</f>
        <v/>
      </c>
      <c r="R702" s="307" t="str">
        <f>IFERROR(VLOOKUP($A698&amp;J702,competitors,4,FALSE),"")</f>
        <v/>
      </c>
    </row>
    <row r="703" spans="1:22" x14ac:dyDescent="0.35">
      <c r="Q703" s="307" t="str">
        <f>IFERROR(VLOOKUP($A698&amp;D703,competitors,4,FALSE),"")</f>
        <v/>
      </c>
      <c r="R703" s="307" t="str">
        <f>IFERROR(VLOOKUP($A698&amp;J703,competitors,4,FALSE),"")</f>
        <v/>
      </c>
    </row>
    <row r="704" spans="1:22" x14ac:dyDescent="0.35">
      <c r="Q704" s="307" t="str">
        <f>IFERROR(VLOOKUP($A698&amp;D704,competitors,4,FALSE),"")</f>
        <v/>
      </c>
      <c r="R704" s="307" t="str">
        <f>IFERROR(VLOOKUP($A698&amp;J704,competitors,4,FALSE),"")</f>
        <v/>
      </c>
    </row>
    <row r="705" spans="17:18" x14ac:dyDescent="0.35">
      <c r="Q705" s="307" t="str">
        <f>IFERROR(VLOOKUP($A698&amp;D705,competitors,4,FALSE),"")</f>
        <v/>
      </c>
      <c r="R705" s="307" t="str">
        <f>IFERROR(VLOOKUP($A698&amp;J705,competitors,4,FALSE),"")</f>
        <v/>
      </c>
    </row>
    <row r="706" spans="17:18" x14ac:dyDescent="0.35">
      <c r="Q706" s="307" t="str">
        <f>IFERROR(VLOOKUP($A698&amp;D706,competitors,4,FALSE),"")</f>
        <v/>
      </c>
      <c r="R706" s="307" t="str">
        <f>IFERROR(VLOOKUP($A698&amp;J706,competitors,4,FALSE),"")</f>
        <v/>
      </c>
    </row>
    <row r="707" spans="17:18" x14ac:dyDescent="0.35">
      <c r="Q707" s="307" t="str">
        <f>IFERROR(VLOOKUP($A698&amp;D707,competitors,4,FALSE),"")</f>
        <v/>
      </c>
      <c r="R707" s="307" t="str">
        <f>IFERROR(VLOOKUP($A698&amp;J707,competitors,4,FALSE),"")</f>
        <v/>
      </c>
    </row>
    <row r="708" spans="17:18" x14ac:dyDescent="0.35">
      <c r="Q708" s="307"/>
      <c r="R708" s="307"/>
    </row>
    <row r="709" spans="17:18" x14ac:dyDescent="0.35">
      <c r="Q709" s="307"/>
      <c r="R709" s="307"/>
    </row>
    <row r="710" spans="17:18" x14ac:dyDescent="0.35">
      <c r="Q710" s="307"/>
      <c r="R710" s="307"/>
    </row>
    <row r="711" spans="17:18" x14ac:dyDescent="0.35">
      <c r="Q711" s="307" t="str">
        <f>IFERROR(VLOOKUP($A698&amp;D711,competitors,4,FALSE),"")</f>
        <v/>
      </c>
      <c r="R711" s="307" t="str">
        <f>IFERROR(VLOOKUP($A698&amp;J711,competitors,4,FALSE),"")</f>
        <v/>
      </c>
    </row>
    <row r="712" spans="17:18" x14ac:dyDescent="0.35">
      <c r="Q712" s="307" t="str">
        <f>IFERROR(VLOOKUP($A698&amp;D712,competitors,4,FALSE),"")</f>
        <v/>
      </c>
      <c r="R712" s="307" t="str">
        <f>IFERROR(VLOOKUP($A698&amp;J712,competitors,4,FALSE),"")</f>
        <v/>
      </c>
    </row>
    <row r="713" spans="17:18" x14ac:dyDescent="0.35">
      <c r="Q713" s="307" t="str">
        <f>IFERROR(VLOOKUP($A698&amp;D713,competitors,4,FALSE),"")</f>
        <v/>
      </c>
      <c r="R713" s="307" t="str">
        <f>IFERROR(VLOOKUP($A698&amp;J713,competitors,4,FALSE),"")</f>
        <v/>
      </c>
    </row>
    <row r="714" spans="17:18" x14ac:dyDescent="0.35">
      <c r="Q714" s="307" t="str">
        <f>IFERROR(VLOOKUP($A698&amp;D714,competitors,4,FALSE),"")</f>
        <v/>
      </c>
      <c r="R714" s="307" t="str">
        <f>IFERROR(VLOOKUP($A698&amp;J714,competitors,4,FALSE),"")</f>
        <v/>
      </c>
    </row>
    <row r="715" spans="17:18" x14ac:dyDescent="0.35">
      <c r="Q715" s="307" t="str">
        <f>IFERROR(VLOOKUP($A698&amp;D715,competitors,4,FALSE),"")</f>
        <v/>
      </c>
      <c r="R715" s="307" t="str">
        <f>IFERROR(VLOOKUP($A698&amp;J715,competitors,4,FALSE),"")</f>
        <v/>
      </c>
    </row>
    <row r="716" spans="17:18" x14ac:dyDescent="0.35">
      <c r="Q716" s="307" t="str">
        <f>IFERROR(VLOOKUP($A698&amp;D716,competitors,4,FALSE),"")</f>
        <v/>
      </c>
      <c r="R716" s="307" t="str">
        <f>IFERROR(VLOOKUP($A698&amp;J716,competitors,4,FALSE),"")</f>
        <v/>
      </c>
    </row>
    <row r="717" spans="17:18" x14ac:dyDescent="0.35">
      <c r="Q717" s="307" t="str">
        <f>IFERROR(VLOOKUP($A698&amp;D717,competitors,4,FALSE),"")</f>
        <v/>
      </c>
      <c r="R717" s="307" t="str">
        <f>IFERROR(VLOOKUP($A698&amp;J717,competitors,4,FALSE),"")</f>
        <v/>
      </c>
    </row>
    <row r="718" spans="17:18" x14ac:dyDescent="0.35">
      <c r="Q718" s="307" t="str">
        <f>IFERROR(VLOOKUP($A698&amp;D718,competitors,4,FALSE),"")</f>
        <v/>
      </c>
      <c r="R718" s="307" t="str">
        <f>IFERROR(VLOOKUP($A698&amp;J718,competitors,4,FALSE),"")</f>
        <v/>
      </c>
    </row>
    <row r="719" spans="17:18" x14ac:dyDescent="0.35">
      <c r="Q719" s="307"/>
      <c r="R719" s="307"/>
    </row>
    <row r="720" spans="17:18" x14ac:dyDescent="0.35">
      <c r="Q720" s="307"/>
      <c r="R720" s="307"/>
    </row>
    <row r="721" spans="17:18" x14ac:dyDescent="0.35">
      <c r="Q721" s="307"/>
      <c r="R721" s="307"/>
    </row>
    <row r="722" spans="17:18" x14ac:dyDescent="0.35">
      <c r="Q722" s="307" t="str">
        <f>IFERROR(VLOOKUP($A720&amp;D722,competitors,4,FALSE),"")</f>
        <v/>
      </c>
      <c r="R722" s="307" t="str">
        <f>IFERROR(VLOOKUP($A720&amp;J722,competitors,4,FALSE),"")</f>
        <v/>
      </c>
    </row>
    <row r="723" spans="17:18" x14ac:dyDescent="0.35">
      <c r="Q723" s="307" t="str">
        <f>IFERROR(VLOOKUP($A720&amp;D723,competitors,4,FALSE),"")</f>
        <v/>
      </c>
      <c r="R723" s="307" t="str">
        <f>IFERROR(VLOOKUP($A720&amp;J723,competitors,4,FALSE),"")</f>
        <v/>
      </c>
    </row>
    <row r="724" spans="17:18" x14ac:dyDescent="0.35">
      <c r="Q724" s="307" t="str">
        <f>IFERROR(VLOOKUP($A720&amp;D724,competitors,4,FALSE),"")</f>
        <v/>
      </c>
      <c r="R724" s="307" t="str">
        <f>IFERROR(VLOOKUP($A720&amp;J724,competitors,4,FALSE),"")</f>
        <v/>
      </c>
    </row>
    <row r="725" spans="17:18" x14ac:dyDescent="0.35">
      <c r="Q725" s="307" t="str">
        <f>IFERROR(VLOOKUP($A720&amp;D725,competitors,4,FALSE),"")</f>
        <v/>
      </c>
      <c r="R725" s="307" t="str">
        <f>IFERROR(VLOOKUP($A720&amp;J725,competitors,4,FALSE),"")</f>
        <v/>
      </c>
    </row>
    <row r="726" spans="17:18" x14ac:dyDescent="0.35">
      <c r="Q726" s="307" t="str">
        <f>IFERROR(VLOOKUP($A720&amp;D726,competitors,4,FALSE),"")</f>
        <v/>
      </c>
      <c r="R726" s="307" t="str">
        <f>IFERROR(VLOOKUP($A720&amp;J726,competitors,4,FALSE),"")</f>
        <v/>
      </c>
    </row>
    <row r="727" spans="17:18" x14ac:dyDescent="0.35">
      <c r="Q727" s="307" t="str">
        <f>IFERROR(VLOOKUP($A720&amp;D727,competitors,4,FALSE),"")</f>
        <v/>
      </c>
      <c r="R727" s="307" t="str">
        <f>IFERROR(VLOOKUP($A720&amp;J727,competitors,4,FALSE),"")</f>
        <v/>
      </c>
    </row>
    <row r="728" spans="17:18" x14ac:dyDescent="0.35">
      <c r="Q728" s="307" t="str">
        <f>IFERROR(VLOOKUP($A720&amp;D728,competitors,4,FALSE),"")</f>
        <v/>
      </c>
      <c r="R728" s="307" t="str">
        <f>IFERROR(VLOOKUP($A720&amp;J728,competitors,4,FALSE),"")</f>
        <v/>
      </c>
    </row>
    <row r="729" spans="17:18" x14ac:dyDescent="0.35">
      <c r="Q729" s="307" t="str">
        <f>IFERROR(VLOOKUP($A720&amp;D729,competitors,4,FALSE),"")</f>
        <v/>
      </c>
      <c r="R729" s="307" t="str">
        <f>IFERROR(VLOOKUP($A720&amp;J729,competitors,4,FALSE),"")</f>
        <v/>
      </c>
    </row>
    <row r="730" spans="17:18" x14ac:dyDescent="0.35">
      <c r="Q730" s="307"/>
      <c r="R730" s="307"/>
    </row>
    <row r="731" spans="17:18" x14ac:dyDescent="0.35">
      <c r="Q731" s="307"/>
      <c r="R731" s="307"/>
    </row>
    <row r="732" spans="17:18" x14ac:dyDescent="0.35">
      <c r="Q732" s="307"/>
      <c r="R732" s="307"/>
    </row>
    <row r="733" spans="17:18" x14ac:dyDescent="0.35">
      <c r="Q733" s="307" t="str">
        <f>IFERROR(VLOOKUP($A731&amp;D733,competitors,4,FALSE),"")</f>
        <v/>
      </c>
      <c r="R733" s="307" t="str">
        <f>IFERROR(VLOOKUP($A731&amp;J733,competitors,4,FALSE),"")</f>
        <v/>
      </c>
    </row>
    <row r="734" spans="17:18" x14ac:dyDescent="0.35">
      <c r="Q734" s="307" t="str">
        <f>IFERROR(VLOOKUP($A731&amp;D734,competitors,4,FALSE),"")</f>
        <v/>
      </c>
      <c r="R734" s="307" t="str">
        <f>IFERROR(VLOOKUP($A731&amp;J734,competitors,4,FALSE),"")</f>
        <v/>
      </c>
    </row>
    <row r="735" spans="17:18" x14ac:dyDescent="0.35">
      <c r="Q735" s="307" t="str">
        <f>IFERROR(VLOOKUP($A731&amp;D735,competitors,4,FALSE),"")</f>
        <v/>
      </c>
      <c r="R735" s="307" t="str">
        <f>IFERROR(VLOOKUP($A731&amp;J735,competitors,4,FALSE),"")</f>
        <v/>
      </c>
    </row>
    <row r="736" spans="17:18" x14ac:dyDescent="0.35">
      <c r="Q736" s="307" t="str">
        <f>IFERROR(VLOOKUP($A731&amp;D736,competitors,4,FALSE),"")</f>
        <v/>
      </c>
      <c r="R736" s="307" t="str">
        <f>IFERROR(VLOOKUP($A731&amp;J736,competitors,4,FALSE),"")</f>
        <v/>
      </c>
    </row>
    <row r="737" spans="17:18" x14ac:dyDescent="0.35">
      <c r="Q737" s="307" t="str">
        <f>IFERROR(VLOOKUP($A731&amp;D737,competitors,4,FALSE),"")</f>
        <v/>
      </c>
      <c r="R737" s="307" t="str">
        <f>IFERROR(VLOOKUP($A731&amp;J737,competitors,4,FALSE),"")</f>
        <v/>
      </c>
    </row>
    <row r="738" spans="17:18" x14ac:dyDescent="0.35">
      <c r="Q738" s="307" t="str">
        <f>IFERROR(VLOOKUP($A731&amp;D738,competitors,4,FALSE),"")</f>
        <v/>
      </c>
      <c r="R738" s="307" t="str">
        <f>IFERROR(VLOOKUP($A731&amp;J738,competitors,4,FALSE),"")</f>
        <v/>
      </c>
    </row>
    <row r="739" spans="17:18" x14ac:dyDescent="0.35">
      <c r="Q739" s="307" t="str">
        <f>IFERROR(VLOOKUP($A731&amp;D739,competitors,4,FALSE),"")</f>
        <v/>
      </c>
      <c r="R739" s="307" t="str">
        <f>IFERROR(VLOOKUP($A731&amp;J739,competitors,4,FALSE),"")</f>
        <v/>
      </c>
    </row>
    <row r="740" spans="17:18" x14ac:dyDescent="0.35">
      <c r="Q740" s="307" t="str">
        <f>IFERROR(VLOOKUP($A731&amp;D740,competitors,4,FALSE),"")</f>
        <v/>
      </c>
      <c r="R740" s="307" t="str">
        <f>IFERROR(VLOOKUP($A731&amp;J740,competitors,4,FALSE),"")</f>
        <v/>
      </c>
    </row>
    <row r="741" spans="17:18" x14ac:dyDescent="0.35">
      <c r="Q741" s="307"/>
      <c r="R741" s="307"/>
    </row>
    <row r="742" spans="17:18" x14ac:dyDescent="0.35">
      <c r="Q742" s="307"/>
      <c r="R742" s="307"/>
    </row>
    <row r="743" spans="17:18" x14ac:dyDescent="0.35">
      <c r="Q743" s="307"/>
      <c r="R743" s="307"/>
    </row>
    <row r="744" spans="17:18" x14ac:dyDescent="0.35">
      <c r="Q744" s="307" t="str">
        <f>IFERROR(VLOOKUP($A742&amp;D744,competitors,4,FALSE),"")</f>
        <v/>
      </c>
      <c r="R744" s="307" t="str">
        <f>IFERROR(VLOOKUP($A742&amp;J744,competitors,4,FALSE),"")</f>
        <v/>
      </c>
    </row>
    <row r="745" spans="17:18" x14ac:dyDescent="0.35">
      <c r="Q745" s="307" t="str">
        <f>IFERROR(VLOOKUP($A742&amp;D745,competitors,4,FALSE),"")</f>
        <v/>
      </c>
      <c r="R745" s="307" t="str">
        <f>IFERROR(VLOOKUP($A742&amp;J745,competitors,4,FALSE),"")</f>
        <v/>
      </c>
    </row>
    <row r="746" spans="17:18" x14ac:dyDescent="0.35">
      <c r="Q746" s="307" t="str">
        <f>IFERROR(VLOOKUP($A742&amp;D746,competitors,4,FALSE),"")</f>
        <v/>
      </c>
      <c r="R746" s="307" t="str">
        <f>IFERROR(VLOOKUP($A742&amp;J746,competitors,4,FALSE),"")</f>
        <v/>
      </c>
    </row>
    <row r="747" spans="17:18" x14ac:dyDescent="0.35">
      <c r="Q747" s="307" t="str">
        <f>IFERROR(VLOOKUP($A742&amp;D747,competitors,4,FALSE),"")</f>
        <v/>
      </c>
      <c r="R747" s="307" t="str">
        <f>IFERROR(VLOOKUP($A742&amp;J747,competitors,4,FALSE),"")</f>
        <v/>
      </c>
    </row>
    <row r="748" spans="17:18" x14ac:dyDescent="0.35">
      <c r="Q748" s="307" t="str">
        <f>IFERROR(VLOOKUP($A742&amp;D748,competitors,4,FALSE),"")</f>
        <v/>
      </c>
      <c r="R748" s="307" t="str">
        <f>IFERROR(VLOOKUP($A742&amp;J748,competitors,4,FALSE),"")</f>
        <v/>
      </c>
    </row>
    <row r="749" spans="17:18" x14ac:dyDescent="0.35">
      <c r="Q749" s="307" t="str">
        <f>IFERROR(VLOOKUP($A742&amp;D749,competitors,4,FALSE),"")</f>
        <v/>
      </c>
      <c r="R749" s="307" t="str">
        <f>IFERROR(VLOOKUP($A742&amp;J749,competitors,4,FALSE),"")</f>
        <v/>
      </c>
    </row>
    <row r="750" spans="17:18" x14ac:dyDescent="0.35">
      <c r="Q750" s="307" t="str">
        <f>IFERROR(VLOOKUP($A742&amp;D750,competitors,4,FALSE),"")</f>
        <v/>
      </c>
      <c r="R750" s="307" t="str">
        <f>IFERROR(VLOOKUP($A742&amp;J750,competitors,4,FALSE),"")</f>
        <v/>
      </c>
    </row>
    <row r="751" spans="17:18" x14ac:dyDescent="0.35">
      <c r="Q751" s="307" t="str">
        <f>IFERROR(VLOOKUP($A742&amp;D751,competitors,4,FALSE),"")</f>
        <v/>
      </c>
      <c r="R751" s="307" t="str">
        <f>IFERROR(VLOOKUP($A742&amp;J751,competitors,4,FALSE),"")</f>
        <v/>
      </c>
    </row>
    <row r="752" spans="17:18" x14ac:dyDescent="0.35">
      <c r="Q752" s="307"/>
      <c r="R752" s="307"/>
    </row>
    <row r="753" spans="17:18" x14ac:dyDescent="0.35">
      <c r="Q753" s="307"/>
      <c r="R753" s="307"/>
    </row>
    <row r="754" spans="17:18" x14ac:dyDescent="0.35">
      <c r="Q754" s="307"/>
      <c r="R754" s="307"/>
    </row>
    <row r="755" spans="17:18" x14ac:dyDescent="0.35">
      <c r="Q755" s="307" t="str">
        <f>IFERROR(VLOOKUP($A753&amp;D755,competitors,4,FALSE),"")</f>
        <v/>
      </c>
      <c r="R755" s="307" t="str">
        <f>IFERROR(VLOOKUP($A753&amp;J755,competitors,4,FALSE),"")</f>
        <v/>
      </c>
    </row>
    <row r="756" spans="17:18" x14ac:dyDescent="0.35">
      <c r="Q756" s="307" t="str">
        <f>IFERROR(VLOOKUP($A753&amp;D756,competitors,4,FALSE),"")</f>
        <v/>
      </c>
      <c r="R756" s="307" t="str">
        <f>IFERROR(VLOOKUP($A753&amp;J756,competitors,4,FALSE),"")</f>
        <v/>
      </c>
    </row>
    <row r="757" spans="17:18" x14ac:dyDescent="0.35">
      <c r="Q757" s="307" t="str">
        <f>IFERROR(VLOOKUP($A753&amp;D757,competitors,4,FALSE),"")</f>
        <v/>
      </c>
      <c r="R757" s="307" t="str">
        <f>IFERROR(VLOOKUP($A753&amp;J757,competitors,4,FALSE),"")</f>
        <v/>
      </c>
    </row>
    <row r="758" spans="17:18" x14ac:dyDescent="0.35">
      <c r="Q758" s="307" t="str">
        <f>IFERROR(VLOOKUP($A753&amp;D758,competitors,4,FALSE),"")</f>
        <v/>
      </c>
      <c r="R758" s="307" t="str">
        <f>IFERROR(VLOOKUP($A753&amp;J758,competitors,4,FALSE),"")</f>
        <v/>
      </c>
    </row>
    <row r="759" spans="17:18" x14ac:dyDescent="0.35">
      <c r="Q759" s="307" t="str">
        <f>IFERROR(VLOOKUP($A753&amp;D759,competitors,4,FALSE),"")</f>
        <v/>
      </c>
      <c r="R759" s="307" t="str">
        <f>IFERROR(VLOOKUP($A753&amp;J759,competitors,4,FALSE),"")</f>
        <v/>
      </c>
    </row>
    <row r="760" spans="17:18" x14ac:dyDescent="0.35">
      <c r="Q760" s="307" t="str">
        <f>IFERROR(VLOOKUP($A753&amp;D760,competitors,4,FALSE),"")</f>
        <v/>
      </c>
      <c r="R760" s="307" t="str">
        <f>IFERROR(VLOOKUP($A753&amp;J760,competitors,4,FALSE),"")</f>
        <v/>
      </c>
    </row>
    <row r="761" spans="17:18" x14ac:dyDescent="0.35">
      <c r="Q761" s="307" t="str">
        <f>IFERROR(VLOOKUP($A753&amp;D761,competitors,4,FALSE),"")</f>
        <v/>
      </c>
      <c r="R761" s="307" t="str">
        <f>IFERROR(VLOOKUP($A753&amp;J761,competitors,4,FALSE),"")</f>
        <v/>
      </c>
    </row>
    <row r="762" spans="17:18" x14ac:dyDescent="0.35">
      <c r="Q762" s="307" t="str">
        <f>IFERROR(VLOOKUP($A753&amp;D762,competitors,4,FALSE),"")</f>
        <v/>
      </c>
      <c r="R762" s="307" t="str">
        <f>IFERROR(VLOOKUP($A753&amp;J762,competitors,4,FALSE),"")</f>
        <v/>
      </c>
    </row>
    <row r="763" spans="17:18" x14ac:dyDescent="0.35">
      <c r="Q763" s="307"/>
      <c r="R763" s="307"/>
    </row>
    <row r="764" spans="17:18" x14ac:dyDescent="0.35">
      <c r="Q764" s="307"/>
      <c r="R764" s="307"/>
    </row>
    <row r="765" spans="17:18" x14ac:dyDescent="0.35">
      <c r="Q765" s="307"/>
      <c r="R765" s="307"/>
    </row>
    <row r="766" spans="17:18" x14ac:dyDescent="0.35">
      <c r="Q766" s="307" t="str">
        <f>IFERROR(VLOOKUP($A764&amp;D766,competitors,4,FALSE),"")</f>
        <v/>
      </c>
      <c r="R766" s="307" t="str">
        <f>IFERROR(VLOOKUP($A764&amp;J766,competitors,4,FALSE),"")</f>
        <v/>
      </c>
    </row>
    <row r="767" spans="17:18" x14ac:dyDescent="0.35">
      <c r="Q767" s="307" t="str">
        <f>IFERROR(VLOOKUP($A764&amp;D767,competitors,4,FALSE),"")</f>
        <v/>
      </c>
      <c r="R767" s="307" t="str">
        <f>IFERROR(VLOOKUP($A764&amp;J767,competitors,4,FALSE),"")</f>
        <v/>
      </c>
    </row>
    <row r="768" spans="17:18" x14ac:dyDescent="0.35">
      <c r="Q768" s="307" t="str">
        <f>IFERROR(VLOOKUP($A764&amp;D768,competitors,4,FALSE),"")</f>
        <v/>
      </c>
      <c r="R768" s="307" t="str">
        <f>IFERROR(VLOOKUP($A764&amp;J768,competitors,4,FALSE),"")</f>
        <v/>
      </c>
    </row>
    <row r="769" spans="17:18" x14ac:dyDescent="0.35">
      <c r="Q769" s="307" t="str">
        <f>IFERROR(VLOOKUP($A764&amp;D769,competitors,4,FALSE),"")</f>
        <v/>
      </c>
      <c r="R769" s="307" t="str">
        <f>IFERROR(VLOOKUP($A764&amp;J769,competitors,4,FALSE),"")</f>
        <v/>
      </c>
    </row>
    <row r="770" spans="17:18" x14ac:dyDescent="0.35">
      <c r="Q770" s="307" t="str">
        <f>IFERROR(VLOOKUP($A764&amp;D770,competitors,4,FALSE),"")</f>
        <v/>
      </c>
      <c r="R770" s="307" t="str">
        <f>IFERROR(VLOOKUP($A764&amp;J770,competitors,4,FALSE),"")</f>
        <v/>
      </c>
    </row>
    <row r="771" spans="17:18" x14ac:dyDescent="0.35">
      <c r="Q771" s="307" t="str">
        <f>IFERROR(VLOOKUP($A764&amp;D771,competitors,4,FALSE),"")</f>
        <v/>
      </c>
      <c r="R771" s="307" t="str">
        <f>IFERROR(VLOOKUP($A764&amp;J771,competitors,4,FALSE),"")</f>
        <v/>
      </c>
    </row>
    <row r="772" spans="17:18" x14ac:dyDescent="0.35">
      <c r="Q772" s="307" t="str">
        <f>IFERROR(VLOOKUP($A764&amp;D772,competitors,4,FALSE),"")</f>
        <v/>
      </c>
      <c r="R772" s="307" t="str">
        <f>IFERROR(VLOOKUP($A764&amp;J772,competitors,4,FALSE),"")</f>
        <v/>
      </c>
    </row>
    <row r="773" spans="17:18" x14ac:dyDescent="0.35">
      <c r="Q773" s="307" t="str">
        <f>IFERROR(VLOOKUP($A764&amp;D773,competitors,4,FALSE),"")</f>
        <v/>
      </c>
      <c r="R773" s="307" t="str">
        <f>IFERROR(VLOOKUP($A764&amp;J773,competitors,4,FALSE),"")</f>
        <v/>
      </c>
    </row>
    <row r="774" spans="17:18" x14ac:dyDescent="0.35">
      <c r="Q774" s="307"/>
      <c r="R774" s="307"/>
    </row>
    <row r="775" spans="17:18" x14ac:dyDescent="0.35">
      <c r="Q775" s="307"/>
      <c r="R775" s="307"/>
    </row>
    <row r="776" spans="17:18" x14ac:dyDescent="0.35">
      <c r="Q776" s="307"/>
      <c r="R776" s="307"/>
    </row>
    <row r="777" spans="17:18" x14ac:dyDescent="0.35">
      <c r="Q777" s="307" t="str">
        <f>IFERROR(VLOOKUP($A764&amp;D777,competitors,4,FALSE),"")</f>
        <v/>
      </c>
      <c r="R777" s="307" t="str">
        <f>IFERROR(VLOOKUP($A764&amp;J777,competitors,4,FALSE),"")</f>
        <v/>
      </c>
    </row>
    <row r="778" spans="17:18" x14ac:dyDescent="0.35">
      <c r="Q778" s="307" t="str">
        <f>IFERROR(VLOOKUP($A764&amp;D778,competitors,4,FALSE),"")</f>
        <v/>
      </c>
      <c r="R778" s="307" t="str">
        <f>IFERROR(VLOOKUP($A764&amp;J778,competitors,4,FALSE),"")</f>
        <v/>
      </c>
    </row>
    <row r="779" spans="17:18" x14ac:dyDescent="0.35">
      <c r="Q779" s="307" t="str">
        <f>IFERROR(VLOOKUP($A764&amp;D779,competitors,4,FALSE),"")</f>
        <v/>
      </c>
      <c r="R779" s="307" t="str">
        <f>IFERROR(VLOOKUP($A764&amp;J779,competitors,4,FALSE),"")</f>
        <v/>
      </c>
    </row>
    <row r="780" spans="17:18" x14ac:dyDescent="0.35">
      <c r="Q780" s="307" t="str">
        <f>IFERROR(VLOOKUP($A764&amp;D780,competitors,4,FALSE),"")</f>
        <v/>
      </c>
      <c r="R780" s="307" t="str">
        <f>IFERROR(VLOOKUP($A764&amp;J780,competitors,4,FALSE),"")</f>
        <v/>
      </c>
    </row>
    <row r="781" spans="17:18" x14ac:dyDescent="0.35">
      <c r="Q781" s="307" t="str">
        <f>IFERROR(VLOOKUP($A764&amp;D781,competitors,4,FALSE),"")</f>
        <v/>
      </c>
      <c r="R781" s="307" t="str">
        <f>IFERROR(VLOOKUP($A764&amp;J781,competitors,4,FALSE),"")</f>
        <v/>
      </c>
    </row>
    <row r="782" spans="17:18" x14ac:dyDescent="0.35">
      <c r="Q782" s="307" t="str">
        <f>IFERROR(VLOOKUP($A764&amp;D782,competitors,4,FALSE),"")</f>
        <v/>
      </c>
      <c r="R782" s="307" t="str">
        <f>IFERROR(VLOOKUP($A764&amp;J782,competitors,4,FALSE),"")</f>
        <v/>
      </c>
    </row>
    <row r="783" spans="17:18" x14ac:dyDescent="0.35">
      <c r="Q783" s="307" t="str">
        <f>IFERROR(VLOOKUP($A764&amp;D783,competitors,4,FALSE),"")</f>
        <v/>
      </c>
      <c r="R783" s="307" t="str">
        <f>IFERROR(VLOOKUP($A764&amp;J783,competitors,4,FALSE),"")</f>
        <v/>
      </c>
    </row>
    <row r="784" spans="17:18" x14ac:dyDescent="0.35">
      <c r="Q784" s="307" t="str">
        <f>IFERROR(VLOOKUP($A764&amp;D784,competitors,4,FALSE),"")</f>
        <v/>
      </c>
      <c r="R784" s="307" t="str">
        <f>IFERROR(VLOOKUP($A764&amp;J784,competitors,4,FALSE),"")</f>
        <v/>
      </c>
    </row>
    <row r="785" spans="17:18" x14ac:dyDescent="0.35">
      <c r="Q785" s="307"/>
      <c r="R785" s="307"/>
    </row>
    <row r="786" spans="17:18" x14ac:dyDescent="0.35">
      <c r="Q786" s="307"/>
      <c r="R786" s="307"/>
    </row>
    <row r="787" spans="17:18" x14ac:dyDescent="0.35">
      <c r="Q787" s="307"/>
      <c r="R787" s="307"/>
    </row>
    <row r="788" spans="17:18" x14ac:dyDescent="0.35">
      <c r="Q788" s="307" t="str">
        <f>IFERROR(VLOOKUP($A786&amp;D788,competitors,4,FALSE),"")</f>
        <v/>
      </c>
      <c r="R788" s="307" t="str">
        <f>IFERROR(VLOOKUP($A786&amp;J788,competitors,4,FALSE),"")</f>
        <v/>
      </c>
    </row>
    <row r="789" spans="17:18" x14ac:dyDescent="0.35">
      <c r="Q789" s="307" t="str">
        <f>IFERROR(VLOOKUP($A786&amp;D789,competitors,4,FALSE),"")</f>
        <v/>
      </c>
      <c r="R789" s="307" t="str">
        <f>IFERROR(VLOOKUP($A786&amp;J789,competitors,4,FALSE),"")</f>
        <v/>
      </c>
    </row>
    <row r="790" spans="17:18" x14ac:dyDescent="0.35">
      <c r="Q790" s="307" t="str">
        <f>IFERROR(VLOOKUP($A786&amp;D790,competitors,4,FALSE),"")</f>
        <v/>
      </c>
      <c r="R790" s="307" t="str">
        <f>IFERROR(VLOOKUP($A786&amp;J790,competitors,4,FALSE),"")</f>
        <v/>
      </c>
    </row>
    <row r="791" spans="17:18" x14ac:dyDescent="0.35">
      <c r="Q791" s="307" t="str">
        <f>IFERROR(VLOOKUP($A786&amp;D791,competitors,4,FALSE),"")</f>
        <v/>
      </c>
      <c r="R791" s="307" t="str">
        <f>IFERROR(VLOOKUP($A786&amp;J791,competitors,4,FALSE),"")</f>
        <v/>
      </c>
    </row>
    <row r="792" spans="17:18" x14ac:dyDescent="0.35">
      <c r="Q792" s="307" t="str">
        <f>IFERROR(VLOOKUP($A786&amp;D792,competitors,4,FALSE),"")</f>
        <v/>
      </c>
      <c r="R792" s="307" t="str">
        <f>IFERROR(VLOOKUP($A786&amp;J792,competitors,4,FALSE),"")</f>
        <v/>
      </c>
    </row>
    <row r="793" spans="17:18" x14ac:dyDescent="0.35">
      <c r="Q793" s="307" t="str">
        <f>IFERROR(VLOOKUP($A786&amp;D793,competitors,4,FALSE),"")</f>
        <v/>
      </c>
      <c r="R793" s="307" t="str">
        <f>IFERROR(VLOOKUP($A786&amp;J793,competitors,4,FALSE),"")</f>
        <v/>
      </c>
    </row>
    <row r="794" spans="17:18" x14ac:dyDescent="0.35">
      <c r="Q794" s="307" t="str">
        <f>IFERROR(VLOOKUP($A786&amp;D794,competitors,4,FALSE),"")</f>
        <v/>
      </c>
      <c r="R794" s="307" t="str">
        <f>IFERROR(VLOOKUP($A786&amp;J794,competitors,4,FALSE),"")</f>
        <v/>
      </c>
    </row>
    <row r="795" spans="17:18" x14ac:dyDescent="0.35">
      <c r="Q795" s="307" t="str">
        <f>IFERROR(VLOOKUP($A786&amp;D795,competitors,4,FALSE),"")</f>
        <v/>
      </c>
      <c r="R795" s="307" t="str">
        <f>IFERROR(VLOOKUP($A786&amp;J795,competitors,4,FALSE),"")</f>
        <v/>
      </c>
    </row>
    <row r="796" spans="17:18" x14ac:dyDescent="0.35">
      <c r="Q796" s="307"/>
      <c r="R796" s="307"/>
    </row>
    <row r="797" spans="17:18" x14ac:dyDescent="0.35">
      <c r="Q797" s="307"/>
      <c r="R797" s="307"/>
    </row>
    <row r="798" spans="17:18" x14ac:dyDescent="0.35">
      <c r="Q798" s="307"/>
      <c r="R798" s="307"/>
    </row>
    <row r="799" spans="17:18" x14ac:dyDescent="0.35">
      <c r="Q799" s="307" t="str">
        <f>IFERROR(VLOOKUP($A786&amp;D799,competitors,4,FALSE),"")</f>
        <v/>
      </c>
      <c r="R799" s="307" t="str">
        <f>IFERROR(VLOOKUP($A786&amp;J799,competitors,4,FALSE),"")</f>
        <v/>
      </c>
    </row>
    <row r="800" spans="17:18" x14ac:dyDescent="0.35">
      <c r="Q800" s="307" t="str">
        <f>IFERROR(VLOOKUP($A786&amp;D800,competitors,4,FALSE),"")</f>
        <v/>
      </c>
      <c r="R800" s="307" t="str">
        <f>IFERROR(VLOOKUP($A786&amp;J800,competitors,4,FALSE),"")</f>
        <v/>
      </c>
    </row>
    <row r="801" spans="17:18" x14ac:dyDescent="0.35">
      <c r="Q801" s="307" t="str">
        <f>IFERROR(VLOOKUP($A786&amp;D801,competitors,4,FALSE),"")</f>
        <v/>
      </c>
      <c r="R801" s="307" t="str">
        <f>IFERROR(VLOOKUP($A786&amp;J801,competitors,4,FALSE),"")</f>
        <v/>
      </c>
    </row>
    <row r="802" spans="17:18" x14ac:dyDescent="0.35">
      <c r="Q802" s="307" t="str">
        <f>IFERROR(VLOOKUP($A786&amp;D802,competitors,4,FALSE),"")</f>
        <v/>
      </c>
      <c r="R802" s="307" t="str">
        <f>IFERROR(VLOOKUP($A786&amp;J802,competitors,4,FALSE),"")</f>
        <v/>
      </c>
    </row>
    <row r="803" spans="17:18" x14ac:dyDescent="0.35">
      <c r="Q803" s="307" t="str">
        <f>IFERROR(VLOOKUP($A786&amp;D803,competitors,4,FALSE),"")</f>
        <v/>
      </c>
      <c r="R803" s="307" t="str">
        <f>IFERROR(VLOOKUP($A786&amp;J803,competitors,4,FALSE),"")</f>
        <v/>
      </c>
    </row>
    <row r="804" spans="17:18" x14ac:dyDescent="0.35">
      <c r="Q804" s="307" t="str">
        <f>IFERROR(VLOOKUP($A786&amp;D804,competitors,4,FALSE),"")</f>
        <v/>
      </c>
      <c r="R804" s="307" t="str">
        <f>IFERROR(VLOOKUP($A786&amp;J804,competitors,4,FALSE),"")</f>
        <v/>
      </c>
    </row>
    <row r="805" spans="17:18" x14ac:dyDescent="0.35">
      <c r="Q805" s="307" t="str">
        <f>IFERROR(VLOOKUP($A786&amp;D805,competitors,4,FALSE),"")</f>
        <v/>
      </c>
      <c r="R805" s="307" t="str">
        <f>IFERROR(VLOOKUP($A786&amp;J805,competitors,4,FALSE),"")</f>
        <v/>
      </c>
    </row>
    <row r="806" spans="17:18" x14ac:dyDescent="0.35">
      <c r="Q806" s="307" t="str">
        <f>IFERROR(VLOOKUP($A786&amp;D806,competitors,4,FALSE),"")</f>
        <v/>
      </c>
      <c r="R806" s="307" t="str">
        <f>IFERROR(VLOOKUP($A786&amp;J806,competitors,4,FALSE),"")</f>
        <v/>
      </c>
    </row>
    <row r="807" spans="17:18" x14ac:dyDescent="0.35">
      <c r="Q807" s="307"/>
      <c r="R807" s="307"/>
    </row>
    <row r="808" spans="17:18" x14ac:dyDescent="0.35">
      <c r="Q808" s="307"/>
      <c r="R808" s="307"/>
    </row>
    <row r="809" spans="17:18" x14ac:dyDescent="0.35">
      <c r="Q809" s="307"/>
      <c r="R809" s="307"/>
    </row>
    <row r="810" spans="17:18" x14ac:dyDescent="0.35">
      <c r="Q810" s="307" t="str">
        <f>IFERROR(VLOOKUP($A808&amp;D810,competitors,4,FALSE),"")</f>
        <v/>
      </c>
      <c r="R810" s="307" t="str">
        <f>IFERROR(VLOOKUP($A808&amp;J810,competitors,4,FALSE),"")</f>
        <v/>
      </c>
    </row>
    <row r="811" spans="17:18" x14ac:dyDescent="0.35">
      <c r="Q811" s="307" t="str">
        <f>IFERROR(VLOOKUP($A808&amp;D811,competitors,4,FALSE),"")</f>
        <v/>
      </c>
      <c r="R811" s="307" t="str">
        <f>IFERROR(VLOOKUP($A808&amp;J811,competitors,4,FALSE),"")</f>
        <v/>
      </c>
    </row>
    <row r="812" spans="17:18" x14ac:dyDescent="0.35">
      <c r="Q812" s="307" t="str">
        <f>IFERROR(VLOOKUP($A808&amp;D812,competitors,4,FALSE),"")</f>
        <v/>
      </c>
      <c r="R812" s="307" t="str">
        <f>IFERROR(VLOOKUP($A808&amp;J812,competitors,4,FALSE),"")</f>
        <v/>
      </c>
    </row>
    <row r="813" spans="17:18" x14ac:dyDescent="0.35">
      <c r="Q813" s="307" t="str">
        <f>IFERROR(VLOOKUP($A808&amp;D813,competitors,4,FALSE),"")</f>
        <v/>
      </c>
      <c r="R813" s="307" t="str">
        <f>IFERROR(VLOOKUP($A808&amp;J813,competitors,4,FALSE),"")</f>
        <v/>
      </c>
    </row>
    <row r="814" spans="17:18" x14ac:dyDescent="0.35">
      <c r="Q814" s="307" t="str">
        <f>IFERROR(VLOOKUP($A808&amp;D814,competitors,4,FALSE),"")</f>
        <v/>
      </c>
      <c r="R814" s="307" t="str">
        <f>IFERROR(VLOOKUP($A808&amp;J814,competitors,4,FALSE),"")</f>
        <v/>
      </c>
    </row>
    <row r="815" spans="17:18" x14ac:dyDescent="0.35">
      <c r="Q815" s="307" t="str">
        <f>IFERROR(VLOOKUP($A808&amp;D815,competitors,4,FALSE),"")</f>
        <v/>
      </c>
      <c r="R815" s="307" t="str">
        <f>IFERROR(VLOOKUP($A808&amp;J815,competitors,4,FALSE),"")</f>
        <v/>
      </c>
    </row>
    <row r="816" spans="17:18" x14ac:dyDescent="0.35">
      <c r="Q816" s="307" t="str">
        <f>IFERROR(VLOOKUP($A808&amp;D816,competitors,4,FALSE),"")</f>
        <v/>
      </c>
      <c r="R816" s="307" t="str">
        <f>IFERROR(VLOOKUP($A808&amp;J816,competitors,4,FALSE),"")</f>
        <v/>
      </c>
    </row>
    <row r="817" spans="17:18" x14ac:dyDescent="0.35">
      <c r="Q817" s="307" t="str">
        <f>IFERROR(VLOOKUP($A808&amp;D817,competitors,4,FALSE),"")</f>
        <v/>
      </c>
      <c r="R817" s="307" t="str">
        <f>IFERROR(VLOOKUP($A808&amp;J817,competitors,4,FALSE),"")</f>
        <v/>
      </c>
    </row>
    <row r="818" spans="17:18" x14ac:dyDescent="0.35">
      <c r="Q818" s="307"/>
      <c r="R818" s="307"/>
    </row>
    <row r="819" spans="17:18" x14ac:dyDescent="0.35">
      <c r="Q819" s="307"/>
      <c r="R819" s="307"/>
    </row>
    <row r="820" spans="17:18" x14ac:dyDescent="0.35">
      <c r="Q820" s="307"/>
      <c r="R820" s="307"/>
    </row>
    <row r="821" spans="17:18" x14ac:dyDescent="0.35">
      <c r="Q821" s="307" t="str">
        <f>IFERROR(VLOOKUP($A819&amp;D821,competitors,4,FALSE),"")</f>
        <v/>
      </c>
      <c r="R821" s="307" t="str">
        <f>IFERROR(VLOOKUP($A819&amp;J821,competitors,4,FALSE),"")</f>
        <v/>
      </c>
    </row>
    <row r="822" spans="17:18" x14ac:dyDescent="0.35">
      <c r="Q822" s="307" t="str">
        <f>IFERROR(VLOOKUP($A819&amp;D822,competitors,4,FALSE),"")</f>
        <v/>
      </c>
      <c r="R822" s="307" t="str">
        <f>IFERROR(VLOOKUP($A819&amp;J822,competitors,4,FALSE),"")</f>
        <v/>
      </c>
    </row>
    <row r="823" spans="17:18" x14ac:dyDescent="0.35">
      <c r="Q823" s="307" t="str">
        <f>IFERROR(VLOOKUP($A819&amp;D823,competitors,4,FALSE),"")</f>
        <v/>
      </c>
      <c r="R823" s="307" t="str">
        <f>IFERROR(VLOOKUP($A819&amp;J823,competitors,4,FALSE),"")</f>
        <v/>
      </c>
    </row>
    <row r="824" spans="17:18" x14ac:dyDescent="0.35">
      <c r="Q824" s="307" t="str">
        <f>IFERROR(VLOOKUP($A819&amp;D824,competitors,4,FALSE),"")</f>
        <v/>
      </c>
      <c r="R824" s="307" t="str">
        <f>IFERROR(VLOOKUP($A819&amp;J824,competitors,4,FALSE),"")</f>
        <v/>
      </c>
    </row>
    <row r="825" spans="17:18" x14ac:dyDescent="0.35">
      <c r="Q825" s="307" t="str">
        <f>IFERROR(VLOOKUP($A819&amp;D825,competitors,4,FALSE),"")</f>
        <v/>
      </c>
      <c r="R825" s="307" t="str">
        <f>IFERROR(VLOOKUP($A819&amp;J825,competitors,4,FALSE),"")</f>
        <v/>
      </c>
    </row>
    <row r="826" spans="17:18" x14ac:dyDescent="0.35">
      <c r="Q826" s="307" t="str">
        <f>IFERROR(VLOOKUP($A819&amp;D826,competitors,4,FALSE),"")</f>
        <v/>
      </c>
      <c r="R826" s="307" t="str">
        <f>IFERROR(VLOOKUP($A819&amp;J826,competitors,4,FALSE),"")</f>
        <v/>
      </c>
    </row>
    <row r="827" spans="17:18" x14ac:dyDescent="0.35">
      <c r="Q827" s="307" t="str">
        <f>IFERROR(VLOOKUP($A819&amp;D827,competitors,4,FALSE),"")</f>
        <v/>
      </c>
      <c r="R827" s="307" t="str">
        <f>IFERROR(VLOOKUP($A819&amp;J827,competitors,4,FALSE),"")</f>
        <v/>
      </c>
    </row>
    <row r="828" spans="17:18" x14ac:dyDescent="0.35">
      <c r="Q828" s="307" t="str">
        <f>IFERROR(VLOOKUP($A819&amp;D828,competitors,4,FALSE),"")</f>
        <v/>
      </c>
      <c r="R828" s="307" t="str">
        <f>IFERROR(VLOOKUP($A819&amp;J828,competitors,4,FALSE),"")</f>
        <v/>
      </c>
    </row>
    <row r="829" spans="17:18" x14ac:dyDescent="0.35">
      <c r="Q829" s="307"/>
      <c r="R829" s="307"/>
    </row>
    <row r="830" spans="17:18" x14ac:dyDescent="0.35">
      <c r="Q830" s="307"/>
      <c r="R830" s="307"/>
    </row>
    <row r="831" spans="17:18" x14ac:dyDescent="0.35">
      <c r="Q831" s="307"/>
      <c r="R831" s="307"/>
    </row>
    <row r="832" spans="17:18" x14ac:dyDescent="0.35">
      <c r="Q832" s="307" t="str">
        <f>IFERROR(VLOOKUP($A830&amp;D832,competitors,4,FALSE),"")</f>
        <v/>
      </c>
      <c r="R832" s="307" t="str">
        <f>IFERROR(VLOOKUP($A830&amp;J832,competitors,4,FALSE),"")</f>
        <v/>
      </c>
    </row>
    <row r="833" spans="17:18" x14ac:dyDescent="0.35">
      <c r="Q833" s="307" t="str">
        <f>IFERROR(VLOOKUP($A830&amp;D833,competitors,4,FALSE),"")</f>
        <v/>
      </c>
      <c r="R833" s="307" t="str">
        <f>IFERROR(VLOOKUP($A830&amp;J833,competitors,4,FALSE),"")</f>
        <v/>
      </c>
    </row>
    <row r="834" spans="17:18" x14ac:dyDescent="0.35">
      <c r="Q834" s="307" t="str">
        <f>IFERROR(VLOOKUP($A830&amp;D834,competitors,4,FALSE),"")</f>
        <v/>
      </c>
      <c r="R834" s="307" t="str">
        <f>IFERROR(VLOOKUP($A830&amp;J834,competitors,4,FALSE),"")</f>
        <v/>
      </c>
    </row>
    <row r="835" spans="17:18" x14ac:dyDescent="0.35">
      <c r="Q835" s="307" t="str">
        <f>IFERROR(VLOOKUP($A830&amp;D835,competitors,4,FALSE),"")</f>
        <v/>
      </c>
      <c r="R835" s="307" t="str">
        <f>IFERROR(VLOOKUP($A830&amp;J835,competitors,4,FALSE),"")</f>
        <v/>
      </c>
    </row>
    <row r="836" spans="17:18" x14ac:dyDescent="0.35">
      <c r="Q836" s="307" t="str">
        <f>IFERROR(VLOOKUP($A830&amp;D836,competitors,4,FALSE),"")</f>
        <v/>
      </c>
      <c r="R836" s="307" t="str">
        <f>IFERROR(VLOOKUP($A830&amp;J836,competitors,4,FALSE),"")</f>
        <v/>
      </c>
    </row>
    <row r="837" spans="17:18" x14ac:dyDescent="0.35">
      <c r="Q837" s="307" t="str">
        <f>IFERROR(VLOOKUP($A830&amp;D837,competitors,4,FALSE),"")</f>
        <v/>
      </c>
      <c r="R837" s="307" t="str">
        <f>IFERROR(VLOOKUP($A830&amp;J837,competitors,4,FALSE),"")</f>
        <v/>
      </c>
    </row>
    <row r="838" spans="17:18" x14ac:dyDescent="0.35">
      <c r="Q838" s="307" t="str">
        <f>IFERROR(VLOOKUP($A830&amp;D838,competitors,4,FALSE),"")</f>
        <v/>
      </c>
      <c r="R838" s="307" t="str">
        <f>IFERROR(VLOOKUP($A830&amp;J838,competitors,4,FALSE),"")</f>
        <v/>
      </c>
    </row>
    <row r="839" spans="17:18" x14ac:dyDescent="0.35">
      <c r="Q839" s="307" t="str">
        <f>IFERROR(VLOOKUP($A830&amp;D839,competitors,4,FALSE),"")</f>
        <v/>
      </c>
      <c r="R839" s="307" t="str">
        <f>IFERROR(VLOOKUP($A830&amp;J839,competitors,4,FALSE),"")</f>
        <v/>
      </c>
    </row>
    <row r="840" spans="17:18" x14ac:dyDescent="0.35">
      <c r="Q840" s="307"/>
      <c r="R840" s="307"/>
    </row>
    <row r="841" spans="17:18" x14ac:dyDescent="0.35">
      <c r="Q841" s="307"/>
      <c r="R841" s="307"/>
    </row>
    <row r="842" spans="17:18" x14ac:dyDescent="0.35">
      <c r="Q842" s="307"/>
      <c r="R842" s="307"/>
    </row>
    <row r="843" spans="17:18" x14ac:dyDescent="0.35">
      <c r="Q843" s="307" t="str">
        <f>IFERROR(VLOOKUP($A841&amp;D843,competitors,4,FALSE),"")</f>
        <v/>
      </c>
      <c r="R843" s="307" t="str">
        <f>IFERROR(VLOOKUP($A841&amp;J843,competitors,4,FALSE),"")</f>
        <v/>
      </c>
    </row>
    <row r="844" spans="17:18" x14ac:dyDescent="0.35">
      <c r="Q844" s="307" t="str">
        <f>IFERROR(VLOOKUP($A841&amp;D844,competitors,4,FALSE),"")</f>
        <v/>
      </c>
      <c r="R844" s="307" t="str">
        <f>IFERROR(VLOOKUP($A841&amp;J844,competitors,4,FALSE),"")</f>
        <v/>
      </c>
    </row>
    <row r="845" spans="17:18" x14ac:dyDescent="0.35">
      <c r="Q845" s="307" t="str">
        <f>IFERROR(VLOOKUP($A841&amp;D845,competitors,4,FALSE),"")</f>
        <v/>
      </c>
      <c r="R845" s="307" t="str">
        <f>IFERROR(VLOOKUP($A841&amp;J845,competitors,4,FALSE),"")</f>
        <v/>
      </c>
    </row>
    <row r="846" spans="17:18" x14ac:dyDescent="0.35">
      <c r="Q846" s="307" t="str">
        <f>IFERROR(VLOOKUP($A841&amp;D846,competitors,4,FALSE),"")</f>
        <v/>
      </c>
      <c r="R846" s="307" t="str">
        <f>IFERROR(VLOOKUP($A841&amp;J846,competitors,4,FALSE),"")</f>
        <v/>
      </c>
    </row>
    <row r="847" spans="17:18" x14ac:dyDescent="0.35">
      <c r="Q847" s="307" t="str">
        <f>IFERROR(VLOOKUP($A841&amp;D847,competitors,4,FALSE),"")</f>
        <v/>
      </c>
      <c r="R847" s="307" t="str">
        <f>IFERROR(VLOOKUP($A841&amp;J847,competitors,4,FALSE),"")</f>
        <v/>
      </c>
    </row>
    <row r="848" spans="17:18" x14ac:dyDescent="0.35">
      <c r="Q848" s="307" t="str">
        <f>IFERROR(VLOOKUP($A841&amp;D848,competitors,4,FALSE),"")</f>
        <v/>
      </c>
      <c r="R848" s="307" t="str">
        <f>IFERROR(VLOOKUP($A841&amp;J848,competitors,4,FALSE),"")</f>
        <v/>
      </c>
    </row>
    <row r="849" spans="17:18" x14ac:dyDescent="0.35">
      <c r="Q849" s="307" t="str">
        <f>IFERROR(VLOOKUP($A841&amp;D849,competitors,4,FALSE),"")</f>
        <v/>
      </c>
      <c r="R849" s="307" t="str">
        <f>IFERROR(VLOOKUP($A841&amp;J849,competitors,4,FALSE),"")</f>
        <v/>
      </c>
    </row>
    <row r="850" spans="17:18" x14ac:dyDescent="0.35">
      <c r="Q850" s="307" t="str">
        <f>IFERROR(VLOOKUP($A841&amp;D850,competitors,4,FALSE),"")</f>
        <v/>
      </c>
      <c r="R850" s="307" t="str">
        <f>IFERROR(VLOOKUP($A841&amp;J850,competitors,4,FALSE),"")</f>
        <v/>
      </c>
    </row>
    <row r="851" spans="17:18" x14ac:dyDescent="0.35">
      <c r="Q851" s="307"/>
      <c r="R851" s="307"/>
    </row>
    <row r="852" spans="17:18" x14ac:dyDescent="0.35">
      <c r="Q852" s="307"/>
      <c r="R852" s="307"/>
    </row>
    <row r="853" spans="17:18" x14ac:dyDescent="0.35">
      <c r="Q853" s="307"/>
      <c r="R853" s="307"/>
    </row>
    <row r="854" spans="17:18" x14ac:dyDescent="0.35">
      <c r="Q854" s="307" t="str">
        <f>IFERROR(VLOOKUP($A852&amp;D854,competitors,4,FALSE),"")</f>
        <v/>
      </c>
      <c r="R854" s="307" t="str">
        <f>IFERROR(VLOOKUP($A852&amp;J854,competitors,4,FALSE),"")</f>
        <v/>
      </c>
    </row>
    <row r="855" spans="17:18" x14ac:dyDescent="0.35">
      <c r="Q855" s="307" t="str">
        <f>IFERROR(VLOOKUP($A852&amp;D855,competitors,4,FALSE),"")</f>
        <v/>
      </c>
      <c r="R855" s="307" t="str">
        <f>IFERROR(VLOOKUP($A852&amp;J855,competitors,4,FALSE),"")</f>
        <v/>
      </c>
    </row>
    <row r="856" spans="17:18" x14ac:dyDescent="0.35">
      <c r="Q856" s="307" t="str">
        <f>IFERROR(VLOOKUP($A852&amp;D856,competitors,4,FALSE),"")</f>
        <v/>
      </c>
      <c r="R856" s="307" t="str">
        <f>IFERROR(VLOOKUP($A852&amp;J856,competitors,4,FALSE),"")</f>
        <v/>
      </c>
    </row>
    <row r="857" spans="17:18" x14ac:dyDescent="0.35">
      <c r="Q857" s="307" t="str">
        <f>IFERROR(VLOOKUP($A852&amp;D857,competitors,4,FALSE),"")</f>
        <v/>
      </c>
      <c r="R857" s="307" t="str">
        <f>IFERROR(VLOOKUP($A852&amp;J857,competitors,4,FALSE),"")</f>
        <v/>
      </c>
    </row>
    <row r="858" spans="17:18" x14ac:dyDescent="0.35">
      <c r="Q858" s="307" t="str">
        <f>IFERROR(VLOOKUP($A852&amp;D858,competitors,4,FALSE),"")</f>
        <v/>
      </c>
      <c r="R858" s="307" t="str">
        <f>IFERROR(VLOOKUP($A852&amp;J858,competitors,4,FALSE),"")</f>
        <v/>
      </c>
    </row>
    <row r="859" spans="17:18" x14ac:dyDescent="0.35">
      <c r="Q859" s="307" t="str">
        <f>IFERROR(VLOOKUP($A852&amp;D859,competitors,4,FALSE),"")</f>
        <v/>
      </c>
      <c r="R859" s="307" t="str">
        <f>IFERROR(VLOOKUP($A852&amp;J859,competitors,4,FALSE),"")</f>
        <v/>
      </c>
    </row>
    <row r="860" spans="17:18" x14ac:dyDescent="0.35">
      <c r="Q860" s="307" t="str">
        <f>IFERROR(VLOOKUP($A852&amp;D860,competitors,4,FALSE),"")</f>
        <v/>
      </c>
      <c r="R860" s="307" t="str">
        <f>IFERROR(VLOOKUP($A852&amp;J860,competitors,4,FALSE),"")</f>
        <v/>
      </c>
    </row>
    <row r="861" spans="17:18" x14ac:dyDescent="0.35">
      <c r="Q861" s="307" t="str">
        <f>IFERROR(VLOOKUP($A852&amp;D861,competitors,4,FALSE),"")</f>
        <v/>
      </c>
      <c r="R861" s="307" t="str">
        <f>IFERROR(VLOOKUP($A852&amp;J861,competitors,4,FALSE),"")</f>
        <v/>
      </c>
    </row>
    <row r="862" spans="17:18" x14ac:dyDescent="0.35">
      <c r="Q862" s="307"/>
      <c r="R862" s="307"/>
    </row>
    <row r="863" spans="17:18" x14ac:dyDescent="0.35">
      <c r="Q863" s="307"/>
      <c r="R863" s="307"/>
    </row>
    <row r="864" spans="17:18" x14ac:dyDescent="0.35">
      <c r="Q864" s="307"/>
      <c r="R864" s="307"/>
    </row>
    <row r="865" spans="17:18" x14ac:dyDescent="0.35">
      <c r="Q865" s="307" t="str">
        <f>IFERROR(VLOOKUP($A863&amp;D865,competitors,4,FALSE),"")</f>
        <v/>
      </c>
      <c r="R865" s="307" t="str">
        <f>IFERROR(VLOOKUP($A863&amp;J865,competitors,4,FALSE),"")</f>
        <v/>
      </c>
    </row>
    <row r="866" spans="17:18" x14ac:dyDescent="0.35">
      <c r="Q866" s="307" t="str">
        <f>IFERROR(VLOOKUP($A863&amp;D866,competitors,4,FALSE),"")</f>
        <v/>
      </c>
      <c r="R866" s="307" t="str">
        <f>IFERROR(VLOOKUP($A863&amp;J866,competitors,4,FALSE),"")</f>
        <v/>
      </c>
    </row>
    <row r="867" spans="17:18" x14ac:dyDescent="0.35">
      <c r="Q867" s="307" t="str">
        <f>IFERROR(VLOOKUP($A863&amp;D867,competitors,4,FALSE),"")</f>
        <v/>
      </c>
      <c r="R867" s="307" t="str">
        <f>IFERROR(VLOOKUP($A863&amp;J867,competitors,4,FALSE),"")</f>
        <v/>
      </c>
    </row>
    <row r="868" spans="17:18" x14ac:dyDescent="0.35">
      <c r="Q868" s="307" t="str">
        <f>IFERROR(VLOOKUP($A863&amp;D868,competitors,4,FALSE),"")</f>
        <v/>
      </c>
      <c r="R868" s="307" t="str">
        <f>IFERROR(VLOOKUP($A863&amp;J868,competitors,4,FALSE),"")</f>
        <v/>
      </c>
    </row>
    <row r="869" spans="17:18" x14ac:dyDescent="0.35">
      <c r="Q869" s="307" t="str">
        <f>IFERROR(VLOOKUP($A863&amp;D869,competitors,4,FALSE),"")</f>
        <v/>
      </c>
      <c r="R869" s="307" t="str">
        <f>IFERROR(VLOOKUP($A863&amp;J869,competitors,4,FALSE),"")</f>
        <v/>
      </c>
    </row>
    <row r="870" spans="17:18" x14ac:dyDescent="0.35">
      <c r="Q870" s="307" t="str">
        <f>IFERROR(VLOOKUP($A863&amp;D870,competitors,4,FALSE),"")</f>
        <v/>
      </c>
      <c r="R870" s="307" t="str">
        <f>IFERROR(VLOOKUP($A863&amp;J870,competitors,4,FALSE),"")</f>
        <v/>
      </c>
    </row>
    <row r="871" spans="17:18" x14ac:dyDescent="0.35">
      <c r="Q871" s="307" t="str">
        <f>IFERROR(VLOOKUP($A863&amp;D871,competitors,4,FALSE),"")</f>
        <v/>
      </c>
      <c r="R871" s="307" t="str">
        <f>IFERROR(VLOOKUP($A863&amp;J871,competitors,4,FALSE),"")</f>
        <v/>
      </c>
    </row>
    <row r="872" spans="17:18" x14ac:dyDescent="0.35">
      <c r="Q872" s="307" t="str">
        <f>IFERROR(VLOOKUP($A863&amp;D872,competitors,4,FALSE),"")</f>
        <v/>
      </c>
      <c r="R872" s="307" t="str">
        <f>IFERROR(VLOOKUP($A863&amp;J872,competitors,4,FALSE),"")</f>
        <v/>
      </c>
    </row>
    <row r="873" spans="17:18" x14ac:dyDescent="0.35">
      <c r="Q873" s="307"/>
      <c r="R873" s="307"/>
    </row>
    <row r="874" spans="17:18" x14ac:dyDescent="0.35">
      <c r="Q874" s="307"/>
      <c r="R874" s="307"/>
    </row>
    <row r="875" spans="17:18" x14ac:dyDescent="0.35">
      <c r="Q875" s="307"/>
      <c r="R875" s="307"/>
    </row>
    <row r="876" spans="17:18" x14ac:dyDescent="0.35">
      <c r="Q876" s="307" t="str">
        <f>IFERROR(VLOOKUP($A874&amp;D876,competitors,4,FALSE),"")</f>
        <v/>
      </c>
      <c r="R876" s="307" t="str">
        <f>IFERROR(VLOOKUP($A874&amp;J876,competitors,4,FALSE),"")</f>
        <v/>
      </c>
    </row>
    <row r="877" spans="17:18" x14ac:dyDescent="0.35">
      <c r="Q877" s="307" t="str">
        <f>IFERROR(VLOOKUP($A874&amp;D877,competitors,4,FALSE),"")</f>
        <v/>
      </c>
      <c r="R877" s="307" t="str">
        <f>IFERROR(VLOOKUP($A874&amp;J877,competitors,4,FALSE),"")</f>
        <v/>
      </c>
    </row>
    <row r="878" spans="17:18" x14ac:dyDescent="0.35">
      <c r="Q878" s="307" t="str">
        <f>IFERROR(VLOOKUP($A874&amp;D878,competitors,4,FALSE),"")</f>
        <v/>
      </c>
      <c r="R878" s="307" t="str">
        <f>IFERROR(VLOOKUP($A874&amp;J878,competitors,4,FALSE),"")</f>
        <v/>
      </c>
    </row>
    <row r="879" spans="17:18" x14ac:dyDescent="0.35">
      <c r="Q879" s="307" t="str">
        <f>IFERROR(VLOOKUP($A874&amp;D879,competitors,4,FALSE),"")</f>
        <v/>
      </c>
      <c r="R879" s="307" t="str">
        <f>IFERROR(VLOOKUP($A874&amp;J879,competitors,4,FALSE),"")</f>
        <v/>
      </c>
    </row>
    <row r="880" spans="17:18" x14ac:dyDescent="0.35">
      <c r="Q880" s="307" t="str">
        <f>IFERROR(VLOOKUP($A874&amp;D880,competitors,4,FALSE),"")</f>
        <v/>
      </c>
      <c r="R880" s="307" t="str">
        <f>IFERROR(VLOOKUP($A874&amp;J880,competitors,4,FALSE),"")</f>
        <v/>
      </c>
    </row>
    <row r="881" spans="17:18" x14ac:dyDescent="0.35">
      <c r="Q881" s="307" t="str">
        <f>IFERROR(VLOOKUP($A874&amp;D881,competitors,4,FALSE),"")</f>
        <v/>
      </c>
      <c r="R881" s="307" t="str">
        <f>IFERROR(VLOOKUP($A874&amp;J881,competitors,4,FALSE),"")</f>
        <v/>
      </c>
    </row>
    <row r="882" spans="17:18" x14ac:dyDescent="0.35">
      <c r="Q882" s="307" t="str">
        <f>IFERROR(VLOOKUP($A874&amp;D882,competitors,4,FALSE),"")</f>
        <v/>
      </c>
      <c r="R882" s="307" t="str">
        <f>IFERROR(VLOOKUP($A874&amp;J882,competitors,4,FALSE),"")</f>
        <v/>
      </c>
    </row>
    <row r="883" spans="17:18" x14ac:dyDescent="0.35">
      <c r="Q883" s="307" t="str">
        <f>IFERROR(VLOOKUP($A874&amp;D883,competitors,4,FALSE),"")</f>
        <v/>
      </c>
      <c r="R883" s="307" t="str">
        <f>IFERROR(VLOOKUP($A874&amp;J883,competitors,4,FALSE),"")</f>
        <v/>
      </c>
    </row>
    <row r="884" spans="17:18" x14ac:dyDescent="0.35">
      <c r="Q884" s="307"/>
      <c r="R884" s="307"/>
    </row>
    <row r="885" spans="17:18" x14ac:dyDescent="0.35">
      <c r="Q885" s="307"/>
      <c r="R885" s="307"/>
    </row>
    <row r="886" spans="17:18" x14ac:dyDescent="0.35">
      <c r="Q886" s="307"/>
      <c r="R886" s="307"/>
    </row>
    <row r="887" spans="17:18" x14ac:dyDescent="0.35">
      <c r="Q887" s="307" t="str">
        <f>IFERROR(VLOOKUP($A885&amp;D887,competitors,4,FALSE),"")</f>
        <v/>
      </c>
      <c r="R887" s="307" t="str">
        <f>IFERROR(VLOOKUP($A885&amp;J887,competitors,4,FALSE),"")</f>
        <v/>
      </c>
    </row>
    <row r="888" spans="17:18" x14ac:dyDescent="0.35">
      <c r="Q888" s="307" t="str">
        <f>IFERROR(VLOOKUP($A885&amp;D888,competitors,4,FALSE),"")</f>
        <v/>
      </c>
      <c r="R888" s="307" t="str">
        <f>IFERROR(VLOOKUP($A885&amp;J888,competitors,4,FALSE),"")</f>
        <v/>
      </c>
    </row>
    <row r="889" spans="17:18" x14ac:dyDescent="0.35">
      <c r="Q889" s="307" t="str">
        <f>IFERROR(VLOOKUP($A885&amp;D889,competitors,4,FALSE),"")</f>
        <v/>
      </c>
      <c r="R889" s="307" t="str">
        <f>IFERROR(VLOOKUP($A885&amp;J889,competitors,4,FALSE),"")</f>
        <v/>
      </c>
    </row>
    <row r="890" spans="17:18" x14ac:dyDescent="0.35">
      <c r="Q890" s="307" t="str">
        <f>IFERROR(VLOOKUP($A885&amp;D890,competitors,4,FALSE),"")</f>
        <v/>
      </c>
      <c r="R890" s="307" t="str">
        <f>IFERROR(VLOOKUP($A885&amp;J890,competitors,4,FALSE),"")</f>
        <v/>
      </c>
    </row>
    <row r="891" spans="17:18" x14ac:dyDescent="0.35">
      <c r="Q891" s="307" t="str">
        <f>IFERROR(VLOOKUP($A885&amp;D891,competitors,4,FALSE),"")</f>
        <v/>
      </c>
      <c r="R891" s="307" t="str">
        <f>IFERROR(VLOOKUP($A885&amp;J891,competitors,4,FALSE),"")</f>
        <v/>
      </c>
    </row>
    <row r="892" spans="17:18" x14ac:dyDescent="0.35">
      <c r="Q892" s="307" t="str">
        <f>IFERROR(VLOOKUP($A885&amp;D892,competitors,4,FALSE),"")</f>
        <v/>
      </c>
      <c r="R892" s="307" t="str">
        <f>IFERROR(VLOOKUP($A885&amp;J892,competitors,4,FALSE),"")</f>
        <v/>
      </c>
    </row>
    <row r="893" spans="17:18" x14ac:dyDescent="0.35">
      <c r="Q893" s="307" t="str">
        <f>IFERROR(VLOOKUP($A885&amp;D893,competitors,4,FALSE),"")</f>
        <v/>
      </c>
      <c r="R893" s="307" t="str">
        <f>IFERROR(VLOOKUP($A885&amp;J893,competitors,4,FALSE),"")</f>
        <v/>
      </c>
    </row>
    <row r="894" spans="17:18" x14ac:dyDescent="0.35">
      <c r="Q894" s="307" t="str">
        <f>IFERROR(VLOOKUP($A885&amp;D894,competitors,4,FALSE),"")</f>
        <v/>
      </c>
      <c r="R894" s="307" t="str">
        <f>IFERROR(VLOOKUP($A885&amp;J894,competitors,4,FALSE),"")</f>
        <v/>
      </c>
    </row>
  </sheetData>
  <sheetProtection algorithmName="SHA-512" hashValue="nwmWFX1bTQlL6+ViVpRYFcmWNNxpVOqqR2qUre/YxhX3TxBNbjVpIcxExtZpnM5CltuznPWyI72bOLqqYPknPA==" saltValue="f06WW7XU35A86zcc8pFcKA==" spinCount="100000" sheet="1" objects="1" scenarios="1" formatCells="0" formatColumns="0" formatRows="0" sort="0" autoFilter="0"/>
  <autoFilter ref="C1:C699" xr:uid="{00000000-0009-0000-0000-000007000000}"/>
  <mergeCells count="56">
    <mergeCell ref="E677:K677"/>
    <mergeCell ref="E678:K678"/>
    <mergeCell ref="E679:K679"/>
    <mergeCell ref="E696:K696"/>
    <mergeCell ref="E653:K653"/>
    <mergeCell ref="E654:K654"/>
    <mergeCell ref="E655:K655"/>
    <mergeCell ref="E656:K656"/>
    <mergeCell ref="E657:K657"/>
    <mergeCell ref="E658:K658"/>
    <mergeCell ref="E659:K659"/>
    <mergeCell ref="E660:K660"/>
    <mergeCell ref="E691:K691"/>
    <mergeCell ref="E692:K692"/>
    <mergeCell ref="E693:K693"/>
    <mergeCell ref="E694:K694"/>
    <mergeCell ref="E676:L676"/>
    <mergeCell ref="E695:K695"/>
    <mergeCell ref="E682:K682"/>
    <mergeCell ref="E690:K690"/>
    <mergeCell ref="Q1:R1"/>
    <mergeCell ref="E652:L652"/>
    <mergeCell ref="E640:L640"/>
    <mergeCell ref="E628:L628"/>
    <mergeCell ref="E666:K666"/>
    <mergeCell ref="E636:K636"/>
    <mergeCell ref="E641:K641"/>
    <mergeCell ref="E642:K642"/>
    <mergeCell ref="E643:K643"/>
    <mergeCell ref="E644:K644"/>
    <mergeCell ref="E645:K645"/>
    <mergeCell ref="E646:K646"/>
    <mergeCell ref="E689:K689"/>
    <mergeCell ref="E683:K683"/>
    <mergeCell ref="E688:L688"/>
    <mergeCell ref="E632:K632"/>
    <mergeCell ref="E633:K633"/>
    <mergeCell ref="E634:K634"/>
    <mergeCell ref="E635:K635"/>
    <mergeCell ref="E668:K668"/>
    <mergeCell ref="E669:K669"/>
    <mergeCell ref="E670:K670"/>
    <mergeCell ref="E684:K684"/>
    <mergeCell ref="E665:K665"/>
    <mergeCell ref="E647:K647"/>
    <mergeCell ref="E680:K680"/>
    <mergeCell ref="E681:K681"/>
    <mergeCell ref="E672:K672"/>
    <mergeCell ref="H1:K1"/>
    <mergeCell ref="E648:K648"/>
    <mergeCell ref="E629:K629"/>
    <mergeCell ref="E630:K630"/>
    <mergeCell ref="E671:K671"/>
    <mergeCell ref="E631:K631"/>
    <mergeCell ref="E664:L664"/>
    <mergeCell ref="E667:K667"/>
  </mergeCells>
  <conditionalFormatting sqref="J5:J698">
    <cfRule type="expression" dxfId="77" priority="4">
      <formula>AND($R5&gt;=2,$R5&lt;4,$J5&lt;&gt;"",$J5&lt;&gt;"No.")</formula>
    </cfRule>
  </conditionalFormatting>
  <conditionalFormatting sqref="D5:D698">
    <cfRule type="expression" dxfId="76" priority="3">
      <formula>AND($Q5&gt;=2,$Q5&lt;4,$D5&lt;&gt;"",$D5&lt;&gt;"No.")</formula>
    </cfRule>
  </conditionalFormatting>
  <conditionalFormatting sqref="C5:C14 C16:C26 C28:C38 C40:C50 C52:C62 C64:C74 C76:C86 C88:C98 C100:C110 C112:C122 C124:C134 C136:C146 C148:C158 C160:C170 C172:C182 C184:C194 C196:C206 C208:C218 C220:C230 C232:C242 C244:C254 C256:C266 C268:C278 C280:C290 C292:C302 C304:C314 C316:C326 C328:C338 C340:C350 C352:C362 C364:C374 C376:C386 C388:C398 C400:C410 C412:C422 C424:C434 C436:C446 C448:C458 C460:C470 C472:C482 C484:C494 C496:C506 C508:C518 C520:C530 C532:C542 C544:C554 C556:C566 C568:C578 C580:C590 C592:C602 C604:C614 C616:C626 C628:C638 C640:C650 C652:C662 C664:C674 C676:C686 C688:C698">
    <cfRule type="expression" dxfId="75" priority="2">
      <formula>AND($Q5=0,$D5&lt;&gt;"",$D5&lt;&gt;"No.")</formula>
    </cfRule>
  </conditionalFormatting>
  <conditionalFormatting sqref="I5:I13 I15:I25 I27:I37 I39:I49 I51:I61 I63:I73 I75:I85 I87:I97 I99:I109 I111:I121 I123:I133 I135:I145 I147:I157 I159:I169 I171:I181 I183:I193 I195:I205 I207:I217 I219:I229 I231:I241 I243:I253 I255:I265 I267:I277 I279:I289 I291:I301 I303:I313 I315:I325 I327:I337 I339:I349 I351:I361 I363:I373 I375:I385 I387:I397 I399:I409 I411:I421 I423:I433 I435:I445 I447:I457 I459:I469 I471:I481 I483:I493 I495:I505 I507:I517 I519:I529 I531:I541 I543:I553 I555:I565 I567:I577 I579:I589 I591:I601 I603:I613 I615:I625 I627:I637 I639:I649 I651:I661 I663:I673 I675:I685 I687:I698">
    <cfRule type="expression" dxfId="74" priority="1">
      <formula>AND($R5=0,$J5&lt;&gt;"",$J5&lt;&gt;"No.")</formula>
    </cfRule>
  </conditionalFormatting>
  <dataValidations count="1">
    <dataValidation type="custom" allowBlank="1" showInputMessage="1" showErrorMessage="1" errorTitle="Check Performance" error="Better than the one before" sqref="G6:G12 M6:N12 G18:G24 M18:N24 G30:G36 M30:N36 G42:G48 M42:N48 G54:G60 M54:N60 G66:G72 M66:N72 G78:G84 M78:N84 G90:G96 M90:N96 G102:G108 M102:N108 G114:G120 M114:N120 G126:G132 M126:N132 G138:G144 M138:N144 G162:G168 M162:N168 G174:G180 M174:N180 G186:G192 M186:N192 G210:G216 M210:N216 G282:G288 M282:N288 G198:G204 M198:N204 G222:G228 M222:N228 G234:G240 M234:N240 G246:G252 M246:N252 G618:G624 M618:N624 G258:G264 M258:N264 G270:G276 M270:N276 G294:G300 M294:N300 G306:G312 M306:N312 G318:G324 M318:N324 G330:G336 M330:N336 G342:G348 M342:N348 G354:G360 M354:N360 G366:G372 M366:N372 G378:G384 M378:N384 G390:G396 M390:N396 G402:G408 M402:N408 G414:G420 M414:N420 G426:G432 M426:N432 G438:G444 M438:N444 G450:G456 M450:N456 G462:G468 M462:N468 G474:G480 M474:N480 G486:G492 M486:N492 G498:G504 M498:N504 G510:G516 M510:N516 G522:G528 M522:N528 G534:G540 M534:N540 G546:G552 M546:N552 G558:G564 M558:N564 G570:G576 M570:N576 G582:G588 M582:N588 G594:G600 M594:N600 G606:G612 M606:N612 G150:G156 M150:N156" xr:uid="{00000000-0002-0000-0700-000000000000}">
      <formula1>G6&gt;=G5</formula1>
    </dataValidation>
  </dataValidations>
  <printOptions horizontalCentered="1"/>
  <pageMargins left="0.31496062992125984" right="0.31496062992125984" top="0.94488188976377963" bottom="0.59055118110236227" header="0.31496062992125984" footer="0.31496062992125984"/>
  <pageSetup paperSize="9" scale="98" orientation="portrait" r:id="rId1"/>
  <headerFooter>
    <oddHeader>&amp;L&amp;G&amp;CUK ATHLETICS :: YOUTH DEVELOPMENT LEAGUE 2023&amp;R&amp;"+,Regular"&amp;U&amp;A</oddHeader>
    <oddFooter>&amp;L&amp;9&amp;D &amp;T&amp;C&amp;G&amp;R&amp;9Page &amp;P of &amp;N</oddFooter>
  </headerFooter>
  <rowBreaks count="14" manualBreakCount="14">
    <brk id="49" min="1" max="11" man="1"/>
    <brk id="97" min="1" max="11" man="1"/>
    <brk id="145" min="1" max="11" man="1"/>
    <brk id="193" min="1" max="11" man="1"/>
    <brk id="241" min="1" max="11" man="1"/>
    <brk id="289" min="1" max="11" man="1"/>
    <brk id="337" min="1" max="11" man="1"/>
    <brk id="385" min="1" max="11" man="1"/>
    <brk id="433" min="1" max="11" man="1"/>
    <brk id="481" min="1" max="11" man="1"/>
    <brk id="529" min="1" max="11" man="1"/>
    <brk id="577" min="1" max="11" man="1"/>
    <brk id="625" min="1" max="11" man="1"/>
    <brk id="673" min="1" max="11" man="1"/>
  </row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>
    <tabColor theme="7" tint="-0.249977111117893"/>
  </sheetPr>
  <dimension ref="A1:X286"/>
  <sheetViews>
    <sheetView showZeros="0" tabSelected="1" topLeftCell="D1" zoomScaleNormal="100" zoomScaleSheetLayoutView="100" workbookViewId="0">
      <pane ySplit="1" topLeftCell="A2" activePane="bottomLeft" state="frozen"/>
      <selection activeCell="F7" sqref="F7"/>
      <selection pane="bottomLeft" activeCell="V5" sqref="V5"/>
    </sheetView>
  </sheetViews>
  <sheetFormatPr defaultColWidth="8.7109375" defaultRowHeight="15" x14ac:dyDescent="0.35"/>
  <cols>
    <col min="1" max="3" width="8.7109375" style="64" hidden="1" customWidth="1"/>
    <col min="4" max="4" width="3.7109375" style="64" customWidth="1"/>
    <col min="5" max="5" width="3.7109375" style="66" customWidth="1"/>
    <col min="6" max="6" width="20.7109375" style="64" customWidth="1"/>
    <col min="7" max="7" width="7.7109375" style="64" customWidth="1"/>
    <col min="8" max="8" width="7.28515625" style="247" customWidth="1"/>
    <col min="9" max="9" width="4" style="147" customWidth="1"/>
    <col min="10" max="10" width="1.7109375" style="64" customWidth="1"/>
    <col min="11" max="11" width="3.7109375" style="64" customWidth="1"/>
    <col min="12" max="12" width="5.7109375" style="246" customWidth="1"/>
    <col min="13" max="13" width="20.7109375" style="64" customWidth="1"/>
    <col min="14" max="14" width="7.7109375" style="64" customWidth="1"/>
    <col min="15" max="15" width="7.28515625" style="65" customWidth="1"/>
    <col min="16" max="16" width="4" style="149" customWidth="1"/>
    <col min="17" max="17" width="8.7109375" style="64"/>
    <col min="18" max="19" width="8.7109375" style="64" customWidth="1"/>
    <col min="20" max="20" width="8.7109375" style="168" customWidth="1"/>
    <col min="21" max="21" width="8.7109375" style="66" customWidth="1"/>
    <col min="22" max="23" width="8.7109375" style="64" customWidth="1"/>
    <col min="24" max="16384" width="8.7109375" style="64"/>
  </cols>
  <sheetData>
    <row r="1" spans="1:22" ht="45" customHeight="1" x14ac:dyDescent="0.35">
      <c r="C1" s="150" t="str">
        <f>"UK ATHLETICS :: YOUTH DEVELOPMENT LEAGUE 2017 "</f>
        <v xml:space="preserve">UK ATHLETICS :: YOUTH DEVELOPMENT LEAGUE 2017 </v>
      </c>
      <c r="D1" s="170" t="str">
        <f>Dashboard!E1</f>
        <v>LOWER NORTH West 2 Macclesfield Leisure Centre</v>
      </c>
      <c r="F1" s="170"/>
      <c r="M1" s="151"/>
      <c r="N1" s="453">
        <f>Dashboard!E2</f>
        <v>45053</v>
      </c>
      <c r="O1" s="453"/>
      <c r="P1" s="453"/>
      <c r="R1" s="79" t="s">
        <v>200</v>
      </c>
      <c r="S1" s="70"/>
      <c r="T1" s="152">
        <f>SUM(T2:T279)</f>
        <v>26</v>
      </c>
      <c r="U1" s="79">
        <f>SUM(U2:U279)</f>
        <v>1</v>
      </c>
    </row>
    <row r="2" spans="1:22" x14ac:dyDescent="0.35">
      <c r="C2" s="98" t="s">
        <v>32</v>
      </c>
      <c r="D2" s="99" t="str">
        <f>IFERROR(VLOOKUP(C2,timetables,2,FALSE)&amp;" "&amp;VLOOKUP(C2,timetables,3,FALSE)&amp;" A","")</f>
        <v>70m Hurdles U13 Girls A</v>
      </c>
      <c r="E2" s="99"/>
      <c r="G2" s="114" t="str">
        <f>IFERROR(IF(VLOOKUP($C2,timetables,8,FALSE)="W","Wind = ",""),"")</f>
        <v xml:space="preserve">Wind = </v>
      </c>
      <c r="H2" s="357"/>
      <c r="I2" s="106" t="str">
        <f>IFERROR(IF(OR(H4=0,H4=""),"",IF(H4&lt;C11,"REC",IF(H4=C11,"=Rec",""))),"")</f>
        <v/>
      </c>
      <c r="K2" s="101" t="str">
        <f>IFERROR(VLOOKUP(C2,timetables,2,FALSE)&amp;" "&amp;VLOOKUP(C2,timetables,3,FALSE)&amp;" B","")</f>
        <v>70m Hurdles U13 Girls B</v>
      </c>
      <c r="L2" s="102"/>
      <c r="N2" s="114" t="str">
        <f>IFERROR(IF(VLOOKUP($C2,timetables,8,FALSE)="W","Wind = ",""),"")</f>
        <v xml:space="preserve">Wind = </v>
      </c>
      <c r="O2" s="261"/>
      <c r="R2" s="66" t="s">
        <v>53</v>
      </c>
      <c r="S2" s="66" t="s">
        <v>54</v>
      </c>
    </row>
    <row r="3" spans="1:22" x14ac:dyDescent="0.35">
      <c r="A3" s="105">
        <f>IFERROR(VLOOKUP(C2,standards,11,FALSE),"-")</f>
        <v>11.7</v>
      </c>
      <c r="B3" s="419">
        <v>9</v>
      </c>
      <c r="C3" s="79"/>
      <c r="D3" s="45" t="s">
        <v>177</v>
      </c>
      <c r="E3" s="45" t="s">
        <v>141</v>
      </c>
      <c r="F3" s="47" t="s">
        <v>174</v>
      </c>
      <c r="G3" s="47" t="s">
        <v>175</v>
      </c>
      <c r="H3" s="133" t="s">
        <v>176</v>
      </c>
      <c r="I3" s="148" t="s">
        <v>1003</v>
      </c>
      <c r="J3" s="47"/>
      <c r="K3" s="45" t="s">
        <v>177</v>
      </c>
      <c r="L3" s="45" t="s">
        <v>141</v>
      </c>
      <c r="M3" s="47" t="s">
        <v>174</v>
      </c>
      <c r="N3" s="47" t="s">
        <v>175</v>
      </c>
      <c r="O3" s="133" t="s">
        <v>176</v>
      </c>
      <c r="P3" s="148" t="s">
        <v>1003</v>
      </c>
      <c r="R3" s="66">
        <f>IFERROR(SEARCH("NS",D2),0)</f>
        <v>0</v>
      </c>
      <c r="V3" s="67"/>
    </row>
    <row r="4" spans="1:22" x14ac:dyDescent="0.35">
      <c r="A4" s="105">
        <f>IFERROR(VLOOKUP(C2,standards,10,FALSE),"-")</f>
        <v>11.9</v>
      </c>
      <c r="B4" s="419">
        <v>8</v>
      </c>
      <c r="C4" s="138">
        <f>IFERROR(VLOOKUP(C2,Timetables!$A:$E,5,FALSE)-1,"")</f>
        <v>35</v>
      </c>
      <c r="D4" s="104">
        <v>1</v>
      </c>
      <c r="E4" s="107">
        <v>3</v>
      </c>
      <c r="F4" s="421" t="str">
        <f>IFERROR(VLOOKUP($C2&amp;E4,downloads!$A$1:$E$1000,2,FALSE),"")</f>
        <v>Lois MELLING</v>
      </c>
      <c r="G4" s="64" t="str">
        <f>IFERROR(VLOOKUP(E4,teamlookup,5,FALSE),"")</f>
        <v>Leigh</v>
      </c>
      <c r="H4" s="389">
        <v>11.8</v>
      </c>
      <c r="I4" s="147">
        <f>IFERROR(IF(OR(H4="",H4=0,H4&gt;A11),"",VLOOKUP(H4,A3:B11,2,TRUE)),9)</f>
        <v>9</v>
      </c>
      <c r="J4" s="67"/>
      <c r="K4" s="104">
        <v>1</v>
      </c>
      <c r="L4" s="248">
        <v>33</v>
      </c>
      <c r="M4" s="421" t="str">
        <f>IFERROR(VLOOKUP($C2&amp;L4,downloads!$A$1:$E$1000,2,FALSE),"")</f>
        <v>Ava BROOMES</v>
      </c>
      <c r="N4" s="64" t="str">
        <f t="shared" ref="N4:N11" si="0">IFERROR(VLOOKUP(L4,teamlookup,5,FALSE),"")</f>
        <v>Leigh</v>
      </c>
      <c r="O4" s="394">
        <v>12.1</v>
      </c>
      <c r="P4" s="147">
        <f>IFERROR(IF(OR(O4="",O4=0,O4&gt;A11),"",VLOOKUP(O4,A3:B11,2,TRUE)),9)</f>
        <v>7</v>
      </c>
      <c r="R4" s="66">
        <f ca="1">IFERROR(IF(OR(E4=0,E4="",H4=0,H4="",$R3&lt;&gt;0,LEFT(H4,1)="D"),0,VLOOKUP(D4,INDIRECT(MatchDay!$W$2),2,FALSE)),"")</f>
        <v>10</v>
      </c>
      <c r="S4" s="66">
        <f ca="1">IFERROR(IF(OR(L4=0,L4="",O4=0,O4="",$R3&lt;&gt;0,LEFT(O4,1)="D"),0,VLOOKUP(K4,INDIRECT(MatchDay!$W$2),3,FALSE)),"")</f>
        <v>8</v>
      </c>
      <c r="T4" s="168">
        <f>COUNTIF(E4,"&gt;0")</f>
        <v>1</v>
      </c>
      <c r="U4" s="66">
        <f>IFERROR(IF(E4&gt;88,1,0),0)</f>
        <v>0</v>
      </c>
    </row>
    <row r="5" spans="1:22" x14ac:dyDescent="0.35">
      <c r="A5" s="105">
        <f>IFERROR(VLOOKUP(C2,standards,9,FALSE),"-")</f>
        <v>12.1</v>
      </c>
      <c r="B5" s="419">
        <v>7</v>
      </c>
      <c r="C5" s="64">
        <v>0</v>
      </c>
      <c r="D5" s="104">
        <v>2</v>
      </c>
      <c r="E5" s="107">
        <v>2</v>
      </c>
      <c r="F5" s="421" t="str">
        <f>IFERROR(VLOOKUP($C2&amp;E5,downloads!$A$1:$E$1000,2,FALSE),"")</f>
        <v>Olivia JONES</v>
      </c>
      <c r="G5" s="64" t="str">
        <f t="shared" ref="G5:G11" si="1">IFERROR(VLOOKUP(E5,teamlookup,5,FALSE),"")</f>
        <v>ECHT</v>
      </c>
      <c r="H5" s="389">
        <v>12.1</v>
      </c>
      <c r="I5" s="147">
        <f>IFERROR(IF(OR(H5="",H5=0,H5&gt;A11),"",VLOOKUP(H5,A3:B11,2,TRUE)),9)</f>
        <v>7</v>
      </c>
      <c r="J5" s="67"/>
      <c r="K5" s="104">
        <v>2</v>
      </c>
      <c r="L5" s="248">
        <v>11</v>
      </c>
      <c r="M5" s="421" t="str">
        <f>IFERROR(VLOOKUP($C2&amp;L5,downloads!$A$1:$E$1000,2,FALSE),"")</f>
        <v>Lucy HOWARTH</v>
      </c>
      <c r="N5" s="64" t="str">
        <f t="shared" si="0"/>
        <v>C&amp;N</v>
      </c>
      <c r="O5" s="394">
        <v>12.7</v>
      </c>
      <c r="P5" s="147">
        <f>IFERROR(IF(OR(O5="",O5=0,O5&gt;A11),"",VLOOKUP(O5,A3:B11,2,TRUE)),9)</f>
        <v>5</v>
      </c>
      <c r="R5" s="66">
        <f ca="1">IFERROR(IF(OR(E5=0,E5="",H5=0,H5="",$R3&lt;&gt;0,LEFT(H5,1)="D"),0,VLOOKUP(D5,INDIRECT(MatchDay!$W$2),2,FALSE)),"")</f>
        <v>8</v>
      </c>
      <c r="S5" s="66">
        <f ca="1">IFERROR(IF(OR(L5=0,L5="",O5=0,O5="",$R3&lt;&gt;0,LEFT(O5,1)="D"),0,VLOOKUP(K5,INDIRECT(MatchDay!$W$2),3,FALSE)),"")</f>
        <v>6</v>
      </c>
    </row>
    <row r="6" spans="1:22" x14ac:dyDescent="0.35">
      <c r="A6" s="105">
        <f>IFERROR(VLOOKUP(C2,standards,8,FALSE),"-")</f>
        <v>12.4</v>
      </c>
      <c r="B6" s="419">
        <v>6</v>
      </c>
      <c r="D6" s="104">
        <v>3</v>
      </c>
      <c r="E6" s="107">
        <v>1</v>
      </c>
      <c r="F6" s="421" t="str">
        <f>IFERROR(VLOOKUP($C2&amp;E6,downloads!$A$1:$E$1000,2,FALSE),"")</f>
        <v>Ruby WILKINS</v>
      </c>
      <c r="G6" s="64" t="str">
        <f t="shared" si="1"/>
        <v>C&amp;N</v>
      </c>
      <c r="H6" s="389">
        <v>13.6</v>
      </c>
      <c r="I6" s="147">
        <f>IFERROR(IF(OR(H6="",H6=0,H6&gt;A11),"",VLOOKUP(H6,A3:B11,2,TRUE)),9)</f>
        <v>3</v>
      </c>
      <c r="J6" s="67"/>
      <c r="K6" s="104">
        <v>3</v>
      </c>
      <c r="L6" s="248">
        <v>77</v>
      </c>
      <c r="M6" s="421" t="str">
        <f>IFERROR(VLOOKUP($C2&amp;L6,downloads!$A$1:$E$1000,2,FALSE),"")</f>
        <v>Sophia BOWDEN-MCKAY</v>
      </c>
      <c r="N6" s="64" t="str">
        <f t="shared" si="0"/>
        <v>Wigan</v>
      </c>
      <c r="O6" s="394">
        <v>16.399999999999999</v>
      </c>
      <c r="P6" s="147" t="str">
        <f>IFERROR(IF(OR(O6="",O6=0,O6&gt;A11),"",VLOOKUP(O6,A3:B11,2,TRUE)),9)</f>
        <v/>
      </c>
      <c r="R6" s="66">
        <f ca="1">IFERROR(IF(OR(E6=0,E6="",H6=0,H6="",$R3&lt;&gt;0,LEFT(H6,1)="D"),0,VLOOKUP(D6,INDIRECT(MatchDay!$W$2),2,FALSE)),"")</f>
        <v>7</v>
      </c>
      <c r="S6" s="66">
        <f ca="1">IFERROR(IF(OR(L6=0,L6="",O6=0,O6="",$R3&lt;&gt;0,LEFT(O6,1)="D"),0,VLOOKUP(K6,INDIRECT(MatchDay!$W$2),3,FALSE)),"")</f>
        <v>5</v>
      </c>
    </row>
    <row r="7" spans="1:22" x14ac:dyDescent="0.35">
      <c r="A7" s="105">
        <f>IFERROR(VLOOKUP(C2,standards,7,FALSE),"-")</f>
        <v>12.7</v>
      </c>
      <c r="B7" s="419">
        <v>5</v>
      </c>
      <c r="D7" s="104">
        <v>4</v>
      </c>
      <c r="E7" s="107">
        <v>4</v>
      </c>
      <c r="F7" s="421" t="str">
        <f>IFERROR(VLOOKUP($C2&amp;E7,downloads!$A$1:$E$1000,2,FALSE),"")</f>
        <v>Lydia HIGGINS</v>
      </c>
      <c r="G7" s="64" t="str">
        <f t="shared" si="1"/>
        <v>Macc</v>
      </c>
      <c r="H7" s="389">
        <v>14.5</v>
      </c>
      <c r="I7" s="147" t="str">
        <f>IFERROR(IF(OR(H7="",H7=0,H7&gt;A11),"",VLOOKUP(H7,A3:B11,2,TRUE)),9)</f>
        <v/>
      </c>
      <c r="J7" s="67"/>
      <c r="K7" s="104">
        <v>4</v>
      </c>
      <c r="L7" s="248">
        <v>44</v>
      </c>
      <c r="M7" s="421" t="str">
        <f>IFERROR(VLOOKUP($C2&amp;L7,downloads!$A$1:$E$1000,2,FALSE),"")</f>
        <v>Eve O'DONNELL</v>
      </c>
      <c r="N7" s="64" t="str">
        <f t="shared" si="0"/>
        <v>Macc</v>
      </c>
      <c r="O7" s="394">
        <v>17.8</v>
      </c>
      <c r="P7" s="147" t="str">
        <f>IFERROR(IF(OR(O7="",O7=0,O7&gt;A11),"",VLOOKUP(O7,A3:B11,2,TRUE)),9)</f>
        <v/>
      </c>
      <c r="R7" s="66">
        <f ca="1">IFERROR(IF(OR(E7=0,E7="",H7=0,H7="",$R3&lt;&gt;0,LEFT(H7,1)="D"),0,VLOOKUP(D7,INDIRECT(MatchDay!$W$2),2,FALSE)),"")</f>
        <v>6</v>
      </c>
      <c r="S7" s="66">
        <f ca="1">IFERROR(IF(OR(L7=0,L7="",O7=0,O7="",$R3&lt;&gt;0,LEFT(O7,1)="D"),0,VLOOKUP(K7,INDIRECT(MatchDay!$W$2),3,FALSE)),"")</f>
        <v>4</v>
      </c>
    </row>
    <row r="8" spans="1:22" x14ac:dyDescent="0.35">
      <c r="A8" s="105">
        <f>IFERROR(VLOOKUP(C2,standards,6,FALSE),"-")</f>
        <v>13</v>
      </c>
      <c r="B8" s="419">
        <v>4</v>
      </c>
      <c r="D8" s="104">
        <v>5</v>
      </c>
      <c r="E8" s="107">
        <v>7</v>
      </c>
      <c r="F8" s="421" t="str">
        <f>IFERROR(VLOOKUP($C2&amp;E8,downloads!$A$1:$E$1000,2,FALSE),"")</f>
        <v>Grace HARRIS</v>
      </c>
      <c r="G8" s="64" t="str">
        <f t="shared" si="1"/>
        <v>Wigan</v>
      </c>
      <c r="H8" s="389">
        <v>16.600000000000001</v>
      </c>
      <c r="I8" s="147" t="str">
        <f>IFERROR(IF(OR(H8="",H8=0,H8&gt;A11),"",VLOOKUP(H8,A3:B11,2,TRUE)),9)</f>
        <v/>
      </c>
      <c r="J8" s="67"/>
      <c r="K8" s="104">
        <v>5</v>
      </c>
      <c r="L8" s="248"/>
      <c r="M8" s="421" t="str">
        <f>IFERROR(VLOOKUP($C2&amp;L8,downloads!$A$1:$E$1000,2,FALSE),"")</f>
        <v/>
      </c>
      <c r="N8" s="64" t="str">
        <f t="shared" si="0"/>
        <v/>
      </c>
      <c r="O8" s="394"/>
      <c r="P8" s="147" t="str">
        <f>IFERROR(IF(OR(O8="",O8=0,O8&gt;A11),"",VLOOKUP(O8,A3:B11,2,TRUE)),9)</f>
        <v/>
      </c>
      <c r="R8" s="66">
        <f ca="1">IFERROR(IF(OR(E8=0,E8="",H8=0,H8="",$R3&lt;&gt;0,LEFT(H8,1)="D"),0,VLOOKUP(D8,INDIRECT(MatchDay!$W$2),2,FALSE)),"")</f>
        <v>5</v>
      </c>
      <c r="S8" s="66">
        <f ca="1">IFERROR(IF(OR(L8=0,L8="",O8=0,O8="",$R3&lt;&gt;0,LEFT(O8,1)="D"),0,VLOOKUP(K8,INDIRECT(MatchDay!$W$2),3,FALSE)),"")</f>
        <v>0</v>
      </c>
    </row>
    <row r="9" spans="1:22" x14ac:dyDescent="0.35">
      <c r="A9" s="105">
        <f>IFERROR(VLOOKUP(C2,standards,5,FALSE),"-")</f>
        <v>13.3</v>
      </c>
      <c r="B9" s="419">
        <v>3</v>
      </c>
      <c r="D9" s="104">
        <v>6</v>
      </c>
      <c r="E9" s="107"/>
      <c r="F9" s="421" t="str">
        <f>IFERROR(VLOOKUP($C2&amp;E9,downloads!$A$1:$E$1000,2,FALSE),"")</f>
        <v/>
      </c>
      <c r="G9" s="64" t="str">
        <f t="shared" si="1"/>
        <v/>
      </c>
      <c r="H9" s="389"/>
      <c r="I9" s="147" t="str">
        <f>IFERROR(IF(OR(H9="",H9=0,H9&gt;A11),"",VLOOKUP(H9,A3:B11,2,TRUE)),9)</f>
        <v/>
      </c>
      <c r="J9" s="67"/>
      <c r="K9" s="104">
        <v>6</v>
      </c>
      <c r="L9" s="248"/>
      <c r="M9" s="421" t="str">
        <f>IFERROR(VLOOKUP($C2&amp;L9,downloads!$A$1:$E$1000,2,FALSE),"")</f>
        <v/>
      </c>
      <c r="N9" s="64" t="str">
        <f t="shared" si="0"/>
        <v/>
      </c>
      <c r="O9" s="394"/>
      <c r="P9" s="147" t="str">
        <f>IFERROR(IF(OR(O9="",O9=0,O9&gt;A11),"",VLOOKUP(O9,A3:B11,2,TRUE)),9)</f>
        <v/>
      </c>
      <c r="R9" s="66">
        <f ca="1">IFERROR(IF(OR(E9=0,E9="",H9=0,H9="",$R3&lt;&gt;0,LEFT(H9,1)="D"),0,VLOOKUP(D9,INDIRECT(MatchDay!$W$2),2,FALSE)),"")</f>
        <v>0</v>
      </c>
      <c r="S9" s="66">
        <f ca="1">IFERROR(IF(OR(L9=0,L9="",O9=0,O9="",$R3&lt;&gt;0,LEFT(O9,1)="D"),0,VLOOKUP(K9,INDIRECT(MatchDay!$W$2),3,FALSE)),"")</f>
        <v>0</v>
      </c>
    </row>
    <row r="10" spans="1:22" x14ac:dyDescent="0.35">
      <c r="A10" s="105">
        <f>IFERROR(VLOOKUP(C2,standards,4,FALSE),"-")</f>
        <v>13.7</v>
      </c>
      <c r="B10" s="419">
        <v>2</v>
      </c>
      <c r="C10" s="120">
        <f>IFERROR(SEARCH("U17",D2),0)</f>
        <v>0</v>
      </c>
      <c r="D10" s="104">
        <v>7</v>
      </c>
      <c r="E10" s="107"/>
      <c r="F10" s="421" t="str">
        <f>IFERROR(VLOOKUP($C2&amp;E10,downloads!$A$1:$E$1000,2,FALSE),"")</f>
        <v/>
      </c>
      <c r="G10" s="64" t="str">
        <f t="shared" si="1"/>
        <v/>
      </c>
      <c r="H10" s="389"/>
      <c r="I10" s="147" t="str">
        <f>IFERROR(IF(OR(H10="",H10=0,H10&gt;A11),"",VLOOKUP(H10,A3:B11,2,TRUE)),9)</f>
        <v/>
      </c>
      <c r="J10" s="67"/>
      <c r="K10" s="104">
        <v>7</v>
      </c>
      <c r="L10" s="248"/>
      <c r="M10" s="421" t="str">
        <f>IFERROR(VLOOKUP($C2&amp;L10,downloads!$A$1:$E$1000,2,FALSE),"")</f>
        <v/>
      </c>
      <c r="N10" s="64" t="str">
        <f t="shared" si="0"/>
        <v/>
      </c>
      <c r="O10" s="394"/>
      <c r="P10" s="147" t="str">
        <f>IFERROR(IF(OR(O10="",O10=0,O10&gt;A11),"",VLOOKUP(O10,A3:B11,2,TRUE)),9)</f>
        <v/>
      </c>
      <c r="R10" s="66">
        <f ca="1">IFERROR(IF(OR(E10=0,E10="",H10=0,H10="",$R3&lt;&gt;0,LEFT(H10,1)="D"),0,VLOOKUP(D10,INDIRECT(MatchDay!$W$2),2,FALSE)),"")</f>
        <v>0</v>
      </c>
      <c r="S10" s="66">
        <f ca="1">IFERROR(IF(OR(L10=0,L10="",O10=0,O10="",$R3&lt;&gt;0,LEFT(O10,1)="D"),0,VLOOKUP(K10,INDIRECT(MatchDay!$W$2),3,FALSE)),"")</f>
        <v>0</v>
      </c>
    </row>
    <row r="11" spans="1:22" x14ac:dyDescent="0.35">
      <c r="A11" s="105">
        <f>IFERROR(VLOOKUP(C2,standards,3,FALSE),"-")</f>
        <v>14.1</v>
      </c>
      <c r="B11" s="419">
        <v>1</v>
      </c>
      <c r="C11" s="103">
        <f>IFERROR(VLOOKUP(C2,records,5,FALSE),"")</f>
        <v>10.9</v>
      </c>
      <c r="D11" s="104">
        <v>8</v>
      </c>
      <c r="E11" s="107"/>
      <c r="F11" s="421" t="str">
        <f>IFERROR(VLOOKUP($C2&amp;E11,downloads!$A$1:$E$1000,2,FALSE),"")</f>
        <v/>
      </c>
      <c r="G11" s="64" t="str">
        <f t="shared" si="1"/>
        <v/>
      </c>
      <c r="H11" s="389"/>
      <c r="I11" s="147" t="str">
        <f>IFERROR(IF(OR(H11="",H11=0,H11&gt;A11),"",VLOOKUP(H11,A3:B11,2,TRUE)),9)</f>
        <v/>
      </c>
      <c r="J11" s="67"/>
      <c r="K11" s="104">
        <v>8</v>
      </c>
      <c r="L11" s="248"/>
      <c r="M11" s="421" t="str">
        <f>IFERROR(VLOOKUP($C2&amp;L11,downloads!$A$1:$E$1000,2,FALSE),"")</f>
        <v/>
      </c>
      <c r="N11" s="64" t="str">
        <f t="shared" si="0"/>
        <v/>
      </c>
      <c r="O11" s="394"/>
      <c r="P11" s="147" t="str">
        <f>IFERROR(IF(OR(O11="",O11=0,O11&gt;A11),"",VLOOKUP(O11,A3:B11,2,TRUE)),9)</f>
        <v/>
      </c>
      <c r="R11" s="66">
        <f ca="1">IFERROR(IF(OR(E11=0,E11="",H11=0,H11="",$R3&lt;&gt;0,LEFT(H11,1)="D"),0,VLOOKUP(D11,INDIRECT(MatchDay!$W$2),2,FALSE)),"")</f>
        <v>0</v>
      </c>
      <c r="S11" s="66">
        <f ca="1">IFERROR(IF(OR(L11=0,L11="",O11=0,O11="",$R3&lt;&gt;0,LEFT(O11,1)="D"),0,VLOOKUP(K11,INDIRECT(MatchDay!$W$2),3,FALSE)),"")</f>
        <v>0</v>
      </c>
    </row>
    <row r="12" spans="1:22" x14ac:dyDescent="0.35">
      <c r="F12" s="407"/>
      <c r="H12" s="390"/>
      <c r="M12" s="407"/>
      <c r="O12" s="395"/>
    </row>
    <row r="13" spans="1:22" x14ac:dyDescent="0.35">
      <c r="C13" s="98" t="s">
        <v>33</v>
      </c>
      <c r="D13" s="99" t="str">
        <f>IFERROR(VLOOKUP(C13,timetables,2,FALSE)&amp;" "&amp;VLOOKUP(C13,timetables,3,FALSE)&amp;" A","")</f>
        <v>75m Hurdles U13 Boys A</v>
      </c>
      <c r="E13" s="99"/>
      <c r="F13" s="407"/>
      <c r="G13" s="114" t="str">
        <f>IFERROR(IF(VLOOKUP($C13,timetables,8,FALSE)="W","Wind = ",""),"")</f>
        <v xml:space="preserve">Wind = </v>
      </c>
      <c r="H13" s="391"/>
      <c r="I13" s="106" t="str">
        <f>IFERROR(IF(OR(H15=0,H15=""),"",IF(H15&lt;C22,"REC",IF(H15=C22,"=Rec",""))),"")</f>
        <v/>
      </c>
      <c r="K13" s="101" t="str">
        <f>IFERROR(VLOOKUP(C13,timetables,2,FALSE)&amp;" "&amp;VLOOKUP(C13,timetables,3,FALSE)&amp;" B","")</f>
        <v>75m Hurdles U13 Boys B</v>
      </c>
      <c r="L13" s="102"/>
      <c r="M13" s="407"/>
      <c r="N13" s="114" t="str">
        <f>IFERROR(IF(VLOOKUP($C13,timetables,8,FALSE)="W","Wind = ",""),"")</f>
        <v xml:space="preserve">Wind = </v>
      </c>
      <c r="O13" s="396"/>
      <c r="R13" s="66" t="s">
        <v>53</v>
      </c>
      <c r="S13" s="66" t="s">
        <v>54</v>
      </c>
    </row>
    <row r="14" spans="1:22" x14ac:dyDescent="0.35">
      <c r="A14" s="105">
        <f>IFERROR(VLOOKUP(C13,standards,11,FALSE),"-")</f>
        <v>12.9</v>
      </c>
      <c r="B14" s="419">
        <v>9</v>
      </c>
      <c r="C14" s="79"/>
      <c r="D14" s="45" t="s">
        <v>177</v>
      </c>
      <c r="E14" s="45" t="s">
        <v>141</v>
      </c>
      <c r="F14" s="422" t="s">
        <v>174</v>
      </c>
      <c r="G14" s="47" t="s">
        <v>175</v>
      </c>
      <c r="H14" s="392" t="s">
        <v>176</v>
      </c>
      <c r="I14" s="148" t="s">
        <v>1003</v>
      </c>
      <c r="J14" s="47"/>
      <c r="K14" s="45" t="s">
        <v>177</v>
      </c>
      <c r="L14" s="45" t="s">
        <v>141</v>
      </c>
      <c r="M14" s="422" t="s">
        <v>174</v>
      </c>
      <c r="N14" s="47" t="s">
        <v>175</v>
      </c>
      <c r="O14" s="392" t="s">
        <v>176</v>
      </c>
      <c r="P14" s="148" t="s">
        <v>1003</v>
      </c>
      <c r="R14" s="66">
        <f>IFERROR(SEARCH("NS",D13),0)</f>
        <v>0</v>
      </c>
      <c r="V14" s="67"/>
    </row>
    <row r="15" spans="1:22" x14ac:dyDescent="0.35">
      <c r="A15" s="105">
        <f>IFERROR(VLOOKUP(C13,standards,10,FALSE),"-")</f>
        <v>13.2</v>
      </c>
      <c r="B15" s="419">
        <v>8</v>
      </c>
      <c r="C15" s="138">
        <f>IFERROR(VLOOKUP(C13,Timetables!$A:$E,5,FALSE)-1,"")</f>
        <v>85</v>
      </c>
      <c r="D15" s="104">
        <v>1</v>
      </c>
      <c r="E15" s="107">
        <v>3</v>
      </c>
      <c r="F15" s="421" t="str">
        <f>IFERROR(VLOOKUP($C13&amp;E15,downloads!$A$1:$E$1000,2,FALSE),"")</f>
        <v>Thierry KERR</v>
      </c>
      <c r="G15" s="64" t="str">
        <f t="shared" ref="G15:G22" si="2">IFERROR(VLOOKUP(E15,teamlookup,5,FALSE),"")</f>
        <v>Leigh</v>
      </c>
      <c r="H15" s="389">
        <v>12.6</v>
      </c>
      <c r="I15" s="147">
        <f>IFERROR(IF(OR(H15="",H15=0,H15&gt;A22),"",VLOOKUP(H15,A14:B22,2,TRUE)),9)</f>
        <v>9</v>
      </c>
      <c r="J15" s="67"/>
      <c r="K15" s="104">
        <v>1</v>
      </c>
      <c r="L15" s="248">
        <v>33</v>
      </c>
      <c r="M15" s="421" t="str">
        <f>IFERROR(VLOOKUP($C13&amp;L15,downloads!$A$1:$E$1000,2,FALSE),"")</f>
        <v>Jack FLETCHER</v>
      </c>
      <c r="N15" s="64" t="str">
        <f t="shared" ref="N15:N22" si="3">IFERROR(VLOOKUP(L15,teamlookup,5,FALSE),"")</f>
        <v>Leigh</v>
      </c>
      <c r="O15" s="394">
        <v>15</v>
      </c>
      <c r="P15" s="147">
        <f>IFERROR(IF(OR(O15="",O15=0,O15&gt;A22),"",VLOOKUP(O15,A14:B22,2,TRUE)),9)</f>
        <v>3</v>
      </c>
      <c r="R15" s="66">
        <f ca="1">IFERROR(IF(OR(E15=0,E15="",H15=0,H15="",$R14&lt;&gt;0,LEFT(H15,1)="D"),0,VLOOKUP(D15,INDIRECT(MatchDay!$W$2),2,FALSE)),"")</f>
        <v>10</v>
      </c>
      <c r="S15" s="66">
        <f ca="1">IFERROR(IF(OR(L15=0,L15="",O15=0,O15="",$R14&lt;&gt;0,LEFT(O15,1)="D"),0,VLOOKUP(K15,INDIRECT(MatchDay!$W$2),3,FALSE)),"")</f>
        <v>8</v>
      </c>
      <c r="T15" s="168">
        <f>COUNTIF(E15,"&gt;0")</f>
        <v>1</v>
      </c>
      <c r="U15" s="66">
        <f>IFERROR(IF(E15&gt;88,1,0),0)</f>
        <v>0</v>
      </c>
    </row>
    <row r="16" spans="1:22" x14ac:dyDescent="0.35">
      <c r="A16" s="105">
        <f>IFERROR(VLOOKUP(C13,standards,9,FALSE),"-")</f>
        <v>13.5</v>
      </c>
      <c r="B16" s="419">
        <v>7</v>
      </c>
      <c r="C16" s="64">
        <v>0</v>
      </c>
      <c r="D16" s="104">
        <v>2</v>
      </c>
      <c r="E16" s="107">
        <v>1</v>
      </c>
      <c r="F16" s="421" t="str">
        <f>IFERROR(VLOOKUP($C13&amp;E16,downloads!$A$1:$E$1000,2,FALSE),"")</f>
        <v>Ben JEFFS</v>
      </c>
      <c r="G16" s="64" t="str">
        <f t="shared" si="2"/>
        <v>C&amp;N</v>
      </c>
      <c r="H16" s="389">
        <v>13</v>
      </c>
      <c r="I16" s="147">
        <f>IFERROR(IF(OR(H16="",H16=0,H16&gt;A22),"",VLOOKUP(H16,A14:B22,2,TRUE)),9)</f>
        <v>9</v>
      </c>
      <c r="J16" s="67"/>
      <c r="K16" s="104">
        <v>2</v>
      </c>
      <c r="L16" s="248"/>
      <c r="M16" s="421" t="str">
        <f>IFERROR(VLOOKUP($C13&amp;L16,downloads!$A$1:$E$1000,2,FALSE),"")</f>
        <v/>
      </c>
      <c r="N16" s="64" t="str">
        <f t="shared" si="3"/>
        <v/>
      </c>
      <c r="O16" s="394"/>
      <c r="P16" s="147" t="str">
        <f>IFERROR(IF(OR(O16="",O16=0,O16&gt;A22),"",VLOOKUP(O16,A14:B22,2,TRUE)),9)</f>
        <v/>
      </c>
      <c r="R16" s="66">
        <f ca="1">IFERROR(IF(OR(E16=0,E16="",H16=0,H16="",$R14&lt;&gt;0,LEFT(H16,1)="D"),0,VLOOKUP(D16,INDIRECT(MatchDay!$W$2),2,FALSE)),"")</f>
        <v>8</v>
      </c>
      <c r="S16" s="66">
        <f ca="1">IFERROR(IF(OR(L16=0,L16="",O16=0,O16="",$R14&lt;&gt;0,LEFT(O16,1)="D"),0,VLOOKUP(K16,INDIRECT(MatchDay!$W$2),3,FALSE)),"")</f>
        <v>0</v>
      </c>
    </row>
    <row r="17" spans="1:22" x14ac:dyDescent="0.35">
      <c r="A17" s="105">
        <f>IFERROR(VLOOKUP(C13,standards,8,FALSE),"-")</f>
        <v>13.8</v>
      </c>
      <c r="B17" s="419">
        <v>6</v>
      </c>
      <c r="C17" s="105"/>
      <c r="D17" s="104">
        <v>3</v>
      </c>
      <c r="E17" s="107">
        <v>4</v>
      </c>
      <c r="F17" s="421" t="str">
        <f>IFERROR(VLOOKUP($C13&amp;E17,downloads!$A$1:$E$1000,2,FALSE),"")</f>
        <v>Isaac BAKER</v>
      </c>
      <c r="G17" s="64" t="str">
        <f t="shared" si="2"/>
        <v>Macc</v>
      </c>
      <c r="H17" s="389">
        <v>17.2</v>
      </c>
      <c r="I17" s="147" t="str">
        <f>IFERROR(IF(OR(H17="",H17=0,H17&gt;A22),"",VLOOKUP(H17,A14:B22,2,TRUE)),9)</f>
        <v/>
      </c>
      <c r="J17" s="67"/>
      <c r="K17" s="104">
        <v>3</v>
      </c>
      <c r="L17" s="248"/>
      <c r="M17" s="421" t="str">
        <f>IFERROR(VLOOKUP($C13&amp;L17,downloads!$A$1:$E$1000,2,FALSE),"")</f>
        <v/>
      </c>
      <c r="N17" s="64" t="str">
        <f t="shared" si="3"/>
        <v/>
      </c>
      <c r="O17" s="394"/>
      <c r="P17" s="147" t="str">
        <f>IFERROR(IF(OR(O17="",O17=0,O17&gt;A22),"",VLOOKUP(O17,A14:B22,2,TRUE)),9)</f>
        <v/>
      </c>
      <c r="R17" s="66">
        <f ca="1">IFERROR(IF(OR(E17=0,E17="",H17=0,H17="",$R14&lt;&gt;0,LEFT(H17,1)="D"),0,VLOOKUP(D17,INDIRECT(MatchDay!$W$2),2,FALSE)),"")</f>
        <v>7</v>
      </c>
      <c r="S17" s="66">
        <f ca="1">IFERROR(IF(OR(L17=0,L17="",O17=0,O17="",$R14&lt;&gt;0,LEFT(O17,1)="D"),0,VLOOKUP(K17,INDIRECT(MatchDay!$W$2),3,FALSE)),"")</f>
        <v>0</v>
      </c>
    </row>
    <row r="18" spans="1:22" x14ac:dyDescent="0.35">
      <c r="A18" s="105">
        <f>IFERROR(VLOOKUP(C13,standards,7,FALSE),"-")</f>
        <v>14.1</v>
      </c>
      <c r="B18" s="419">
        <v>5</v>
      </c>
      <c r="C18" s="105"/>
      <c r="D18" s="104">
        <v>4</v>
      </c>
      <c r="E18" s="107"/>
      <c r="F18" s="421" t="str">
        <f>IFERROR(VLOOKUP($C13&amp;E18,downloads!$A$1:$E$1000,2,FALSE),"")</f>
        <v/>
      </c>
      <c r="G18" s="64" t="str">
        <f t="shared" si="2"/>
        <v/>
      </c>
      <c r="H18" s="389"/>
      <c r="I18" s="147" t="str">
        <f>IFERROR(IF(OR(H18="",H18=0,H18&gt;A22),"",VLOOKUP(H18,A14:B22,2,TRUE)),9)</f>
        <v/>
      </c>
      <c r="J18" s="67"/>
      <c r="K18" s="104">
        <v>4</v>
      </c>
      <c r="L18" s="248"/>
      <c r="M18" s="421" t="str">
        <f>IFERROR(VLOOKUP($C13&amp;L18,downloads!$A$1:$E$1000,2,FALSE),"")</f>
        <v/>
      </c>
      <c r="N18" s="64" t="str">
        <f t="shared" si="3"/>
        <v/>
      </c>
      <c r="O18" s="394"/>
      <c r="P18" s="147" t="str">
        <f>IFERROR(IF(OR(O18="",O18=0,O18&gt;A22),"",VLOOKUP(O18,A14:B22,2,TRUE)),9)</f>
        <v/>
      </c>
      <c r="R18" s="66">
        <f ca="1">IFERROR(IF(OR(E18=0,E18="",H18=0,H18="",$R14&lt;&gt;0,LEFT(H18,1)="D"),0,VLOOKUP(D18,INDIRECT(MatchDay!$W$2),2,FALSE)),"")</f>
        <v>0</v>
      </c>
      <c r="S18" s="66">
        <f ca="1">IFERROR(IF(OR(L18=0,L18="",O18=0,O18="",$R14&lt;&gt;0,LEFT(O18,1)="D"),0,VLOOKUP(K18,INDIRECT(MatchDay!$W$2),3,FALSE)),"")</f>
        <v>0</v>
      </c>
    </row>
    <row r="19" spans="1:22" x14ac:dyDescent="0.35">
      <c r="A19" s="105">
        <f>IFERROR(VLOOKUP(C13,standards,6,FALSE),"-")</f>
        <v>14.5</v>
      </c>
      <c r="B19" s="419">
        <v>4</v>
      </c>
      <c r="C19" s="105"/>
      <c r="D19" s="104">
        <v>5</v>
      </c>
      <c r="E19" s="107"/>
      <c r="F19" s="421" t="str">
        <f>IFERROR(VLOOKUP($C13&amp;E19,downloads!$A$1:$E$1000,2,FALSE),"")</f>
        <v/>
      </c>
      <c r="G19" s="64" t="str">
        <f t="shared" si="2"/>
        <v/>
      </c>
      <c r="H19" s="389"/>
      <c r="I19" s="147" t="str">
        <f>IFERROR(IF(OR(H19="",H19=0,H19&gt;A22),"",VLOOKUP(H19,A14:B22,2,TRUE)),9)</f>
        <v/>
      </c>
      <c r="J19" s="67"/>
      <c r="K19" s="104">
        <v>5</v>
      </c>
      <c r="L19" s="248"/>
      <c r="M19" s="421" t="str">
        <f>IFERROR(VLOOKUP($C13&amp;L19,downloads!$A$1:$E$1000,2,FALSE),"")</f>
        <v/>
      </c>
      <c r="N19" s="64" t="str">
        <f t="shared" si="3"/>
        <v/>
      </c>
      <c r="O19" s="394"/>
      <c r="P19" s="147" t="str">
        <f>IFERROR(IF(OR(O19="",O19=0,O19&gt;A22),"",VLOOKUP(O19,A14:B22,2,TRUE)),9)</f>
        <v/>
      </c>
      <c r="R19" s="66">
        <f ca="1">IFERROR(IF(OR(E19=0,E19="",H19=0,H19="",$R14&lt;&gt;0,LEFT(H19,1)="D"),0,VLOOKUP(D19,INDIRECT(MatchDay!$W$2),2,FALSE)),"")</f>
        <v>0</v>
      </c>
      <c r="S19" s="66">
        <f ca="1">IFERROR(IF(OR(L19=0,L19="",O19=0,O19="",$R14&lt;&gt;0,LEFT(O19,1)="D"),0,VLOOKUP(K19,INDIRECT(MatchDay!$W$2),3,FALSE)),"")</f>
        <v>0</v>
      </c>
    </row>
    <row r="20" spans="1:22" x14ac:dyDescent="0.35">
      <c r="A20" s="105">
        <f>IFERROR(VLOOKUP(C13,standards,5,FALSE),"-")</f>
        <v>15</v>
      </c>
      <c r="B20" s="419">
        <v>3</v>
      </c>
      <c r="C20" s="105"/>
      <c r="D20" s="104">
        <v>6</v>
      </c>
      <c r="E20" s="107"/>
      <c r="F20" s="421" t="str">
        <f>IFERROR(VLOOKUP($C13&amp;E20,downloads!$A$1:$E$1000,2,FALSE),"")</f>
        <v/>
      </c>
      <c r="G20" s="64" t="str">
        <f t="shared" si="2"/>
        <v/>
      </c>
      <c r="H20" s="389"/>
      <c r="I20" s="147" t="str">
        <f>IFERROR(IF(OR(H20="",H20=0,H20&gt;A22),"",VLOOKUP(H20,A14:B22,2,TRUE)),9)</f>
        <v/>
      </c>
      <c r="J20" s="67"/>
      <c r="K20" s="104">
        <v>6</v>
      </c>
      <c r="L20" s="248"/>
      <c r="M20" s="421" t="str">
        <f>IFERROR(VLOOKUP($C13&amp;L20,downloads!$A$1:$E$1000,2,FALSE),"")</f>
        <v/>
      </c>
      <c r="N20" s="64" t="str">
        <f t="shared" si="3"/>
        <v/>
      </c>
      <c r="O20" s="394"/>
      <c r="P20" s="147" t="str">
        <f>IFERROR(IF(OR(O20="",O20=0,O20&gt;A22),"",VLOOKUP(O20,A14:B22,2,TRUE)),9)</f>
        <v/>
      </c>
      <c r="R20" s="66">
        <f ca="1">IFERROR(IF(OR(E20=0,E20="",H20=0,H20="",$R14&lt;&gt;0,LEFT(H20,1)="D"),0,VLOOKUP(D20,INDIRECT(MatchDay!$W$2),2,FALSE)),"")</f>
        <v>0</v>
      </c>
      <c r="S20" s="66">
        <f ca="1">IFERROR(IF(OR(L20=0,L20="",O20=0,O20="",$R14&lt;&gt;0,LEFT(O20,1)="D"),0,VLOOKUP(K20,INDIRECT(MatchDay!$W$2),3,FALSE)),"")</f>
        <v>0</v>
      </c>
    </row>
    <row r="21" spans="1:22" x14ac:dyDescent="0.35">
      <c r="A21" s="105">
        <f>IFERROR(VLOOKUP(C13,standards,4,FALSE),"-")</f>
        <v>15.5</v>
      </c>
      <c r="B21" s="419">
        <v>2</v>
      </c>
      <c r="C21" s="120">
        <f>IFERROR(SEARCH("U17",D13),0)</f>
        <v>0</v>
      </c>
      <c r="D21" s="104">
        <v>7</v>
      </c>
      <c r="E21" s="107"/>
      <c r="F21" s="421" t="str">
        <f>IFERROR(VLOOKUP($C13&amp;E21,downloads!$A$1:$E$1000,2,FALSE),"")</f>
        <v/>
      </c>
      <c r="G21" s="64" t="str">
        <f t="shared" si="2"/>
        <v/>
      </c>
      <c r="H21" s="389"/>
      <c r="I21" s="147" t="str">
        <f>IFERROR(IF(OR(H21="",H21=0,H21&gt;A22),"",VLOOKUP(H21,A14:B22,2,TRUE)),9)</f>
        <v/>
      </c>
      <c r="J21" s="67"/>
      <c r="K21" s="104">
        <v>7</v>
      </c>
      <c r="L21" s="248"/>
      <c r="M21" s="421" t="str">
        <f>IFERROR(VLOOKUP($C13&amp;L21,downloads!$A$1:$E$1000,2,FALSE),"")</f>
        <v/>
      </c>
      <c r="N21" s="64" t="str">
        <f t="shared" si="3"/>
        <v/>
      </c>
      <c r="O21" s="394"/>
      <c r="P21" s="147" t="str">
        <f>IFERROR(IF(OR(O21="",O21=0,O21&gt;A22),"",VLOOKUP(O21,A14:B22,2,TRUE)),9)</f>
        <v/>
      </c>
      <c r="R21" s="66">
        <f ca="1">IFERROR(IF(OR(E21=0,E21="",H21=0,H21="",$R14&lt;&gt;0,LEFT(H21,1)="D"),0,VLOOKUP(D21,INDIRECT(MatchDay!$W$2),2,FALSE)),"")</f>
        <v>0</v>
      </c>
      <c r="S21" s="66">
        <f ca="1">IFERROR(IF(OR(L21=0,L21="",O21=0,O21="",$R14&lt;&gt;0,LEFT(O21,1)="D"),0,VLOOKUP(K21,INDIRECT(MatchDay!$W$2),3,FALSE)),"")</f>
        <v>0</v>
      </c>
    </row>
    <row r="22" spans="1:22" x14ac:dyDescent="0.35">
      <c r="A22" s="105">
        <f>IFERROR(VLOOKUP(C13,standards,3,FALSE),"-")</f>
        <v>16.5</v>
      </c>
      <c r="B22" s="419">
        <v>1</v>
      </c>
      <c r="C22" s="103">
        <f>IFERROR(VLOOKUP(C13,records,5,FALSE),"")</f>
        <v>11.15</v>
      </c>
      <c r="D22" s="104">
        <v>8</v>
      </c>
      <c r="E22" s="107"/>
      <c r="F22" s="421" t="str">
        <f>IFERROR(VLOOKUP($C13&amp;E22,downloads!$A$1:$E$1000,2,FALSE),"")</f>
        <v/>
      </c>
      <c r="G22" s="64" t="str">
        <f t="shared" si="2"/>
        <v/>
      </c>
      <c r="H22" s="389"/>
      <c r="I22" s="147" t="str">
        <f>IFERROR(IF(OR(H22="",H22=0,H22&gt;A22),"",VLOOKUP(H22,A14:B22,2,TRUE)),9)</f>
        <v/>
      </c>
      <c r="J22" s="67"/>
      <c r="K22" s="104">
        <v>8</v>
      </c>
      <c r="L22" s="248"/>
      <c r="M22" s="421" t="str">
        <f>IFERROR(VLOOKUP($C13&amp;L22,downloads!$A$1:$E$1000,2,FALSE),"")</f>
        <v/>
      </c>
      <c r="N22" s="64" t="str">
        <f t="shared" si="3"/>
        <v/>
      </c>
      <c r="O22" s="394"/>
      <c r="P22" s="147" t="str">
        <f>IFERROR(IF(OR(O22="",O22=0,O22&gt;A22),"",VLOOKUP(O22,A14:B22,2,TRUE)),9)</f>
        <v/>
      </c>
      <c r="R22" s="66">
        <f ca="1">IFERROR(IF(OR(E22=0,E22="",H22=0,H22="",$R14&lt;&gt;0,LEFT(H22,1)="D"),0,VLOOKUP(D22,INDIRECT(MatchDay!$W$2),2,FALSE)),"")</f>
        <v>0</v>
      </c>
      <c r="S22" s="66">
        <f ca="1">IFERROR(IF(OR(L22=0,L22="",O22=0,O22="",$R14&lt;&gt;0,LEFT(O22,1)="D"),0,VLOOKUP(K22,INDIRECT(MatchDay!$W$2),3,FALSE)),"")</f>
        <v>0</v>
      </c>
    </row>
    <row r="23" spans="1:22" x14ac:dyDescent="0.35">
      <c r="F23" s="407"/>
      <c r="H23" s="390"/>
      <c r="M23" s="407"/>
      <c r="O23" s="395"/>
    </row>
    <row r="24" spans="1:22" x14ac:dyDescent="0.35">
      <c r="C24" s="98" t="s">
        <v>34</v>
      </c>
      <c r="D24" s="99" t="str">
        <f>IFERROR(VLOOKUP(C24,timetables,2,FALSE)&amp;" "&amp;VLOOKUP(C24,timetables,3,FALSE)&amp;" A","")</f>
        <v>75m Hurdles U15 Girls A</v>
      </c>
      <c r="E24" s="99"/>
      <c r="F24" s="407"/>
      <c r="G24" s="114" t="str">
        <f>IFERROR(IF(VLOOKUP($C24,timetables,8,FALSE)="W","Wind = ",""),"")</f>
        <v xml:space="preserve">Wind = </v>
      </c>
      <c r="H24" s="391"/>
      <c r="I24" s="106" t="str">
        <f>IFERROR(IF(OR(H26=0,H26=""),"",IF(H26&lt;C33,"REC",IF(H26=C33,"=Rec",""))),"")</f>
        <v/>
      </c>
      <c r="K24" s="101" t="str">
        <f>IFERROR(VLOOKUP(C24,timetables,2,FALSE)&amp;" "&amp;VLOOKUP(C24,timetables,3,FALSE)&amp;" B","")</f>
        <v>75m Hurdles U15 Girls B</v>
      </c>
      <c r="L24" s="102"/>
      <c r="M24" s="407"/>
      <c r="N24" s="114" t="str">
        <f>IFERROR(IF(VLOOKUP($C24,timetables,8,FALSE)="W","Wind = ",""),"")</f>
        <v xml:space="preserve">Wind = </v>
      </c>
      <c r="O24" s="391"/>
      <c r="R24" s="66" t="s">
        <v>53</v>
      </c>
      <c r="S24" s="66" t="s">
        <v>54</v>
      </c>
    </row>
    <row r="25" spans="1:22" x14ac:dyDescent="0.35">
      <c r="A25" s="105">
        <f>IFERROR(VLOOKUP(C24,standards,11,FALSE),"-")</f>
        <v>11.7</v>
      </c>
      <c r="B25" s="419">
        <v>9</v>
      </c>
      <c r="C25" s="79"/>
      <c r="D25" s="45" t="s">
        <v>177</v>
      </c>
      <c r="E25" s="45" t="s">
        <v>141</v>
      </c>
      <c r="F25" s="422" t="s">
        <v>174</v>
      </c>
      <c r="G25" s="47" t="s">
        <v>175</v>
      </c>
      <c r="H25" s="392" t="s">
        <v>176</v>
      </c>
      <c r="I25" s="148" t="s">
        <v>1003</v>
      </c>
      <c r="J25" s="47"/>
      <c r="K25" s="45" t="s">
        <v>177</v>
      </c>
      <c r="L25" s="45" t="s">
        <v>141</v>
      </c>
      <c r="M25" s="422" t="s">
        <v>174</v>
      </c>
      <c r="N25" s="47" t="s">
        <v>175</v>
      </c>
      <c r="O25" s="392" t="s">
        <v>176</v>
      </c>
      <c r="P25" s="148" t="s">
        <v>1003</v>
      </c>
      <c r="R25" s="66">
        <f>IFERROR(SEARCH("NS",D24),0)</f>
        <v>0</v>
      </c>
      <c r="V25" s="67"/>
    </row>
    <row r="26" spans="1:22" x14ac:dyDescent="0.35">
      <c r="A26" s="105">
        <f>IFERROR(VLOOKUP(C24,standards,10,FALSE),"-")</f>
        <v>11.9</v>
      </c>
      <c r="B26" s="419">
        <v>8</v>
      </c>
      <c r="C26" s="138">
        <f>IFERROR(VLOOKUP(C24,Timetables!$A:$E,5,FALSE)-1,"")</f>
        <v>-1</v>
      </c>
      <c r="D26" s="104">
        <v>1</v>
      </c>
      <c r="E26" s="107">
        <v>6</v>
      </c>
      <c r="F26" s="421" t="str">
        <f>IFERROR(VLOOKUP($C24&amp;E26,downloads!$A$1:$E$1000,2,FALSE),"")</f>
        <v>Molly MILLS</v>
      </c>
      <c r="G26" s="64" t="str">
        <f t="shared" ref="G26:G33" si="4">IFERROR(VLOOKUP(E26,teamlookup,5,FALSE),"")</f>
        <v>Stock</v>
      </c>
      <c r="H26" s="389">
        <v>11.6</v>
      </c>
      <c r="I26" s="147">
        <f>IFERROR(IF(OR(H26="",H26=0,H26&gt;A33),"",VLOOKUP(H26,A25:B33,2,TRUE)),9)</f>
        <v>9</v>
      </c>
      <c r="J26" s="67"/>
      <c r="K26" s="104">
        <v>1</v>
      </c>
      <c r="L26" s="248">
        <v>11</v>
      </c>
      <c r="M26" s="421" t="str">
        <f>IFERROR(VLOOKUP($C24&amp;L26,downloads!$A$1:$E$1000,2,FALSE),"")</f>
        <v>Mia O'DONNELL</v>
      </c>
      <c r="N26" s="64" t="str">
        <f t="shared" ref="N26:N33" si="5">IFERROR(VLOOKUP(L26,teamlookup,5,FALSE),"")</f>
        <v>C&amp;N</v>
      </c>
      <c r="O26" s="394">
        <v>13.7</v>
      </c>
      <c r="P26" s="147">
        <f>IFERROR(IF(OR(O26="",O26=0,O26&gt;A33),"",VLOOKUP(O26,A25:B33,2,TRUE)),9)</f>
        <v>2</v>
      </c>
      <c r="R26" s="66">
        <f ca="1">IFERROR(IF(OR(E26=0,E26="",H26=0,H26="",$R25&lt;&gt;0,LEFT(H26,1)="D"),0,VLOOKUP(D26,INDIRECT(MatchDay!$W$2),2,FALSE)),"")</f>
        <v>10</v>
      </c>
      <c r="S26" s="66">
        <f ca="1">IFERROR(IF(OR(L26=0,L26="",O26=0,O26="",$R25&lt;&gt;0,LEFT(O26,1)="D"),0,VLOOKUP(K26,INDIRECT(MatchDay!$W$2),3,FALSE)),"")</f>
        <v>8</v>
      </c>
      <c r="T26" s="168">
        <f>COUNTIF(E26,"&gt;0")</f>
        <v>1</v>
      </c>
      <c r="U26" s="66">
        <f>IFERROR(IF(E26&gt;88,1,0),0)</f>
        <v>0</v>
      </c>
    </row>
    <row r="27" spans="1:22" x14ac:dyDescent="0.35">
      <c r="A27" s="105">
        <f>IFERROR(VLOOKUP(C24,standards,9,FALSE),"-")</f>
        <v>12.1</v>
      </c>
      <c r="B27" s="419">
        <v>7</v>
      </c>
      <c r="C27" s="64">
        <v>0</v>
      </c>
      <c r="D27" s="104">
        <v>2</v>
      </c>
      <c r="E27" s="107">
        <v>4</v>
      </c>
      <c r="F27" s="421" t="str">
        <f>IFERROR(VLOOKUP($C24&amp;E27,downloads!$A$1:$E$1000,2,FALSE),"")</f>
        <v>Elizabeth PENDRILL</v>
      </c>
      <c r="G27" s="64" t="str">
        <f t="shared" si="4"/>
        <v>Macc</v>
      </c>
      <c r="H27" s="389">
        <v>12.5</v>
      </c>
      <c r="I27" s="147">
        <f>IFERROR(IF(OR(H27="",H27=0,H27&gt;A33),"",VLOOKUP(H27,A25:B33,2,TRUE)),9)</f>
        <v>6</v>
      </c>
      <c r="J27" s="67"/>
      <c r="K27" s="104">
        <v>2</v>
      </c>
      <c r="L27" s="248">
        <v>33</v>
      </c>
      <c r="M27" s="421" t="str">
        <f>IFERROR(VLOOKUP($C24&amp;L27,downloads!$A$1:$E$1000,2,FALSE),"")</f>
        <v>Olivia COPPER</v>
      </c>
      <c r="N27" s="64" t="str">
        <f t="shared" si="5"/>
        <v>Leigh</v>
      </c>
      <c r="O27" s="394">
        <v>16.3</v>
      </c>
      <c r="P27" s="147" t="str">
        <f>IFERROR(IF(OR(O27="",O27=0,O27&gt;A33),"",VLOOKUP(O27,A25:B33,2,TRUE)),9)</f>
        <v/>
      </c>
      <c r="R27" s="66">
        <f ca="1">IFERROR(IF(OR(E27=0,E27="",H27=0,H27="",$R25&lt;&gt;0,LEFT(H27,1)="D"),0,VLOOKUP(D27,INDIRECT(MatchDay!$W$2),2,FALSE)),"")</f>
        <v>8</v>
      </c>
      <c r="S27" s="66">
        <f ca="1">IFERROR(IF(OR(L27=0,L27="",O27=0,O27="",$R25&lt;&gt;0,LEFT(O27,1)="D"),0,VLOOKUP(K27,INDIRECT(MatchDay!$W$2),3,FALSE)),"")</f>
        <v>6</v>
      </c>
    </row>
    <row r="28" spans="1:22" x14ac:dyDescent="0.35">
      <c r="A28" s="105">
        <f>IFERROR(VLOOKUP(C24,standards,8,FALSE),"-")</f>
        <v>12.4</v>
      </c>
      <c r="B28" s="419">
        <v>6</v>
      </c>
      <c r="C28" s="105"/>
      <c r="D28" s="104">
        <v>3</v>
      </c>
      <c r="E28" s="107">
        <v>2</v>
      </c>
      <c r="F28" s="421" t="str">
        <f>IFERROR(VLOOKUP($C24&amp;E28,downloads!$A$1:$E$1000,2,FALSE),"")</f>
        <v>Amelia JONES</v>
      </c>
      <c r="G28" s="64" t="str">
        <f t="shared" si="4"/>
        <v>ECHT</v>
      </c>
      <c r="H28" s="389">
        <v>12.6</v>
      </c>
      <c r="I28" s="147">
        <f>IFERROR(IF(OR(H28="",H28=0,H28&gt;A33),"",VLOOKUP(H28,A25:B33,2,TRUE)),9)</f>
        <v>6</v>
      </c>
      <c r="J28" s="67"/>
      <c r="K28" s="104">
        <v>3</v>
      </c>
      <c r="L28" s="248">
        <v>44</v>
      </c>
      <c r="M28" s="421" t="str">
        <f>IFERROR(VLOOKUP($C24&amp;L28,downloads!$A$1:$E$1000,2,FALSE),"")</f>
        <v>Tanvi KUTTY</v>
      </c>
      <c r="N28" s="64" t="str">
        <f t="shared" si="5"/>
        <v>Macc</v>
      </c>
      <c r="O28" s="394">
        <v>16.899999999999999</v>
      </c>
      <c r="P28" s="147" t="str">
        <f>IFERROR(IF(OR(O28="",O28=0,O28&gt;A33),"",VLOOKUP(O28,A25:B33,2,TRUE)),9)</f>
        <v/>
      </c>
      <c r="R28" s="66">
        <f ca="1">IFERROR(IF(OR(E28=0,E28="",H28=0,H28="",$R25&lt;&gt;0,LEFT(H28,1)="D"),0,VLOOKUP(D28,INDIRECT(MatchDay!$W$2),2,FALSE)),"")</f>
        <v>7</v>
      </c>
      <c r="S28" s="66">
        <f ca="1">IFERROR(IF(OR(L28=0,L28="",O28=0,O28="",$R25&lt;&gt;0,LEFT(O28,1)="D"),0,VLOOKUP(K28,INDIRECT(MatchDay!$W$2),3,FALSE)),"")</f>
        <v>5</v>
      </c>
    </row>
    <row r="29" spans="1:22" x14ac:dyDescent="0.35">
      <c r="A29" s="105">
        <f>IFERROR(VLOOKUP(C24,standards,7,FALSE),"-")</f>
        <v>12.7</v>
      </c>
      <c r="B29" s="419">
        <v>5</v>
      </c>
      <c r="C29" s="105"/>
      <c r="D29" s="104">
        <v>4</v>
      </c>
      <c r="E29" s="107">
        <v>7</v>
      </c>
      <c r="F29" s="421" t="str">
        <f>IFERROR(VLOOKUP($C24&amp;E29,downloads!$A$1:$E$1000,2,FALSE),"")</f>
        <v>Lauren HEWITT</v>
      </c>
      <c r="G29" s="64" t="str">
        <f t="shared" si="4"/>
        <v>Wigan</v>
      </c>
      <c r="H29" s="389">
        <v>13.1</v>
      </c>
      <c r="I29" s="147">
        <f>IFERROR(IF(OR(H29="",H29=0,H29&gt;A33),"",VLOOKUP(H29,A25:B33,2,TRUE)),9)</f>
        <v>4</v>
      </c>
      <c r="J29" s="67"/>
      <c r="K29" s="104">
        <v>4</v>
      </c>
      <c r="L29" s="248"/>
      <c r="M29" s="421" t="str">
        <f>IFERROR(VLOOKUP($C24&amp;L29,downloads!$A$1:$E$1000,2,FALSE),"")</f>
        <v/>
      </c>
      <c r="N29" s="64" t="str">
        <f t="shared" si="5"/>
        <v/>
      </c>
      <c r="O29" s="394"/>
      <c r="P29" s="147" t="str">
        <f>IFERROR(IF(OR(O29="",O29=0,O29&gt;A33),"",VLOOKUP(O29,A25:B33,2,TRUE)),9)</f>
        <v/>
      </c>
      <c r="R29" s="66">
        <f ca="1">IFERROR(IF(OR(E29=0,E29="",H29=0,H29="",$R25&lt;&gt;0,LEFT(H29,1)="D"),0,VLOOKUP(D29,INDIRECT(MatchDay!$W$2),2,FALSE)),"")</f>
        <v>6</v>
      </c>
      <c r="S29" s="66">
        <f ca="1">IFERROR(IF(OR(L29=0,L29="",O29=0,O29="",$R25&lt;&gt;0,LEFT(O29,1)="D"),0,VLOOKUP(K29,INDIRECT(MatchDay!$W$2),3,FALSE)),"")</f>
        <v>0</v>
      </c>
    </row>
    <row r="30" spans="1:22" x14ac:dyDescent="0.35">
      <c r="A30" s="105">
        <f>IFERROR(VLOOKUP(C24,standards,6,FALSE),"-")</f>
        <v>13</v>
      </c>
      <c r="B30" s="419">
        <v>4</v>
      </c>
      <c r="C30" s="105"/>
      <c r="D30" s="104">
        <v>5</v>
      </c>
      <c r="E30" s="107">
        <v>1</v>
      </c>
      <c r="F30" s="421" t="str">
        <f>IFERROR(VLOOKUP($C24&amp;E30,downloads!$A$1:$E$1000,2,FALSE),"")</f>
        <v>Bella VARLEY</v>
      </c>
      <c r="G30" s="64" t="str">
        <f t="shared" si="4"/>
        <v>C&amp;N</v>
      </c>
      <c r="H30" s="389">
        <v>13.3</v>
      </c>
      <c r="I30" s="147">
        <f>IFERROR(IF(OR(H30="",H30=0,H30&gt;A33),"",VLOOKUP(H30,A25:B33,2,TRUE)),9)</f>
        <v>3</v>
      </c>
      <c r="J30" s="67"/>
      <c r="K30" s="104">
        <v>5</v>
      </c>
      <c r="L30" s="248"/>
      <c r="M30" s="421" t="str">
        <f>IFERROR(VLOOKUP($C24&amp;L30,downloads!$A$1:$E$1000,2,FALSE),"")</f>
        <v/>
      </c>
      <c r="N30" s="64" t="str">
        <f t="shared" si="5"/>
        <v/>
      </c>
      <c r="O30" s="394"/>
      <c r="P30" s="147" t="str">
        <f>IFERROR(IF(OR(O30="",O30=0,O30&gt;A33),"",VLOOKUP(O30,A25:B33,2,TRUE)),9)</f>
        <v/>
      </c>
      <c r="R30" s="66">
        <f ca="1">IFERROR(IF(OR(E30=0,E30="",H30=0,H30="",$R25&lt;&gt;0,LEFT(H30,1)="D"),0,VLOOKUP(D30,INDIRECT(MatchDay!$W$2),2,FALSE)),"")</f>
        <v>5</v>
      </c>
      <c r="S30" s="66">
        <f ca="1">IFERROR(IF(OR(L30=0,L30="",O30=0,O30="",$R25&lt;&gt;0,LEFT(O30,1)="D"),0,VLOOKUP(K30,INDIRECT(MatchDay!$W$2),3,FALSE)),"")</f>
        <v>0</v>
      </c>
    </row>
    <row r="31" spans="1:22" x14ac:dyDescent="0.35">
      <c r="A31" s="105">
        <f>IFERROR(VLOOKUP(C24,standards,5,FALSE),"-")</f>
        <v>13.3</v>
      </c>
      <c r="B31" s="419">
        <v>3</v>
      </c>
      <c r="C31" s="105"/>
      <c r="D31" s="104">
        <v>6</v>
      </c>
      <c r="E31" s="107">
        <v>3</v>
      </c>
      <c r="F31" s="421" t="str">
        <f>IFERROR(VLOOKUP($C24&amp;E31,downloads!$A$1:$E$1000,2,FALSE),"")</f>
        <v>Jessica HODGKINSON</v>
      </c>
      <c r="G31" s="64" t="str">
        <f t="shared" si="4"/>
        <v>Leigh</v>
      </c>
      <c r="H31" s="389">
        <v>13.9</v>
      </c>
      <c r="I31" s="147">
        <f>IFERROR(IF(OR(H31="",H31=0,H31&gt;A33),"",VLOOKUP(H31,A25:B33,2,TRUE)),9)</f>
        <v>2</v>
      </c>
      <c r="J31" s="67"/>
      <c r="K31" s="104">
        <v>6</v>
      </c>
      <c r="L31" s="248"/>
      <c r="M31" s="421" t="str">
        <f>IFERROR(VLOOKUP($C24&amp;L31,downloads!$A$1:$E$1000,2,FALSE),"")</f>
        <v/>
      </c>
      <c r="N31" s="64" t="str">
        <f t="shared" si="5"/>
        <v/>
      </c>
      <c r="O31" s="394"/>
      <c r="P31" s="147" t="str">
        <f>IFERROR(IF(OR(O31="",O31=0,O31&gt;A33),"",VLOOKUP(O31,A25:B33,2,TRUE)),9)</f>
        <v/>
      </c>
      <c r="R31" s="66">
        <f ca="1">IFERROR(IF(OR(E31=0,E31="",H31=0,H31="",$R25&lt;&gt;0,LEFT(H31,1)="D"),0,VLOOKUP(D31,INDIRECT(MatchDay!$W$2),2,FALSE)),"")</f>
        <v>4</v>
      </c>
      <c r="S31" s="66">
        <f ca="1">IFERROR(IF(OR(L31=0,L31="",O31=0,O31="",$R25&lt;&gt;0,LEFT(O31,1)="D"),0,VLOOKUP(K31,INDIRECT(MatchDay!$W$2),3,FALSE)),"")</f>
        <v>0</v>
      </c>
    </row>
    <row r="32" spans="1:22" x14ac:dyDescent="0.35">
      <c r="A32" s="105">
        <f>IFERROR(VLOOKUP(C24,standards,4,FALSE),"-")</f>
        <v>13.7</v>
      </c>
      <c r="B32" s="419">
        <v>2</v>
      </c>
      <c r="C32" s="120">
        <f>IFERROR(SEARCH("U17",D24),0)</f>
        <v>0</v>
      </c>
      <c r="D32" s="104">
        <v>7</v>
      </c>
      <c r="E32" s="107">
        <v>5</v>
      </c>
      <c r="F32" s="421" t="str">
        <f>IFERROR(VLOOKUP($C24&amp;E32,downloads!$A$1:$E$1000,2,FALSE),"")</f>
        <v>Nest OWEN</v>
      </c>
      <c r="G32" s="64" t="str">
        <f t="shared" si="4"/>
        <v>Menai</v>
      </c>
      <c r="H32" s="389">
        <v>17.100000000000001</v>
      </c>
      <c r="I32" s="147" t="str">
        <f>IFERROR(IF(OR(H32="",H32=0,H32&gt;A33),"",VLOOKUP(H32,A25:B33,2,TRUE)),9)</f>
        <v/>
      </c>
      <c r="J32" s="67"/>
      <c r="K32" s="104">
        <v>7</v>
      </c>
      <c r="L32" s="248"/>
      <c r="M32" s="421" t="str">
        <f>IFERROR(VLOOKUP($C24&amp;L32,downloads!$A$1:$E$1000,2,FALSE),"")</f>
        <v/>
      </c>
      <c r="N32" s="64" t="str">
        <f t="shared" si="5"/>
        <v/>
      </c>
      <c r="O32" s="397"/>
      <c r="P32" s="147" t="str">
        <f>IFERROR(IF(OR(O32="",O32=0,O32&gt;A33),"",VLOOKUP(O32,A25:B33,2,TRUE)),9)</f>
        <v/>
      </c>
      <c r="R32" s="66">
        <f ca="1">IFERROR(IF(OR(E32=0,E32="",H32=0,H32="",$R25&lt;&gt;0,LEFT(H32,1)="D"),0,VLOOKUP(D32,INDIRECT(MatchDay!$W$2),2,FALSE)),"")</f>
        <v>3</v>
      </c>
      <c r="S32" s="66">
        <f ca="1">IFERROR(IF(OR(L32=0,L32="",O32=0,O32="",$R25&lt;&gt;0,LEFT(O32,1)="D"),0,VLOOKUP(K32,INDIRECT(MatchDay!$W$2),3,FALSE)),"")</f>
        <v>0</v>
      </c>
    </row>
    <row r="33" spans="1:22" x14ac:dyDescent="0.35">
      <c r="A33" s="105">
        <f>IFERROR(VLOOKUP(C24,standards,3,FALSE),"-")</f>
        <v>14.1</v>
      </c>
      <c r="B33" s="419">
        <v>1</v>
      </c>
      <c r="C33" s="103">
        <f>IFERROR(VLOOKUP(C24,records,5,FALSE),"")</f>
        <v>11</v>
      </c>
      <c r="D33" s="104">
        <v>8</v>
      </c>
      <c r="E33" s="107"/>
      <c r="F33" s="421" t="str">
        <f>IFERROR(VLOOKUP($C24&amp;E33,downloads!$A$1:$E$1000,2,FALSE),"")</f>
        <v/>
      </c>
      <c r="G33" s="64" t="str">
        <f t="shared" si="4"/>
        <v/>
      </c>
      <c r="H33" s="389"/>
      <c r="I33" s="147" t="str">
        <f>IFERROR(IF(OR(H33="",H33=0,H33&gt;A33),"",VLOOKUP(H33,A25:B33,2,TRUE)),9)</f>
        <v/>
      </c>
      <c r="J33" s="67"/>
      <c r="K33" s="104">
        <v>8</v>
      </c>
      <c r="L33" s="248"/>
      <c r="M33" s="421" t="str">
        <f>IFERROR(VLOOKUP($C24&amp;L33,downloads!$A$1:$E$1000,2,FALSE),"")</f>
        <v/>
      </c>
      <c r="N33" s="64" t="str">
        <f t="shared" si="5"/>
        <v/>
      </c>
      <c r="O33" s="394"/>
      <c r="P33" s="147" t="str">
        <f>IFERROR(IF(OR(O33="",O33=0,O33&gt;A33),"",VLOOKUP(O33,A25:B33,2,TRUE)),9)</f>
        <v/>
      </c>
      <c r="R33" s="66">
        <f ca="1">IFERROR(IF(OR(E33=0,E33="",H33=0,H33="",$R25&lt;&gt;0,LEFT(H33,1)="D"),0,VLOOKUP(D33,INDIRECT(MatchDay!$W$2),2,FALSE)),"")</f>
        <v>0</v>
      </c>
      <c r="S33" s="66">
        <f ca="1">IFERROR(IF(OR(L33=0,L33="",O33=0,O33="",$R25&lt;&gt;0,LEFT(O33,1)="D"),0,VLOOKUP(K33,INDIRECT(MatchDay!$W$2),3,FALSE)),"")</f>
        <v>0</v>
      </c>
    </row>
    <row r="34" spans="1:22" x14ac:dyDescent="0.35">
      <c r="F34" s="407"/>
      <c r="H34" s="390"/>
      <c r="M34" s="407"/>
      <c r="O34" s="395"/>
    </row>
    <row r="35" spans="1:22" x14ac:dyDescent="0.35">
      <c r="C35" s="98" t="s">
        <v>35</v>
      </c>
      <c r="D35" s="99" t="str">
        <f>IFERROR(VLOOKUP(C35,timetables,2,FALSE)&amp;" "&amp;VLOOKUP(C35,timetables,3,FALSE)&amp;" A","")</f>
        <v>80m Hurdles U15 Boys A</v>
      </c>
      <c r="E35" s="99"/>
      <c r="F35" s="407"/>
      <c r="G35" s="64" t="str">
        <f>IFERROR(IF(VLOOKUP($C35,timetables,8,FALSE)="W","Wind = ",""),"")</f>
        <v xml:space="preserve">Wind = </v>
      </c>
      <c r="H35" s="391"/>
      <c r="I35" s="106" t="str">
        <f>IFERROR(IF(OR(H37=0,H37=""),"",IF(H37&lt;C44,"REC",IF(H37=C44,"=Rec",""))),"")</f>
        <v/>
      </c>
      <c r="K35" s="101" t="str">
        <f>IFERROR(VLOOKUP(C35,timetables,2,FALSE)&amp;" "&amp;VLOOKUP(C35,timetables,3,FALSE)&amp;" B","")</f>
        <v>80m Hurdles U15 Boys B</v>
      </c>
      <c r="L35" s="102"/>
      <c r="M35" s="407"/>
      <c r="N35" s="114" t="str">
        <f>IFERROR(IF(VLOOKUP($C35,timetables,8,FALSE)="W","Wind = ",""),"")</f>
        <v xml:space="preserve">Wind = </v>
      </c>
      <c r="O35" s="391"/>
      <c r="R35" s="66" t="s">
        <v>53</v>
      </c>
      <c r="S35" s="66" t="s">
        <v>54</v>
      </c>
    </row>
    <row r="36" spans="1:22" x14ac:dyDescent="0.35">
      <c r="A36" s="105">
        <f>IFERROR(VLOOKUP(C35,standards,11,FALSE),"-")</f>
        <v>11.9</v>
      </c>
      <c r="B36" s="419">
        <v>9</v>
      </c>
      <c r="C36" s="79"/>
      <c r="D36" s="45" t="s">
        <v>177</v>
      </c>
      <c r="E36" s="45" t="s">
        <v>141</v>
      </c>
      <c r="F36" s="422" t="s">
        <v>174</v>
      </c>
      <c r="G36" s="47" t="s">
        <v>175</v>
      </c>
      <c r="H36" s="392" t="s">
        <v>176</v>
      </c>
      <c r="I36" s="148" t="s">
        <v>1003</v>
      </c>
      <c r="J36" s="47"/>
      <c r="K36" s="45" t="s">
        <v>177</v>
      </c>
      <c r="L36" s="45" t="s">
        <v>141</v>
      </c>
      <c r="M36" s="422" t="s">
        <v>174</v>
      </c>
      <c r="N36" s="47" t="s">
        <v>175</v>
      </c>
      <c r="O36" s="392" t="s">
        <v>176</v>
      </c>
      <c r="P36" s="148" t="s">
        <v>1003</v>
      </c>
      <c r="R36" s="66">
        <f>IFERROR(SEARCH("NS",D35),0)</f>
        <v>0</v>
      </c>
      <c r="V36" s="67"/>
    </row>
    <row r="37" spans="1:22" x14ac:dyDescent="0.35">
      <c r="A37" s="105">
        <f>IFERROR(VLOOKUP(C35,standards,10,FALSE),"-")</f>
        <v>12.2</v>
      </c>
      <c r="B37" s="419">
        <v>8</v>
      </c>
      <c r="C37" s="138">
        <f>IFERROR(VLOOKUP(C35,Timetables!$A:$E,5,FALSE)-1,"")</f>
        <v>-1</v>
      </c>
      <c r="D37" s="104">
        <v>1</v>
      </c>
      <c r="E37" s="107">
        <v>1</v>
      </c>
      <c r="F37" s="421" t="str">
        <f>IFERROR(VLOOKUP($C35&amp;E37,downloads!$A$1:$E$1000,2,FALSE),"")</f>
        <v>James HOWARTH</v>
      </c>
      <c r="G37" s="64" t="str">
        <f t="shared" ref="G37:G44" si="6">IFERROR(VLOOKUP(E37,teamlookup,5,FALSE),"")</f>
        <v>C&amp;N</v>
      </c>
      <c r="H37" s="389">
        <v>13</v>
      </c>
      <c r="I37" s="147">
        <f>IFERROR(IF(OR(H37="",H37=0,H37&gt;A44),"",VLOOKUP(H37,A36:B44,2,TRUE)),9)</f>
        <v>6</v>
      </c>
      <c r="J37" s="67"/>
      <c r="K37" s="104">
        <v>1</v>
      </c>
      <c r="L37" s="430">
        <v>11</v>
      </c>
      <c r="M37" s="421" t="str">
        <f>IFERROR(VLOOKUP($C35&amp;L37,downloads!$A$1:$E$1000,2,FALSE),"")</f>
        <v>Isaac PICKERING</v>
      </c>
      <c r="N37" s="64" t="str">
        <f t="shared" ref="N37:N44" si="7">IFERROR(VLOOKUP(L37,teamlookup,5,FALSE),"")</f>
        <v>C&amp;N</v>
      </c>
      <c r="O37" s="394">
        <v>13.7</v>
      </c>
      <c r="P37" s="147">
        <f>IFERROR(IF(OR(O37="",O37=0,O37&gt;A44),"",VLOOKUP(O37,A36:B44,2,TRUE)),9)</f>
        <v>4</v>
      </c>
      <c r="R37" s="66">
        <f ca="1">IFERROR(IF(OR(E37=0,E37="",H37=0,H37="",$R36&lt;&gt;0,LEFT(H37,1)="D"),0,VLOOKUP(D37,INDIRECT(MatchDay!$W$2),2,FALSE)),"")</f>
        <v>10</v>
      </c>
      <c r="S37" s="66">
        <f ca="1">IFERROR(IF(OR(L37=0,L37="",O37=0,O37="",$R36&lt;&gt;0,LEFT(O37,1)="D"),0,VLOOKUP(K37,INDIRECT(MatchDay!$W$2),3,FALSE)),"")</f>
        <v>8</v>
      </c>
      <c r="T37" s="168">
        <f>COUNTIF(E37,"&gt;0")</f>
        <v>1</v>
      </c>
      <c r="U37" s="66">
        <f>IFERROR(IF(E37&gt;88,1,0),0)</f>
        <v>0</v>
      </c>
    </row>
    <row r="38" spans="1:22" x14ac:dyDescent="0.35">
      <c r="A38" s="105">
        <f>IFERROR(VLOOKUP(C35,standards,9,FALSE),"-")</f>
        <v>12.5</v>
      </c>
      <c r="B38" s="419">
        <v>7</v>
      </c>
      <c r="C38" s="64">
        <v>0</v>
      </c>
      <c r="D38" s="104">
        <v>2</v>
      </c>
      <c r="E38" s="107">
        <v>5</v>
      </c>
      <c r="F38" s="421" t="str">
        <f>IFERROR(VLOOKUP($C35&amp;E38,downloads!$A$1:$E$1000,2,FALSE),"")</f>
        <v>Morgan JONES</v>
      </c>
      <c r="G38" s="64" t="str">
        <f t="shared" si="6"/>
        <v>Menai</v>
      </c>
      <c r="H38" s="389">
        <v>14.6</v>
      </c>
      <c r="I38" s="147">
        <f>IFERROR(IF(OR(H38="",H38=0,H38&gt;A44),"",VLOOKUP(H38,A36:B44,2,TRUE)),9)</f>
        <v>2</v>
      </c>
      <c r="J38" s="67"/>
      <c r="K38" s="104">
        <v>2</v>
      </c>
      <c r="L38" s="252"/>
      <c r="M38" s="421" t="str">
        <f>IFERROR(VLOOKUP($C35&amp;L38,downloads!$A$1:$E$1000,2,FALSE),"")</f>
        <v/>
      </c>
      <c r="N38" s="64" t="str">
        <f t="shared" si="7"/>
        <v/>
      </c>
      <c r="O38" s="394"/>
      <c r="P38" s="147" t="str">
        <f>IFERROR(IF(OR(O38="",O38=0,O38&gt;A44),"",VLOOKUP(O38,A36:B44,2,TRUE)),9)</f>
        <v/>
      </c>
      <c r="R38" s="66">
        <f ca="1">IFERROR(IF(OR(E38=0,E38="",H38=0,H38="",$R36&lt;&gt;0,LEFT(H38,1)="D"),0,VLOOKUP(D38,INDIRECT(MatchDay!$W$2),2,FALSE)),"")</f>
        <v>8</v>
      </c>
      <c r="S38" s="66">
        <f ca="1">IFERROR(IF(OR(L38=0,L38="",O38=0,O38="",$R36&lt;&gt;0,LEFT(O38,1)="D"),0,VLOOKUP(K38,INDIRECT(MatchDay!$W$2),3,FALSE)),"")</f>
        <v>0</v>
      </c>
    </row>
    <row r="39" spans="1:22" x14ac:dyDescent="0.35">
      <c r="A39" s="105">
        <f>IFERROR(VLOOKUP(C35,standards,8,FALSE),"-")</f>
        <v>12.8</v>
      </c>
      <c r="B39" s="419">
        <v>6</v>
      </c>
      <c r="C39" s="105"/>
      <c r="D39" s="104">
        <v>3</v>
      </c>
      <c r="E39" s="107">
        <v>6</v>
      </c>
      <c r="F39" s="421" t="str">
        <f>IFERROR(VLOOKUP($C35&amp;E39,downloads!$A$1:$E$1000,2,FALSE),"")</f>
        <v>Quaid SIN</v>
      </c>
      <c r="G39" s="64" t="str">
        <f t="shared" si="6"/>
        <v>Stock</v>
      </c>
      <c r="H39" s="389">
        <v>15.1</v>
      </c>
      <c r="I39" s="147" t="str">
        <f>IFERROR(IF(OR(H39="",H39=0,H39&gt;A44),"",VLOOKUP(H39,A36:B44,2,TRUE)),9)</f>
        <v/>
      </c>
      <c r="J39" s="67"/>
      <c r="K39" s="104">
        <v>3</v>
      </c>
      <c r="L39" s="252"/>
      <c r="M39" s="421" t="str">
        <f>IFERROR(VLOOKUP($C35&amp;L39,downloads!$A$1:$E$1000,2,FALSE),"")</f>
        <v/>
      </c>
      <c r="N39" s="64" t="str">
        <f t="shared" si="7"/>
        <v/>
      </c>
      <c r="O39" s="394"/>
      <c r="P39" s="147" t="str">
        <f>IFERROR(IF(OR(O39="",O39=0,O39&gt;A44),"",VLOOKUP(O39,A36:B44,2,TRUE)),9)</f>
        <v/>
      </c>
      <c r="R39" s="66">
        <f ca="1">IFERROR(IF(OR(E39=0,E39="",H39=0,H39="",$R36&lt;&gt;0,LEFT(H39,1)="D"),0,VLOOKUP(D39,INDIRECT(MatchDay!$W$2),2,FALSE)),"")</f>
        <v>7</v>
      </c>
      <c r="S39" s="66">
        <f ca="1">IFERROR(IF(OR(L39=0,L39="",O39=0,O39="",$R36&lt;&gt;0,LEFT(O39,1)="D"),0,VLOOKUP(K39,INDIRECT(MatchDay!$W$2),3,FALSE)),"")</f>
        <v>0</v>
      </c>
    </row>
    <row r="40" spans="1:22" x14ac:dyDescent="0.35">
      <c r="A40" s="105">
        <f>IFERROR(VLOOKUP(C35,standards,7,FALSE),"-")</f>
        <v>13.2</v>
      </c>
      <c r="B40" s="419">
        <v>5</v>
      </c>
      <c r="C40" s="105"/>
      <c r="D40" s="104">
        <v>4</v>
      </c>
      <c r="E40" s="107">
        <v>3</v>
      </c>
      <c r="F40" s="421" t="str">
        <f>IFERROR(VLOOKUP($C35&amp;E40,downloads!$A$1:$E$1000,2,FALSE),"")</f>
        <v>Barnaby CROMBLEHOLME</v>
      </c>
      <c r="G40" s="64" t="str">
        <f t="shared" si="6"/>
        <v>Leigh</v>
      </c>
      <c r="H40" s="389">
        <v>19.100000000000001</v>
      </c>
      <c r="I40" s="147" t="str">
        <f>IFERROR(IF(OR(H40="",H40=0,H40&gt;A44),"",VLOOKUP(H40,A36:B44,2,TRUE)),9)</f>
        <v/>
      </c>
      <c r="J40" s="67"/>
      <c r="K40" s="104">
        <v>4</v>
      </c>
      <c r="L40" s="252"/>
      <c r="M40" s="421" t="str">
        <f>IFERROR(VLOOKUP($C35&amp;L40,downloads!$A$1:$E$1000,2,FALSE),"")</f>
        <v/>
      </c>
      <c r="N40" s="64" t="str">
        <f t="shared" si="7"/>
        <v/>
      </c>
      <c r="O40" s="394"/>
      <c r="P40" s="147" t="str">
        <f>IFERROR(IF(OR(O40="",O40=0,O40&gt;A44),"",VLOOKUP(O40,A36:B44,2,TRUE)),9)</f>
        <v/>
      </c>
      <c r="R40" s="66">
        <f ca="1">IFERROR(IF(OR(E40=0,E40="",H40=0,H40="",$R36&lt;&gt;0,LEFT(H40,1)="D"),0,VLOOKUP(D40,INDIRECT(MatchDay!$W$2),2,FALSE)),"")</f>
        <v>6</v>
      </c>
      <c r="S40" s="66">
        <f ca="1">IFERROR(IF(OR(L40=0,L40="",O40=0,O40="",$R36&lt;&gt;0,LEFT(O40,1)="D"),0,VLOOKUP(K40,INDIRECT(MatchDay!$W$2),3,FALSE)),"")</f>
        <v>0</v>
      </c>
    </row>
    <row r="41" spans="1:22" x14ac:dyDescent="0.35">
      <c r="A41" s="105">
        <f>IFERROR(VLOOKUP(C35,standards,6,FALSE),"-")</f>
        <v>13.6</v>
      </c>
      <c r="B41" s="419">
        <v>4</v>
      </c>
      <c r="C41" s="105"/>
      <c r="D41" s="104">
        <v>5</v>
      </c>
      <c r="E41" s="107"/>
      <c r="F41" s="421" t="str">
        <f>IFERROR(VLOOKUP($C35&amp;E41,downloads!$A$1:$E$1000,2,FALSE),"")</f>
        <v/>
      </c>
      <c r="G41" s="64" t="str">
        <f t="shared" si="6"/>
        <v/>
      </c>
      <c r="H41" s="389"/>
      <c r="I41" s="147" t="str">
        <f>IFERROR(IF(OR(H41="",H41=0,H41&gt;A44),"",VLOOKUP(H41,A36:B44,2,TRUE)),9)</f>
        <v/>
      </c>
      <c r="J41" s="67"/>
      <c r="K41" s="104">
        <v>5</v>
      </c>
      <c r="L41" s="252"/>
      <c r="M41" s="421" t="str">
        <f>IFERROR(VLOOKUP($C35&amp;L41,downloads!$A$1:$E$1000,2,FALSE),"")</f>
        <v/>
      </c>
      <c r="N41" s="64" t="str">
        <f t="shared" si="7"/>
        <v/>
      </c>
      <c r="O41" s="394"/>
      <c r="P41" s="147" t="str">
        <f>IFERROR(IF(OR(O41="",O41=0,O41&gt;A44),"",VLOOKUP(O41,A36:B44,2,TRUE)),9)</f>
        <v/>
      </c>
      <c r="R41" s="66">
        <f ca="1">IFERROR(IF(OR(E41=0,E41="",H41=0,H41="",$R36&lt;&gt;0,LEFT(H41,1)="D"),0,VLOOKUP(D41,INDIRECT(MatchDay!$W$2),2,FALSE)),"")</f>
        <v>0</v>
      </c>
      <c r="S41" s="66">
        <f ca="1">IFERROR(IF(OR(L41=0,L41="",O41=0,O41="",$R36&lt;&gt;0,LEFT(O41,1)="D"),0,VLOOKUP(K41,INDIRECT(MatchDay!$W$2),3,FALSE)),"")</f>
        <v>0</v>
      </c>
    </row>
    <row r="42" spans="1:22" x14ac:dyDescent="0.35">
      <c r="A42" s="105">
        <f>IFERROR(VLOOKUP(C35,standards,5,FALSE),"-")</f>
        <v>14</v>
      </c>
      <c r="B42" s="419">
        <v>3</v>
      </c>
      <c r="C42" s="105"/>
      <c r="D42" s="104">
        <v>6</v>
      </c>
      <c r="E42" s="107"/>
      <c r="F42" s="421" t="str">
        <f>IFERROR(VLOOKUP($C35&amp;E42,downloads!$A$1:$E$1000,2,FALSE),"")</f>
        <v/>
      </c>
      <c r="G42" s="64" t="str">
        <f t="shared" si="6"/>
        <v/>
      </c>
      <c r="H42" s="389"/>
      <c r="I42" s="147" t="str">
        <f>IFERROR(IF(OR(H42="",H42=0,H42&gt;A44),"",VLOOKUP(H42,A36:B44,2,TRUE)),9)</f>
        <v/>
      </c>
      <c r="J42" s="67"/>
      <c r="K42" s="104">
        <v>6</v>
      </c>
      <c r="L42" s="252"/>
      <c r="M42" s="421" t="str">
        <f>IFERROR(VLOOKUP($C35&amp;L42,downloads!$A$1:$E$1000,2,FALSE),"")</f>
        <v/>
      </c>
      <c r="N42" s="64" t="str">
        <f t="shared" si="7"/>
        <v/>
      </c>
      <c r="O42" s="394"/>
      <c r="P42" s="147" t="str">
        <f>IFERROR(IF(OR(O42="",O42=0,O42&gt;A44),"",VLOOKUP(O42,A36:B44,2,TRUE)),9)</f>
        <v/>
      </c>
      <c r="R42" s="66">
        <f ca="1">IFERROR(IF(OR(E42=0,E42="",H42=0,H42="",$R36&lt;&gt;0,LEFT(H42,1)="D"),0,VLOOKUP(D42,INDIRECT(MatchDay!$W$2),2,FALSE)),"")</f>
        <v>0</v>
      </c>
      <c r="S42" s="66">
        <f ca="1">IFERROR(IF(OR(L42=0,L42="",O42=0,O42="",$R36&lt;&gt;0,LEFT(O42,1)="D"),0,VLOOKUP(K42,INDIRECT(MatchDay!$W$2),3,FALSE)),"")</f>
        <v>0</v>
      </c>
    </row>
    <row r="43" spans="1:22" x14ac:dyDescent="0.35">
      <c r="A43" s="105">
        <f>IFERROR(VLOOKUP(C35,standards,4,FALSE),"-")</f>
        <v>14.4</v>
      </c>
      <c r="B43" s="419">
        <v>2</v>
      </c>
      <c r="C43" s="120">
        <f>IFERROR(SEARCH("U17",D35),0)</f>
        <v>0</v>
      </c>
      <c r="D43" s="104">
        <v>7</v>
      </c>
      <c r="E43" s="107"/>
      <c r="F43" s="421" t="str">
        <f>IFERROR(VLOOKUP($C35&amp;E43,downloads!$A$1:$E$1000,2,FALSE),"")</f>
        <v/>
      </c>
      <c r="G43" s="64" t="str">
        <f t="shared" si="6"/>
        <v/>
      </c>
      <c r="H43" s="389"/>
      <c r="I43" s="147" t="str">
        <f>IFERROR(IF(OR(H43="",H43=0,H43&gt;A44),"",VLOOKUP(H43,A36:B44,2,TRUE)),9)</f>
        <v/>
      </c>
      <c r="J43" s="67"/>
      <c r="K43" s="104">
        <v>7</v>
      </c>
      <c r="L43" s="252"/>
      <c r="M43" s="421" t="str">
        <f>IFERROR(VLOOKUP($C35&amp;L43,downloads!$A$1:$E$1000,2,FALSE),"")</f>
        <v/>
      </c>
      <c r="N43" s="64" t="str">
        <f t="shared" si="7"/>
        <v/>
      </c>
      <c r="O43" s="394"/>
      <c r="P43" s="147" t="str">
        <f>IFERROR(IF(OR(O43="",O43=0,O43&gt;A44),"",VLOOKUP(O43,A36:B44,2,TRUE)),9)</f>
        <v/>
      </c>
      <c r="R43" s="66">
        <f ca="1">IFERROR(IF(OR(E43=0,E43="",H43=0,H43="",$R36&lt;&gt;0,LEFT(H43,1)="D"),0,VLOOKUP(D43,INDIRECT(MatchDay!$W$2),2,FALSE)),"")</f>
        <v>0</v>
      </c>
      <c r="S43" s="66">
        <f ca="1">IFERROR(IF(OR(L43=0,L43="",O43=0,O43="",$R36&lt;&gt;0,LEFT(O43,1)="D"),0,VLOOKUP(K43,INDIRECT(MatchDay!$W$2),3,FALSE)),"")</f>
        <v>0</v>
      </c>
    </row>
    <row r="44" spans="1:22" x14ac:dyDescent="0.35">
      <c r="A44" s="105">
        <f>IFERROR(VLOOKUP(C35,standards,3,FALSE),"-")</f>
        <v>14.8</v>
      </c>
      <c r="B44" s="419">
        <v>1</v>
      </c>
      <c r="C44" s="103">
        <f>IFERROR(VLOOKUP(C35,records,5,FALSE),"")</f>
        <v>11</v>
      </c>
      <c r="D44" s="104">
        <v>8</v>
      </c>
      <c r="E44" s="107"/>
      <c r="F44" s="421" t="str">
        <f>IFERROR(VLOOKUP($C35&amp;E44,downloads!$A$1:$E$1000,2,FALSE),"")</f>
        <v/>
      </c>
      <c r="G44" s="64" t="str">
        <f t="shared" si="6"/>
        <v/>
      </c>
      <c r="H44" s="389"/>
      <c r="I44" s="147" t="str">
        <f>IFERROR(IF(OR(H44="",H44=0,H44&gt;A44),"",VLOOKUP(H44,A36:B44,2,TRUE)),9)</f>
        <v/>
      </c>
      <c r="J44" s="67"/>
      <c r="K44" s="104">
        <v>8</v>
      </c>
      <c r="L44" s="252"/>
      <c r="M44" s="421" t="str">
        <f>IFERROR(VLOOKUP($C35&amp;L44,downloads!$A$1:$E$1000,2,FALSE),"")</f>
        <v/>
      </c>
      <c r="N44" s="64" t="str">
        <f t="shared" si="7"/>
        <v/>
      </c>
      <c r="O44" s="394"/>
      <c r="P44" s="147" t="str">
        <f>IFERROR(IF(OR(O44="",O44=0,O44&gt;A44),"",VLOOKUP(O44,A36:B44,2,TRUE)),9)</f>
        <v/>
      </c>
      <c r="R44" s="66">
        <f ca="1">IFERROR(IF(OR(E44=0,E44="",H44=0,H44="",$R36&lt;&gt;0,LEFT(H44,1)="D"),0,VLOOKUP(D44,INDIRECT(MatchDay!$W$2),2,FALSE)),"")</f>
        <v>0</v>
      </c>
      <c r="S44" s="66">
        <f ca="1">IFERROR(IF(OR(L44=0,L44="",O44=0,O44="",$R36&lt;&gt;0,LEFT(O44,1)="D"),0,VLOOKUP(K44,INDIRECT(MatchDay!$W$2),3,FALSE)),"")</f>
        <v>0</v>
      </c>
    </row>
    <row r="45" spans="1:22" x14ac:dyDescent="0.35">
      <c r="F45" s="407"/>
      <c r="H45" s="390"/>
      <c r="M45" s="407"/>
      <c r="O45" s="395"/>
    </row>
    <row r="46" spans="1:22" x14ac:dyDescent="0.35">
      <c r="C46" s="98" t="s">
        <v>36</v>
      </c>
      <c r="D46" s="99" t="str">
        <f>IFERROR(VLOOKUP(C46,timetables,2,FALSE)&amp;" "&amp;VLOOKUP(C46,timetables,3,FALSE)&amp;" A","")</f>
        <v>150m U13 Girls A</v>
      </c>
      <c r="E46" s="99"/>
      <c r="F46" s="407"/>
      <c r="G46" s="114" t="str">
        <f>IFERROR(IF(VLOOKUP($C46,timetables,8,FALSE)="W","Wind = ",""),"")</f>
        <v xml:space="preserve">Wind = </v>
      </c>
      <c r="H46" s="391"/>
      <c r="I46" s="106" t="str">
        <f>IFERROR(IF(OR(H48=0,H48=""),"",IF(H48&lt;C55,"REC",IF(H48=C55,"=Rec",""))),"")</f>
        <v/>
      </c>
      <c r="K46" s="101" t="str">
        <f>IFERROR(VLOOKUP(C46,timetables,2,FALSE)&amp;" "&amp;VLOOKUP(C46,timetables,3,FALSE)&amp;" B","")</f>
        <v>150m U13 Girls B</v>
      </c>
      <c r="L46" s="102"/>
      <c r="M46" s="407"/>
      <c r="N46" s="114" t="str">
        <f>IFERROR(IF(VLOOKUP($C46,timetables,8,FALSE)="W","Wind = ",""),"")</f>
        <v xml:space="preserve">Wind = </v>
      </c>
      <c r="O46" s="391"/>
      <c r="R46" s="66" t="s">
        <v>53</v>
      </c>
      <c r="S46" s="66" t="s">
        <v>54</v>
      </c>
    </row>
    <row r="47" spans="1:22" x14ac:dyDescent="0.35">
      <c r="A47" s="105">
        <f>IFERROR(VLOOKUP(C46,standards,11,FALSE),"-")</f>
        <v>20.5</v>
      </c>
      <c r="B47" s="419">
        <v>9</v>
      </c>
      <c r="C47" s="79"/>
      <c r="D47" s="45" t="s">
        <v>177</v>
      </c>
      <c r="E47" s="45" t="s">
        <v>141</v>
      </c>
      <c r="F47" s="422" t="s">
        <v>174</v>
      </c>
      <c r="G47" s="47" t="s">
        <v>175</v>
      </c>
      <c r="H47" s="392" t="s">
        <v>176</v>
      </c>
      <c r="I47" s="148" t="s">
        <v>1003</v>
      </c>
      <c r="J47" s="47"/>
      <c r="K47" s="45" t="s">
        <v>177</v>
      </c>
      <c r="L47" s="45" t="s">
        <v>141</v>
      </c>
      <c r="M47" s="422" t="s">
        <v>174</v>
      </c>
      <c r="N47" s="47" t="s">
        <v>175</v>
      </c>
      <c r="O47" s="392" t="s">
        <v>176</v>
      </c>
      <c r="P47" s="148" t="s">
        <v>1003</v>
      </c>
      <c r="R47" s="66">
        <f>IFERROR(SEARCH("NS",D46),0)</f>
        <v>0</v>
      </c>
      <c r="V47" s="67"/>
    </row>
    <row r="48" spans="1:22" x14ac:dyDescent="0.35">
      <c r="A48" s="105">
        <f>IFERROR(VLOOKUP(C46,standards,10,FALSE),"-")</f>
        <v>21</v>
      </c>
      <c r="B48" s="419">
        <v>8</v>
      </c>
      <c r="C48" s="138">
        <f>IFERROR(VLOOKUP(C46,Timetables!$A:$E,5,FALSE)-1,"")</f>
        <v>30</v>
      </c>
      <c r="D48" s="104">
        <v>1</v>
      </c>
      <c r="E48" s="107">
        <v>3</v>
      </c>
      <c r="F48" s="421" t="str">
        <f>IFERROR(VLOOKUP($C46&amp;E48,downloads!$A$1:$E$1000,2,FALSE),"")</f>
        <v>Lois MELLING</v>
      </c>
      <c r="G48" s="64" t="str">
        <f t="shared" ref="G48:G55" si="8">IFERROR(VLOOKUP(E48,teamlookup,5,FALSE),"")</f>
        <v>Leigh</v>
      </c>
      <c r="H48" s="389">
        <v>20.399999999999999</v>
      </c>
      <c r="I48" s="147">
        <f>IFERROR(IF(OR(H48="",H48=0,H48&gt;A55),"",VLOOKUP(H48,A47:B55,2,TRUE)),9)</f>
        <v>9</v>
      </c>
      <c r="J48" s="67"/>
      <c r="K48" s="104">
        <v>1</v>
      </c>
      <c r="L48" s="248">
        <v>11</v>
      </c>
      <c r="M48" s="421" t="str">
        <f>IFERROR(VLOOKUP($C46&amp;L48,downloads!$A$1:$E$1000,2,FALSE),"")</f>
        <v>Freya HOWELLS</v>
      </c>
      <c r="N48" s="64" t="str">
        <f t="shared" ref="N48:N55" si="9">IFERROR(VLOOKUP(L48,teamlookup,5,FALSE),"")</f>
        <v>C&amp;N</v>
      </c>
      <c r="O48" s="394">
        <v>21.8</v>
      </c>
      <c r="P48" s="147">
        <f>IFERROR(IF(OR(O48="",O48=0,O48&gt;A55),"",VLOOKUP(O48,A47:B55,2,TRUE)),9)</f>
        <v>7</v>
      </c>
      <c r="R48" s="66">
        <f ca="1">IFERROR(IF(OR(E48=0,E48="",H48=0,H48="",$R47&lt;&gt;0,LEFT(H48,1)="D"),0,VLOOKUP(D48,INDIRECT(MatchDay!$W$2),2,FALSE)),"")</f>
        <v>10</v>
      </c>
      <c r="S48" s="66">
        <f ca="1">IFERROR(IF(OR(L48=0,L48="",O48=0,O48="",$R47&lt;&gt;0,LEFT(O48,1)="D"),0,VLOOKUP(K48,INDIRECT(MatchDay!$W$2),3,FALSE)),"")</f>
        <v>8</v>
      </c>
      <c r="T48" s="168">
        <f>COUNTIF(E48,"&gt;0")</f>
        <v>1</v>
      </c>
      <c r="U48" s="66">
        <f>IFERROR(IF(E48&gt;88,1,0),0)</f>
        <v>0</v>
      </c>
    </row>
    <row r="49" spans="1:22" x14ac:dyDescent="0.35">
      <c r="A49" s="105">
        <f>IFERROR(VLOOKUP(C46,standards,9,FALSE),"-")</f>
        <v>21.5</v>
      </c>
      <c r="B49" s="419">
        <v>7</v>
      </c>
      <c r="C49" s="64">
        <v>0</v>
      </c>
      <c r="D49" s="104">
        <v>2</v>
      </c>
      <c r="E49" s="107">
        <v>2</v>
      </c>
      <c r="F49" s="421" t="str">
        <f>IFERROR(VLOOKUP($C46&amp;E49,downloads!$A$1:$E$1000,2,FALSE),"")</f>
        <v>Olivia JONES</v>
      </c>
      <c r="G49" s="64" t="str">
        <f t="shared" si="8"/>
        <v>ECHT</v>
      </c>
      <c r="H49" s="389">
        <v>20.8</v>
      </c>
      <c r="I49" s="147">
        <f>IFERROR(IF(OR(H49="",H49=0,H49&gt;A55),"",VLOOKUP(H49,A47:B55,2,TRUE)),9)</f>
        <v>9</v>
      </c>
      <c r="J49" s="67"/>
      <c r="K49" s="104">
        <v>2</v>
      </c>
      <c r="L49" s="248">
        <v>55</v>
      </c>
      <c r="M49" s="421" t="str">
        <f>IFERROR(VLOOKUP($C46&amp;L49,downloads!$A$1:$E$1000,2,FALSE),"")</f>
        <v>Tamsin SEGUIN</v>
      </c>
      <c r="N49" s="64" t="str">
        <f t="shared" si="9"/>
        <v>Menai</v>
      </c>
      <c r="O49" s="394">
        <v>23</v>
      </c>
      <c r="P49" s="147">
        <f>IFERROR(IF(OR(O49="",O49=0,O49&gt;A55),"",VLOOKUP(O49,A47:B55,2,TRUE)),9)</f>
        <v>5</v>
      </c>
      <c r="R49" s="66">
        <f ca="1">IFERROR(IF(OR(E49=0,E49="",H49=0,H49="",$R47&lt;&gt;0,LEFT(H49,1)="D"),0,VLOOKUP(D49,INDIRECT(MatchDay!$W$2),2,FALSE)),"")</f>
        <v>8</v>
      </c>
      <c r="S49" s="66">
        <f ca="1">IFERROR(IF(OR(L49=0,L49="",O49=0,O49="",$R47&lt;&gt;0,LEFT(O49,1)="D"),0,VLOOKUP(K49,INDIRECT(MatchDay!$W$2),3,FALSE)),"")</f>
        <v>6</v>
      </c>
    </row>
    <row r="50" spans="1:22" x14ac:dyDescent="0.35">
      <c r="A50" s="105">
        <f>IFERROR(VLOOKUP(C46,standards,8,FALSE),"-")</f>
        <v>22</v>
      </c>
      <c r="B50" s="419">
        <v>6</v>
      </c>
      <c r="C50" s="105"/>
      <c r="D50" s="104">
        <v>3</v>
      </c>
      <c r="E50" s="107">
        <v>1</v>
      </c>
      <c r="F50" s="421" t="str">
        <f>IFERROR(VLOOKUP($C46&amp;E50,downloads!$A$1:$E$1000,2,FALSE),"")</f>
        <v>Lucy HOWARTH</v>
      </c>
      <c r="G50" s="64" t="str">
        <f t="shared" si="8"/>
        <v>C&amp;N</v>
      </c>
      <c r="H50" s="389">
        <v>21.3</v>
      </c>
      <c r="I50" s="147">
        <f>IFERROR(IF(OR(H50="",H50=0,H50&gt;A55),"",VLOOKUP(H50,A47:B55,2,TRUE)),9)</f>
        <v>8</v>
      </c>
      <c r="J50" s="67"/>
      <c r="K50" s="104">
        <v>3</v>
      </c>
      <c r="L50" s="248">
        <v>77</v>
      </c>
      <c r="M50" s="421" t="str">
        <f>IFERROR(VLOOKUP($C46&amp;L50,downloads!$A$1:$E$1000,2,FALSE),"")</f>
        <v>Katie-lou MALLEY</v>
      </c>
      <c r="N50" s="64" t="str">
        <f t="shared" si="9"/>
        <v>Wigan</v>
      </c>
      <c r="O50" s="394">
        <v>23.1</v>
      </c>
      <c r="P50" s="147">
        <f>IFERROR(IF(OR(O50="",O50=0,O50&gt;A55),"",VLOOKUP(O50,A47:B55,2,TRUE)),9)</f>
        <v>5</v>
      </c>
      <c r="R50" s="66">
        <f ca="1">IFERROR(IF(OR(E50=0,E50="",H50=0,H50="",$R47&lt;&gt;0,LEFT(H50,1)="D"),0,VLOOKUP(D50,INDIRECT(MatchDay!$W$2),2,FALSE)),"")</f>
        <v>7</v>
      </c>
      <c r="S50" s="66">
        <f ca="1">IFERROR(IF(OR(L50=0,L50="",O50=0,O50="",$R47&lt;&gt;0,LEFT(O50,1)="D"),0,VLOOKUP(K50,INDIRECT(MatchDay!$W$2),3,FALSE)),"")</f>
        <v>5</v>
      </c>
    </row>
    <row r="51" spans="1:22" x14ac:dyDescent="0.35">
      <c r="A51" s="105">
        <f>IFERROR(VLOOKUP(C46,standards,7,FALSE),"-")</f>
        <v>22.6</v>
      </c>
      <c r="B51" s="419">
        <v>5</v>
      </c>
      <c r="C51" s="105"/>
      <c r="D51" s="104">
        <v>4</v>
      </c>
      <c r="E51" s="107">
        <v>5</v>
      </c>
      <c r="F51" s="421" t="str">
        <f>IFERROR(VLOOKUP($C46&amp;E51,downloads!$A$1:$E$1000,2,FALSE),"")</f>
        <v>Ela EDWARDS</v>
      </c>
      <c r="G51" s="64" t="str">
        <f t="shared" si="8"/>
        <v>Menai</v>
      </c>
      <c r="H51" s="389">
        <v>21.5</v>
      </c>
      <c r="I51" s="147">
        <f>IFERROR(IF(OR(H51="",H51=0,H51&gt;A55),"",VLOOKUP(H51,A47:B55,2,TRUE)),9)</f>
        <v>7</v>
      </c>
      <c r="J51" s="67"/>
      <c r="K51" s="104">
        <v>4</v>
      </c>
      <c r="L51" s="248">
        <v>33</v>
      </c>
      <c r="M51" s="421" t="str">
        <f>IFERROR(VLOOKUP($C46&amp;L51,downloads!$A$1:$E$1000,2,FALSE),"")</f>
        <v>Emily ASHTON</v>
      </c>
      <c r="N51" s="64" t="str">
        <f t="shared" si="9"/>
        <v>Leigh</v>
      </c>
      <c r="O51" s="394">
        <v>23.3</v>
      </c>
      <c r="P51" s="147">
        <f>IFERROR(IF(OR(O51="",O51=0,O51&gt;A55),"",VLOOKUP(O51,A47:B55,2,TRUE)),9)</f>
        <v>4</v>
      </c>
      <c r="R51" s="66">
        <f ca="1">IFERROR(IF(OR(E51=0,E51="",H51=0,H51="",$R47&lt;&gt;0,LEFT(H51,1)="D"),0,VLOOKUP(D51,INDIRECT(MatchDay!$W$2),2,FALSE)),"")</f>
        <v>6</v>
      </c>
      <c r="S51" s="66">
        <f ca="1">IFERROR(IF(OR(L51=0,L51="",O51=0,O51="",$R47&lt;&gt;0,LEFT(O51,1)="D"),0,VLOOKUP(K51,INDIRECT(MatchDay!$W$2),3,FALSE)),"")</f>
        <v>4</v>
      </c>
    </row>
    <row r="52" spans="1:22" x14ac:dyDescent="0.35">
      <c r="A52" s="105">
        <f>IFERROR(VLOOKUP(C46,standards,6,FALSE),"-")</f>
        <v>23.2</v>
      </c>
      <c r="B52" s="419">
        <v>4</v>
      </c>
      <c r="C52" s="105"/>
      <c r="D52" s="104">
        <v>5</v>
      </c>
      <c r="E52" s="107">
        <v>6</v>
      </c>
      <c r="F52" s="421" t="str">
        <f>IFERROR(VLOOKUP($C46&amp;E52,downloads!$A$1:$E$1000,2,FALSE),"")</f>
        <v>Sophie LOW</v>
      </c>
      <c r="G52" s="64" t="str">
        <f t="shared" si="8"/>
        <v>Stock</v>
      </c>
      <c r="H52" s="389">
        <v>22.9</v>
      </c>
      <c r="I52" s="147">
        <f>IFERROR(IF(OR(H52="",H52=0,H52&gt;A55),"",VLOOKUP(H52,A47:B55,2,TRUE)),9)</f>
        <v>5</v>
      </c>
      <c r="J52" s="67"/>
      <c r="K52" s="104">
        <v>5</v>
      </c>
      <c r="L52" s="248">
        <v>22</v>
      </c>
      <c r="M52" s="421" t="str">
        <f>IFERROR(VLOOKUP($C46&amp;L52,downloads!$A$1:$E$1000,2,FALSE),"")</f>
        <v>Madaline BURKE</v>
      </c>
      <c r="N52" s="64" t="str">
        <f t="shared" si="9"/>
        <v>ECHT</v>
      </c>
      <c r="O52" s="394">
        <v>23.4</v>
      </c>
      <c r="P52" s="147">
        <f>IFERROR(IF(OR(O52="",O52=0,O52&gt;A55),"",VLOOKUP(O52,A47:B55,2,TRUE)),9)</f>
        <v>4</v>
      </c>
      <c r="R52" s="66">
        <f ca="1">IFERROR(IF(OR(E52=0,E52="",H52=0,H52="",$R47&lt;&gt;0,LEFT(H52,1)="D"),0,VLOOKUP(D52,INDIRECT(MatchDay!$W$2),2,FALSE)),"")</f>
        <v>5</v>
      </c>
      <c r="S52" s="66">
        <f ca="1">IFERROR(IF(OR(L52=0,L52="",O52=0,O52="",$R47&lt;&gt;0,LEFT(O52,1)="D"),0,VLOOKUP(K52,INDIRECT(MatchDay!$W$2),3,FALSE)),"")</f>
        <v>3</v>
      </c>
    </row>
    <row r="53" spans="1:22" x14ac:dyDescent="0.35">
      <c r="A53" s="105">
        <f>IFERROR(VLOOKUP(C46,standards,5,FALSE),"-")</f>
        <v>23.8</v>
      </c>
      <c r="B53" s="419">
        <v>3</v>
      </c>
      <c r="C53" s="105"/>
      <c r="D53" s="104">
        <v>6</v>
      </c>
      <c r="E53" s="107">
        <v>4</v>
      </c>
      <c r="F53" s="421" t="str">
        <f>IFERROR(VLOOKUP($C46&amp;E53,downloads!$A$1:$E$1000,2,FALSE),"")</f>
        <v>Lara ADU-GYAMFI</v>
      </c>
      <c r="G53" s="64" t="str">
        <f t="shared" si="8"/>
        <v>Macc</v>
      </c>
      <c r="H53" s="389">
        <v>23.4</v>
      </c>
      <c r="I53" s="147">
        <f>IFERROR(IF(OR(H53="",H53=0,H53&gt;A55),"",VLOOKUP(H53,A47:B55,2,TRUE)),9)</f>
        <v>4</v>
      </c>
      <c r="J53" s="67"/>
      <c r="K53" s="104">
        <v>6</v>
      </c>
      <c r="L53" s="248">
        <v>44</v>
      </c>
      <c r="M53" s="421" t="str">
        <f>IFERROR(VLOOKUP($C46&amp;L53,downloads!$A$1:$E$1000,2,FALSE),"")</f>
        <v>Molly KENT</v>
      </c>
      <c r="N53" s="64" t="str">
        <f t="shared" si="9"/>
        <v>Macc</v>
      </c>
      <c r="O53" s="394">
        <v>24.1</v>
      </c>
      <c r="P53" s="147">
        <f>IFERROR(IF(OR(O53="",O53=0,O53&gt;A55),"",VLOOKUP(O53,A47:B55,2,TRUE)),9)</f>
        <v>3</v>
      </c>
      <c r="R53" s="66">
        <f ca="1">IFERROR(IF(OR(E53=0,E53="",H53=0,H53="",$R47&lt;&gt;0,LEFT(H53,1)="D"),0,VLOOKUP(D53,INDIRECT(MatchDay!$W$2),2,FALSE)),"")</f>
        <v>4</v>
      </c>
      <c r="S53" s="66">
        <f ca="1">IFERROR(IF(OR(L53=0,L53="",O53=0,O53="",$R47&lt;&gt;0,LEFT(O53,1)="D"),0,VLOOKUP(K53,INDIRECT(MatchDay!$W$2),3,FALSE)),"")</f>
        <v>2</v>
      </c>
    </row>
    <row r="54" spans="1:22" x14ac:dyDescent="0.35">
      <c r="A54" s="105">
        <f>IFERROR(VLOOKUP(C46,standards,4,FALSE),"-")</f>
        <v>24.4</v>
      </c>
      <c r="B54" s="419">
        <v>2</v>
      </c>
      <c r="C54" s="120">
        <f>IFERROR(SEARCH("U17",D46),0)</f>
        <v>0</v>
      </c>
      <c r="D54" s="104">
        <v>7</v>
      </c>
      <c r="E54" s="107">
        <v>7</v>
      </c>
      <c r="F54" s="421" t="str">
        <f>IFERROR(VLOOKUP($C46&amp;E54,downloads!$A$1:$E$1000,2,FALSE),"")</f>
        <v>Sophia BOWDEN-MCKAY</v>
      </c>
      <c r="G54" s="64" t="str">
        <f t="shared" si="8"/>
        <v>Wigan</v>
      </c>
      <c r="H54" s="389">
        <v>23.5</v>
      </c>
      <c r="I54" s="147">
        <f>IFERROR(IF(OR(H54="",H54=0,H54&gt;A55),"",VLOOKUP(H54,A47:B55,2,TRUE)),9)</f>
        <v>4</v>
      </c>
      <c r="J54" s="67"/>
      <c r="K54" s="104">
        <v>7</v>
      </c>
      <c r="L54" s="248"/>
      <c r="M54" s="421" t="str">
        <f>IFERROR(VLOOKUP($C46&amp;L54,downloads!$A$1:$E$1000,2,FALSE),"")</f>
        <v/>
      </c>
      <c r="N54" s="64" t="str">
        <f t="shared" si="9"/>
        <v/>
      </c>
      <c r="O54" s="394"/>
      <c r="P54" s="147" t="str">
        <f>IFERROR(IF(OR(O54="",O54=0,O54&gt;A55),"",VLOOKUP(O54,A47:B55,2,TRUE)),9)</f>
        <v/>
      </c>
      <c r="R54" s="66">
        <f ca="1">IFERROR(IF(OR(E54=0,E54="",H54=0,H54="",$R47&lt;&gt;0,LEFT(H54,1)="D"),0,VLOOKUP(D54,INDIRECT(MatchDay!$W$2),2,FALSE)),"")</f>
        <v>3</v>
      </c>
      <c r="S54" s="66">
        <f ca="1">IFERROR(IF(OR(L54=0,L54="",O54=0,O54="",$R47&lt;&gt;0,LEFT(O54,1)="D"),0,VLOOKUP(K54,INDIRECT(MatchDay!$W$2),3,FALSE)),"")</f>
        <v>0</v>
      </c>
    </row>
    <row r="55" spans="1:22" x14ac:dyDescent="0.35">
      <c r="A55" s="105">
        <f>IFERROR(VLOOKUP(C46,standards,3,FALSE),"-")</f>
        <v>25</v>
      </c>
      <c r="B55" s="419">
        <v>1</v>
      </c>
      <c r="C55" s="103">
        <f>IFERROR(VLOOKUP(C46,records,5,FALSE),"")</f>
        <v>18.7</v>
      </c>
      <c r="D55" s="104">
        <v>8</v>
      </c>
      <c r="E55" s="107"/>
      <c r="F55" s="421" t="str">
        <f>IFERROR(VLOOKUP($C46&amp;E55,downloads!$A$1:$E$1000,2,FALSE),"")</f>
        <v/>
      </c>
      <c r="G55" s="64" t="str">
        <f t="shared" si="8"/>
        <v/>
      </c>
      <c r="H55" s="389"/>
      <c r="I55" s="147" t="str">
        <f>IFERROR(IF(OR(H55="",H55=0,H55&gt;A55),"",VLOOKUP(H55,A47:B55,2,TRUE)),9)</f>
        <v/>
      </c>
      <c r="J55" s="67"/>
      <c r="K55" s="104">
        <v>8</v>
      </c>
      <c r="L55" s="248"/>
      <c r="M55" s="421" t="str">
        <f>IFERROR(VLOOKUP($C46&amp;L55,downloads!$A$1:$E$1000,2,FALSE),"")</f>
        <v/>
      </c>
      <c r="N55" s="64" t="str">
        <f t="shared" si="9"/>
        <v/>
      </c>
      <c r="O55" s="394"/>
      <c r="P55" s="147" t="str">
        <f>IFERROR(IF(OR(O55="",O55=0,O55&gt;A55),"",VLOOKUP(O55,A47:B55,2,TRUE)),9)</f>
        <v/>
      </c>
      <c r="R55" s="66">
        <f ca="1">IFERROR(IF(OR(E55=0,E55="",H55=0,H55="",$R47&lt;&gt;0,LEFT(H55,1)="D"),0,VLOOKUP(D55,INDIRECT(MatchDay!$W$2),2,FALSE)),"")</f>
        <v>0</v>
      </c>
      <c r="S55" s="66">
        <f ca="1">IFERROR(IF(OR(L55=0,L55="",O55=0,O55="",$R47&lt;&gt;0,LEFT(O55,1)="D"),0,VLOOKUP(K55,INDIRECT(MatchDay!$W$2),3,FALSE)),"")</f>
        <v>0</v>
      </c>
    </row>
    <row r="56" spans="1:22" x14ac:dyDescent="0.35">
      <c r="F56" s="407"/>
      <c r="H56" s="390"/>
      <c r="M56" s="407"/>
      <c r="O56" s="395"/>
    </row>
    <row r="57" spans="1:22" x14ac:dyDescent="0.35">
      <c r="C57" s="98" t="s">
        <v>37</v>
      </c>
      <c r="D57" s="99" t="str">
        <f>IFERROR(VLOOKUP(C57,timetables,2,FALSE)&amp;" "&amp;VLOOKUP(C57,timetables,3,FALSE)&amp;" A","")</f>
        <v>150m U13 Boys A</v>
      </c>
      <c r="E57" s="99"/>
      <c r="F57" s="407"/>
      <c r="G57" s="114" t="str">
        <f>IFERROR(IF(VLOOKUP($C57,timetables,8,FALSE)="W","Wind = ",""),"")</f>
        <v xml:space="preserve">Wind = </v>
      </c>
      <c r="H57" s="391"/>
      <c r="I57" s="106" t="str">
        <f>IFERROR(IF(OR(H59=0,H59=""),"",IF(H59&lt;C66,"REC",IF(H59=C66,"=Rec",""))),"")</f>
        <v/>
      </c>
      <c r="K57" s="101" t="str">
        <f>IFERROR(VLOOKUP(C57,timetables,2,FALSE)&amp;" "&amp;VLOOKUP(C57,timetables,3,FALSE)&amp;" B","")</f>
        <v>150m U13 Boys B</v>
      </c>
      <c r="L57" s="102"/>
      <c r="M57" s="407"/>
      <c r="N57" s="114" t="str">
        <f>IFERROR(IF(VLOOKUP($C57,timetables,8,FALSE)="W","Wind = ",""),"")</f>
        <v xml:space="preserve">Wind = </v>
      </c>
      <c r="O57" s="391"/>
      <c r="R57" s="66" t="s">
        <v>53</v>
      </c>
      <c r="S57" s="66" t="s">
        <v>54</v>
      </c>
    </row>
    <row r="58" spans="1:22" x14ac:dyDescent="0.35">
      <c r="A58" s="105">
        <f>IFERROR(VLOOKUP(C57,standards,11,FALSE),"-")</f>
        <v>19.600000000000001</v>
      </c>
      <c r="B58" s="419">
        <v>9</v>
      </c>
      <c r="C58" s="79"/>
      <c r="D58" s="45" t="s">
        <v>177</v>
      </c>
      <c r="E58" s="45" t="s">
        <v>141</v>
      </c>
      <c r="F58" s="422" t="s">
        <v>174</v>
      </c>
      <c r="G58" s="47" t="s">
        <v>175</v>
      </c>
      <c r="H58" s="392" t="s">
        <v>176</v>
      </c>
      <c r="I58" s="148" t="s">
        <v>1003</v>
      </c>
      <c r="J58" s="47"/>
      <c r="K58" s="45" t="s">
        <v>177</v>
      </c>
      <c r="L58" s="45" t="s">
        <v>141</v>
      </c>
      <c r="M58" s="422" t="s">
        <v>174</v>
      </c>
      <c r="N58" s="47" t="s">
        <v>175</v>
      </c>
      <c r="O58" s="392" t="s">
        <v>176</v>
      </c>
      <c r="P58" s="148" t="s">
        <v>1003</v>
      </c>
      <c r="R58" s="66">
        <f>IFERROR(SEARCH("NS",D57),0)</f>
        <v>0</v>
      </c>
      <c r="V58" s="67"/>
    </row>
    <row r="59" spans="1:22" x14ac:dyDescent="0.35">
      <c r="A59" s="105">
        <f>IFERROR(VLOOKUP(C57,standards,10,FALSE),"-")</f>
        <v>20</v>
      </c>
      <c r="B59" s="419">
        <v>8</v>
      </c>
      <c r="C59" s="138">
        <f>IFERROR(VLOOKUP(C57,Timetables!$A:$E,5,FALSE)-1,"")</f>
        <v>80</v>
      </c>
      <c r="D59" s="104">
        <v>1</v>
      </c>
      <c r="E59" s="107">
        <v>1</v>
      </c>
      <c r="F59" s="421" t="str">
        <f>IFERROR(VLOOKUP($C57&amp;E59,downloads!$A$1:$E$1000,2,FALSE),"")</f>
        <v>Ben JEFFS</v>
      </c>
      <c r="G59" s="64" t="str">
        <f t="shared" ref="G59:G66" si="10">IFERROR(VLOOKUP(E59,teamlookup,5,FALSE),"")</f>
        <v>C&amp;N</v>
      </c>
      <c r="H59" s="389">
        <v>20</v>
      </c>
      <c r="I59" s="147">
        <f>IFERROR(IF(OR(H59="",H59=0,H59&gt;A66),"",VLOOKUP(H59,A58:B66,2,TRUE)),9)</f>
        <v>8</v>
      </c>
      <c r="J59" s="67"/>
      <c r="K59" s="104">
        <v>1</v>
      </c>
      <c r="L59" s="248">
        <v>33</v>
      </c>
      <c r="M59" s="421" t="str">
        <f>IFERROR(VLOOKUP($C57&amp;L59,downloads!$A$1:$E$1000,2,FALSE),"")</f>
        <v>Jesse WAI IP CHAN</v>
      </c>
      <c r="N59" s="64" t="str">
        <f t="shared" ref="N59:N66" si="11">IFERROR(VLOOKUP(L59,teamlookup,5,FALSE),"")</f>
        <v>Leigh</v>
      </c>
      <c r="O59" s="394">
        <v>19.399999999999999</v>
      </c>
      <c r="P59" s="147">
        <f>IFERROR(IF(OR(O59="",O59=0,O59&gt;A66),"",VLOOKUP(O59,A58:B66,2,TRUE)),9)</f>
        <v>9</v>
      </c>
      <c r="R59" s="66">
        <f ca="1">IFERROR(IF(OR(E59=0,E59="",H59=0,H59="",$R58&lt;&gt;0,LEFT(H59,1)="D"),0,VLOOKUP(D59,INDIRECT(MatchDay!$W$2),2,FALSE)),"")</f>
        <v>10</v>
      </c>
      <c r="S59" s="66">
        <f ca="1">IFERROR(IF(OR(L59=0,L59="",O59=0,O59="",$R58&lt;&gt;0,LEFT(O59,1)="D"),0,VLOOKUP(K59,INDIRECT(MatchDay!$W$2),3,FALSE)),"")</f>
        <v>8</v>
      </c>
      <c r="T59" s="168">
        <f>COUNTIF(E59,"&gt;0")</f>
        <v>1</v>
      </c>
      <c r="U59" s="66">
        <f>IFERROR(IF(E59&gt;88,1,0),0)</f>
        <v>0</v>
      </c>
    </row>
    <row r="60" spans="1:22" x14ac:dyDescent="0.35">
      <c r="A60" s="105">
        <f>IFERROR(VLOOKUP(C57,standards,9,FALSE),"-")</f>
        <v>20.5</v>
      </c>
      <c r="B60" s="419">
        <v>7</v>
      </c>
      <c r="C60" s="64">
        <v>0</v>
      </c>
      <c r="D60" s="104">
        <v>2</v>
      </c>
      <c r="E60" s="107">
        <v>7</v>
      </c>
      <c r="F60" s="421" t="str">
        <f>IFERROR(VLOOKUP($C57&amp;E60,downloads!$A$1:$E$1000,2,FALSE),"")</f>
        <v>Henry MORRIS</v>
      </c>
      <c r="G60" s="64" t="str">
        <f t="shared" si="10"/>
        <v>Wigan</v>
      </c>
      <c r="H60" s="389">
        <v>21</v>
      </c>
      <c r="I60" s="147">
        <f>IFERROR(IF(OR(H60="",H60=0,H60&gt;A66),"",VLOOKUP(H60,A58:B66,2,TRUE)),9)</f>
        <v>6</v>
      </c>
      <c r="J60" s="67"/>
      <c r="K60" s="104">
        <v>2</v>
      </c>
      <c r="L60" s="248">
        <v>77</v>
      </c>
      <c r="M60" s="421" t="str">
        <f>IFERROR(VLOOKUP($C57&amp;L60,downloads!$A$1:$E$1000,2,FALSE),"")</f>
        <v>James DARBY</v>
      </c>
      <c r="N60" s="64" t="str">
        <f t="shared" si="11"/>
        <v>Wigan</v>
      </c>
      <c r="O60" s="394">
        <v>22.8</v>
      </c>
      <c r="P60" s="147">
        <f>IFERROR(IF(OR(O60="",O60=0,O60&gt;A66),"",VLOOKUP(O60,A58:B66,2,TRUE)),9)</f>
        <v>3</v>
      </c>
      <c r="R60" s="66">
        <f ca="1">IFERROR(IF(OR(E60=0,E60="",H60=0,H60="",$R58&lt;&gt;0,LEFT(H60,1)="D"),0,VLOOKUP(D60,INDIRECT(MatchDay!$W$2),2,FALSE)),"")</f>
        <v>8</v>
      </c>
      <c r="S60" s="66">
        <f ca="1">IFERROR(IF(OR(L60=0,L60="",O60=0,O60="",$R58&lt;&gt;0,LEFT(O60,1)="D"),0,VLOOKUP(K60,INDIRECT(MatchDay!$W$2),3,FALSE)),"")</f>
        <v>6</v>
      </c>
    </row>
    <row r="61" spans="1:22" x14ac:dyDescent="0.35">
      <c r="A61" s="105">
        <f>IFERROR(VLOOKUP(C57,standards,8,FALSE),"-")</f>
        <v>21</v>
      </c>
      <c r="B61" s="419">
        <v>6</v>
      </c>
      <c r="C61" s="105"/>
      <c r="D61" s="104">
        <v>3</v>
      </c>
      <c r="E61" s="107">
        <v>3</v>
      </c>
      <c r="F61" s="421" t="str">
        <f>IFERROR(VLOOKUP($C57&amp;E61,downloads!$A$1:$E$1000,2,FALSE),"")</f>
        <v>Thierry KERR</v>
      </c>
      <c r="G61" s="64" t="str">
        <f t="shared" si="10"/>
        <v>Leigh</v>
      </c>
      <c r="H61" s="389">
        <v>21.3</v>
      </c>
      <c r="I61" s="147">
        <f>IFERROR(IF(OR(H61="",H61=0,H61&gt;A66),"",VLOOKUP(H61,A58:B66,2,TRUE)),9)</f>
        <v>6</v>
      </c>
      <c r="J61" s="67"/>
      <c r="K61" s="104">
        <v>3</v>
      </c>
      <c r="L61" s="248">
        <v>11</v>
      </c>
      <c r="M61" s="421" t="str">
        <f>IFERROR(VLOOKUP($C57&amp;L61,downloads!$A$1:$E$1000,2,FALSE),"")</f>
        <v>Gabriel BRZEZINSKI</v>
      </c>
      <c r="N61" s="64" t="str">
        <f t="shared" si="11"/>
        <v>C&amp;N</v>
      </c>
      <c r="O61" s="394">
        <v>23.4</v>
      </c>
      <c r="P61" s="147">
        <f>IFERROR(IF(OR(O61="",O61=0,O61&gt;A66),"",VLOOKUP(O61,A58:B66,2,TRUE)),9)</f>
        <v>2</v>
      </c>
      <c r="R61" s="66">
        <f ca="1">IFERROR(IF(OR(E61=0,E61="",H61=0,H61="",$R58&lt;&gt;0,LEFT(H61,1)="D"),0,VLOOKUP(D61,INDIRECT(MatchDay!$W$2),2,FALSE)),"")</f>
        <v>7</v>
      </c>
      <c r="S61" s="66">
        <f ca="1">IFERROR(IF(OR(L61=0,L61="",O61=0,O61="",$R58&lt;&gt;0,LEFT(O61,1)="D"),0,VLOOKUP(K61,INDIRECT(MatchDay!$W$2),3,FALSE)),"")</f>
        <v>5</v>
      </c>
    </row>
    <row r="62" spans="1:22" x14ac:dyDescent="0.35">
      <c r="A62" s="105">
        <f>IFERROR(VLOOKUP(C57,standards,7,FALSE),"-")</f>
        <v>21.5</v>
      </c>
      <c r="B62" s="419">
        <v>5</v>
      </c>
      <c r="C62" s="105"/>
      <c r="D62" s="104">
        <v>4</v>
      </c>
      <c r="E62" s="107">
        <v>4</v>
      </c>
      <c r="F62" s="421" t="str">
        <f>IFERROR(VLOOKUP($C57&amp;E62,downloads!$A$1:$E$1000,2,FALSE),"")</f>
        <v>Samuel SAVAGE</v>
      </c>
      <c r="G62" s="64" t="str">
        <f t="shared" si="10"/>
        <v>Macc</v>
      </c>
      <c r="H62" s="389">
        <v>22.1</v>
      </c>
      <c r="I62" s="147">
        <f>IFERROR(IF(OR(H62="",H62=0,H62&gt;A66),"",VLOOKUP(H62,A58:B66,2,TRUE)),9)</f>
        <v>4</v>
      </c>
      <c r="J62" s="67"/>
      <c r="K62" s="104">
        <v>4</v>
      </c>
      <c r="L62" s="248">
        <v>66</v>
      </c>
      <c r="M62" s="421" t="str">
        <f>IFERROR(VLOOKUP($C57&amp;L62,downloads!$A$1:$E$1000,2,FALSE),"")</f>
        <v>Arthur CAMPBELL</v>
      </c>
      <c r="N62" s="64" t="str">
        <f t="shared" si="11"/>
        <v>Stock</v>
      </c>
      <c r="O62" s="394">
        <v>23.4</v>
      </c>
      <c r="P62" s="147">
        <f>IFERROR(IF(OR(O62="",O62=0,O62&gt;A66),"",VLOOKUP(O62,A58:B66,2,TRUE)),9)</f>
        <v>2</v>
      </c>
      <c r="R62" s="66">
        <f ca="1">IFERROR(IF(OR(E62=0,E62="",H62=0,H62="",$R58&lt;&gt;0,LEFT(H62,1)="D"),0,VLOOKUP(D62,INDIRECT(MatchDay!$W$2),2,FALSE)),"")</f>
        <v>6</v>
      </c>
      <c r="S62" s="66">
        <f ca="1">IFERROR(IF(OR(L62=0,L62="",O62=0,O62="",$R58&lt;&gt;0,LEFT(O62,1)="D"),0,VLOOKUP(K62,INDIRECT(MatchDay!$W$2),3,FALSE)),"")</f>
        <v>4</v>
      </c>
    </row>
    <row r="63" spans="1:22" x14ac:dyDescent="0.35">
      <c r="A63" s="105">
        <f>IFERROR(VLOOKUP(C57,standards,6,FALSE),"-")</f>
        <v>22</v>
      </c>
      <c r="B63" s="419">
        <v>4</v>
      </c>
      <c r="C63" s="105"/>
      <c r="D63" s="104">
        <v>5</v>
      </c>
      <c r="E63" s="107">
        <v>6</v>
      </c>
      <c r="F63" s="421" t="str">
        <f>IFERROR(VLOOKUP($C57&amp;E63,downloads!$A$1:$E$1000,2,FALSE),"")</f>
        <v>Alex KITCHEN</v>
      </c>
      <c r="G63" s="64" t="str">
        <f t="shared" si="10"/>
        <v>Stock</v>
      </c>
      <c r="H63" s="389">
        <v>22.6</v>
      </c>
      <c r="I63" s="147">
        <f>IFERROR(IF(OR(H63="",H63=0,H63&gt;A66),"",VLOOKUP(H63,A58:B66,2,TRUE)),9)</f>
        <v>3</v>
      </c>
      <c r="J63" s="67"/>
      <c r="K63" s="104">
        <v>5</v>
      </c>
      <c r="L63" s="248">
        <v>22</v>
      </c>
      <c r="M63" s="421" t="str">
        <f>IFERROR(VLOOKUP($C57&amp;L63,downloads!$A$1:$E$1000,2,FALSE),"")</f>
        <v>Jake REANEY</v>
      </c>
      <c r="N63" s="64" t="str">
        <f t="shared" si="11"/>
        <v>ECHT</v>
      </c>
      <c r="O63" s="394">
        <v>23.8</v>
      </c>
      <c r="P63" s="147" t="str">
        <f>IFERROR(IF(OR(O63="",O63=0,O63&gt;A66),"",VLOOKUP(O63,A58:B66,2,TRUE)),9)</f>
        <v/>
      </c>
      <c r="R63" s="66">
        <f ca="1">IFERROR(IF(OR(E63=0,E63="",H63=0,H63="",$R58&lt;&gt;0,LEFT(H63,1)="D"),0,VLOOKUP(D63,INDIRECT(MatchDay!$W$2),2,FALSE)),"")</f>
        <v>5</v>
      </c>
      <c r="S63" s="66">
        <f ca="1">IFERROR(IF(OR(L63=0,L63="",O63=0,O63="",$R58&lt;&gt;0,LEFT(O63,1)="D"),0,VLOOKUP(K63,INDIRECT(MatchDay!$W$2),3,FALSE)),"")</f>
        <v>3</v>
      </c>
    </row>
    <row r="64" spans="1:22" x14ac:dyDescent="0.35">
      <c r="A64" s="105">
        <f>IFERROR(VLOOKUP(C57,standards,5,FALSE),"-")</f>
        <v>22.5</v>
      </c>
      <c r="B64" s="419">
        <v>3</v>
      </c>
      <c r="C64" s="105"/>
      <c r="D64" s="104">
        <v>6</v>
      </c>
      <c r="E64" s="107">
        <v>2</v>
      </c>
      <c r="F64" s="421" t="str">
        <f>IFERROR(VLOOKUP($C57&amp;E64,downloads!$A$1:$E$1000,2,FALSE),"")</f>
        <v>Ryan MCCARTHY</v>
      </c>
      <c r="G64" s="64" t="str">
        <f t="shared" si="10"/>
        <v>ECHT</v>
      </c>
      <c r="H64" s="389">
        <v>23.1</v>
      </c>
      <c r="I64" s="147">
        <f>IFERROR(IF(OR(H64="",H64=0,H64&gt;A66),"",VLOOKUP(H64,A58:B66,2,TRUE)),9)</f>
        <v>2</v>
      </c>
      <c r="J64" s="67"/>
      <c r="K64" s="104">
        <v>6</v>
      </c>
      <c r="L64" s="248">
        <v>44</v>
      </c>
      <c r="M64" s="421" t="str">
        <f>IFERROR(VLOOKUP($C57&amp;L64,downloads!$A$1:$E$1000,2,FALSE),"")</f>
        <v>Alexander MCLAREN</v>
      </c>
      <c r="N64" s="64" t="str">
        <f t="shared" si="11"/>
        <v>Macc</v>
      </c>
      <c r="O64" s="394">
        <v>23.9</v>
      </c>
      <c r="P64" s="147" t="str">
        <f>IFERROR(IF(OR(O64="",O64=0,O64&gt;A66),"",VLOOKUP(O64,A58:B66,2,TRUE)),9)</f>
        <v/>
      </c>
      <c r="R64" s="66">
        <f ca="1">IFERROR(IF(OR(E64=0,E64="",H64=0,H64="",$R58&lt;&gt;0,LEFT(H64,1)="D"),0,VLOOKUP(D64,INDIRECT(MatchDay!$W$2),2,FALSE)),"")</f>
        <v>4</v>
      </c>
      <c r="S64" s="66">
        <f ca="1">IFERROR(IF(OR(L64=0,L64="",O64=0,O64="",$R58&lt;&gt;0,LEFT(O64,1)="D"),0,VLOOKUP(K64,INDIRECT(MatchDay!$W$2),3,FALSE)),"")</f>
        <v>2</v>
      </c>
    </row>
    <row r="65" spans="1:22" x14ac:dyDescent="0.35">
      <c r="A65" s="105">
        <f>IFERROR(VLOOKUP(C57,standards,4,FALSE),"-")</f>
        <v>23</v>
      </c>
      <c r="B65" s="419">
        <v>2</v>
      </c>
      <c r="C65" s="120">
        <f>IFERROR(SEARCH("U17",D57),0)</f>
        <v>0</v>
      </c>
      <c r="D65" s="104">
        <v>7</v>
      </c>
      <c r="E65" s="107">
        <v>5</v>
      </c>
      <c r="F65" s="421" t="str">
        <f>IFERROR(VLOOKUP($C57&amp;E65,downloads!$A$1:$E$1000,2,FALSE),"")</f>
        <v>Perry MARSLAND</v>
      </c>
      <c r="G65" s="64" t="str">
        <f t="shared" si="10"/>
        <v>Menai</v>
      </c>
      <c r="H65" s="389">
        <v>24.3</v>
      </c>
      <c r="I65" s="147" t="str">
        <f>IFERROR(IF(OR(H65="",H65=0,H65&gt;A66),"",VLOOKUP(H65,A58:B66,2,TRUE)),9)</f>
        <v/>
      </c>
      <c r="J65" s="67"/>
      <c r="K65" s="104">
        <v>7</v>
      </c>
      <c r="L65" s="248"/>
      <c r="M65" s="421" t="str">
        <f>IFERROR(VLOOKUP($C57&amp;L65,downloads!$A$1:$E$1000,2,FALSE),"")</f>
        <v/>
      </c>
      <c r="N65" s="64" t="str">
        <f t="shared" si="11"/>
        <v/>
      </c>
      <c r="O65" s="394"/>
      <c r="P65" s="147" t="str">
        <f>IFERROR(IF(OR(O65="",O65=0,O65&gt;A66),"",VLOOKUP(O65,A58:B66,2,TRUE)),9)</f>
        <v/>
      </c>
      <c r="R65" s="66">
        <f ca="1">IFERROR(IF(OR(E65=0,E65="",H65=0,H65="",$R58&lt;&gt;0,LEFT(H65,1)="D"),0,VLOOKUP(D65,INDIRECT(MatchDay!$W$2),2,FALSE)),"")</f>
        <v>3</v>
      </c>
      <c r="S65" s="66">
        <f ca="1">IFERROR(IF(OR(L65=0,L65="",O65=0,O65="",$R58&lt;&gt;0,LEFT(O65,1)="D"),0,VLOOKUP(K65,INDIRECT(MatchDay!$W$2),3,FALSE)),"")</f>
        <v>0</v>
      </c>
    </row>
    <row r="66" spans="1:22" x14ac:dyDescent="0.35">
      <c r="A66" s="105">
        <f>IFERROR(VLOOKUP(C57,standards,3,FALSE),"-")</f>
        <v>23.5</v>
      </c>
      <c r="B66" s="419">
        <v>1</v>
      </c>
      <c r="C66" s="103">
        <f>IFERROR(VLOOKUP(C57,records,5,FALSE),"")</f>
        <v>18.399999999999999</v>
      </c>
      <c r="D66" s="104">
        <v>8</v>
      </c>
      <c r="E66" s="107"/>
      <c r="F66" s="421" t="str">
        <f>IFERROR(VLOOKUP($C57&amp;E66,downloads!$A$1:$E$1000,2,FALSE),"")</f>
        <v/>
      </c>
      <c r="G66" s="64" t="str">
        <f t="shared" si="10"/>
        <v/>
      </c>
      <c r="H66" s="389"/>
      <c r="I66" s="147" t="str">
        <f>IFERROR(IF(OR(H66="",H66=0,H66&gt;A66),"",VLOOKUP(H66,A58:B66,2,TRUE)),9)</f>
        <v/>
      </c>
      <c r="J66" s="67"/>
      <c r="K66" s="104">
        <v>8</v>
      </c>
      <c r="L66" s="248"/>
      <c r="M66" s="421" t="str">
        <f>IFERROR(VLOOKUP($C57&amp;L66,downloads!$A$1:$E$1000,2,FALSE),"")</f>
        <v/>
      </c>
      <c r="N66" s="64" t="str">
        <f t="shared" si="11"/>
        <v/>
      </c>
      <c r="O66" s="394"/>
      <c r="P66" s="147" t="str">
        <f>IFERROR(IF(OR(O66="",O66=0,O66&gt;A66),"",VLOOKUP(O66,A58:B66,2,TRUE)),9)</f>
        <v/>
      </c>
      <c r="R66" s="66">
        <f ca="1">IFERROR(IF(OR(E66=0,E66="",H66=0,H66="",$R58&lt;&gt;0,LEFT(H66,1)="D"),0,VLOOKUP(D66,INDIRECT(MatchDay!$W$2),2,FALSE)),"")</f>
        <v>0</v>
      </c>
      <c r="S66" s="66">
        <f ca="1">IFERROR(IF(OR(L66=0,L66="",O66=0,O66="",$R58&lt;&gt;0,LEFT(O66,1)="D"),0,VLOOKUP(K66,INDIRECT(MatchDay!$W$2),3,FALSE)),"")</f>
        <v>0</v>
      </c>
    </row>
    <row r="67" spans="1:22" x14ac:dyDescent="0.35">
      <c r="F67" s="407"/>
      <c r="H67" s="390"/>
      <c r="M67" s="407"/>
      <c r="O67" s="395"/>
    </row>
    <row r="68" spans="1:22" x14ac:dyDescent="0.35">
      <c r="C68" s="98" t="s">
        <v>38</v>
      </c>
      <c r="D68" s="99" t="str">
        <f>IFERROR(VLOOKUP(C68,timetables,2,FALSE)&amp;" "&amp;VLOOKUP(C68,timetables,3,FALSE)&amp;" A","")</f>
        <v>200m U15 Girls A</v>
      </c>
      <c r="E68" s="99"/>
      <c r="F68" s="407"/>
      <c r="G68" s="114" t="str">
        <f>IFERROR(IF(VLOOKUP($C68,timetables,8,FALSE)="W","Wind = ",""),"")</f>
        <v xml:space="preserve">Wind = </v>
      </c>
      <c r="H68" s="391"/>
      <c r="I68" s="106" t="str">
        <f>IFERROR(IF(OR(H70=0,H70=""),"",IF(H70&lt;C77,"REC",IF(H70=C77,"=Rec",""))),"")</f>
        <v/>
      </c>
      <c r="K68" s="101" t="str">
        <f>IFERROR(VLOOKUP(C68,timetables,2,FALSE)&amp;" "&amp;VLOOKUP(C68,timetables,3,FALSE)&amp;" B","")</f>
        <v>200m U15 Girls B</v>
      </c>
      <c r="L68" s="102"/>
      <c r="M68" s="407"/>
      <c r="N68" s="114" t="str">
        <f>IFERROR(IF(VLOOKUP($C68,timetables,8,FALSE)="W","Wind = ",""),"")</f>
        <v xml:space="preserve">Wind = </v>
      </c>
      <c r="O68" s="391"/>
      <c r="R68" s="66" t="s">
        <v>53</v>
      </c>
      <c r="S68" s="66" t="s">
        <v>54</v>
      </c>
    </row>
    <row r="69" spans="1:22" x14ac:dyDescent="0.35">
      <c r="A69" s="105">
        <f>IFERROR(VLOOKUP(C68,standards,11,FALSE),"-")</f>
        <v>27.2</v>
      </c>
      <c r="B69" s="419">
        <v>9</v>
      </c>
      <c r="C69" s="79"/>
      <c r="D69" s="45" t="s">
        <v>177</v>
      </c>
      <c r="E69" s="45" t="s">
        <v>141</v>
      </c>
      <c r="F69" s="422" t="s">
        <v>174</v>
      </c>
      <c r="G69" s="47" t="s">
        <v>175</v>
      </c>
      <c r="H69" s="392" t="s">
        <v>176</v>
      </c>
      <c r="I69" s="148" t="s">
        <v>1003</v>
      </c>
      <c r="J69" s="47"/>
      <c r="K69" s="45" t="s">
        <v>177</v>
      </c>
      <c r="L69" s="45" t="s">
        <v>141</v>
      </c>
      <c r="M69" s="422" t="s">
        <v>174</v>
      </c>
      <c r="N69" s="47" t="s">
        <v>175</v>
      </c>
      <c r="O69" s="392" t="s">
        <v>176</v>
      </c>
      <c r="P69" s="148" t="s">
        <v>1003</v>
      </c>
      <c r="R69" s="66">
        <f>IFERROR(SEARCH("NS",D68),0)</f>
        <v>0</v>
      </c>
      <c r="V69" s="67"/>
    </row>
    <row r="70" spans="1:22" x14ac:dyDescent="0.35">
      <c r="A70" s="105">
        <f>IFERROR(VLOOKUP(C68,standards,10,FALSE),"-")</f>
        <v>27.8</v>
      </c>
      <c r="B70" s="419">
        <v>8</v>
      </c>
      <c r="C70" s="138">
        <f>IFERROR(VLOOKUP(C68,Timetables!$A:$E,5,FALSE)-1,"")</f>
        <v>5</v>
      </c>
      <c r="D70" s="104">
        <v>1</v>
      </c>
      <c r="E70" s="107">
        <v>2</v>
      </c>
      <c r="F70" s="421" t="str">
        <f>IFERROR(VLOOKUP($C68&amp;E70,downloads!$A$1:$E$1000,2,FALSE),"")</f>
        <v>Amelia JONES</v>
      </c>
      <c r="G70" s="64" t="str">
        <f t="shared" ref="G70:G77" si="12">IFERROR(VLOOKUP(E70,teamlookup,5,FALSE),"")</f>
        <v>ECHT</v>
      </c>
      <c r="H70" s="389">
        <v>26.8</v>
      </c>
      <c r="I70" s="147">
        <f>IFERROR(IF(OR(H70="",H70=0,H70&gt;A77),"",VLOOKUP(H70,A69:B77,2,TRUE)),9)</f>
        <v>9</v>
      </c>
      <c r="J70" s="67"/>
      <c r="K70" s="104">
        <v>1</v>
      </c>
      <c r="L70" s="248">
        <v>77</v>
      </c>
      <c r="M70" s="421" t="str">
        <f>IFERROR(VLOOKUP($C68&amp;L70,downloads!$A$1:$E$1000,2,FALSE),"")</f>
        <v>Emma PIMBLETT</v>
      </c>
      <c r="N70" s="64" t="str">
        <f t="shared" ref="N70:N77" si="13">IFERROR(VLOOKUP(L70,teamlookup,5,FALSE),"")</f>
        <v>Wigan</v>
      </c>
      <c r="O70" s="394">
        <v>27.4</v>
      </c>
      <c r="P70" s="147">
        <f>IFERROR(IF(OR(O70="",O70=0,O70&gt;A77),"",VLOOKUP(O70,A69:B77,2,TRUE)),9)</f>
        <v>9</v>
      </c>
      <c r="R70" s="66">
        <f ca="1">IFERROR(IF(OR(E70=0,E70="",H70=0,H70="",$R69&lt;&gt;0,LEFT(H70,1)="D"),0,VLOOKUP(D70,INDIRECT(MatchDay!$W$2),2,FALSE)),"")</f>
        <v>10</v>
      </c>
      <c r="S70" s="66">
        <f ca="1">IFERROR(IF(OR(L70=0,L70="",O70=0,O70="",$R69&lt;&gt;0,LEFT(O70,1)="D"),0,VLOOKUP(K70,INDIRECT(MatchDay!$W$2),3,FALSE)),"")</f>
        <v>8</v>
      </c>
      <c r="T70" s="168">
        <f>COUNTIF(E70,"&gt;0")</f>
        <v>1</v>
      </c>
      <c r="U70" s="66">
        <f>IFERROR(IF(E70&gt;88,1,0),0)</f>
        <v>0</v>
      </c>
    </row>
    <row r="71" spans="1:22" x14ac:dyDescent="0.35">
      <c r="A71" s="105">
        <f>IFERROR(VLOOKUP(C68,standards,9,FALSE),"-")</f>
        <v>28.5</v>
      </c>
      <c r="B71" s="419">
        <v>7</v>
      </c>
      <c r="C71" s="64">
        <v>0</v>
      </c>
      <c r="D71" s="104">
        <v>2</v>
      </c>
      <c r="E71" s="107">
        <v>7</v>
      </c>
      <c r="F71" s="421" t="str">
        <f>IFERROR(VLOOKUP($C68&amp;E71,downloads!$A$1:$E$1000,2,FALSE),"")</f>
        <v>Kady HALL</v>
      </c>
      <c r="G71" s="64" t="str">
        <f t="shared" si="12"/>
        <v>Wigan</v>
      </c>
      <c r="H71" s="389">
        <v>26.9</v>
      </c>
      <c r="I71" s="147">
        <f>IFERROR(IF(OR(H71="",H71=0,H71&gt;A77),"",VLOOKUP(H71,A69:B77,2,TRUE)),9)</f>
        <v>9</v>
      </c>
      <c r="J71" s="67"/>
      <c r="K71" s="104">
        <v>2</v>
      </c>
      <c r="L71" s="248">
        <v>22</v>
      </c>
      <c r="M71" s="421" t="str">
        <f>IFERROR(VLOOKUP($C68&amp;L71,downloads!$A$1:$E$1000,2,FALSE),"")</f>
        <v>Ava ROYLE</v>
      </c>
      <c r="N71" s="64" t="str">
        <f t="shared" si="13"/>
        <v>ECHT</v>
      </c>
      <c r="O71" s="394">
        <v>30.2</v>
      </c>
      <c r="P71" s="147">
        <f>IFERROR(IF(OR(O71="",O71=0,O71&gt;A77),"",VLOOKUP(O71,A69:B77,2,TRUE)),9)</f>
        <v>5</v>
      </c>
      <c r="R71" s="66">
        <f ca="1">IFERROR(IF(OR(E71=0,E71="",H71=0,H71="",$R69&lt;&gt;0,LEFT(H71,1)="D"),0,VLOOKUP(D71,INDIRECT(MatchDay!$W$2),2,FALSE)),"")</f>
        <v>8</v>
      </c>
      <c r="S71" s="66">
        <f ca="1">IFERROR(IF(OR(L71=0,L71="",O71=0,O71="",$R69&lt;&gt;0,LEFT(O71,1)="D"),0,VLOOKUP(K71,INDIRECT(MatchDay!$W$2),3,FALSE)),"")</f>
        <v>6</v>
      </c>
    </row>
    <row r="72" spans="1:22" x14ac:dyDescent="0.35">
      <c r="A72" s="105">
        <f>IFERROR(VLOOKUP(C68,standards,8,FALSE),"-")</f>
        <v>29.2</v>
      </c>
      <c r="B72" s="419">
        <v>6</v>
      </c>
      <c r="C72" s="105"/>
      <c r="D72" s="104">
        <v>3</v>
      </c>
      <c r="E72" s="107">
        <v>3</v>
      </c>
      <c r="F72" s="421" t="str">
        <f>IFERROR(VLOOKUP($C68&amp;E72,downloads!$A$1:$E$1000,2,FALSE),"")</f>
        <v>Freya CASH</v>
      </c>
      <c r="G72" s="64" t="str">
        <f t="shared" si="12"/>
        <v>Leigh</v>
      </c>
      <c r="H72" s="389">
        <v>27.5</v>
      </c>
      <c r="I72" s="147">
        <f>IFERROR(IF(OR(H72="",H72=0,H72&gt;A77),"",VLOOKUP(H72,A69:B77,2,TRUE)),9)</f>
        <v>9</v>
      </c>
      <c r="J72" s="67"/>
      <c r="K72" s="104">
        <v>3</v>
      </c>
      <c r="L72" s="248">
        <v>33</v>
      </c>
      <c r="M72" s="421" t="str">
        <f>IFERROR(VLOOKUP($C68&amp;L72,downloads!$A$1:$E$1000,2,FALSE),"")</f>
        <v>Lexie SHANNON</v>
      </c>
      <c r="N72" s="64" t="str">
        <f t="shared" si="13"/>
        <v>Leigh</v>
      </c>
      <c r="O72" s="394">
        <v>30.4</v>
      </c>
      <c r="P72" s="147">
        <f>IFERROR(IF(OR(O72="",O72=0,O72&gt;A77),"",VLOOKUP(O72,A69:B77,2,TRUE)),9)</f>
        <v>5</v>
      </c>
      <c r="R72" s="66">
        <f ca="1">IFERROR(IF(OR(E72=0,E72="",H72=0,H72="",$R69&lt;&gt;0,LEFT(H72,1)="D"),0,VLOOKUP(D72,INDIRECT(MatchDay!$W$2),2,FALSE)),"")</f>
        <v>7</v>
      </c>
      <c r="S72" s="66">
        <f ca="1">IFERROR(IF(OR(L72=0,L72="",O72=0,O72="",$R69&lt;&gt;0,LEFT(O72,1)="D"),0,VLOOKUP(K72,INDIRECT(MatchDay!$W$2),3,FALSE)),"")</f>
        <v>5</v>
      </c>
    </row>
    <row r="73" spans="1:22" x14ac:dyDescent="0.35">
      <c r="A73" s="105">
        <f>IFERROR(VLOOKUP(C68,standards,7,FALSE),"-")</f>
        <v>29.7</v>
      </c>
      <c r="B73" s="419">
        <v>5</v>
      </c>
      <c r="C73" s="105"/>
      <c r="D73" s="104">
        <v>4</v>
      </c>
      <c r="E73" s="107">
        <v>4</v>
      </c>
      <c r="F73" s="421" t="str">
        <f>IFERROR(VLOOKUP($C68&amp;E73,downloads!$A$1:$E$1000,2,FALSE),"")</f>
        <v>Elizabeth PENDRILL</v>
      </c>
      <c r="G73" s="64" t="str">
        <f t="shared" si="12"/>
        <v>Macc</v>
      </c>
      <c r="H73" s="389">
        <v>28.5</v>
      </c>
      <c r="I73" s="147">
        <f>IFERROR(IF(OR(H73="",H73=0,H73&gt;A77),"",VLOOKUP(H73,A69:B77,2,TRUE)),9)</f>
        <v>7</v>
      </c>
      <c r="J73" s="67"/>
      <c r="K73" s="104">
        <v>4</v>
      </c>
      <c r="L73" s="248">
        <v>44</v>
      </c>
      <c r="M73" s="421" t="str">
        <f>IFERROR(VLOOKUP($C68&amp;L73,downloads!$A$1:$E$1000,2,FALSE),"")</f>
        <v>Annabel BROWN</v>
      </c>
      <c r="N73" s="64" t="str">
        <f t="shared" si="13"/>
        <v>Macc</v>
      </c>
      <c r="O73" s="394">
        <v>31.6</v>
      </c>
      <c r="P73" s="147">
        <f>IFERROR(IF(OR(O73="",O73=0,O73&gt;A77),"",VLOOKUP(O73,A69:B77,2,TRUE)),9)</f>
        <v>3</v>
      </c>
      <c r="R73" s="66">
        <f ca="1">IFERROR(IF(OR(E73=0,E73="",H73=0,H73="",$R69&lt;&gt;0,LEFT(H73,1)="D"),0,VLOOKUP(D73,INDIRECT(MatchDay!$W$2),2,FALSE)),"")</f>
        <v>6</v>
      </c>
      <c r="S73" s="66">
        <f ca="1">IFERROR(IF(OR(L73=0,L73="",O73=0,O73="",$R69&lt;&gt;0,LEFT(O73,1)="D"),0,VLOOKUP(K73,INDIRECT(MatchDay!$W$2),3,FALSE)),"")</f>
        <v>4</v>
      </c>
    </row>
    <row r="74" spans="1:22" x14ac:dyDescent="0.35">
      <c r="A74" s="105">
        <f>IFERROR(VLOOKUP(C68,standards,6,FALSE),"-")</f>
        <v>30.5</v>
      </c>
      <c r="B74" s="419">
        <v>4</v>
      </c>
      <c r="C74" s="105"/>
      <c r="D74" s="104">
        <v>5</v>
      </c>
      <c r="E74" s="107">
        <v>6</v>
      </c>
      <c r="F74" s="421" t="str">
        <f>IFERROR(VLOOKUP($C68&amp;E74,downloads!$A$1:$E$1000,2,FALSE),"")</f>
        <v/>
      </c>
      <c r="G74" s="64" t="str">
        <f t="shared" si="12"/>
        <v>Stock</v>
      </c>
      <c r="H74" s="389">
        <v>29.6</v>
      </c>
      <c r="I74" s="147">
        <f>IFERROR(IF(OR(H74="",H74=0,H74&gt;A77),"",VLOOKUP(H74,A69:B77,2,TRUE)),9)</f>
        <v>6</v>
      </c>
      <c r="J74" s="67"/>
      <c r="K74" s="104">
        <v>5</v>
      </c>
      <c r="L74" s="248">
        <v>11</v>
      </c>
      <c r="M74" s="421" t="str">
        <f>IFERROR(VLOOKUP($C68&amp;L74,downloads!$A$1:$E$1000,2,FALSE),"")</f>
        <v>Lola-mae WILKINS</v>
      </c>
      <c r="N74" s="64" t="str">
        <f t="shared" si="13"/>
        <v>C&amp;N</v>
      </c>
      <c r="O74" s="394">
        <v>31.9</v>
      </c>
      <c r="P74" s="147">
        <f>IFERROR(IF(OR(O74="",O74=0,O74&gt;A77),"",VLOOKUP(O74,A69:B77,2,TRUE)),9)</f>
        <v>2</v>
      </c>
      <c r="R74" s="66">
        <f ca="1">IFERROR(IF(OR(E74=0,E74="",H74=0,H74="",$R69&lt;&gt;0,LEFT(H74,1)="D"),0,VLOOKUP(D74,INDIRECT(MatchDay!$W$2),2,FALSE)),"")</f>
        <v>5</v>
      </c>
      <c r="S74" s="66">
        <f ca="1">IFERROR(IF(OR(L74=0,L74="",O74=0,O74="",$R69&lt;&gt;0,LEFT(O74,1)="D"),0,VLOOKUP(K74,INDIRECT(MatchDay!$W$2),3,FALSE)),"")</f>
        <v>3</v>
      </c>
    </row>
    <row r="75" spans="1:22" x14ac:dyDescent="0.35">
      <c r="A75" s="105">
        <f>IFERROR(VLOOKUP(C68,standards,5,FALSE),"-")</f>
        <v>30.8</v>
      </c>
      <c r="B75" s="419">
        <v>3</v>
      </c>
      <c r="C75" s="105"/>
      <c r="D75" s="104">
        <v>6</v>
      </c>
      <c r="E75" s="107">
        <v>1</v>
      </c>
      <c r="F75" s="421" t="str">
        <f>IFERROR(VLOOKUP($C68&amp;E75,downloads!$A$1:$E$1000,2,FALSE),"")</f>
        <v>Sophie STAINSBY</v>
      </c>
      <c r="G75" s="64" t="str">
        <f t="shared" si="12"/>
        <v>C&amp;N</v>
      </c>
      <c r="H75" s="389">
        <v>30.1</v>
      </c>
      <c r="I75" s="147">
        <f>IFERROR(IF(OR(H75="",H75=0,H75&gt;A77),"",VLOOKUP(H75,A69:B77,2,TRUE)),9)</f>
        <v>5</v>
      </c>
      <c r="J75" s="67"/>
      <c r="K75" s="104">
        <v>6</v>
      </c>
      <c r="L75" s="248">
        <v>55</v>
      </c>
      <c r="M75" s="421" t="str">
        <f>IFERROR(VLOOKUP($C68&amp;L75,downloads!$A$1:$E$1000,2,FALSE),"")</f>
        <v>Krista JONES</v>
      </c>
      <c r="N75" s="64" t="str">
        <f t="shared" si="13"/>
        <v>Menai</v>
      </c>
      <c r="O75" s="394">
        <v>32.700000000000003</v>
      </c>
      <c r="P75" s="147">
        <f>IFERROR(IF(OR(O75="",O75=0,O75&gt;A77),"",VLOOKUP(O75,A69:B77,2,TRUE)),9)</f>
        <v>1</v>
      </c>
      <c r="R75" s="66">
        <f ca="1">IFERROR(IF(OR(E75=0,E75="",H75=0,H75="",$R69&lt;&gt;0,LEFT(H75,1)="D"),0,VLOOKUP(D75,INDIRECT(MatchDay!$W$2),2,FALSE)),"")</f>
        <v>4</v>
      </c>
      <c r="S75" s="66">
        <f ca="1">IFERROR(IF(OR(L75=0,L75="",O75=0,O75="",$R69&lt;&gt;0,LEFT(O75,1)="D"),0,VLOOKUP(K75,INDIRECT(MatchDay!$W$2),3,FALSE)),"")</f>
        <v>2</v>
      </c>
    </row>
    <row r="76" spans="1:22" x14ac:dyDescent="0.35">
      <c r="A76" s="105">
        <f>IFERROR(VLOOKUP(C68,standards,4,FALSE),"-")</f>
        <v>31.7</v>
      </c>
      <c r="B76" s="419">
        <v>2</v>
      </c>
      <c r="C76" s="120">
        <f>IFERROR(SEARCH("U17",D68),0)</f>
        <v>0</v>
      </c>
      <c r="D76" s="104">
        <v>7</v>
      </c>
      <c r="E76" s="107">
        <v>5</v>
      </c>
      <c r="F76" s="421" t="str">
        <f>IFERROR(VLOOKUP($C68&amp;E76,downloads!$A$1:$E$1000,2,FALSE),"")</f>
        <v>Mabli WILLIAMS</v>
      </c>
      <c r="G76" s="64" t="str">
        <f t="shared" si="12"/>
        <v>Menai</v>
      </c>
      <c r="H76" s="393">
        <v>30.6</v>
      </c>
      <c r="I76" s="147">
        <f>IFERROR(IF(OR(H76="",H76=0,H76&gt;A77),"",VLOOKUP(H76,A69:B77,2,TRUE)),9)</f>
        <v>4</v>
      </c>
      <c r="J76" s="67"/>
      <c r="K76" s="104">
        <v>7</v>
      </c>
      <c r="L76" s="248"/>
      <c r="M76" s="421" t="str">
        <f>IFERROR(VLOOKUP($C68&amp;L76,downloads!$A$1:$E$1000,2,FALSE),"")</f>
        <v/>
      </c>
      <c r="N76" s="64" t="str">
        <f t="shared" si="13"/>
        <v/>
      </c>
      <c r="O76" s="394"/>
      <c r="P76" s="147" t="str">
        <f>IFERROR(IF(OR(O76="",O76=0,O76&gt;A77),"",VLOOKUP(O76,A69:B77,2,TRUE)),9)</f>
        <v/>
      </c>
      <c r="R76" s="66">
        <f ca="1">IFERROR(IF(OR(E76=0,E76="",H76=0,H76="",$R69&lt;&gt;0,LEFT(H76,1)="D"),0,VLOOKUP(D76,INDIRECT(MatchDay!$W$2),2,FALSE)),"")</f>
        <v>3</v>
      </c>
      <c r="S76" s="66">
        <f ca="1">IFERROR(IF(OR(L76=0,L76="",O76=0,O76="",$R69&lt;&gt;0,LEFT(O76,1)="D"),0,VLOOKUP(K76,INDIRECT(MatchDay!$W$2),3,FALSE)),"")</f>
        <v>0</v>
      </c>
    </row>
    <row r="77" spans="1:22" x14ac:dyDescent="0.35">
      <c r="A77" s="105">
        <f>IFERROR(VLOOKUP(C68,standards,3,FALSE),"-")</f>
        <v>32.700000000000003</v>
      </c>
      <c r="B77" s="419">
        <v>1</v>
      </c>
      <c r="C77" s="103">
        <f>IFERROR(VLOOKUP(C68,records,5,FALSE),"")</f>
        <v>24.55</v>
      </c>
      <c r="D77" s="104">
        <v>8</v>
      </c>
      <c r="E77" s="107"/>
      <c r="F77" s="421" t="str">
        <f>IFERROR(VLOOKUP($C68&amp;E77,downloads!$A$1:$E$1000,2,FALSE),"")</f>
        <v/>
      </c>
      <c r="G77" s="64" t="str">
        <f t="shared" si="12"/>
        <v/>
      </c>
      <c r="H77" s="389"/>
      <c r="I77" s="147" t="str">
        <f>IFERROR(IF(OR(H77="",H77=0,H77&gt;A77),"",VLOOKUP(H77,A69:B77,2,TRUE)),9)</f>
        <v/>
      </c>
      <c r="J77" s="67"/>
      <c r="K77" s="104">
        <v>8</v>
      </c>
      <c r="L77" s="248"/>
      <c r="M77" s="421" t="str">
        <f>IFERROR(VLOOKUP($C68&amp;L77,downloads!$A$1:$E$1000,2,FALSE),"")</f>
        <v/>
      </c>
      <c r="N77" s="64" t="str">
        <f t="shared" si="13"/>
        <v/>
      </c>
      <c r="O77" s="394"/>
      <c r="P77" s="147" t="str">
        <f>IFERROR(IF(OR(O77="",O77=0,O77&gt;A77),"",VLOOKUP(O77,A69:B77,2,TRUE)),9)</f>
        <v/>
      </c>
      <c r="R77" s="66">
        <f ca="1">IFERROR(IF(OR(E77=0,E77="",H77=0,H77="",$R69&lt;&gt;0,LEFT(H77,1)="D"),0,VLOOKUP(D77,INDIRECT(MatchDay!$W$2),2,FALSE)),"")</f>
        <v>0</v>
      </c>
      <c r="S77" s="66">
        <f ca="1">IFERROR(IF(OR(L77=0,L77="",O77=0,O77="",$R69&lt;&gt;0,LEFT(O77,1)="D"),0,VLOOKUP(K77,INDIRECT(MatchDay!$W$2),3,FALSE)),"")</f>
        <v>0</v>
      </c>
    </row>
    <row r="78" spans="1:22" x14ac:dyDescent="0.35">
      <c r="F78" s="407"/>
      <c r="H78" s="390"/>
      <c r="M78" s="407"/>
      <c r="O78" s="395"/>
    </row>
    <row r="79" spans="1:22" x14ac:dyDescent="0.35">
      <c r="C79" s="98" t="s">
        <v>39</v>
      </c>
      <c r="D79" s="99" t="str">
        <f>IFERROR(VLOOKUP(C79,timetables,2,FALSE)&amp;" "&amp;VLOOKUP(C79,timetables,3,FALSE)&amp;" A","")</f>
        <v>200m U15 Boys A</v>
      </c>
      <c r="E79" s="99"/>
      <c r="F79" s="407"/>
      <c r="G79" s="114" t="str">
        <f>IFERROR(IF(VLOOKUP($C79,timetables,8,FALSE)="W","Wind = ",""),"")</f>
        <v xml:space="preserve">Wind = </v>
      </c>
      <c r="H79" s="391"/>
      <c r="I79" s="106" t="str">
        <f>IFERROR(IF(OR(H81=0,H81=""),"",IF(H81&lt;C88,"REC",IF(H81=C88,"=Rec",""))),"")</f>
        <v/>
      </c>
      <c r="K79" s="101" t="str">
        <f>IFERROR(VLOOKUP(C79,timetables,2,FALSE)&amp;" "&amp;VLOOKUP(C79,timetables,3,FALSE)&amp;" B","")</f>
        <v>200m U15 Boys B</v>
      </c>
      <c r="L79" s="102"/>
      <c r="M79" s="407"/>
      <c r="N79" s="114" t="str">
        <f>IFERROR(IF(VLOOKUP($C79,timetables,8,FALSE)="W","Wind = ",""),"")</f>
        <v xml:space="preserve">Wind = </v>
      </c>
      <c r="O79" s="391"/>
      <c r="R79" s="66" t="s">
        <v>53</v>
      </c>
      <c r="S79" s="66" t="s">
        <v>54</v>
      </c>
    </row>
    <row r="80" spans="1:22" x14ac:dyDescent="0.35">
      <c r="A80" s="105">
        <f>IFERROR(VLOOKUP(C79,standards,11,FALSE),"-")</f>
        <v>23.8</v>
      </c>
      <c r="B80" s="419">
        <v>9</v>
      </c>
      <c r="C80" s="79"/>
      <c r="D80" s="45" t="s">
        <v>177</v>
      </c>
      <c r="E80" s="45" t="s">
        <v>141</v>
      </c>
      <c r="F80" s="422" t="s">
        <v>174</v>
      </c>
      <c r="G80" s="47" t="s">
        <v>175</v>
      </c>
      <c r="H80" s="392" t="s">
        <v>176</v>
      </c>
      <c r="I80" s="148" t="s">
        <v>1003</v>
      </c>
      <c r="J80" s="47"/>
      <c r="K80" s="45" t="s">
        <v>177</v>
      </c>
      <c r="L80" s="45" t="s">
        <v>141</v>
      </c>
      <c r="M80" s="422" t="s">
        <v>174</v>
      </c>
      <c r="N80" s="47" t="s">
        <v>175</v>
      </c>
      <c r="O80" s="392" t="s">
        <v>176</v>
      </c>
      <c r="P80" s="148" t="s">
        <v>1003</v>
      </c>
      <c r="R80" s="66">
        <f>IFERROR(SEARCH("NS",D79),0)</f>
        <v>0</v>
      </c>
      <c r="V80" s="67"/>
    </row>
    <row r="81" spans="1:22" x14ac:dyDescent="0.35">
      <c r="A81" s="105">
        <f>IFERROR(VLOOKUP(C79,standards,10,FALSE),"-")</f>
        <v>24.2</v>
      </c>
      <c r="B81" s="419">
        <v>8</v>
      </c>
      <c r="C81" s="138">
        <f>IFERROR(VLOOKUP(C79,Timetables!$A:$E,5,FALSE)-1,"")</f>
        <v>55</v>
      </c>
      <c r="D81" s="104">
        <v>1</v>
      </c>
      <c r="E81" s="107">
        <v>2</v>
      </c>
      <c r="F81" s="421" t="str">
        <f>IFERROR(VLOOKUP($C79&amp;E81,downloads!$A$1:$E$1000,2,FALSE),"")</f>
        <v>Max ORMSTON</v>
      </c>
      <c r="G81" s="64" t="str">
        <f t="shared" ref="G81:G88" si="14">IFERROR(VLOOKUP(E81,teamlookup,5,FALSE),"")</f>
        <v>ECHT</v>
      </c>
      <c r="H81" s="393">
        <v>25.5</v>
      </c>
      <c r="I81" s="147">
        <f>IFERROR(IF(OR(H81="",H81=0,H81&gt;A88),"",VLOOKUP(H81,A80:B88,2,TRUE)),9)</f>
        <v>5</v>
      </c>
      <c r="J81" s="67"/>
      <c r="K81" s="104">
        <v>1</v>
      </c>
      <c r="L81" s="248">
        <v>77</v>
      </c>
      <c r="M81" s="421" t="str">
        <f>IFERROR(VLOOKUP($C79&amp;L81,downloads!$A$1:$E$1000,2,FALSE),"")</f>
        <v>Matthew HAYTON</v>
      </c>
      <c r="N81" s="64" t="str">
        <f t="shared" ref="N81:N88" si="15">IFERROR(VLOOKUP(L81,teamlookup,5,FALSE),"")</f>
        <v>Wigan</v>
      </c>
      <c r="O81" s="394">
        <v>26.4</v>
      </c>
      <c r="P81" s="147">
        <f>IFERROR(IF(OR(O81="",O81=0,O81&gt;A88),"",VLOOKUP(O81,A80:B88,2,TRUE)),9)</f>
        <v>4</v>
      </c>
      <c r="R81" s="66">
        <f ca="1">IFERROR(IF(OR(E81=0,E81="",H81=0,H81="",$R80&lt;&gt;0,LEFT(H81,1)="D"),0,VLOOKUP(D81,INDIRECT(MatchDay!$W$2),2,FALSE)),"")</f>
        <v>10</v>
      </c>
      <c r="S81" s="66">
        <f ca="1">IFERROR(IF(OR(L81=0,L81="",O81=0,O81="",$R80&lt;&gt;0,LEFT(O81,1)="D"),0,VLOOKUP(K81,INDIRECT(MatchDay!$W$2),3,FALSE)),"")</f>
        <v>8</v>
      </c>
      <c r="T81" s="168">
        <f>COUNTIF(E81,"&gt;0")</f>
        <v>1</v>
      </c>
      <c r="U81" s="66">
        <f>IFERROR(IF(E81&gt;88,1,0),0)</f>
        <v>0</v>
      </c>
    </row>
    <row r="82" spans="1:22" x14ac:dyDescent="0.35">
      <c r="A82" s="105">
        <f>IFERROR(VLOOKUP(C79,standards,9,FALSE),"-")</f>
        <v>24.6</v>
      </c>
      <c r="B82" s="419">
        <v>7</v>
      </c>
      <c r="C82" s="64">
        <v>0</v>
      </c>
      <c r="D82" s="104">
        <v>2</v>
      </c>
      <c r="E82" s="107">
        <v>1</v>
      </c>
      <c r="F82" s="421" t="str">
        <f>IFERROR(VLOOKUP($C79&amp;E82,downloads!$A$1:$E$1000,2,FALSE),"")</f>
        <v>William CATTELL</v>
      </c>
      <c r="G82" s="64" t="str">
        <f t="shared" si="14"/>
        <v>C&amp;N</v>
      </c>
      <c r="H82" s="389">
        <v>26.5</v>
      </c>
      <c r="I82" s="147">
        <f>IFERROR(IF(OR(H82="",H82=0,H82&gt;A88),"",VLOOKUP(H82,A80:B88,2,TRUE)),9)</f>
        <v>4</v>
      </c>
      <c r="J82" s="67"/>
      <c r="K82" s="104">
        <v>2</v>
      </c>
      <c r="L82" s="248">
        <v>11</v>
      </c>
      <c r="M82" s="421" t="str">
        <f>IFERROR(VLOOKUP($C79&amp;L82,downloads!$A$1:$E$1000,2,FALSE),"")</f>
        <v>Lucas BEECH</v>
      </c>
      <c r="N82" s="64" t="str">
        <f t="shared" si="15"/>
        <v>C&amp;N</v>
      </c>
      <c r="O82" s="394">
        <v>27</v>
      </c>
      <c r="P82" s="147">
        <f>IFERROR(IF(OR(O82="",O82=0,O82&gt;A88),"",VLOOKUP(O82,A80:B88,2,TRUE)),9)</f>
        <v>3</v>
      </c>
      <c r="R82" s="66">
        <f ca="1">IFERROR(IF(OR(E82=0,E82="",H82=0,H82="",$R80&lt;&gt;0,LEFT(H82,1)="D"),0,VLOOKUP(D82,INDIRECT(MatchDay!$W$2),2,FALSE)),"")</f>
        <v>8</v>
      </c>
      <c r="S82" s="66">
        <f ca="1">IFERROR(IF(OR(L82=0,L82="",O82=0,O82="",$R80&lt;&gt;0,LEFT(O82,1)="D"),0,VLOOKUP(K82,INDIRECT(MatchDay!$W$2),3,FALSE)),"")</f>
        <v>6</v>
      </c>
    </row>
    <row r="83" spans="1:22" x14ac:dyDescent="0.35">
      <c r="A83" s="105">
        <f>IFERROR(VLOOKUP(C79,standards,8,FALSE),"-")</f>
        <v>25</v>
      </c>
      <c r="B83" s="419">
        <v>6</v>
      </c>
      <c r="C83" s="105"/>
      <c r="D83" s="104">
        <v>3</v>
      </c>
      <c r="E83" s="107">
        <v>4</v>
      </c>
      <c r="F83" s="421" t="str">
        <f>IFERROR(VLOOKUP($C79&amp;E83,downloads!$A$1:$E$1000,2,FALSE),"")</f>
        <v>Finley HAYES</v>
      </c>
      <c r="G83" s="64" t="str">
        <f t="shared" si="14"/>
        <v>Macc</v>
      </c>
      <c r="H83" s="389">
        <v>26.8</v>
      </c>
      <c r="I83" s="147">
        <f>IFERROR(IF(OR(H83="",H83=0,H83&gt;A88),"",VLOOKUP(H83,A80:B88,2,TRUE)),9)</f>
        <v>4</v>
      </c>
      <c r="J83" s="67"/>
      <c r="K83" s="104">
        <v>3</v>
      </c>
      <c r="L83" s="248">
        <v>22</v>
      </c>
      <c r="M83" s="421" t="str">
        <f>IFERROR(VLOOKUP($C79&amp;L83,downloads!$A$1:$E$1000,2,FALSE),"")</f>
        <v>James ROOK</v>
      </c>
      <c r="N83" s="64" t="str">
        <f t="shared" si="15"/>
        <v>ECHT</v>
      </c>
      <c r="O83" s="394">
        <v>27.9</v>
      </c>
      <c r="P83" s="147">
        <f>IFERROR(IF(OR(O83="",O83=0,O83&gt;A88),"",VLOOKUP(O83,A80:B88,2,TRUE)),9)</f>
        <v>3</v>
      </c>
      <c r="R83" s="66">
        <f ca="1">IFERROR(IF(OR(E83=0,E83="",H83=0,H83="",$R80&lt;&gt;0,LEFT(H83,1)="D"),0,VLOOKUP(D83,INDIRECT(MatchDay!$W$2),2,FALSE)),"")</f>
        <v>7</v>
      </c>
      <c r="S83" s="66">
        <f ca="1">IFERROR(IF(OR(L83=0,L83="",O83=0,O83="",$R80&lt;&gt;0,LEFT(O83,1)="D"),0,VLOOKUP(K83,INDIRECT(MatchDay!$W$2),3,FALSE)),"")</f>
        <v>5</v>
      </c>
    </row>
    <row r="84" spans="1:22" x14ac:dyDescent="0.35">
      <c r="A84" s="105">
        <f>IFERROR(VLOOKUP(C79,standards,7,FALSE),"-")</f>
        <v>25.5</v>
      </c>
      <c r="B84" s="419">
        <v>5</v>
      </c>
      <c r="C84" s="105"/>
      <c r="D84" s="104">
        <v>4</v>
      </c>
      <c r="E84" s="107">
        <v>6</v>
      </c>
      <c r="F84" s="421" t="str">
        <f>IFERROR(VLOOKUP($C79&amp;E84,downloads!$A$1:$E$1000,2,FALSE),"")</f>
        <v>Joshua KANDA</v>
      </c>
      <c r="G84" s="64" t="str">
        <f t="shared" si="14"/>
        <v>Stock</v>
      </c>
      <c r="H84" s="389">
        <v>27</v>
      </c>
      <c r="I84" s="147">
        <f>IFERROR(IF(OR(H84="",H84=0,H84&gt;A88),"",VLOOKUP(H84,A80:B88,2,TRUE)),9)</f>
        <v>3</v>
      </c>
      <c r="J84" s="67"/>
      <c r="K84" s="104">
        <v>4</v>
      </c>
      <c r="L84" s="248">
        <v>44</v>
      </c>
      <c r="M84" s="421" t="str">
        <f>IFERROR(VLOOKUP($C79&amp;L84,downloads!$A$1:$E$1000,2,FALSE),"")</f>
        <v>Oliver STEWART</v>
      </c>
      <c r="N84" s="64" t="str">
        <f t="shared" si="15"/>
        <v>Macc</v>
      </c>
      <c r="O84" s="394">
        <v>29.5</v>
      </c>
      <c r="P84" s="147" t="str">
        <f>IFERROR(IF(OR(O84="",O84=0,O84&gt;A88),"",VLOOKUP(O84,A80:B88,2,TRUE)),9)</f>
        <v/>
      </c>
      <c r="R84" s="66">
        <f ca="1">IFERROR(IF(OR(E84=0,E84="",H84=0,H84="",$R80&lt;&gt;0,LEFT(H84,1)="D"),0,VLOOKUP(D84,INDIRECT(MatchDay!$W$2),2,FALSE)),"")</f>
        <v>6</v>
      </c>
      <c r="S84" s="66">
        <f ca="1">IFERROR(IF(OR(L84=0,L84="",O84=0,O84="",$R80&lt;&gt;0,LEFT(O84,1)="D"),0,VLOOKUP(K84,INDIRECT(MatchDay!$W$2),3,FALSE)),"")</f>
        <v>4</v>
      </c>
    </row>
    <row r="85" spans="1:22" x14ac:dyDescent="0.35">
      <c r="A85" s="105">
        <f>IFERROR(VLOOKUP(C79,standards,6,FALSE),"-")</f>
        <v>26</v>
      </c>
      <c r="B85" s="419">
        <v>4</v>
      </c>
      <c r="C85" s="105"/>
      <c r="D85" s="104">
        <v>5</v>
      </c>
      <c r="E85" s="107">
        <v>7</v>
      </c>
      <c r="F85" s="421" t="str">
        <f>IFERROR(VLOOKUP($C79&amp;E85,downloads!$A$1:$E$1000,2,FALSE),"")</f>
        <v>Joshua ROBERTS</v>
      </c>
      <c r="G85" s="64" t="str">
        <f t="shared" si="14"/>
        <v>Wigan</v>
      </c>
      <c r="H85" s="389">
        <v>27.3</v>
      </c>
      <c r="I85" s="147">
        <f>IFERROR(IF(OR(H85="",H85=0,H85&gt;A88),"",VLOOKUP(H85,A80:B88,2,TRUE)),9)</f>
        <v>3</v>
      </c>
      <c r="J85" s="67"/>
      <c r="K85" s="104">
        <v>5</v>
      </c>
      <c r="L85" s="248">
        <v>66</v>
      </c>
      <c r="M85" s="421" t="str">
        <f>IFERROR(VLOOKUP($C79&amp;L85,downloads!$A$1:$E$1000,2,FALSE),"")</f>
        <v>Luc BRADBURY</v>
      </c>
      <c r="N85" s="64" t="str">
        <f t="shared" si="15"/>
        <v>Stock</v>
      </c>
      <c r="O85" s="393">
        <v>31.3</v>
      </c>
      <c r="P85" s="147" t="str">
        <f>IFERROR(IF(OR(O85="",O85=0,O85&gt;A88),"",VLOOKUP(O85,A80:B88,2,TRUE)),9)</f>
        <v/>
      </c>
      <c r="R85" s="66">
        <f ca="1">IFERROR(IF(OR(E85=0,E85="",H85=0,H85="",$R80&lt;&gt;0,LEFT(H85,1)="D"),0,VLOOKUP(D85,INDIRECT(MatchDay!$W$2),2,FALSE)),"")</f>
        <v>5</v>
      </c>
      <c r="S85" s="66">
        <f ca="1">IFERROR(IF(OR(L85=0,L85="",O85=0,O85="",$R80&lt;&gt;0,LEFT(O85,1)="D"),0,VLOOKUP(K85,INDIRECT(MatchDay!$W$2),3,FALSE)),"")</f>
        <v>3</v>
      </c>
    </row>
    <row r="86" spans="1:22" x14ac:dyDescent="0.35">
      <c r="A86" s="105">
        <f>IFERROR(VLOOKUP(C79,standards,5,FALSE),"-")</f>
        <v>27</v>
      </c>
      <c r="B86" s="419">
        <v>3</v>
      </c>
      <c r="C86" s="105"/>
      <c r="D86" s="104">
        <v>6</v>
      </c>
      <c r="E86" s="107">
        <v>3</v>
      </c>
      <c r="F86" s="421" t="str">
        <f>IFERROR(VLOOKUP($C79&amp;E86,downloads!$A$1:$E$1000,2,FALSE),"")</f>
        <v>Hugo JAMES</v>
      </c>
      <c r="G86" s="64" t="str">
        <f t="shared" si="14"/>
        <v>Leigh</v>
      </c>
      <c r="H86" s="393">
        <v>27.4</v>
      </c>
      <c r="I86" s="147">
        <f>IFERROR(IF(OR(H86="",H86=0,H86&gt;A88),"",VLOOKUP(H86,A80:B88,2,TRUE)),9)</f>
        <v>3</v>
      </c>
      <c r="J86" s="67"/>
      <c r="K86" s="104">
        <v>6</v>
      </c>
      <c r="L86" s="248">
        <v>33</v>
      </c>
      <c r="M86" s="421" t="str">
        <f>IFERROR(VLOOKUP($C79&amp;L86,downloads!$A$1:$E$1000,2,FALSE),"")</f>
        <v>Barnaby CROMBLEHOLME</v>
      </c>
      <c r="N86" s="64" t="str">
        <f t="shared" si="15"/>
        <v>Leigh</v>
      </c>
      <c r="O86" s="393">
        <v>31.9</v>
      </c>
      <c r="P86" s="147" t="str">
        <f>IFERROR(IF(OR(O86="",O86=0,O86&gt;A88),"",VLOOKUP(O86,A80:B88,2,TRUE)),9)</f>
        <v/>
      </c>
      <c r="R86" s="66">
        <f ca="1">IFERROR(IF(OR(E86=0,E86="",H86=0,H86="",$R80&lt;&gt;0,LEFT(H86,1)="D"),0,VLOOKUP(D86,INDIRECT(MatchDay!$W$2),2,FALSE)),"")</f>
        <v>4</v>
      </c>
      <c r="S86" s="66">
        <f ca="1">IFERROR(IF(OR(L86=0,L86="",O86=0,O86="",$R80&lt;&gt;0,LEFT(O86,1)="D"),0,VLOOKUP(K86,INDIRECT(MatchDay!$W$2),3,FALSE)),"")</f>
        <v>2</v>
      </c>
    </row>
    <row r="87" spans="1:22" x14ac:dyDescent="0.35">
      <c r="A87" s="105">
        <f>IFERROR(VLOOKUP(C79,standards,4,FALSE),"-")</f>
        <v>28</v>
      </c>
      <c r="B87" s="419">
        <v>2</v>
      </c>
      <c r="C87" s="120">
        <f>IFERROR(SEARCH("U17",D79),0)</f>
        <v>0</v>
      </c>
      <c r="D87" s="104">
        <v>7</v>
      </c>
      <c r="E87" s="107">
        <v>5</v>
      </c>
      <c r="F87" s="421" t="str">
        <f>IFERROR(VLOOKUP($C79&amp;E87,downloads!$A$1:$E$1000,2,FALSE),"")</f>
        <v>Owain WILLIAMS</v>
      </c>
      <c r="G87" s="64" t="str">
        <f t="shared" si="14"/>
        <v>Menai</v>
      </c>
      <c r="H87" s="393">
        <v>32.700000000000003</v>
      </c>
      <c r="I87" s="147" t="str">
        <f>IFERROR(IF(OR(H87="",H87=0,H87&gt;A88),"",VLOOKUP(H87,A80:B88,2,TRUE)),9)</f>
        <v/>
      </c>
      <c r="J87" s="67"/>
      <c r="K87" s="104">
        <v>7</v>
      </c>
      <c r="L87" s="248"/>
      <c r="M87" s="421" t="str">
        <f>IFERROR(VLOOKUP($C79&amp;L87,downloads!$A$1:$E$1000,2,FALSE),"")</f>
        <v/>
      </c>
      <c r="N87" s="64" t="str">
        <f t="shared" si="15"/>
        <v/>
      </c>
      <c r="O87" s="393"/>
      <c r="P87" s="147" t="str">
        <f>IFERROR(IF(OR(O87="",O87=0,O87&gt;A88),"",VLOOKUP(O87,A80:B88,2,TRUE)),9)</f>
        <v/>
      </c>
      <c r="R87" s="66">
        <f ca="1">IFERROR(IF(OR(E87=0,E87="",H87=0,H87="",$R80&lt;&gt;0,LEFT(H87,1)="D"),0,VLOOKUP(D87,INDIRECT(MatchDay!$W$2),2,FALSE)),"")</f>
        <v>3</v>
      </c>
      <c r="S87" s="66">
        <f ca="1">IFERROR(IF(OR(L87=0,L87="",O87=0,O87="",$R80&lt;&gt;0,LEFT(O87,1)="D"),0,VLOOKUP(K87,INDIRECT(MatchDay!$W$2),3,FALSE)),"")</f>
        <v>0</v>
      </c>
    </row>
    <row r="88" spans="1:22" x14ac:dyDescent="0.35">
      <c r="A88" s="105">
        <f>IFERROR(VLOOKUP(C79,standards,3,FALSE),"-")</f>
        <v>29</v>
      </c>
      <c r="B88" s="419">
        <v>1</v>
      </c>
      <c r="C88" s="103">
        <f>IFERROR(VLOOKUP(C79,records,5,FALSE),"")</f>
        <v>22.2</v>
      </c>
      <c r="D88" s="104">
        <v>8</v>
      </c>
      <c r="E88" s="107"/>
      <c r="F88" s="421" t="str">
        <f>IFERROR(VLOOKUP($C79&amp;E88,downloads!$A$1:$E$1000,2,FALSE),"")</f>
        <v/>
      </c>
      <c r="G88" s="64" t="str">
        <f t="shared" si="14"/>
        <v/>
      </c>
      <c r="H88" s="389"/>
      <c r="I88" s="147" t="str">
        <f>IFERROR(IF(OR(H88="",H88=0,H88&gt;A88),"",VLOOKUP(H88,A80:B88,2,TRUE)),9)</f>
        <v/>
      </c>
      <c r="J88" s="67"/>
      <c r="K88" s="104">
        <v>8</v>
      </c>
      <c r="L88" s="248"/>
      <c r="M88" s="421" t="str">
        <f>IFERROR(VLOOKUP($C79&amp;L88,downloads!$A$1:$E$1000,2,FALSE),"")</f>
        <v/>
      </c>
      <c r="N88" s="64" t="str">
        <f t="shared" si="15"/>
        <v/>
      </c>
      <c r="O88" s="394"/>
      <c r="P88" s="147" t="str">
        <f>IFERROR(IF(OR(O88="",O88=0,O88&gt;A88),"",VLOOKUP(O88,A80:B88,2,TRUE)),9)</f>
        <v/>
      </c>
      <c r="R88" s="66">
        <f ca="1">IFERROR(IF(OR(E88=0,E88="",H88=0,H88="",$R80&lt;&gt;0,LEFT(H88,1)="D"),0,VLOOKUP(D88,INDIRECT(MatchDay!$W$2),2,FALSE)),"")</f>
        <v>0</v>
      </c>
      <c r="S88" s="66">
        <f ca="1">IFERROR(IF(OR(L88=0,L88="",O88=0,O88="",$R80&lt;&gt;0,LEFT(O88,1)="D"),0,VLOOKUP(K88,INDIRECT(MatchDay!$W$2),3,FALSE)),"")</f>
        <v>0</v>
      </c>
    </row>
    <row r="89" spans="1:22" x14ac:dyDescent="0.35">
      <c r="F89" s="407"/>
      <c r="H89" s="390"/>
      <c r="M89" s="407"/>
      <c r="O89" s="395"/>
    </row>
    <row r="90" spans="1:22" x14ac:dyDescent="0.35">
      <c r="C90" s="98" t="s">
        <v>40</v>
      </c>
      <c r="D90" s="99" t="str">
        <f>IFERROR(VLOOKUP(C90,timetables,2,FALSE)&amp;" "&amp;VLOOKUP(C90,timetables,3,FALSE)&amp;" A","")</f>
        <v>75m U13 Girls A</v>
      </c>
      <c r="E90" s="99"/>
      <c r="F90" s="407"/>
      <c r="G90" s="114" t="str">
        <f>IFERROR(IF(VLOOKUP($C90,timetables,8,FALSE)="W","Wind = ",""),"")</f>
        <v xml:space="preserve">Wind = </v>
      </c>
      <c r="H90" s="391"/>
      <c r="I90" s="106" t="str">
        <f>IFERROR(IF(OR(H92=0,H92=""),"",IF(H92&lt;C99,"REC",IF(H92=C99,"=Rec",""))),"")</f>
        <v/>
      </c>
      <c r="K90" s="101" t="str">
        <f>IFERROR(VLOOKUP(C90,timetables,2,FALSE)&amp;" "&amp;VLOOKUP(C90,timetables,3,FALSE)&amp;" B","")</f>
        <v>75m U13 Girls B</v>
      </c>
      <c r="L90" s="102"/>
      <c r="M90" s="407"/>
      <c r="N90" s="114" t="str">
        <f>IFERROR(IF(VLOOKUP($C90,timetables,8,FALSE)="W","Wind = ",""),"")</f>
        <v xml:space="preserve">Wind = </v>
      </c>
      <c r="O90" s="391"/>
      <c r="R90" s="66" t="s">
        <v>53</v>
      </c>
      <c r="S90" s="66" t="s">
        <v>54</v>
      </c>
    </row>
    <row r="91" spans="1:22" x14ac:dyDescent="0.35">
      <c r="A91" s="105">
        <f>IFERROR(VLOOKUP(C90,standards,11,FALSE),"-")</f>
        <v>10.25</v>
      </c>
      <c r="B91" s="419">
        <v>9</v>
      </c>
      <c r="C91" s="79"/>
      <c r="D91" s="45" t="s">
        <v>177</v>
      </c>
      <c r="E91" s="45" t="s">
        <v>141</v>
      </c>
      <c r="F91" s="422" t="s">
        <v>174</v>
      </c>
      <c r="G91" s="47" t="s">
        <v>175</v>
      </c>
      <c r="H91" s="392" t="s">
        <v>176</v>
      </c>
      <c r="I91" s="148" t="s">
        <v>1003</v>
      </c>
      <c r="J91" s="47"/>
      <c r="K91" s="45" t="s">
        <v>177</v>
      </c>
      <c r="L91" s="45" t="s">
        <v>141</v>
      </c>
      <c r="M91" s="422" t="s">
        <v>174</v>
      </c>
      <c r="N91" s="47" t="s">
        <v>175</v>
      </c>
      <c r="O91" s="392" t="s">
        <v>176</v>
      </c>
      <c r="P91" s="148" t="s">
        <v>1003</v>
      </c>
      <c r="R91" s="66">
        <f>IFERROR(SEARCH("NS",D90),0)</f>
        <v>0</v>
      </c>
      <c r="V91" s="67"/>
    </row>
    <row r="92" spans="1:22" x14ac:dyDescent="0.35">
      <c r="A92" s="105">
        <f>IFERROR(VLOOKUP(C90,standards,10,FALSE),"-")</f>
        <v>10.5</v>
      </c>
      <c r="B92" s="419">
        <v>8</v>
      </c>
      <c r="C92" s="138">
        <f>IFERROR(VLOOKUP(C90,Timetables!$A:$E,5,FALSE)-1,"")</f>
        <v>-1</v>
      </c>
      <c r="D92" s="104">
        <v>1</v>
      </c>
      <c r="E92" s="248">
        <v>2</v>
      </c>
      <c r="F92" s="421" t="str">
        <f>IFERROR(VLOOKUP($C90&amp;E92,downloads!$A$1:$E$1000,2,FALSE),"")</f>
        <v>Olivia JONES</v>
      </c>
      <c r="G92" s="64" t="str">
        <f t="shared" ref="G92:G99" si="16">IFERROR(VLOOKUP(E92,teamlookup,5,FALSE),"")</f>
        <v>ECHT</v>
      </c>
      <c r="H92" s="389">
        <v>10.7</v>
      </c>
      <c r="I92" s="147">
        <f>IFERROR(IF(OR(H92="",H92=0,H92&gt;A99),"",VLOOKUP(H92,A91:B99,2,TRUE)),9)</f>
        <v>8</v>
      </c>
      <c r="J92" s="67"/>
      <c r="K92" s="104">
        <v>1</v>
      </c>
      <c r="L92" s="248">
        <v>77</v>
      </c>
      <c r="M92" s="421" t="str">
        <f>IFERROR(VLOOKUP($C90&amp;L92,downloads!$A$1:$E$1000,2,FALSE),"")</f>
        <v>Elody HILL</v>
      </c>
      <c r="N92" s="64" t="str">
        <f t="shared" ref="N92:N99" si="17">IFERROR(VLOOKUP(L92,teamlookup,5,FALSE),"")</f>
        <v>Wigan</v>
      </c>
      <c r="O92" s="394">
        <v>10.8</v>
      </c>
      <c r="P92" s="147">
        <f>IFERROR(IF(OR(O92="",O92=0,O92&gt;A99),"",VLOOKUP(O92,A91:B99,2,TRUE)),9)</f>
        <v>7</v>
      </c>
      <c r="R92" s="66">
        <f ca="1">IFERROR(IF(OR(E92=0,E92="",H92=0,H92="",$R91&lt;&gt;0,LEFT(H92,1)="D"),0,VLOOKUP(D92,INDIRECT(MatchDay!$W$2),2,FALSE)),"")</f>
        <v>10</v>
      </c>
      <c r="S92" s="66">
        <f ca="1">IFERROR(IF(OR(L92=0,L92="",O92=0,O92="",$R91&lt;&gt;0,LEFT(O92,1)="D"),0,VLOOKUP(K92,INDIRECT(MatchDay!$W$2),3,FALSE)),"")</f>
        <v>8</v>
      </c>
      <c r="T92" s="168">
        <f>COUNTIF(E92,"&gt;0")</f>
        <v>1</v>
      </c>
      <c r="U92" s="66">
        <f>IFERROR(IF(E92&gt;88,1,0),0)</f>
        <v>0</v>
      </c>
    </row>
    <row r="93" spans="1:22" x14ac:dyDescent="0.35">
      <c r="A93" s="105">
        <f>IFERROR(VLOOKUP(C90,standards,9,FALSE),"-")</f>
        <v>10.75</v>
      </c>
      <c r="B93" s="419">
        <v>7</v>
      </c>
      <c r="C93" s="64">
        <v>0</v>
      </c>
      <c r="D93" s="104">
        <v>2</v>
      </c>
      <c r="E93" s="248">
        <v>3</v>
      </c>
      <c r="F93" s="421" t="str">
        <f>IFERROR(VLOOKUP($C90&amp;E93,downloads!$A$1:$E$1000,2,FALSE),"")</f>
        <v>Ava BROOMES</v>
      </c>
      <c r="G93" s="64" t="str">
        <f t="shared" si="16"/>
        <v>Leigh</v>
      </c>
      <c r="H93" s="393">
        <v>10.9</v>
      </c>
      <c r="I93" s="147">
        <f>IFERROR(IF(OR(H93="",H93=0,H93&gt;A99),"",VLOOKUP(H93,A91:B99,2,TRUE)),9)</f>
        <v>7</v>
      </c>
      <c r="J93" s="67"/>
      <c r="K93" s="104">
        <v>2</v>
      </c>
      <c r="L93" s="248">
        <v>55</v>
      </c>
      <c r="M93" s="421" t="str">
        <f>IFERROR(VLOOKUP($C90&amp;L93,downloads!$A$1:$E$1000,2,FALSE),"")</f>
        <v>Holly WORTH</v>
      </c>
      <c r="N93" s="64" t="str">
        <f t="shared" si="17"/>
        <v>Menai</v>
      </c>
      <c r="O93" s="394">
        <v>11.2</v>
      </c>
      <c r="P93" s="147">
        <f>IFERROR(IF(OR(O93="",O93=0,O93&gt;A99),"",VLOOKUP(O93,A91:B99,2,TRUE)),9)</f>
        <v>6</v>
      </c>
      <c r="R93" s="66">
        <f ca="1">IFERROR(IF(OR(E93=0,E93="",H93=0,H93="",$R91&lt;&gt;0,LEFT(H93,1)="D"),0,VLOOKUP(D93,INDIRECT(MatchDay!$W$2),2,FALSE)),"")</f>
        <v>8</v>
      </c>
      <c r="S93" s="66">
        <f ca="1">IFERROR(IF(OR(L93=0,L93="",O93=0,O93="",$R91&lt;&gt;0,LEFT(O93,1)="D"),0,VLOOKUP(K93,INDIRECT(MatchDay!$W$2),3,FALSE)),"")</f>
        <v>6</v>
      </c>
    </row>
    <row r="94" spans="1:22" x14ac:dyDescent="0.35">
      <c r="A94" s="105">
        <f>IFERROR(VLOOKUP(C90,standards,8,FALSE),"-")</f>
        <v>11</v>
      </c>
      <c r="B94" s="419">
        <v>6</v>
      </c>
      <c r="C94" s="105"/>
      <c r="D94" s="104">
        <v>3</v>
      </c>
      <c r="E94" s="248">
        <v>5</v>
      </c>
      <c r="F94" s="421" t="str">
        <f>IFERROR(VLOOKUP($C90&amp;E94,downloads!$A$1:$E$1000,2,FALSE),"")</f>
        <v>Ela EDWARDS</v>
      </c>
      <c r="G94" s="64" t="str">
        <f t="shared" si="16"/>
        <v>Menai</v>
      </c>
      <c r="H94" s="389">
        <v>11</v>
      </c>
      <c r="I94" s="147">
        <f>IFERROR(IF(OR(H94="",H94=0,H94&gt;A99),"",VLOOKUP(H94,A91:B99,2,TRUE)),9)</f>
        <v>6</v>
      </c>
      <c r="J94" s="67"/>
      <c r="K94" s="104">
        <v>3</v>
      </c>
      <c r="L94" s="248">
        <v>33</v>
      </c>
      <c r="M94" s="421" t="str">
        <f>IFERROR(VLOOKUP($C90&amp;L94,downloads!$A$1:$E$1000,2,FALSE),"")</f>
        <v>Isabella GORMAN</v>
      </c>
      <c r="N94" s="64" t="str">
        <f t="shared" si="17"/>
        <v>Leigh</v>
      </c>
      <c r="O94" s="394">
        <v>11.5</v>
      </c>
      <c r="P94" s="147">
        <f>IFERROR(IF(OR(O94="",O94=0,O94&gt;A99),"",VLOOKUP(O94,A91:B99,2,TRUE)),9)</f>
        <v>5</v>
      </c>
      <c r="R94" s="66">
        <f ca="1">IFERROR(IF(OR(E94=0,E94="",H94=0,H94="",$R91&lt;&gt;0,LEFT(H94,1)="D"),0,VLOOKUP(D94,INDIRECT(MatchDay!$W$2),2,FALSE)),"")</f>
        <v>7</v>
      </c>
      <c r="S94" s="66">
        <f ca="1">IFERROR(IF(OR(L94=0,L94="",O94=0,O94="",$R91&lt;&gt;0,LEFT(O94,1)="D"),0,VLOOKUP(K94,INDIRECT(MatchDay!$W$2),3,FALSE)),"")</f>
        <v>5</v>
      </c>
    </row>
    <row r="95" spans="1:22" x14ac:dyDescent="0.35">
      <c r="A95" s="105">
        <f>IFERROR(VLOOKUP(C90,standards,7,FALSE),"-")</f>
        <v>11.3</v>
      </c>
      <c r="B95" s="419">
        <v>5</v>
      </c>
      <c r="C95" s="105"/>
      <c r="D95" s="104">
        <v>4</v>
      </c>
      <c r="E95" s="248">
        <v>1</v>
      </c>
      <c r="F95" s="421" t="str">
        <f>IFERROR(VLOOKUP($C90&amp;E95,downloads!$A$1:$E$1000,2,FALSE),"")</f>
        <v>Sofiya HARE</v>
      </c>
      <c r="G95" s="64" t="str">
        <f t="shared" si="16"/>
        <v>C&amp;N</v>
      </c>
      <c r="H95" s="389">
        <v>11.2</v>
      </c>
      <c r="I95" s="147">
        <f>IFERROR(IF(OR(H95="",H95=0,H95&gt;A99),"",VLOOKUP(H95,A91:B99,2,TRUE)),9)</f>
        <v>6</v>
      </c>
      <c r="J95" s="67"/>
      <c r="K95" s="104">
        <v>4</v>
      </c>
      <c r="L95" s="248">
        <v>22</v>
      </c>
      <c r="M95" s="421" t="str">
        <f>IFERROR(VLOOKUP($C90&amp;L95,downloads!$A$1:$E$1000,2,FALSE),"")</f>
        <v>Madaline BURKE</v>
      </c>
      <c r="N95" s="64" t="str">
        <f t="shared" si="17"/>
        <v>ECHT</v>
      </c>
      <c r="O95" s="394">
        <v>11.6</v>
      </c>
      <c r="P95" s="147">
        <f>IFERROR(IF(OR(O95="",O95=0,O95&gt;A99),"",VLOOKUP(O95,A91:B99,2,TRUE)),9)</f>
        <v>5</v>
      </c>
      <c r="R95" s="66">
        <f ca="1">IFERROR(IF(OR(E95=0,E95="",H95=0,H95="",$R91&lt;&gt;0,LEFT(H95,1)="D"),0,VLOOKUP(D95,INDIRECT(MatchDay!$W$2),2,FALSE)),"")</f>
        <v>6</v>
      </c>
      <c r="S95" s="66">
        <f ca="1">IFERROR(IF(OR(L95=0,L95="",O95=0,O95="",$R91&lt;&gt;0,LEFT(O95,1)="D"),0,VLOOKUP(K95,INDIRECT(MatchDay!$W$2),3,FALSE)),"")</f>
        <v>4</v>
      </c>
    </row>
    <row r="96" spans="1:22" x14ac:dyDescent="0.35">
      <c r="A96" s="105">
        <f>IFERROR(VLOOKUP(C90,standards,6,FALSE),"-")</f>
        <v>11.7</v>
      </c>
      <c r="B96" s="419">
        <v>4</v>
      </c>
      <c r="C96" s="105"/>
      <c r="D96" s="104">
        <v>5</v>
      </c>
      <c r="E96" s="248">
        <v>6</v>
      </c>
      <c r="F96" s="421" t="str">
        <f>IFERROR(VLOOKUP($C90&amp;E96,downloads!$A$1:$E$1000,2,FALSE),"")</f>
        <v>Emily FOX</v>
      </c>
      <c r="G96" s="64" t="str">
        <f t="shared" si="16"/>
        <v>Stock</v>
      </c>
      <c r="H96" s="389">
        <v>11.4</v>
      </c>
      <c r="I96" s="147">
        <f>IFERROR(IF(OR(H96="",H96=0,H96&gt;A99),"",VLOOKUP(H96,A91:B99,2,TRUE)),9)</f>
        <v>5</v>
      </c>
      <c r="J96" s="67"/>
      <c r="K96" s="104">
        <v>5</v>
      </c>
      <c r="L96" s="248">
        <v>66</v>
      </c>
      <c r="M96" s="421" t="str">
        <f>IFERROR(VLOOKUP($C90&amp;L96,downloads!$A$1:$E$1000,2,FALSE),"")</f>
        <v>Sophie LOW</v>
      </c>
      <c r="N96" s="64" t="str">
        <f t="shared" si="17"/>
        <v>Stock</v>
      </c>
      <c r="O96" s="393">
        <v>12</v>
      </c>
      <c r="P96" s="147">
        <f>IFERROR(IF(OR(O96="",O96=0,O96&gt;A99),"",VLOOKUP(O96,A91:B99,2,TRUE)),9)</f>
        <v>4</v>
      </c>
      <c r="R96" s="66">
        <f ca="1">IFERROR(IF(OR(E96=0,E96="",H96=0,H96="",$R91&lt;&gt;0,LEFT(H96,1)="D"),0,VLOOKUP(D96,INDIRECT(MatchDay!$W$2),2,FALSE)),"")</f>
        <v>5</v>
      </c>
      <c r="S96" s="66">
        <f ca="1">IFERROR(IF(OR(L96=0,L96="",O96=0,O96="",$R91&lt;&gt;0,LEFT(O96,1)="D"),0,VLOOKUP(K96,INDIRECT(MatchDay!$W$2),3,FALSE)),"")</f>
        <v>3</v>
      </c>
    </row>
    <row r="97" spans="1:22" x14ac:dyDescent="0.35">
      <c r="A97" s="105">
        <f>IFERROR(VLOOKUP(C90,standards,5,FALSE),"-")</f>
        <v>12.1</v>
      </c>
      <c r="B97" s="419">
        <v>3</v>
      </c>
      <c r="C97" s="105"/>
      <c r="D97" s="104">
        <v>6</v>
      </c>
      <c r="E97" s="107">
        <v>4</v>
      </c>
      <c r="F97" s="421" t="str">
        <f>IFERROR(VLOOKUP($C90&amp;E97,downloads!$A$1:$E$1000,2,FALSE),"")</f>
        <v>Lara ADU-GYAMFI</v>
      </c>
      <c r="G97" s="64" t="str">
        <f t="shared" si="16"/>
        <v>Macc</v>
      </c>
      <c r="H97" s="393">
        <v>11.5</v>
      </c>
      <c r="I97" s="147">
        <f>IFERROR(IF(OR(H97="",H97=0,H97&gt;A99),"",VLOOKUP(H97,A91:B99,2,TRUE)),9)</f>
        <v>5</v>
      </c>
      <c r="J97" s="67"/>
      <c r="K97" s="104">
        <v>6</v>
      </c>
      <c r="L97" s="248">
        <v>44</v>
      </c>
      <c r="M97" s="421" t="str">
        <f>IFERROR(VLOOKUP($C90&amp;L97,downloads!$A$1:$E$1000,2,FALSE),"")</f>
        <v>Molly KENT</v>
      </c>
      <c r="N97" s="64" t="str">
        <f t="shared" si="17"/>
        <v>Macc</v>
      </c>
      <c r="O97" s="393">
        <v>12.1</v>
      </c>
      <c r="P97" s="147">
        <f>IFERROR(IF(OR(O97="",O97=0,O97&gt;A99),"",VLOOKUP(O97,A91:B99,2,TRUE)),9)</f>
        <v>3</v>
      </c>
      <c r="R97" s="66">
        <f ca="1">IFERROR(IF(OR(E97=0,E97="",H97=0,H97="",$R91&lt;&gt;0,LEFT(H97,1)="D"),0,VLOOKUP(D97,INDIRECT(MatchDay!$W$2),2,FALSE)),"")</f>
        <v>4</v>
      </c>
      <c r="S97" s="66">
        <f ca="1">IFERROR(IF(OR(L97=0,L97="",O97=0,O97="",$R91&lt;&gt;0,LEFT(O97,1)="D"),0,VLOOKUP(K97,INDIRECT(MatchDay!$W$2),3,FALSE)),"")</f>
        <v>2</v>
      </c>
    </row>
    <row r="98" spans="1:22" x14ac:dyDescent="0.35">
      <c r="A98" s="105">
        <f>IFERROR(VLOOKUP(C90,standards,4,FALSE),"-")</f>
        <v>12.5</v>
      </c>
      <c r="B98" s="419">
        <v>2</v>
      </c>
      <c r="C98" s="120">
        <f>IFERROR(SEARCH("U17",D90),0)</f>
        <v>0</v>
      </c>
      <c r="D98" s="104">
        <v>7</v>
      </c>
      <c r="E98" s="107">
        <v>7</v>
      </c>
      <c r="F98" s="421" t="str">
        <f>IFERROR(VLOOKUP($C90&amp;E98,downloads!$A$1:$E$1000,2,FALSE),"")</f>
        <v>Mia LACEY</v>
      </c>
      <c r="G98" s="64" t="str">
        <f t="shared" si="16"/>
        <v>Wigan</v>
      </c>
      <c r="H98" s="393">
        <v>12</v>
      </c>
      <c r="I98" s="147">
        <f>IFERROR(IF(OR(H98="",H98=0,H98&gt;A99),"",VLOOKUP(H98,A91:B99,2,TRUE)),9)</f>
        <v>4</v>
      </c>
      <c r="J98" s="67"/>
      <c r="K98" s="104">
        <v>7</v>
      </c>
      <c r="L98" s="248">
        <v>11</v>
      </c>
      <c r="M98" s="421" t="str">
        <f>IFERROR(VLOOKUP($C90&amp;L98,downloads!$A$1:$E$1000,2,FALSE),"")</f>
        <v>Malkia HENRY</v>
      </c>
      <c r="N98" s="64" t="str">
        <f t="shared" si="17"/>
        <v>C&amp;N</v>
      </c>
      <c r="O98" s="393">
        <v>12.9</v>
      </c>
      <c r="P98" s="147">
        <f>IFERROR(IF(OR(O98="",O98=0,O98&gt;A99),"",VLOOKUP(O98,A91:B99,2,TRUE)),9)</f>
        <v>2</v>
      </c>
      <c r="R98" s="66">
        <f ca="1">IFERROR(IF(OR(E98=0,E98="",H98=0,H98="",$R91&lt;&gt;0,LEFT(H98,1)="D"),0,VLOOKUP(D98,INDIRECT(MatchDay!$W$2),2,FALSE)),"")</f>
        <v>3</v>
      </c>
      <c r="S98" s="66">
        <f ca="1">IFERROR(IF(OR(L98=0,L98="",O98=0,O98="",$R91&lt;&gt;0,LEFT(O98,1)="D"),0,VLOOKUP(K98,INDIRECT(MatchDay!$W$2),3,FALSE)),"")</f>
        <v>1</v>
      </c>
    </row>
    <row r="99" spans="1:22" x14ac:dyDescent="0.35">
      <c r="A99" s="105">
        <f>IFERROR(VLOOKUP(C90,standards,3,FALSE),"-")</f>
        <v>13</v>
      </c>
      <c r="B99" s="419">
        <v>1</v>
      </c>
      <c r="C99" s="103">
        <f>IFERROR(VLOOKUP(C90,records,5,FALSE),"")</f>
        <v>9.5</v>
      </c>
      <c r="D99" s="104">
        <v>8</v>
      </c>
      <c r="E99" s="107"/>
      <c r="F99" s="421" t="str">
        <f>IFERROR(VLOOKUP($C90&amp;E99,downloads!$A$1:$E$1000,2,FALSE),"")</f>
        <v/>
      </c>
      <c r="G99" s="64" t="str">
        <f t="shared" si="16"/>
        <v/>
      </c>
      <c r="H99" s="389"/>
      <c r="I99" s="147" t="str">
        <f>IFERROR(IF(OR(H99="",H99=0,H99&gt;A99),"",VLOOKUP(H99,A91:B99,2,TRUE)),9)</f>
        <v/>
      </c>
      <c r="J99" s="67"/>
      <c r="K99" s="104">
        <v>8</v>
      </c>
      <c r="L99" s="248"/>
      <c r="M99" s="421" t="str">
        <f>IFERROR(VLOOKUP($C90&amp;L99,downloads!$A$1:$E$1000,2,FALSE),"")</f>
        <v/>
      </c>
      <c r="N99" s="64" t="str">
        <f t="shared" si="17"/>
        <v/>
      </c>
      <c r="O99" s="394"/>
      <c r="P99" s="147" t="str">
        <f>IFERROR(IF(OR(O99="",O99=0,O99&gt;A99),"",VLOOKUP(O99,A91:B99,2,TRUE)),9)</f>
        <v/>
      </c>
      <c r="R99" s="66">
        <f ca="1">IFERROR(IF(OR(E99=0,E99="",H99=0,H99="",$R91&lt;&gt;0,LEFT(H99,1)="D"),0,VLOOKUP(D99,INDIRECT(MatchDay!$W$2),2,FALSE)),"")</f>
        <v>0</v>
      </c>
      <c r="S99" s="66">
        <f ca="1">IFERROR(IF(OR(L99=0,L99="",O99=0,O99="",$R91&lt;&gt;0,LEFT(O99,1)="D"),0,VLOOKUP(K99,INDIRECT(MatchDay!$W$2),3,FALSE)),"")</f>
        <v>0</v>
      </c>
    </row>
    <row r="100" spans="1:22" x14ac:dyDescent="0.35">
      <c r="F100" s="407"/>
      <c r="H100" s="390"/>
      <c r="M100" s="407"/>
      <c r="O100" s="395"/>
    </row>
    <row r="101" spans="1:22" x14ac:dyDescent="0.35">
      <c r="C101" s="98" t="s">
        <v>42</v>
      </c>
      <c r="D101" s="99" t="str">
        <f>IFERROR(VLOOKUP(C101,timetables,2,FALSE)&amp;" "&amp;VLOOKUP(C101,timetables,3,FALSE)&amp;" A","")</f>
        <v>75m U13 Boys A</v>
      </c>
      <c r="E101" s="99"/>
      <c r="F101" s="407"/>
      <c r="G101" s="114" t="str">
        <f>IFERROR(IF(VLOOKUP($C101,timetables,8,FALSE)="W","Wind = ",""),"")</f>
        <v xml:space="preserve">Wind = </v>
      </c>
      <c r="H101" s="391"/>
      <c r="I101" s="106" t="str">
        <f>IFERROR(IF(OR(H103=0,H103=""),"",IF(H103&lt;C110,"REC",IF(H103=C110,"=Rec",""))),"")</f>
        <v/>
      </c>
      <c r="K101" s="101" t="str">
        <f>IFERROR(VLOOKUP(C101,timetables,2,FALSE)&amp;" "&amp;VLOOKUP(C101,timetables,3,FALSE)&amp;" B","")</f>
        <v>75m U13 Boys B</v>
      </c>
      <c r="L101" s="102"/>
      <c r="M101" s="407"/>
      <c r="N101" s="114" t="str">
        <f>IFERROR(IF(VLOOKUP($C101,timetables,8,FALSE)="W","Wind = ",""),"")</f>
        <v xml:space="preserve">Wind = </v>
      </c>
      <c r="O101" s="391"/>
      <c r="R101" s="66" t="s">
        <v>53</v>
      </c>
      <c r="S101" s="66" t="s">
        <v>54</v>
      </c>
    </row>
    <row r="102" spans="1:22" x14ac:dyDescent="0.35">
      <c r="A102" s="105">
        <f>IFERROR(VLOOKUP(C101,standards,11,FALSE),"-")</f>
        <v>9.75</v>
      </c>
      <c r="B102" s="419">
        <v>9</v>
      </c>
      <c r="C102" s="79"/>
      <c r="D102" s="45" t="s">
        <v>177</v>
      </c>
      <c r="E102" s="45" t="s">
        <v>141</v>
      </c>
      <c r="F102" s="422" t="s">
        <v>174</v>
      </c>
      <c r="G102" s="47" t="s">
        <v>175</v>
      </c>
      <c r="H102" s="392" t="s">
        <v>176</v>
      </c>
      <c r="I102" s="148" t="s">
        <v>1003</v>
      </c>
      <c r="J102" s="47"/>
      <c r="K102" s="45" t="s">
        <v>177</v>
      </c>
      <c r="L102" s="45" t="s">
        <v>141</v>
      </c>
      <c r="M102" s="422" t="s">
        <v>174</v>
      </c>
      <c r="N102" s="47" t="s">
        <v>175</v>
      </c>
      <c r="O102" s="392" t="s">
        <v>176</v>
      </c>
      <c r="P102" s="148" t="s">
        <v>1003</v>
      </c>
      <c r="R102" s="66">
        <f>IFERROR(SEARCH("NS",D101),0)</f>
        <v>0</v>
      </c>
      <c r="V102" s="67"/>
    </row>
    <row r="103" spans="1:22" x14ac:dyDescent="0.35">
      <c r="A103" s="105">
        <f>IFERROR(VLOOKUP(C101,standards,10,FALSE),"-")</f>
        <v>10</v>
      </c>
      <c r="B103" s="419">
        <v>8</v>
      </c>
      <c r="C103" s="138">
        <f>IFERROR(VLOOKUP(C101,Timetables!$A:$E,5,FALSE)-1,"")</f>
        <v>-1</v>
      </c>
      <c r="D103" s="104">
        <v>1</v>
      </c>
      <c r="E103" s="107">
        <v>3</v>
      </c>
      <c r="F103" s="421" t="str">
        <f>IFERROR(VLOOKUP($C101&amp;E103,downloads!$A$1:$E$1000,2,FALSE),"")</f>
        <v>Thierry KERR</v>
      </c>
      <c r="G103" s="64" t="str">
        <f t="shared" ref="G103:G110" si="18">IFERROR(VLOOKUP(E103,teamlookup,5,FALSE),"")</f>
        <v>Leigh</v>
      </c>
      <c r="H103" s="389">
        <v>10.199999999999999</v>
      </c>
      <c r="I103" s="147">
        <f>IFERROR(IF(OR(H103="",H103=0,H103&gt;A110),"",VLOOKUP(H103,A102:B110,2,TRUE)),9)</f>
        <v>8</v>
      </c>
      <c r="J103" s="67"/>
      <c r="K103" s="104">
        <v>1</v>
      </c>
      <c r="L103" s="248">
        <v>33</v>
      </c>
      <c r="M103" s="421" t="str">
        <f>IFERROR(VLOOKUP($C101&amp;L103,downloads!$A$1:$E$1000,2,FALSE),"")</f>
        <v>Oscar FINCH</v>
      </c>
      <c r="N103" s="64" t="str">
        <f t="shared" ref="N103:N110" si="19">IFERROR(VLOOKUP(L103,teamlookup,5,FALSE),"")</f>
        <v>Leigh</v>
      </c>
      <c r="O103" s="394">
        <v>10.3</v>
      </c>
      <c r="P103" s="147">
        <f>IFERROR(IF(OR(O103="",O103=0,O103&gt;A110),"",VLOOKUP(O103,A102:B110,2,TRUE)),9)</f>
        <v>7</v>
      </c>
      <c r="R103" s="66">
        <f ca="1">IFERROR(IF(OR(E103=0,E103="",H103=0,H103="",$R102&lt;&gt;0,LEFT(H103,1)="D"),0,VLOOKUP(D103,INDIRECT(MatchDay!$W$2),2,FALSE)),"")</f>
        <v>10</v>
      </c>
      <c r="S103" s="66">
        <f ca="1">IFERROR(IF(OR(L103=0,L103="",O103=0,O103="",$R102&lt;&gt;0,LEFT(O103,1)="D"),0,VLOOKUP(K103,INDIRECT(MatchDay!$W$2),3,FALSE)),"")</f>
        <v>8</v>
      </c>
      <c r="T103" s="168">
        <f>COUNTIF(E103,"&gt;0")</f>
        <v>1</v>
      </c>
      <c r="U103" s="66">
        <f>IFERROR(IF(E103&gt;88,1,0),0)</f>
        <v>0</v>
      </c>
    </row>
    <row r="104" spans="1:22" x14ac:dyDescent="0.35">
      <c r="A104" s="105">
        <f>IFERROR(VLOOKUP(C101,standards,9,FALSE),"-")</f>
        <v>10.25</v>
      </c>
      <c r="B104" s="419">
        <v>7</v>
      </c>
      <c r="C104" s="64">
        <v>0</v>
      </c>
      <c r="D104" s="104">
        <v>2</v>
      </c>
      <c r="E104" s="107">
        <v>7</v>
      </c>
      <c r="F104" s="421" t="str">
        <f>IFERROR(VLOOKUP($C101&amp;E104,downloads!$A$1:$E$1000,2,FALSE),"")</f>
        <v>Henry MORRIS</v>
      </c>
      <c r="G104" s="64" t="str">
        <f t="shared" si="18"/>
        <v>Wigan</v>
      </c>
      <c r="H104" s="389">
        <v>10.8</v>
      </c>
      <c r="I104" s="147">
        <f>IFERROR(IF(OR(H104="",H104=0,H104&gt;A110),"",VLOOKUP(H104,A102:B110,2,TRUE)),9)</f>
        <v>5</v>
      </c>
      <c r="J104" s="67"/>
      <c r="K104" s="104">
        <v>2</v>
      </c>
      <c r="L104" s="248">
        <v>77</v>
      </c>
      <c r="M104" s="421" t="str">
        <f>IFERROR(VLOOKUP($C101&amp;L104,downloads!$A$1:$E$1000,2,FALSE),"")</f>
        <v>Theo MORGAN</v>
      </c>
      <c r="N104" s="64" t="str">
        <f t="shared" si="19"/>
        <v>Wigan</v>
      </c>
      <c r="O104" s="394">
        <v>11.5</v>
      </c>
      <c r="P104" s="147">
        <f>IFERROR(IF(OR(O104="",O104=0,O104&gt;A110),"",VLOOKUP(O104,A102:B110,2,TRUE)),9)</f>
        <v>4</v>
      </c>
      <c r="R104" s="66">
        <f ca="1">IFERROR(IF(OR(E104=0,E104="",H104=0,H104="",$R102&lt;&gt;0,LEFT(H104,1)="D"),0,VLOOKUP(D104,INDIRECT(MatchDay!$W$2),2,FALSE)),"")</f>
        <v>8</v>
      </c>
      <c r="S104" s="66">
        <f ca="1">IFERROR(IF(OR(L104=0,L104="",O104=0,O104="",$R102&lt;&gt;0,LEFT(O104,1)="D"),0,VLOOKUP(K104,INDIRECT(MatchDay!$W$2),3,FALSE)),"")</f>
        <v>6</v>
      </c>
    </row>
    <row r="105" spans="1:22" x14ac:dyDescent="0.35">
      <c r="A105" s="105">
        <f>IFERROR(VLOOKUP(C101,standards,8,FALSE),"-")</f>
        <v>10.5</v>
      </c>
      <c r="B105" s="419">
        <v>6</v>
      </c>
      <c r="C105" s="105"/>
      <c r="D105" s="104">
        <v>3</v>
      </c>
      <c r="E105" s="107">
        <v>6</v>
      </c>
      <c r="F105" s="421" t="str">
        <f>IFERROR(VLOOKUP($C101&amp;E105,downloads!$A$1:$E$1000,2,FALSE),"")</f>
        <v>Alex KITCHEN</v>
      </c>
      <c r="G105" s="64" t="str">
        <f t="shared" si="18"/>
        <v>Stock</v>
      </c>
      <c r="H105" s="389">
        <v>11.2</v>
      </c>
      <c r="I105" s="147">
        <f>IFERROR(IF(OR(H105="",H105=0,H105&gt;A110),"",VLOOKUP(H105,A102:B110,2,TRUE)),9)</f>
        <v>4</v>
      </c>
      <c r="J105" s="67"/>
      <c r="K105" s="104">
        <v>3</v>
      </c>
      <c r="L105" s="248">
        <v>11</v>
      </c>
      <c r="M105" s="421" t="str">
        <f>IFERROR(VLOOKUP($C101&amp;L105,downloads!$A$1:$E$1000,2,FALSE),"")</f>
        <v>Ewan DAVIES</v>
      </c>
      <c r="N105" s="64" t="str">
        <f t="shared" si="19"/>
        <v>C&amp;N</v>
      </c>
      <c r="O105" s="394">
        <v>11.8</v>
      </c>
      <c r="P105" s="147">
        <f>IFERROR(IF(OR(O105="",O105=0,O105&gt;A110),"",VLOOKUP(O105,A102:B110,2,TRUE)),9)</f>
        <v>3</v>
      </c>
      <c r="R105" s="66">
        <f ca="1">IFERROR(IF(OR(E105=0,E105="",H105=0,H105="",$R102&lt;&gt;0,LEFT(H105,1)="D"),0,VLOOKUP(D105,INDIRECT(MatchDay!$W$2),2,FALSE)),"")</f>
        <v>7</v>
      </c>
      <c r="S105" s="66">
        <f ca="1">IFERROR(IF(OR(L105=0,L105="",O105=0,O105="",$R102&lt;&gt;0,LEFT(O105,1)="D"),0,VLOOKUP(K105,INDIRECT(MatchDay!$W$2),3,FALSE)),"")</f>
        <v>5</v>
      </c>
    </row>
    <row r="106" spans="1:22" x14ac:dyDescent="0.35">
      <c r="A106" s="105">
        <f>IFERROR(VLOOKUP(C101,standards,7,FALSE),"-")</f>
        <v>10.8</v>
      </c>
      <c r="B106" s="419">
        <v>5</v>
      </c>
      <c r="C106" s="105"/>
      <c r="D106" s="104">
        <v>4</v>
      </c>
      <c r="E106" s="107">
        <v>4</v>
      </c>
      <c r="F106" s="421" t="str">
        <f>IFERROR(VLOOKUP($C101&amp;E106,downloads!$A$1:$E$1000,2,FALSE),"")</f>
        <v>Dylan BAKER</v>
      </c>
      <c r="G106" s="64" t="str">
        <f t="shared" si="18"/>
        <v>Macc</v>
      </c>
      <c r="H106" s="389">
        <v>11.3</v>
      </c>
      <c r="I106" s="147">
        <f>IFERROR(IF(OR(H106="",H106=0,H106&gt;A110),"",VLOOKUP(H106,A102:B110,2,TRUE)),9)</f>
        <v>4</v>
      </c>
      <c r="J106" s="67"/>
      <c r="K106" s="104">
        <v>4</v>
      </c>
      <c r="L106" s="248">
        <v>22</v>
      </c>
      <c r="M106" s="421" t="str">
        <f>IFERROR(VLOOKUP($C101&amp;L106,downloads!$A$1:$E$1000,2,FALSE),"")</f>
        <v>James NELSON</v>
      </c>
      <c r="N106" s="64" t="str">
        <f t="shared" si="19"/>
        <v>ECHT</v>
      </c>
      <c r="O106" s="394">
        <v>12.2</v>
      </c>
      <c r="P106" s="147">
        <f>IFERROR(IF(OR(O106="",O106=0,O106&gt;A110),"",VLOOKUP(O106,A102:B110,2,TRUE)),9)</f>
        <v>2</v>
      </c>
      <c r="R106" s="66">
        <f ca="1">IFERROR(IF(OR(E106=0,E106="",H106=0,H106="",$R102&lt;&gt;0,LEFT(H106,1)="D"),0,VLOOKUP(D106,INDIRECT(MatchDay!$W$2),2,FALSE)),"")</f>
        <v>6</v>
      </c>
      <c r="S106" s="66">
        <f ca="1">IFERROR(IF(OR(L106=0,L106="",O106=0,O106="",$R102&lt;&gt;0,LEFT(O106,1)="D"),0,VLOOKUP(K106,INDIRECT(MatchDay!$W$2),3,FALSE)),"")</f>
        <v>4</v>
      </c>
    </row>
    <row r="107" spans="1:22" x14ac:dyDescent="0.35">
      <c r="A107" s="105">
        <f>IFERROR(VLOOKUP(C101,standards,6,FALSE),"-")</f>
        <v>11.2</v>
      </c>
      <c r="B107" s="419">
        <v>4</v>
      </c>
      <c r="C107" s="105"/>
      <c r="D107" s="104">
        <v>5</v>
      </c>
      <c r="E107" s="107">
        <v>1</v>
      </c>
      <c r="F107" s="421" t="str">
        <f>IFERROR(VLOOKUP($C101&amp;E107,downloads!$A$1:$E$1000,2,FALSE),"")</f>
        <v>Charlie SMITH</v>
      </c>
      <c r="G107" s="64" t="str">
        <f t="shared" si="18"/>
        <v>C&amp;N</v>
      </c>
      <c r="H107" s="389">
        <v>11.4</v>
      </c>
      <c r="I107" s="147">
        <f>IFERROR(IF(OR(H107="",H107=0,H107&gt;A110),"",VLOOKUP(H107,A102:B110,2,TRUE)),9)</f>
        <v>4</v>
      </c>
      <c r="J107" s="67"/>
      <c r="K107" s="104">
        <v>5</v>
      </c>
      <c r="L107" s="248"/>
      <c r="M107" s="421" t="str">
        <f>IFERROR(VLOOKUP($C101&amp;L107,downloads!$A$1:$E$1000,2,FALSE),"")</f>
        <v/>
      </c>
      <c r="N107" s="64" t="str">
        <f t="shared" si="19"/>
        <v/>
      </c>
      <c r="O107" s="393"/>
      <c r="P107" s="147" t="str">
        <f>IFERROR(IF(OR(O107="",O107=0,O107&gt;A110),"",VLOOKUP(O107,A102:B110,2,TRUE)),9)</f>
        <v/>
      </c>
      <c r="R107" s="66">
        <f ca="1">IFERROR(IF(OR(E107=0,E107="",H107=0,H107="",$R102&lt;&gt;0,LEFT(H107,1)="D"),0,VLOOKUP(D107,INDIRECT(MatchDay!$W$2),2,FALSE)),"")</f>
        <v>5</v>
      </c>
      <c r="S107" s="66">
        <f ca="1">IFERROR(IF(OR(L107=0,L107="",O107=0,O107="",$R102&lt;&gt;0,LEFT(O107,1)="D"),0,VLOOKUP(K107,INDIRECT(MatchDay!$W$2),3,FALSE)),"")</f>
        <v>0</v>
      </c>
    </row>
    <row r="108" spans="1:22" x14ac:dyDescent="0.35">
      <c r="A108" s="105">
        <f>IFERROR(VLOOKUP(C101,standards,5,FALSE),"-")</f>
        <v>11.6</v>
      </c>
      <c r="B108" s="419">
        <v>3</v>
      </c>
      <c r="C108" s="105"/>
      <c r="D108" s="104">
        <v>6</v>
      </c>
      <c r="E108" s="107">
        <v>2</v>
      </c>
      <c r="F108" s="421" t="str">
        <f>IFERROR(VLOOKUP($C101&amp;E108,downloads!$A$1:$E$1000,2,FALSE),"")</f>
        <v>Ryan MCCARTHY</v>
      </c>
      <c r="G108" s="64" t="str">
        <f t="shared" si="18"/>
        <v>ECHT</v>
      </c>
      <c r="H108" s="389">
        <v>11.8</v>
      </c>
      <c r="I108" s="147">
        <f>IFERROR(IF(OR(H108="",H108=0,H108&gt;A110),"",VLOOKUP(H108,A102:B110,2,TRUE)),9)</f>
        <v>3</v>
      </c>
      <c r="J108" s="67"/>
      <c r="K108" s="104">
        <v>6</v>
      </c>
      <c r="L108" s="248"/>
      <c r="M108" s="421" t="str">
        <f>IFERROR(VLOOKUP($C101&amp;L108,downloads!$A$1:$E$1000,2,FALSE),"")</f>
        <v/>
      </c>
      <c r="N108" s="64" t="str">
        <f t="shared" si="19"/>
        <v/>
      </c>
      <c r="O108" s="393"/>
      <c r="P108" s="147" t="str">
        <f>IFERROR(IF(OR(O108="",O108=0,O108&gt;A110),"",VLOOKUP(O108,A102:B110,2,TRUE)),9)</f>
        <v/>
      </c>
      <c r="R108" s="66">
        <f ca="1">IFERROR(IF(OR(E108=0,E108="",H108=0,H108="",$R102&lt;&gt;0,LEFT(H108,1)="D"),0,VLOOKUP(D108,INDIRECT(MatchDay!$W$2),2,FALSE)),"")</f>
        <v>4</v>
      </c>
      <c r="S108" s="66">
        <f ca="1">IFERROR(IF(OR(L108=0,L108="",O108=0,O108="",$R102&lt;&gt;0,LEFT(O108,1)="D"),0,VLOOKUP(K108,INDIRECT(MatchDay!$W$2),3,FALSE)),"")</f>
        <v>0</v>
      </c>
    </row>
    <row r="109" spans="1:22" x14ac:dyDescent="0.35">
      <c r="A109" s="105">
        <f>IFERROR(VLOOKUP(C101,standards,4,FALSE),"-")</f>
        <v>12</v>
      </c>
      <c r="B109" s="419">
        <v>2</v>
      </c>
      <c r="C109" s="120">
        <f>IFERROR(SEARCH("U17",D101),0)</f>
        <v>0</v>
      </c>
      <c r="D109" s="104">
        <v>7</v>
      </c>
      <c r="E109" s="107"/>
      <c r="F109" s="421" t="str">
        <f>IFERROR(VLOOKUP($C101&amp;E109,downloads!$A$1:$E$1000,2,FALSE),"")</f>
        <v/>
      </c>
      <c r="G109" s="64" t="str">
        <f t="shared" si="18"/>
        <v/>
      </c>
      <c r="H109" s="393"/>
      <c r="I109" s="147" t="str">
        <f>IFERROR(IF(OR(H109="",H109=0,H109&gt;A110),"",VLOOKUP(H109,A102:B110,2,TRUE)),9)</f>
        <v/>
      </c>
      <c r="J109" s="67"/>
      <c r="K109" s="104">
        <v>7</v>
      </c>
      <c r="L109" s="248"/>
      <c r="M109" s="421" t="str">
        <f>IFERROR(VLOOKUP($C101&amp;L109,downloads!$A$1:$E$1000,2,FALSE),"")</f>
        <v/>
      </c>
      <c r="N109" s="64" t="str">
        <f t="shared" si="19"/>
        <v/>
      </c>
      <c r="O109" s="393"/>
      <c r="P109" s="147" t="str">
        <f>IFERROR(IF(OR(O109="",O109=0,O109&gt;A110),"",VLOOKUP(O109,A102:B110,2,TRUE)),9)</f>
        <v/>
      </c>
      <c r="R109" s="66">
        <f ca="1">IFERROR(IF(OR(E109=0,E109="",H109=0,H109="",$R102&lt;&gt;0,LEFT(H109,1)="D"),0,VLOOKUP(D109,INDIRECT(MatchDay!$W$2),2,FALSE)),"")</f>
        <v>0</v>
      </c>
      <c r="S109" s="66">
        <f ca="1">IFERROR(IF(OR(L109=0,L109="",O109=0,O109="",$R102&lt;&gt;0,LEFT(O109,1)="D"),0,VLOOKUP(K109,INDIRECT(MatchDay!$W$2),3,FALSE)),"")</f>
        <v>0</v>
      </c>
    </row>
    <row r="110" spans="1:22" x14ac:dyDescent="0.35">
      <c r="A110" s="105">
        <f>IFERROR(VLOOKUP(C101,standards,3,FALSE),"-")</f>
        <v>12.5</v>
      </c>
      <c r="B110" s="419">
        <v>1</v>
      </c>
      <c r="C110" s="103">
        <f>IFERROR(VLOOKUP(C101,records,5,FALSE),"")</f>
        <v>9.33</v>
      </c>
      <c r="D110" s="104">
        <v>8</v>
      </c>
      <c r="E110" s="107"/>
      <c r="F110" s="421" t="str">
        <f>IFERROR(VLOOKUP($C101&amp;E110,downloads!$A$1:$E$1000,2,FALSE),"")</f>
        <v/>
      </c>
      <c r="G110" s="64" t="str">
        <f t="shared" si="18"/>
        <v/>
      </c>
      <c r="H110" s="389"/>
      <c r="I110" s="147" t="str">
        <f>IFERROR(IF(OR(H110="",H110=0,H110&gt;A110),"",VLOOKUP(H110,A102:B110,2,TRUE)),9)</f>
        <v/>
      </c>
      <c r="J110" s="67"/>
      <c r="K110" s="104">
        <v>8</v>
      </c>
      <c r="L110" s="248"/>
      <c r="M110" s="421" t="str">
        <f>IFERROR(VLOOKUP($C101&amp;L110,downloads!$A$1:$E$1000,2,FALSE),"")</f>
        <v/>
      </c>
      <c r="N110" s="64" t="str">
        <f t="shared" si="19"/>
        <v/>
      </c>
      <c r="O110" s="394"/>
      <c r="P110" s="147" t="str">
        <f>IFERROR(IF(OR(O110="",O110=0,O110&gt;A110),"",VLOOKUP(O110,A102:B110,2,TRUE)),9)</f>
        <v/>
      </c>
      <c r="R110" s="66">
        <f ca="1">IFERROR(IF(OR(E110=0,E110="",H110=0,H110="",$R102&lt;&gt;0,LEFT(H110,1)="D"),0,VLOOKUP(D110,INDIRECT(MatchDay!$W$2),2,FALSE)),"")</f>
        <v>0</v>
      </c>
      <c r="S110" s="66">
        <f ca="1">IFERROR(IF(OR(L110=0,L110="",O110=0,O110="",$R102&lt;&gt;0,LEFT(O110,1)="D"),0,VLOOKUP(K110,INDIRECT(MatchDay!$W$2),3,FALSE)),"")</f>
        <v>0</v>
      </c>
    </row>
    <row r="111" spans="1:22" x14ac:dyDescent="0.35">
      <c r="F111" s="407"/>
      <c r="H111" s="390"/>
      <c r="M111" s="407"/>
      <c r="O111" s="395"/>
    </row>
    <row r="112" spans="1:22" x14ac:dyDescent="0.35">
      <c r="C112" s="98" t="s">
        <v>43</v>
      </c>
      <c r="D112" s="99" t="str">
        <f>IFERROR(VLOOKUP(C112,timetables,2,FALSE)&amp;" "&amp;VLOOKUP(C112,timetables,3,FALSE)&amp;" A","")</f>
        <v>100m U15 Girls A</v>
      </c>
      <c r="E112" s="99"/>
      <c r="F112" s="407"/>
      <c r="G112" s="114" t="str">
        <f>IFERROR(IF(VLOOKUP($C112,timetables,8,FALSE)="W","Wind = ",""),"")</f>
        <v xml:space="preserve">Wind = </v>
      </c>
      <c r="H112" s="391"/>
      <c r="I112" s="106" t="str">
        <f>IFERROR(IF(OR(H114=0,H114=""),"",IF(H114&lt;C121,"REC",IF(H114=C121,"=Rec",""))),"")</f>
        <v/>
      </c>
      <c r="K112" s="101" t="str">
        <f>IFERROR(VLOOKUP(C112,timetables,2,FALSE)&amp;" "&amp;VLOOKUP(C112,timetables,3,FALSE)&amp;" B","")</f>
        <v>100m U15 Girls B</v>
      </c>
      <c r="L112" s="102"/>
      <c r="M112" s="407"/>
      <c r="N112" s="114" t="str">
        <f>IFERROR(IF(VLOOKUP($C112,timetables,8,FALSE)="W","Wind = ",""),"")</f>
        <v xml:space="preserve">Wind = </v>
      </c>
      <c r="O112" s="391"/>
      <c r="R112" s="66" t="s">
        <v>53</v>
      </c>
      <c r="S112" s="66" t="s">
        <v>54</v>
      </c>
    </row>
    <row r="113" spans="1:22" x14ac:dyDescent="0.35">
      <c r="A113" s="105">
        <f>IFERROR(VLOOKUP(C112,standards,11,FALSE),"-")</f>
        <v>12.7</v>
      </c>
      <c r="B113" s="419">
        <v>9</v>
      </c>
      <c r="C113" s="79"/>
      <c r="D113" s="45" t="s">
        <v>177</v>
      </c>
      <c r="E113" s="45" t="s">
        <v>141</v>
      </c>
      <c r="F113" s="422" t="s">
        <v>174</v>
      </c>
      <c r="G113" s="47" t="s">
        <v>175</v>
      </c>
      <c r="H113" s="392" t="s">
        <v>176</v>
      </c>
      <c r="I113" s="148" t="s">
        <v>1003</v>
      </c>
      <c r="J113" s="47"/>
      <c r="K113" s="45" t="s">
        <v>177</v>
      </c>
      <c r="L113" s="45" t="s">
        <v>141</v>
      </c>
      <c r="M113" s="422" t="s">
        <v>174</v>
      </c>
      <c r="N113" s="47" t="s">
        <v>175</v>
      </c>
      <c r="O113" s="392" t="s">
        <v>176</v>
      </c>
      <c r="P113" s="148" t="s">
        <v>1003</v>
      </c>
      <c r="R113" s="66">
        <f>IFERROR(SEARCH("NS",D112),0)</f>
        <v>0</v>
      </c>
      <c r="V113" s="67"/>
    </row>
    <row r="114" spans="1:22" x14ac:dyDescent="0.35">
      <c r="A114" s="105">
        <f>IFERROR(VLOOKUP(C112,standards,10,FALSE),"-")</f>
        <v>12.9</v>
      </c>
      <c r="B114" s="419">
        <v>8</v>
      </c>
      <c r="C114" s="138">
        <f>IFERROR(VLOOKUP(C112,Timetables!$A:$E,5,FALSE)-1,"")</f>
        <v>-1</v>
      </c>
      <c r="D114" s="104">
        <v>1</v>
      </c>
      <c r="E114" s="107">
        <v>7</v>
      </c>
      <c r="F114" s="421" t="str">
        <f>IFERROR(VLOOKUP($C112&amp;E114,downloads!$A$1:$E$1000,2,FALSE),"")</f>
        <v>Emma PIMBLETT</v>
      </c>
      <c r="G114" s="64" t="str">
        <f t="shared" ref="G114:G121" si="20">IFERROR(VLOOKUP(E114,teamlookup,5,FALSE),"")</f>
        <v>Wigan</v>
      </c>
      <c r="H114" s="389">
        <v>13.1</v>
      </c>
      <c r="I114" s="147">
        <f>IFERROR(IF(OR(H114="",H114=0,H114&gt;A121),"",VLOOKUP(H114,A113:B121,2,TRUE)),9)</f>
        <v>7</v>
      </c>
      <c r="J114" s="67"/>
      <c r="K114" s="104">
        <v>1</v>
      </c>
      <c r="L114" s="248">
        <v>77</v>
      </c>
      <c r="M114" s="421" t="str">
        <f>IFERROR(VLOOKUP($C112&amp;L114,downloads!$A$1:$E$1000,2,FALSE),"")</f>
        <v>Kady HALL</v>
      </c>
      <c r="N114" s="64" t="str">
        <f t="shared" ref="N114:N121" si="21">IFERROR(VLOOKUP(L114,teamlookup,5,FALSE),"")</f>
        <v>Wigan</v>
      </c>
      <c r="O114" s="394">
        <v>13.2</v>
      </c>
      <c r="P114" s="147">
        <f>IFERROR(IF(OR(O114="",O114=0,O114&gt;A121),"",VLOOKUP(O114,A113:B121,2,TRUE)),9)</f>
        <v>7</v>
      </c>
      <c r="R114" s="66">
        <f ca="1">IFERROR(IF(OR(E114=0,E114="",H114=0,H114="",$R113&lt;&gt;0,LEFT(H114,1)="D"),0,VLOOKUP(D114,INDIRECT(MatchDay!$W$2),2,FALSE)),"")</f>
        <v>10</v>
      </c>
      <c r="S114" s="66">
        <f ca="1">IFERROR(IF(OR(L114=0,L114="",O114=0,O114="",$R113&lt;&gt;0,LEFT(O114,1)="D"),0,VLOOKUP(K114,INDIRECT(MatchDay!$W$2),3,FALSE)),"")</f>
        <v>8</v>
      </c>
      <c r="T114" s="168">
        <f>COUNTIF(E114,"&gt;0")</f>
        <v>1</v>
      </c>
      <c r="U114" s="66">
        <f>IFERROR(IF(E114&gt;88,1,0),0)</f>
        <v>0</v>
      </c>
    </row>
    <row r="115" spans="1:22" x14ac:dyDescent="0.35">
      <c r="A115" s="105">
        <f>IFERROR(VLOOKUP(C112,standards,9,FALSE),"-")</f>
        <v>13.1</v>
      </c>
      <c r="B115" s="419">
        <v>7</v>
      </c>
      <c r="C115" s="64">
        <v>0</v>
      </c>
      <c r="D115" s="104">
        <v>2</v>
      </c>
      <c r="E115" s="107">
        <v>2</v>
      </c>
      <c r="F115" s="421" t="str">
        <f>IFERROR(VLOOKUP($C112&amp;E115,downloads!$A$1:$E$1000,2,FALSE),"")</f>
        <v>Amelia JONES</v>
      </c>
      <c r="G115" s="64" t="str">
        <f t="shared" si="20"/>
        <v>ECHT</v>
      </c>
      <c r="H115" s="389">
        <v>13.2</v>
      </c>
      <c r="I115" s="147">
        <f>IFERROR(IF(OR(H115="",H115=0,H115&gt;A121),"",VLOOKUP(H115,A113:B121,2,TRUE)),9)</f>
        <v>7</v>
      </c>
      <c r="J115" s="67"/>
      <c r="K115" s="104">
        <v>2</v>
      </c>
      <c r="L115" s="248">
        <v>33</v>
      </c>
      <c r="M115" s="421" t="str">
        <f>IFERROR(VLOOKUP($C112&amp;L115,downloads!$A$1:$E$1000,2,FALSE),"")</f>
        <v>Eva MELLING</v>
      </c>
      <c r="N115" s="64" t="str">
        <f t="shared" si="21"/>
        <v>Leigh</v>
      </c>
      <c r="O115" s="394">
        <v>14</v>
      </c>
      <c r="P115" s="147">
        <f>IFERROR(IF(OR(O115="",O115=0,O115&gt;A121),"",VLOOKUP(O115,A113:B121,2,TRUE)),9)</f>
        <v>3</v>
      </c>
      <c r="R115" s="66">
        <f ca="1">IFERROR(IF(OR(E115=0,E115="",H115=0,H115="",$R113&lt;&gt;0,LEFT(H115,1)="D"),0,VLOOKUP(D115,INDIRECT(MatchDay!$W$2),2,FALSE)),"")</f>
        <v>8</v>
      </c>
      <c r="S115" s="66">
        <f ca="1">IFERROR(IF(OR(L115=0,L115="",O115=0,O115="",$R113&lt;&gt;0,LEFT(O115,1)="D"),0,VLOOKUP(K115,INDIRECT(MatchDay!$W$2),3,FALSE)),"")</f>
        <v>6</v>
      </c>
    </row>
    <row r="116" spans="1:22" x14ac:dyDescent="0.35">
      <c r="A116" s="105">
        <f>IFERROR(VLOOKUP(C112,standards,8,FALSE),"-")</f>
        <v>13.3</v>
      </c>
      <c r="B116" s="419">
        <v>6</v>
      </c>
      <c r="C116" s="105"/>
      <c r="D116" s="104">
        <v>3</v>
      </c>
      <c r="E116" s="107">
        <v>6</v>
      </c>
      <c r="F116" s="421" t="str">
        <f>IFERROR(VLOOKUP($C112&amp;E116,downloads!$A$1:$E$1000,2,FALSE),"")</f>
        <v>Lucy JONES</v>
      </c>
      <c r="G116" s="64" t="str">
        <f t="shared" si="20"/>
        <v>Stock</v>
      </c>
      <c r="H116" s="389">
        <v>13.7</v>
      </c>
      <c r="I116" s="147">
        <f>IFERROR(IF(OR(H116="",H116=0,H116&gt;A121),"",VLOOKUP(H116,A113:B121,2,TRUE)),9)</f>
        <v>4</v>
      </c>
      <c r="J116" s="67"/>
      <c r="K116" s="104">
        <v>3</v>
      </c>
      <c r="L116" s="248">
        <v>11</v>
      </c>
      <c r="M116" s="421" t="str">
        <f>IFERROR(VLOOKUP($C112&amp;L116,downloads!$A$1:$E$1000,2,FALSE),"")</f>
        <v>Bella VARLEY</v>
      </c>
      <c r="N116" s="64" t="str">
        <f t="shared" si="21"/>
        <v>C&amp;N</v>
      </c>
      <c r="O116" s="394">
        <v>14.4</v>
      </c>
      <c r="P116" s="147">
        <f>IFERROR(IF(OR(O116="",O116=0,O116&gt;A121),"",VLOOKUP(O116,A113:B121,2,TRUE)),9)</f>
        <v>2</v>
      </c>
      <c r="R116" s="66">
        <f ca="1">IFERROR(IF(OR(E116=0,E116="",H116=0,H116="",$R113&lt;&gt;0,LEFT(H116,1)="D"),0,VLOOKUP(D116,INDIRECT(MatchDay!$W$2),2,FALSE)),"")</f>
        <v>7</v>
      </c>
      <c r="S116" s="66">
        <f ca="1">IFERROR(IF(OR(L116=0,L116="",O116=0,O116="",$R113&lt;&gt;0,LEFT(O116,1)="D"),0,VLOOKUP(K116,INDIRECT(MatchDay!$W$2),3,FALSE)),"")</f>
        <v>5</v>
      </c>
    </row>
    <row r="117" spans="1:22" x14ac:dyDescent="0.35">
      <c r="A117" s="105">
        <f>IFERROR(VLOOKUP(C112,standards,7,FALSE),"-")</f>
        <v>13.5</v>
      </c>
      <c r="B117" s="419">
        <v>5</v>
      </c>
      <c r="C117" s="105"/>
      <c r="D117" s="104">
        <v>4</v>
      </c>
      <c r="E117" s="107">
        <v>5</v>
      </c>
      <c r="F117" s="421" t="str">
        <f>IFERROR(VLOOKUP($C112&amp;E117,downloads!$A$1:$E$1000,2,FALSE),"")</f>
        <v>Lily HARDY</v>
      </c>
      <c r="G117" s="64" t="str">
        <f t="shared" si="20"/>
        <v>Menai</v>
      </c>
      <c r="H117" s="389">
        <v>14.2</v>
      </c>
      <c r="I117" s="147">
        <f>IFERROR(IF(OR(H117="",H117=0,H117&gt;A121),"",VLOOKUP(H117,A113:B121,2,TRUE)),9)</f>
        <v>3</v>
      </c>
      <c r="J117" s="67"/>
      <c r="K117" s="104">
        <v>4</v>
      </c>
      <c r="L117" s="248">
        <v>55</v>
      </c>
      <c r="M117" s="421" t="str">
        <f>IFERROR(VLOOKUP($C112&amp;L117,downloads!$A$1:$E$1000,2,FALSE),"")</f>
        <v>Nest OWEN</v>
      </c>
      <c r="N117" s="64" t="str">
        <f t="shared" si="21"/>
        <v>Menai</v>
      </c>
      <c r="O117" s="394">
        <v>14.5</v>
      </c>
      <c r="P117" s="147">
        <f>IFERROR(IF(OR(O117="",O117=0,O117&gt;A121),"",VLOOKUP(O117,A113:B121,2,TRUE)),9)</f>
        <v>2</v>
      </c>
      <c r="R117" s="66">
        <f ca="1">IFERROR(IF(OR(E117=0,E117="",H117=0,H117="",$R113&lt;&gt;0,LEFT(H117,1)="D"),0,VLOOKUP(D117,INDIRECT(MatchDay!$W$2),2,FALSE)),"")</f>
        <v>6</v>
      </c>
      <c r="S117" s="66">
        <f ca="1">IFERROR(IF(OR(L117=0,L117="",O117=0,O117="",$R113&lt;&gt;0,LEFT(O117,1)="D"),0,VLOOKUP(K117,INDIRECT(MatchDay!$W$2),3,FALSE)),"")</f>
        <v>4</v>
      </c>
    </row>
    <row r="118" spans="1:22" x14ac:dyDescent="0.35">
      <c r="A118" s="105">
        <f>IFERROR(VLOOKUP(C112,standards,6,FALSE),"-")</f>
        <v>13.7</v>
      </c>
      <c r="B118" s="419">
        <v>4</v>
      </c>
      <c r="C118" s="105"/>
      <c r="D118" s="104">
        <v>5</v>
      </c>
      <c r="E118" s="107">
        <v>1</v>
      </c>
      <c r="F118" s="421" t="str">
        <f>IFERROR(VLOOKUP($C112&amp;E118,downloads!$A$1:$E$1000,2,FALSE),"")</f>
        <v>Sophie STAINSBY</v>
      </c>
      <c r="G118" s="64" t="str">
        <f t="shared" si="20"/>
        <v>C&amp;N</v>
      </c>
      <c r="H118" s="389">
        <v>14.7</v>
      </c>
      <c r="I118" s="147">
        <f>IFERROR(IF(OR(H118="",H118=0,H118&gt;A121),"",VLOOKUP(H118,A113:B121,2,TRUE)),9)</f>
        <v>2</v>
      </c>
      <c r="J118" s="67"/>
      <c r="K118" s="104">
        <v>5</v>
      </c>
      <c r="L118" s="248">
        <v>66</v>
      </c>
      <c r="M118" s="421" t="str">
        <f>IFERROR(VLOOKUP($C112&amp;L118,downloads!$A$1:$E$1000,2,FALSE),"")</f>
        <v>Charlotte UNDERWOOD</v>
      </c>
      <c r="N118" s="64" t="str">
        <f t="shared" si="21"/>
        <v>Stock</v>
      </c>
      <c r="O118" s="394">
        <v>14.8</v>
      </c>
      <c r="P118" s="147">
        <f>IFERROR(IF(OR(O118="",O118=0,O118&gt;A121),"",VLOOKUP(O118,A113:B121,2,TRUE)),9)</f>
        <v>1</v>
      </c>
      <c r="R118" s="66">
        <f ca="1">IFERROR(IF(OR(E118=0,E118="",H118=0,H118="",$R113&lt;&gt;0,LEFT(H118,1)="D"),0,VLOOKUP(D118,INDIRECT(MatchDay!$W$2),2,FALSE)),"")</f>
        <v>5</v>
      </c>
      <c r="S118" s="66">
        <f ca="1">IFERROR(IF(OR(L118=0,L118="",O118=0,O118="",$R113&lt;&gt;0,LEFT(O118,1)="D"),0,VLOOKUP(K118,INDIRECT(MatchDay!$W$2),3,FALSE)),"")</f>
        <v>3</v>
      </c>
    </row>
    <row r="119" spans="1:22" x14ac:dyDescent="0.35">
      <c r="A119" s="105">
        <f>IFERROR(VLOOKUP(C112,standards,5,FALSE),"-")</f>
        <v>14</v>
      </c>
      <c r="B119" s="419">
        <v>3</v>
      </c>
      <c r="C119" s="105"/>
      <c r="D119" s="104">
        <v>6</v>
      </c>
      <c r="E119" s="107">
        <v>3</v>
      </c>
      <c r="F119" s="421" t="str">
        <f>IFERROR(VLOOKUP($C112&amp;E119,downloads!$A$1:$E$1000,2,FALSE),"")</f>
        <v>Isobel EVANS</v>
      </c>
      <c r="G119" s="64" t="str">
        <f t="shared" si="20"/>
        <v>Leigh</v>
      </c>
      <c r="H119" s="389">
        <v>15.3</v>
      </c>
      <c r="I119" s="147" t="str">
        <f>IFERROR(IF(OR(H119="",H119=0,H119&gt;A121),"",VLOOKUP(H119,A113:B121,2,TRUE)),9)</f>
        <v/>
      </c>
      <c r="J119" s="67"/>
      <c r="K119" s="104">
        <v>6</v>
      </c>
      <c r="L119" s="248">
        <v>22</v>
      </c>
      <c r="M119" s="421" t="str">
        <f>IFERROR(VLOOKUP($C112&amp;L119,downloads!$A$1:$E$1000,2,FALSE),"")</f>
        <v>Lily-grace POOLE</v>
      </c>
      <c r="N119" s="64" t="str">
        <f t="shared" si="21"/>
        <v>ECHT</v>
      </c>
      <c r="O119" s="394">
        <v>15.3</v>
      </c>
      <c r="P119" s="147" t="str">
        <f>IFERROR(IF(OR(O119="",O119=0,O119&gt;A121),"",VLOOKUP(O119,A113:B121,2,TRUE)),9)</f>
        <v/>
      </c>
      <c r="R119" s="66">
        <f ca="1">IFERROR(IF(OR(E119=0,E119="",H119=0,H119="",$R113&lt;&gt;0,LEFT(H119,1)="D"),0,VLOOKUP(D119,INDIRECT(MatchDay!$W$2),2,FALSE)),"")</f>
        <v>4</v>
      </c>
      <c r="S119" s="66">
        <f ca="1">IFERROR(IF(OR(L119=0,L119="",O119=0,O119="",$R113&lt;&gt;0,LEFT(O119,1)="D"),0,VLOOKUP(K119,INDIRECT(MatchDay!$W$2),3,FALSE)),"")</f>
        <v>2</v>
      </c>
    </row>
    <row r="120" spans="1:22" x14ac:dyDescent="0.35">
      <c r="A120" s="105">
        <f>IFERROR(VLOOKUP(C112,standards,4,FALSE),"-")</f>
        <v>14.4</v>
      </c>
      <c r="B120" s="419">
        <v>2</v>
      </c>
      <c r="C120" s="120">
        <f>IFERROR(SEARCH("U17",D112),0)</f>
        <v>0</v>
      </c>
      <c r="D120" s="104">
        <v>7</v>
      </c>
      <c r="E120" s="107">
        <v>4</v>
      </c>
      <c r="F120" s="421" t="str">
        <f>IFERROR(VLOOKUP($C112&amp;E120,downloads!$A$1:$E$1000,2,FALSE),"")</f>
        <v>Tanvi KUTTY</v>
      </c>
      <c r="G120" s="64" t="str">
        <f t="shared" si="20"/>
        <v>Macc</v>
      </c>
      <c r="H120" s="393">
        <v>15.4</v>
      </c>
      <c r="I120" s="147" t="str">
        <f>IFERROR(IF(OR(H120="",H120=0,H120&gt;A121),"",VLOOKUP(H120,A113:B121,2,TRUE)),9)</f>
        <v/>
      </c>
      <c r="J120" s="67"/>
      <c r="K120" s="104">
        <v>7</v>
      </c>
      <c r="L120" s="248"/>
      <c r="M120" s="421" t="str">
        <f>IFERROR(VLOOKUP($C112&amp;L120,downloads!$A$1:$E$1000,2,FALSE),"")</f>
        <v/>
      </c>
      <c r="N120" s="64" t="str">
        <f t="shared" si="21"/>
        <v/>
      </c>
      <c r="O120" s="393"/>
      <c r="P120" s="147" t="str">
        <f>IFERROR(IF(OR(O120="",O120=0,O120&gt;A121),"",VLOOKUP(O120,A113:B121,2,TRUE)),9)</f>
        <v/>
      </c>
      <c r="R120" s="66">
        <f ca="1">IFERROR(IF(OR(E120=0,E120="",H120=0,H120="",$R113&lt;&gt;0,LEFT(H120,1)="D"),0,VLOOKUP(D120,INDIRECT(MatchDay!$W$2),2,FALSE)),"")</f>
        <v>3</v>
      </c>
      <c r="S120" s="66">
        <f ca="1">IFERROR(IF(OR(L120=0,L120="",O120=0,O120="",$R113&lt;&gt;0,LEFT(O120,1)="D"),0,VLOOKUP(K120,INDIRECT(MatchDay!$W$2),3,FALSE)),"")</f>
        <v>0</v>
      </c>
    </row>
    <row r="121" spans="1:22" x14ac:dyDescent="0.35">
      <c r="A121" s="105">
        <f>IFERROR(VLOOKUP(C112,standards,3,FALSE),"-")</f>
        <v>14.8</v>
      </c>
      <c r="B121" s="419">
        <v>1</v>
      </c>
      <c r="C121" s="103">
        <f>IFERROR(VLOOKUP(C112,records,5,FALSE),"")</f>
        <v>11.97</v>
      </c>
      <c r="D121" s="104">
        <v>8</v>
      </c>
      <c r="E121" s="107"/>
      <c r="F121" s="421" t="str">
        <f>IFERROR(VLOOKUP($C112&amp;E121,downloads!$A$1:$E$1000,2,FALSE),"")</f>
        <v/>
      </c>
      <c r="G121" s="64" t="str">
        <f t="shared" si="20"/>
        <v/>
      </c>
      <c r="H121" s="389"/>
      <c r="I121" s="147" t="str">
        <f>IFERROR(IF(OR(H121="",H121=0,H121&gt;A121),"",VLOOKUP(H121,A113:B121,2,TRUE)),9)</f>
        <v/>
      </c>
      <c r="J121" s="67"/>
      <c r="K121" s="104">
        <v>8</v>
      </c>
      <c r="L121" s="248"/>
      <c r="M121" s="421" t="str">
        <f>IFERROR(VLOOKUP($C112&amp;L121,downloads!$A$1:$E$1000,2,FALSE),"")</f>
        <v/>
      </c>
      <c r="N121" s="64" t="str">
        <f t="shared" si="21"/>
        <v/>
      </c>
      <c r="O121" s="394"/>
      <c r="P121" s="147" t="str">
        <f>IFERROR(IF(OR(O121="",O121=0,O121&gt;A121),"",VLOOKUP(O121,A113:B121,2,TRUE)),9)</f>
        <v/>
      </c>
      <c r="R121" s="66">
        <f ca="1">IFERROR(IF(OR(E121=0,E121="",H121=0,H121="",$R113&lt;&gt;0,LEFT(H121,1)="D"),0,VLOOKUP(D121,INDIRECT(MatchDay!$W$2),2,FALSE)),"")</f>
        <v>0</v>
      </c>
      <c r="S121" s="66">
        <f ca="1">IFERROR(IF(OR(L121=0,L121="",O121=0,O121="",$R113&lt;&gt;0,LEFT(O121,1)="D"),0,VLOOKUP(K121,INDIRECT(MatchDay!$W$2),3,FALSE)),"")</f>
        <v>0</v>
      </c>
    </row>
    <row r="122" spans="1:22" x14ac:dyDescent="0.35">
      <c r="F122" s="407"/>
      <c r="H122" s="390"/>
      <c r="M122" s="407"/>
      <c r="O122" s="395"/>
    </row>
    <row r="123" spans="1:22" x14ac:dyDescent="0.35">
      <c r="C123" s="98" t="s">
        <v>44</v>
      </c>
      <c r="D123" s="99" t="str">
        <f>IFERROR(VLOOKUP(C123,timetables,2,FALSE)&amp;" "&amp;VLOOKUP(C123,timetables,3,FALSE)&amp;" A","")</f>
        <v>100m U15 Boys A</v>
      </c>
      <c r="E123" s="99"/>
      <c r="F123" s="407"/>
      <c r="G123" s="114" t="str">
        <f>IFERROR(IF(VLOOKUP($C123,timetables,8,FALSE)="W","Wind = ",""),"")</f>
        <v xml:space="preserve">Wind = </v>
      </c>
      <c r="H123" s="391"/>
      <c r="I123" s="106" t="str">
        <f>IFERROR(IF(OR(H125=0,H125=""),"",IF(H125&lt;C132,"REC",IF(H125=C132,"=Rec",""))),"")</f>
        <v/>
      </c>
      <c r="K123" s="101" t="str">
        <f>IFERROR(VLOOKUP(C123,timetables,2,FALSE)&amp;" "&amp;VLOOKUP(C123,timetables,3,FALSE)&amp;" B","")</f>
        <v>100m U15 Boys B</v>
      </c>
      <c r="L123" s="102"/>
      <c r="M123" s="407"/>
      <c r="N123" s="114" t="str">
        <f>IFERROR(IF(VLOOKUP($C123,timetables,8,FALSE)="W","Wind = ",""),"")</f>
        <v xml:space="preserve">Wind = </v>
      </c>
      <c r="O123" s="391"/>
      <c r="R123" s="66" t="s">
        <v>53</v>
      </c>
      <c r="S123" s="66" t="s">
        <v>54</v>
      </c>
    </row>
    <row r="124" spans="1:22" x14ac:dyDescent="0.35">
      <c r="A124" s="105">
        <f>IFERROR(VLOOKUP(C123,standards,11,FALSE),"-")</f>
        <v>11.7</v>
      </c>
      <c r="B124" s="419">
        <v>9</v>
      </c>
      <c r="C124" s="79"/>
      <c r="D124" s="45" t="s">
        <v>177</v>
      </c>
      <c r="E124" s="45" t="s">
        <v>141</v>
      </c>
      <c r="F124" s="422" t="s">
        <v>174</v>
      </c>
      <c r="G124" s="47" t="s">
        <v>175</v>
      </c>
      <c r="H124" s="392" t="s">
        <v>176</v>
      </c>
      <c r="I124" s="148" t="s">
        <v>1003</v>
      </c>
      <c r="J124" s="47"/>
      <c r="K124" s="45" t="s">
        <v>177</v>
      </c>
      <c r="L124" s="45" t="s">
        <v>141</v>
      </c>
      <c r="M124" s="422" t="s">
        <v>174</v>
      </c>
      <c r="N124" s="47" t="s">
        <v>175</v>
      </c>
      <c r="O124" s="392" t="s">
        <v>176</v>
      </c>
      <c r="P124" s="148" t="s">
        <v>1003</v>
      </c>
      <c r="R124" s="66">
        <f>IFERROR(SEARCH("NS",D123),0)</f>
        <v>0</v>
      </c>
      <c r="V124" s="67"/>
    </row>
    <row r="125" spans="1:22" x14ac:dyDescent="0.35">
      <c r="A125" s="105">
        <f>IFERROR(VLOOKUP(C123,standards,10,FALSE),"-")</f>
        <v>11.9</v>
      </c>
      <c r="B125" s="419">
        <v>8</v>
      </c>
      <c r="C125" s="138">
        <f>IFERROR(VLOOKUP(C123,Timetables!$A:$E,5,FALSE)-1,"")</f>
        <v>-1</v>
      </c>
      <c r="D125" s="104">
        <v>1</v>
      </c>
      <c r="E125" s="428">
        <v>2</v>
      </c>
      <c r="F125" s="421" t="str">
        <f>IFERROR(VLOOKUP($C123&amp;E125,downloads!$A$1:$E$1000,2,FALSE),"")</f>
        <v>Max ORMSTON</v>
      </c>
      <c r="G125" s="64" t="str">
        <f t="shared" ref="G125:G132" si="22">IFERROR(VLOOKUP(E125,teamlookup,5,FALSE),"")</f>
        <v>ECHT</v>
      </c>
      <c r="H125" s="389">
        <v>12.2</v>
      </c>
      <c r="I125" s="147">
        <f>IFERROR(IF(OR(H125="",H125=0,H125&gt;A132),"",VLOOKUP(H125,A124:B132,2,TRUE)),9)</f>
        <v>7</v>
      </c>
      <c r="J125" s="67"/>
      <c r="K125" s="104">
        <v>1</v>
      </c>
      <c r="L125" s="248">
        <v>22</v>
      </c>
      <c r="M125" s="421" t="str">
        <f>IFERROR(VLOOKUP($C123&amp;L125,downloads!$A$1:$E$1000,2,FALSE),"")</f>
        <v>James ROOK</v>
      </c>
      <c r="N125" s="64" t="str">
        <f t="shared" ref="N125:N132" si="23">IFERROR(VLOOKUP(L125,teamlookup,5,FALSE),"")</f>
        <v>ECHT</v>
      </c>
      <c r="O125" s="394">
        <v>13.5</v>
      </c>
      <c r="P125" s="147">
        <f>IFERROR(IF(OR(O125="",O125=0,O125&gt;A132),"",VLOOKUP(O125,A124:B132,2,TRUE)),9)</f>
        <v>3</v>
      </c>
      <c r="R125" s="66">
        <f ca="1">IFERROR(IF(OR(E125=0,E125="",H125=0,H125="",$R124&lt;&gt;0,LEFT(H125,1)="D"),0,VLOOKUP(D125,INDIRECT(MatchDay!$W$2),2,FALSE)),"")</f>
        <v>10</v>
      </c>
      <c r="S125" s="66">
        <f ca="1">IFERROR(IF(OR(L125=0,L125="",O125=0,O125="",$R124&lt;&gt;0,LEFT(O125,1)="D"),0,VLOOKUP(K125,INDIRECT(MatchDay!$W$2),3,FALSE)),"")</f>
        <v>8</v>
      </c>
      <c r="T125" s="168">
        <f>COUNTIF(E125,"&gt;0")</f>
        <v>1</v>
      </c>
      <c r="U125" s="66">
        <f>IFERROR(IF(E125&gt;88,1,0),0)</f>
        <v>0</v>
      </c>
    </row>
    <row r="126" spans="1:22" x14ac:dyDescent="0.35">
      <c r="A126" s="105">
        <f>IFERROR(VLOOKUP(C123,standards,9,FALSE),"-")</f>
        <v>12.1</v>
      </c>
      <c r="B126" s="419">
        <v>7</v>
      </c>
      <c r="C126" s="64">
        <v>0</v>
      </c>
      <c r="D126" s="104">
        <v>2</v>
      </c>
      <c r="E126" s="107">
        <v>1</v>
      </c>
      <c r="F126" s="421" t="str">
        <f>IFERROR(VLOOKUP($C123&amp;E126,downloads!$A$1:$E$1000,2,FALSE),"")</f>
        <v>James HOWARTH</v>
      </c>
      <c r="G126" s="64" t="str">
        <f t="shared" si="22"/>
        <v>C&amp;N</v>
      </c>
      <c r="H126" s="389">
        <v>12.4</v>
      </c>
      <c r="I126" s="147">
        <f>IFERROR(IF(OR(H126="",H126=0,H126&gt;A132),"",VLOOKUP(H126,A124:B132,2,TRUE)),9)</f>
        <v>7</v>
      </c>
      <c r="J126" s="67"/>
      <c r="K126" s="104">
        <v>2</v>
      </c>
      <c r="L126" s="248">
        <v>44</v>
      </c>
      <c r="M126" s="421" t="str">
        <f>IFERROR(VLOOKUP($C123&amp;L126,downloads!$A$1:$E$1000,2,FALSE),"")</f>
        <v>Will HAMMOND</v>
      </c>
      <c r="N126" s="64" t="str">
        <f t="shared" si="23"/>
        <v>Macc</v>
      </c>
      <c r="O126" s="394">
        <v>14</v>
      </c>
      <c r="P126" s="147">
        <f>IFERROR(IF(OR(O126="",O126=0,O126&gt;A132),"",VLOOKUP(O126,A124:B132,2,TRUE)),9)</f>
        <v>2</v>
      </c>
      <c r="R126" s="66">
        <f ca="1">IFERROR(IF(OR(E126=0,E126="",H126=0,H126="",$R124&lt;&gt;0,LEFT(H126,1)="D"),0,VLOOKUP(D126,INDIRECT(MatchDay!$W$2),2,FALSE)),"")</f>
        <v>8</v>
      </c>
      <c r="S126" s="66">
        <f ca="1">IFERROR(IF(OR(L126=0,L126="",O126=0,O126="",$R124&lt;&gt;0,LEFT(O126,1)="D"),0,VLOOKUP(K126,INDIRECT(MatchDay!$W$2),3,FALSE)),"")</f>
        <v>6</v>
      </c>
    </row>
    <row r="127" spans="1:22" x14ac:dyDescent="0.35">
      <c r="A127" s="105">
        <f>IFERROR(VLOOKUP(C123,standards,8,FALSE),"-")</f>
        <v>12.5</v>
      </c>
      <c r="B127" s="419">
        <v>6</v>
      </c>
      <c r="C127" s="105"/>
      <c r="D127" s="104">
        <v>3</v>
      </c>
      <c r="E127" s="107">
        <v>7</v>
      </c>
      <c r="F127" s="421" t="str">
        <f>IFERROR(VLOOKUP($C123&amp;E127,downloads!$A$1:$E$1000,2,FALSE),"")</f>
        <v>Matthew HAYTON</v>
      </c>
      <c r="G127" s="64" t="str">
        <f t="shared" si="22"/>
        <v>Wigan</v>
      </c>
      <c r="H127" s="389">
        <v>12.5</v>
      </c>
      <c r="I127" s="147">
        <f>IFERROR(IF(OR(H127="",H127=0,H127&gt;A132),"",VLOOKUP(H127,A124:B132,2,TRUE)),9)</f>
        <v>6</v>
      </c>
      <c r="J127" s="67"/>
      <c r="K127" s="104">
        <v>3</v>
      </c>
      <c r="L127" s="248">
        <v>77</v>
      </c>
      <c r="M127" s="421" t="str">
        <f>IFERROR(VLOOKUP($C123&amp;L127,downloads!$A$1:$E$1000,2,FALSE),"")</f>
        <v>Joshua BOURNE</v>
      </c>
      <c r="N127" s="64" t="str">
        <f t="shared" si="23"/>
        <v>Wigan</v>
      </c>
      <c r="O127" s="394">
        <v>14.2</v>
      </c>
      <c r="P127" s="147">
        <f>IFERROR(IF(OR(O127="",O127=0,O127&gt;A132),"",VLOOKUP(O127,A124:B132,2,TRUE)),9)</f>
        <v>1</v>
      </c>
      <c r="R127" s="66">
        <f ca="1">IFERROR(IF(OR(E127=0,E127="",H127=0,H127="",$R124&lt;&gt;0,LEFT(H127,1)="D"),0,VLOOKUP(D127,INDIRECT(MatchDay!$W$2),2,FALSE)),"")</f>
        <v>7</v>
      </c>
      <c r="S127" s="66">
        <f ca="1">IFERROR(IF(OR(L127=0,L127="",O127=0,O127="",$R124&lt;&gt;0,LEFT(O127,1)="D"),0,VLOOKUP(K127,INDIRECT(MatchDay!$W$2),3,FALSE)),"")</f>
        <v>5</v>
      </c>
    </row>
    <row r="128" spans="1:22" x14ac:dyDescent="0.35">
      <c r="A128" s="105">
        <f>IFERROR(VLOOKUP(C123,standards,7,FALSE),"-")</f>
        <v>12.7</v>
      </c>
      <c r="B128" s="419">
        <v>5</v>
      </c>
      <c r="C128" s="105"/>
      <c r="D128" s="104">
        <v>4</v>
      </c>
      <c r="E128" s="107">
        <v>6</v>
      </c>
      <c r="F128" s="421" t="str">
        <f>IFERROR(VLOOKUP($C123&amp;E128,downloads!$A$1:$E$1000,2,FALSE),"")</f>
        <v>Quaid SIN</v>
      </c>
      <c r="G128" s="64" t="str">
        <f t="shared" si="22"/>
        <v>Stock</v>
      </c>
      <c r="H128" s="389">
        <v>12.7</v>
      </c>
      <c r="I128" s="147">
        <f>IFERROR(IF(OR(H128="",H128=0,H128&gt;A132),"",VLOOKUP(H128,A124:B132,2,TRUE)),9)</f>
        <v>5</v>
      </c>
      <c r="J128" s="67"/>
      <c r="K128" s="104">
        <v>4</v>
      </c>
      <c r="L128" s="248">
        <v>66</v>
      </c>
      <c r="M128" s="421" t="str">
        <f>IFERROR(VLOOKUP($C123&amp;L128,downloads!$A$1:$E$1000,2,FALSE),"")</f>
        <v>Luc BRADBURY</v>
      </c>
      <c r="N128" s="64" t="str">
        <f t="shared" si="23"/>
        <v>Stock</v>
      </c>
      <c r="O128" s="394">
        <v>14.4</v>
      </c>
      <c r="P128" s="147" t="str">
        <f>IFERROR(IF(OR(O128="",O128=0,O128&gt;A132),"",VLOOKUP(O128,A124:B132,2,TRUE)),9)</f>
        <v/>
      </c>
      <c r="R128" s="66">
        <f ca="1">IFERROR(IF(OR(E128=0,E128="",H128=0,H128="",$R124&lt;&gt;0,LEFT(H128,1)="D"),0,VLOOKUP(D128,INDIRECT(MatchDay!$W$2),2,FALSE)),"")</f>
        <v>6</v>
      </c>
      <c r="S128" s="66">
        <f ca="1">IFERROR(IF(OR(L128=0,L128="",O128=0,O128="",$R124&lt;&gt;0,LEFT(O128,1)="D"),0,VLOOKUP(K128,INDIRECT(MatchDay!$W$2),3,FALSE)),"")</f>
        <v>4</v>
      </c>
    </row>
    <row r="129" spans="1:22" x14ac:dyDescent="0.35">
      <c r="A129" s="105">
        <f>IFERROR(VLOOKUP(C123,standards,6,FALSE),"-")</f>
        <v>13</v>
      </c>
      <c r="B129" s="419">
        <v>4</v>
      </c>
      <c r="C129" s="105"/>
      <c r="D129" s="104">
        <v>5</v>
      </c>
      <c r="E129" s="107">
        <v>4</v>
      </c>
      <c r="F129" s="421" t="str">
        <f>IFERROR(VLOOKUP($C123&amp;E129,downloads!$A$1:$E$1000,2,FALSE),"")</f>
        <v>Tristan LAMPRECHT</v>
      </c>
      <c r="G129" s="64" t="str">
        <f t="shared" si="22"/>
        <v>Macc</v>
      </c>
      <c r="H129" s="389">
        <v>13.1</v>
      </c>
      <c r="I129" s="147">
        <f>IFERROR(IF(OR(H129="",H129=0,H129&gt;A132),"",VLOOKUP(H129,A124:B132,2,TRUE)),9)</f>
        <v>4</v>
      </c>
      <c r="J129" s="67"/>
      <c r="K129" s="104">
        <v>5</v>
      </c>
      <c r="L129" s="248">
        <v>11</v>
      </c>
      <c r="M129" s="421" t="str">
        <f>IFERROR(VLOOKUP($C123&amp;L129,downloads!$A$1:$E$1000,2,FALSE),"")</f>
        <v>Lucas BEECH</v>
      </c>
      <c r="N129" s="64" t="str">
        <f t="shared" si="23"/>
        <v>C&amp;N</v>
      </c>
      <c r="O129" s="393">
        <v>14.6</v>
      </c>
      <c r="P129" s="147" t="str">
        <f>IFERROR(IF(OR(O129="",O129=0,O129&gt;A132),"",VLOOKUP(O129,A124:B132,2,TRUE)),9)</f>
        <v/>
      </c>
      <c r="R129" s="66">
        <f ca="1">IFERROR(IF(OR(E129=0,E129="",H129=0,H129="",$R124&lt;&gt;0,LEFT(H129,1)="D"),0,VLOOKUP(D129,INDIRECT(MatchDay!$W$2),2,FALSE)),"")</f>
        <v>5</v>
      </c>
      <c r="S129" s="66">
        <f ca="1">IFERROR(IF(OR(L129=0,L129="",O129=0,O129="",$R124&lt;&gt;0,LEFT(O129,1)="D"),0,VLOOKUP(K129,INDIRECT(MatchDay!$W$2),3,FALSE)),"")</f>
        <v>3</v>
      </c>
    </row>
    <row r="130" spans="1:22" x14ac:dyDescent="0.35">
      <c r="A130" s="105">
        <f>IFERROR(VLOOKUP(C123,standards,5,FALSE),"-")</f>
        <v>13.4</v>
      </c>
      <c r="B130" s="419">
        <v>3</v>
      </c>
      <c r="C130" s="105"/>
      <c r="D130" s="104">
        <v>6</v>
      </c>
      <c r="E130" s="107">
        <v>5</v>
      </c>
      <c r="F130" s="421" t="str">
        <f>IFERROR(VLOOKUP($C123&amp;E130,downloads!$A$1:$E$1000,2,FALSE),"")</f>
        <v>Morgan JONES</v>
      </c>
      <c r="G130" s="64" t="str">
        <f t="shared" si="22"/>
        <v>Menai</v>
      </c>
      <c r="H130" s="389">
        <v>13.3</v>
      </c>
      <c r="I130" s="147">
        <f>IFERROR(IF(OR(H130="",H130=0,H130&gt;A132),"",VLOOKUP(H130,A124:B132,2,TRUE)),9)</f>
        <v>4</v>
      </c>
      <c r="J130" s="67"/>
      <c r="K130" s="104">
        <v>6</v>
      </c>
      <c r="L130" s="248"/>
      <c r="M130" s="421" t="str">
        <f>IFERROR(VLOOKUP($C123&amp;L130,downloads!$A$1:$E$1000,2,FALSE),"")</f>
        <v/>
      </c>
      <c r="N130" s="64" t="str">
        <f t="shared" si="23"/>
        <v/>
      </c>
      <c r="O130" s="393"/>
      <c r="P130" s="147" t="str">
        <f>IFERROR(IF(OR(O130="",O130=0,O130&gt;A132),"",VLOOKUP(O130,A124:B132,2,TRUE)),9)</f>
        <v/>
      </c>
      <c r="R130" s="66">
        <f ca="1">IFERROR(IF(OR(E130=0,E130="",H130=0,H130="",$R124&lt;&gt;0,LEFT(H130,1)="D"),0,VLOOKUP(D130,INDIRECT(MatchDay!$W$2),2,FALSE)),"")</f>
        <v>4</v>
      </c>
      <c r="S130" s="66">
        <f ca="1">IFERROR(IF(OR(L130=0,L130="",O130=0,O130="",$R124&lt;&gt;0,LEFT(O130,1)="D"),0,VLOOKUP(K130,INDIRECT(MatchDay!$W$2),3,FALSE)),"")</f>
        <v>0</v>
      </c>
    </row>
    <row r="131" spans="1:22" x14ac:dyDescent="0.35">
      <c r="A131" s="105">
        <f>IFERROR(VLOOKUP(C123,standards,4,FALSE),"-")</f>
        <v>13.8</v>
      </c>
      <c r="B131" s="419">
        <v>2</v>
      </c>
      <c r="C131" s="120">
        <f>IFERROR(SEARCH("U17",D123),0)</f>
        <v>0</v>
      </c>
      <c r="D131" s="104">
        <v>7</v>
      </c>
      <c r="E131" s="107">
        <v>3</v>
      </c>
      <c r="F131" s="421" t="str">
        <f>IFERROR(VLOOKUP($C123&amp;E131,downloads!$A$1:$E$1000,2,FALSE),"")</f>
        <v>Ben JAYATILLEKE</v>
      </c>
      <c r="G131" s="64" t="str">
        <f t="shared" si="22"/>
        <v>Leigh</v>
      </c>
      <c r="H131" s="393">
        <v>13.7</v>
      </c>
      <c r="I131" s="147">
        <f>IFERROR(IF(OR(H131="",H131=0,H131&gt;A132),"",VLOOKUP(H131,A124:B132,2,TRUE)),9)</f>
        <v>3</v>
      </c>
      <c r="J131" s="67"/>
      <c r="K131" s="104">
        <v>7</v>
      </c>
      <c r="L131" s="248"/>
      <c r="M131" s="421" t="str">
        <f>IFERROR(VLOOKUP($C123&amp;L131,downloads!$A$1:$E$1000,2,FALSE),"")</f>
        <v/>
      </c>
      <c r="N131" s="64" t="str">
        <f t="shared" si="23"/>
        <v/>
      </c>
      <c r="O131" s="393"/>
      <c r="P131" s="147" t="str">
        <f>IFERROR(IF(OR(O131="",O131=0,O131&gt;A132),"",VLOOKUP(O131,A124:B132,2,TRUE)),9)</f>
        <v/>
      </c>
      <c r="R131" s="66">
        <f ca="1">IFERROR(IF(OR(E131=0,E131="",H131=0,H131="",$R124&lt;&gt;0,LEFT(H131,1)="D"),0,VLOOKUP(D131,INDIRECT(MatchDay!$W$2),2,FALSE)),"")</f>
        <v>3</v>
      </c>
      <c r="S131" s="66">
        <f ca="1">IFERROR(IF(OR(L131=0,L131="",O131=0,O131="",$R124&lt;&gt;0,LEFT(O131,1)="D"),0,VLOOKUP(K131,INDIRECT(MatchDay!$W$2),3,FALSE)),"")</f>
        <v>0</v>
      </c>
    </row>
    <row r="132" spans="1:22" x14ac:dyDescent="0.35">
      <c r="A132" s="105">
        <f>IFERROR(VLOOKUP(C123,standards,3,FALSE),"-")</f>
        <v>14.2</v>
      </c>
      <c r="B132" s="419">
        <v>1</v>
      </c>
      <c r="C132" s="103">
        <f>IFERROR(VLOOKUP(C123,records,5,FALSE),"")</f>
        <v>11</v>
      </c>
      <c r="D132" s="104">
        <v>8</v>
      </c>
      <c r="E132" s="107"/>
      <c r="F132" s="421" t="str">
        <f>IFERROR(VLOOKUP($C123&amp;E132,downloads!$A$1:$E$1000,2,FALSE),"")</f>
        <v/>
      </c>
      <c r="G132" s="64" t="str">
        <f t="shared" si="22"/>
        <v/>
      </c>
      <c r="H132" s="389"/>
      <c r="I132" s="147" t="str">
        <f>IFERROR(IF(OR(H132="",H132=0,H132&gt;A132),"",VLOOKUP(H132,A124:B132,2,TRUE)),9)</f>
        <v/>
      </c>
      <c r="J132" s="67"/>
      <c r="K132" s="104">
        <v>8</v>
      </c>
      <c r="L132" s="248"/>
      <c r="M132" s="421" t="str">
        <f>IFERROR(VLOOKUP($C123&amp;L132,downloads!$A$1:$E$1000,2,FALSE),"")</f>
        <v/>
      </c>
      <c r="N132" s="64" t="str">
        <f t="shared" si="23"/>
        <v/>
      </c>
      <c r="O132" s="394"/>
      <c r="P132" s="147" t="str">
        <f>IFERROR(IF(OR(O132="",O132=0,O132&gt;A132),"",VLOOKUP(O132,A124:B132,2,TRUE)),9)</f>
        <v/>
      </c>
      <c r="R132" s="66">
        <f ca="1">IFERROR(IF(OR(E132=0,E132="",H132=0,H132="",$R124&lt;&gt;0,LEFT(H132,1)="D"),0,VLOOKUP(D132,INDIRECT(MatchDay!$W$2),2,FALSE)),"")</f>
        <v>0</v>
      </c>
      <c r="S132" s="66">
        <f ca="1">IFERROR(IF(OR(L132=0,L132="",O132=0,O132="",$R124&lt;&gt;0,LEFT(O132,1)="D"),0,VLOOKUP(K132,INDIRECT(MatchDay!$W$2),3,FALSE)),"")</f>
        <v>0</v>
      </c>
    </row>
    <row r="133" spans="1:22" x14ac:dyDescent="0.35">
      <c r="F133" s="407"/>
      <c r="H133" s="390"/>
      <c r="M133" s="407"/>
      <c r="O133" s="395"/>
    </row>
    <row r="134" spans="1:22" x14ac:dyDescent="0.35">
      <c r="C134" s="98" t="s">
        <v>41</v>
      </c>
      <c r="D134" s="99" t="str">
        <f>IFERROR(VLOOKUP(C134,timetables,2,FALSE)&amp;" "&amp;VLOOKUP(C134,timetables,3,FALSE)&amp;" A","")</f>
        <v>75m NS U13 Girls A</v>
      </c>
      <c r="E134" s="99"/>
      <c r="F134" s="407"/>
      <c r="G134" s="114" t="str">
        <f>IFERROR(IF(VLOOKUP($C134,timetables,8,FALSE)="W","Wind = ",""),"")</f>
        <v xml:space="preserve">Wind = </v>
      </c>
      <c r="H134" s="391"/>
      <c r="I134" s="106" t="str">
        <f>IFERROR(IF(OR(H136=0,H136=""),"",IF(H136&lt;C143,"REC",IF(H136=C143,"=Rec",""))),"")</f>
        <v/>
      </c>
      <c r="K134" s="101" t="str">
        <f>IFERROR(VLOOKUP(C134,timetables,2,FALSE)&amp;" "&amp;VLOOKUP(C134,timetables,3,FALSE)&amp;" B","")</f>
        <v>75m NS U13 Girls B</v>
      </c>
      <c r="L134" s="102"/>
      <c r="M134" s="407"/>
      <c r="N134" s="114" t="str">
        <f>IFERROR(IF(VLOOKUP($C134,timetables,8,FALSE)="W","Wind = ",""),"")</f>
        <v xml:space="preserve">Wind = </v>
      </c>
      <c r="O134" s="398"/>
      <c r="R134" s="66" t="s">
        <v>53</v>
      </c>
      <c r="S134" s="66" t="s">
        <v>54</v>
      </c>
    </row>
    <row r="135" spans="1:22" x14ac:dyDescent="0.35">
      <c r="A135" s="105">
        <f>IFERROR(VLOOKUP(C134,standards,11,FALSE),"-")</f>
        <v>10.25</v>
      </c>
      <c r="B135" s="419">
        <v>9</v>
      </c>
      <c r="C135" s="79"/>
      <c r="D135" s="45" t="s">
        <v>177</v>
      </c>
      <c r="E135" s="45" t="s">
        <v>141</v>
      </c>
      <c r="F135" s="422" t="s">
        <v>174</v>
      </c>
      <c r="G135" s="47" t="s">
        <v>175</v>
      </c>
      <c r="H135" s="392" t="s">
        <v>176</v>
      </c>
      <c r="I135" s="148" t="s">
        <v>1003</v>
      </c>
      <c r="J135" s="47"/>
      <c r="K135" s="45" t="s">
        <v>177</v>
      </c>
      <c r="L135" s="45" t="s">
        <v>141</v>
      </c>
      <c r="M135" s="422" t="s">
        <v>174</v>
      </c>
      <c r="N135" s="47" t="s">
        <v>175</v>
      </c>
      <c r="O135" s="392" t="s">
        <v>176</v>
      </c>
      <c r="P135" s="148" t="s">
        <v>1003</v>
      </c>
      <c r="R135" s="66">
        <f>IFERROR(SEARCH("NS",D134),0)</f>
        <v>5</v>
      </c>
      <c r="V135" s="67"/>
    </row>
    <row r="136" spans="1:22" x14ac:dyDescent="0.35">
      <c r="A136" s="105">
        <f>IFERROR(VLOOKUP(C134,standards,10,FALSE),"-")</f>
        <v>10.5</v>
      </c>
      <c r="B136" s="419">
        <v>8</v>
      </c>
      <c r="C136" s="138">
        <f>IFERROR(VLOOKUP(C134,Timetables!$A:$E,5,FALSE)-1,"")</f>
        <v>-1</v>
      </c>
      <c r="D136" s="104">
        <v>1</v>
      </c>
      <c r="E136" s="107">
        <v>7</v>
      </c>
      <c r="F136" s="421" t="str">
        <f>IFERROR(VLOOKUP($C134&amp;E136,downloads!$A$1:$E$1000,2,FALSE),"")</f>
        <v>Chloe SKETT</v>
      </c>
      <c r="G136" s="64" t="str">
        <f t="shared" ref="G136:G143" si="24">IFERROR(VLOOKUP(E136,teamlookup,5,FALSE),"")</f>
        <v>Wigan</v>
      </c>
      <c r="H136" s="389">
        <v>11.7</v>
      </c>
      <c r="I136" s="147">
        <f>IFERROR(IF(OR(H136="",H136=0,H136&gt;A143),"",VLOOKUP(H136,A135:B143,2,TRUE)),9)</f>
        <v>4</v>
      </c>
      <c r="J136" s="67"/>
      <c r="K136" s="104">
        <v>1</v>
      </c>
      <c r="L136" s="248">
        <v>11</v>
      </c>
      <c r="M136" s="421" t="str">
        <f>IFERROR(VLOOKUP($C134&amp;L136,downloads!$A$1:$E$1000,2,FALSE),"")</f>
        <v>Jasmine COOPER</v>
      </c>
      <c r="N136" s="64" t="str">
        <f t="shared" ref="N136:N143" si="25">IFERROR(VLOOKUP(L136,teamlookup,5,FALSE),"")</f>
        <v>C&amp;N</v>
      </c>
      <c r="O136" s="389">
        <v>11.4</v>
      </c>
      <c r="P136" s="147">
        <f>IFERROR(IF(OR(O136="",O136=0,O136&gt;A143),"",VLOOKUP(O136,A135:B143,2,TRUE)),9)</f>
        <v>5</v>
      </c>
      <c r="R136" s="66">
        <f ca="1">IFERROR(IF(OR(E136=0,E136="",H136=0,H136="",$R135&lt;&gt;0,LEFT(H136,1)="D"),0,VLOOKUP(D136,INDIRECT(MatchDay!$W$2),2,FALSE)),"")</f>
        <v>0</v>
      </c>
      <c r="S136" s="66">
        <f ca="1">IFERROR(IF(OR(L136=0,L136="",O136=0,O136="",$R135&lt;&gt;0,LEFT(O136,1)="D"),0,VLOOKUP(K136,INDIRECT(MatchDay!$W$2),3,FALSE)),"")</f>
        <v>0</v>
      </c>
      <c r="T136" s="168">
        <f>COUNTIF(E136,"&gt;0")</f>
        <v>1</v>
      </c>
      <c r="U136" s="66">
        <f>IFERROR(IF(E136&gt;88,1,0),0)</f>
        <v>0</v>
      </c>
    </row>
    <row r="137" spans="1:22" x14ac:dyDescent="0.35">
      <c r="A137" s="105">
        <f>IFERROR(VLOOKUP(C134,standards,9,FALSE),"-")</f>
        <v>10.75</v>
      </c>
      <c r="B137" s="419">
        <v>7</v>
      </c>
      <c r="C137" s="64">
        <v>0</v>
      </c>
      <c r="D137" s="104">
        <v>2</v>
      </c>
      <c r="E137" s="107">
        <v>3</v>
      </c>
      <c r="F137" s="421" t="str">
        <f>IFERROR(VLOOKUP($C134&amp;E137,downloads!$A$1:$E$1000,2,FALSE),"")</f>
        <v>Ella WATSON</v>
      </c>
      <c r="G137" s="64" t="str">
        <f t="shared" si="24"/>
        <v>Leigh</v>
      </c>
      <c r="H137" s="389">
        <v>12</v>
      </c>
      <c r="I137" s="147">
        <f>IFERROR(IF(OR(H137="",H137=0,H137&gt;A143),"",VLOOKUP(H137,A135:B143,2,TRUE)),9)</f>
        <v>4</v>
      </c>
      <c r="J137" s="67"/>
      <c r="K137" s="104">
        <v>2</v>
      </c>
      <c r="L137" s="248">
        <v>5</v>
      </c>
      <c r="M137" s="421" t="str">
        <f>IFERROR(VLOOKUP($C134&amp;L137,downloads!$A$1:$E$1000,2,FALSE),"")</f>
        <v>Martha BOWN</v>
      </c>
      <c r="N137" s="64" t="str">
        <f t="shared" si="25"/>
        <v>Menai</v>
      </c>
      <c r="O137" s="389">
        <v>11.9</v>
      </c>
      <c r="P137" s="147">
        <f>IFERROR(IF(OR(O137="",O137=0,O137&gt;A143),"",VLOOKUP(O137,A135:B143,2,TRUE)),9)</f>
        <v>4</v>
      </c>
      <c r="R137" s="66">
        <f ca="1">IFERROR(IF(OR(E137=0,E137="",H137=0,H137="",$R135&lt;&gt;0,LEFT(H137,1)="D"),0,VLOOKUP(D137,INDIRECT(MatchDay!$W$2),2,FALSE)),"")</f>
        <v>0</v>
      </c>
      <c r="S137" s="66">
        <f ca="1">IFERROR(IF(OR(L137=0,L137="",O137=0,O137="",$R135&lt;&gt;0,LEFT(O137,1)="D"),0,VLOOKUP(K137,INDIRECT(MatchDay!$W$2),3,FALSE)),"")</f>
        <v>0</v>
      </c>
    </row>
    <row r="138" spans="1:22" x14ac:dyDescent="0.35">
      <c r="A138" s="105">
        <f>IFERROR(VLOOKUP(C134,standards,8,FALSE),"-")</f>
        <v>11</v>
      </c>
      <c r="B138" s="419">
        <v>6</v>
      </c>
      <c r="C138" s="105"/>
      <c r="D138" s="104">
        <v>3</v>
      </c>
      <c r="E138" s="107">
        <v>2</v>
      </c>
      <c r="F138" s="421" t="str">
        <f>IFERROR(VLOOKUP($C134&amp;E138,downloads!$A$1:$E$1000,2,FALSE),"")</f>
        <v>Olivia GOFF</v>
      </c>
      <c r="G138" s="64" t="str">
        <f t="shared" si="24"/>
        <v>ECHT</v>
      </c>
      <c r="H138" s="389">
        <v>12.2</v>
      </c>
      <c r="I138" s="147">
        <f>IFERROR(IF(OR(H138="",H138=0,H138&gt;A143),"",VLOOKUP(H138,A135:B143,2,TRUE)),9)</f>
        <v>3</v>
      </c>
      <c r="J138" s="67"/>
      <c r="K138" s="104">
        <v>3</v>
      </c>
      <c r="L138" s="248">
        <v>22</v>
      </c>
      <c r="M138" s="421" t="str">
        <f>IFERROR(VLOOKUP($C134&amp;L138,downloads!$A$1:$E$1000,2,FALSE),"")</f>
        <v>Scarlett LYNE</v>
      </c>
      <c r="N138" s="64" t="str">
        <f t="shared" si="25"/>
        <v>ECHT</v>
      </c>
      <c r="O138" s="389">
        <v>12.4</v>
      </c>
      <c r="P138" s="147">
        <f>IFERROR(IF(OR(O138="",O138=0,O138&gt;A143),"",VLOOKUP(O138,A135:B143,2,TRUE)),9)</f>
        <v>3</v>
      </c>
      <c r="R138" s="66">
        <f ca="1">IFERROR(IF(OR(E138=0,E138="",H138=0,H138="",$R135&lt;&gt;0,LEFT(H138,1)="D"),0,VLOOKUP(D138,INDIRECT(MatchDay!$W$2),2,FALSE)),"")</f>
        <v>0</v>
      </c>
      <c r="S138" s="66">
        <f ca="1">IFERROR(IF(OR(L138=0,L138="",O138=0,O138="",$R135&lt;&gt;0,LEFT(O138,1)="D"),0,VLOOKUP(K138,INDIRECT(MatchDay!$W$2),3,FALSE)),"")</f>
        <v>0</v>
      </c>
    </row>
    <row r="139" spans="1:22" x14ac:dyDescent="0.35">
      <c r="A139" s="105">
        <f>IFERROR(VLOOKUP(C134,standards,7,FALSE),"-")</f>
        <v>11.3</v>
      </c>
      <c r="B139" s="419">
        <v>5</v>
      </c>
      <c r="C139" s="105"/>
      <c r="D139" s="104">
        <v>4</v>
      </c>
      <c r="E139" s="107">
        <v>1</v>
      </c>
      <c r="F139" s="421" t="str">
        <f>IFERROR(VLOOKUP($C134&amp;E139,downloads!$A$1:$E$1000,2,FALSE),"")</f>
        <v>Katerina GLOVER</v>
      </c>
      <c r="G139" s="64" t="str">
        <f t="shared" si="24"/>
        <v>C&amp;N</v>
      </c>
      <c r="H139" s="389">
        <v>12.8</v>
      </c>
      <c r="I139" s="147">
        <f>IFERROR(IF(OR(H139="",H139=0,H139&gt;A143),"",VLOOKUP(H139,A135:B143,2,TRUE)),9)</f>
        <v>2</v>
      </c>
      <c r="J139" s="67"/>
      <c r="K139" s="104">
        <v>4</v>
      </c>
      <c r="L139" s="248">
        <v>44</v>
      </c>
      <c r="M139" s="421" t="str">
        <f>IFERROR(VLOOKUP($C134&amp;L139,downloads!$A$1:$E$1000,2,FALSE),"")</f>
        <v>Charlotte RHODES</v>
      </c>
      <c r="N139" s="64" t="str">
        <f t="shared" si="25"/>
        <v>Macc</v>
      </c>
      <c r="O139" s="389">
        <v>13.3</v>
      </c>
      <c r="P139" s="147" t="str">
        <f>IFERROR(IF(OR(O139="",O139=0,O139&gt;A143),"",VLOOKUP(O139,A135:B143,2,TRUE)),9)</f>
        <v/>
      </c>
      <c r="R139" s="66">
        <f ca="1">IFERROR(IF(OR(E139=0,E139="",H139=0,H139="",$R135&lt;&gt;0,LEFT(H139,1)="D"),0,VLOOKUP(D139,INDIRECT(MatchDay!$W$2),2,FALSE)),"")</f>
        <v>0</v>
      </c>
      <c r="S139" s="66">
        <f ca="1">IFERROR(IF(OR(L139=0,L139="",O139=0,O139="",$R135&lt;&gt;0,LEFT(O139,1)="D"),0,VLOOKUP(K139,INDIRECT(MatchDay!$W$2),3,FALSE)),"")</f>
        <v>0</v>
      </c>
    </row>
    <row r="140" spans="1:22" x14ac:dyDescent="0.35">
      <c r="A140" s="105">
        <f>IFERROR(VLOOKUP(C134,standards,6,FALSE),"-")</f>
        <v>11.7</v>
      </c>
      <c r="B140" s="419">
        <v>4</v>
      </c>
      <c r="C140" s="105"/>
      <c r="D140" s="104">
        <v>5</v>
      </c>
      <c r="E140" s="107">
        <v>4</v>
      </c>
      <c r="F140" s="421" t="str">
        <f>IFERROR(VLOOKUP($C134&amp;E140,downloads!$A$1:$E$1000,2,FALSE),"")</f>
        <v>Lauren HARPER</v>
      </c>
      <c r="G140" s="64" t="str">
        <f t="shared" si="24"/>
        <v>Macc</v>
      </c>
      <c r="H140" s="389">
        <v>13.8</v>
      </c>
      <c r="I140" s="147" t="str">
        <f>IFERROR(IF(OR(H140="",H140=0,H140&gt;A143),"",VLOOKUP(H140,A135:B143,2,TRUE)),9)</f>
        <v/>
      </c>
      <c r="J140" s="67"/>
      <c r="K140" s="104">
        <v>5</v>
      </c>
      <c r="L140" s="248"/>
      <c r="M140" s="421" t="str">
        <f>IFERROR(VLOOKUP($C134&amp;L140,downloads!$A$1:$E$1000,2,FALSE),"")</f>
        <v/>
      </c>
      <c r="N140" s="64" t="str">
        <f t="shared" si="25"/>
        <v/>
      </c>
      <c r="O140" s="389"/>
      <c r="P140" s="147" t="str">
        <f>IFERROR(IF(OR(O140="",O140=0,O140&gt;A143),"",VLOOKUP(O140,A135:B143,2,TRUE)),9)</f>
        <v/>
      </c>
      <c r="R140" s="66">
        <f ca="1">IFERROR(IF(OR(E140=0,E140="",H140=0,H140="",$R135&lt;&gt;0,LEFT(H140,1)="D"),0,VLOOKUP(D140,INDIRECT(MatchDay!$W$2),2,FALSE)),"")</f>
        <v>0</v>
      </c>
      <c r="S140" s="66">
        <f ca="1">IFERROR(IF(OR(L140=0,L140="",O140=0,O140="",$R135&lt;&gt;0,LEFT(O140,1)="D"),0,VLOOKUP(K140,INDIRECT(MatchDay!$W$2),3,FALSE)),"")</f>
        <v>0</v>
      </c>
    </row>
    <row r="141" spans="1:22" x14ac:dyDescent="0.35">
      <c r="A141" s="105">
        <f>IFERROR(VLOOKUP(C134,standards,5,FALSE),"-")</f>
        <v>12.1</v>
      </c>
      <c r="B141" s="419">
        <v>3</v>
      </c>
      <c r="C141" s="105"/>
      <c r="D141" s="104">
        <v>6</v>
      </c>
      <c r="E141" s="107"/>
      <c r="F141" s="421" t="str">
        <f>IFERROR(VLOOKUP($C134&amp;E141,downloads!$A$1:$E$1000,2,FALSE),"")</f>
        <v/>
      </c>
      <c r="G141" s="64" t="str">
        <f t="shared" si="24"/>
        <v/>
      </c>
      <c r="H141" s="389"/>
      <c r="I141" s="147" t="str">
        <f>IFERROR(IF(OR(H141="",H141=0,H141&gt;A143),"",VLOOKUP(H141,A135:B143,2,TRUE)),9)</f>
        <v/>
      </c>
      <c r="J141" s="67"/>
      <c r="K141" s="104">
        <v>6</v>
      </c>
      <c r="L141" s="248"/>
      <c r="M141" s="421" t="str">
        <f>IFERROR(VLOOKUP($C134&amp;L141,downloads!$A$1:$E$1000,2,FALSE),"")</f>
        <v/>
      </c>
      <c r="N141" s="64" t="str">
        <f t="shared" si="25"/>
        <v/>
      </c>
      <c r="O141" s="394"/>
      <c r="P141" s="147" t="str">
        <f>IFERROR(IF(OR(O141="",O141=0,O141&gt;A143),"",VLOOKUP(O141,A135:B143,2,TRUE)),9)</f>
        <v/>
      </c>
      <c r="R141" s="66">
        <f ca="1">IFERROR(IF(OR(E141=0,E141="",H141=0,H141="",$R135&lt;&gt;0,LEFT(H141,1)="D"),0,VLOOKUP(D141,INDIRECT(MatchDay!$W$2),2,FALSE)),"")</f>
        <v>0</v>
      </c>
      <c r="S141" s="66">
        <f ca="1">IFERROR(IF(OR(L141=0,L141="",O141=0,O141="",$R135&lt;&gt;0,LEFT(O141,1)="D"),0,VLOOKUP(K141,INDIRECT(MatchDay!$W$2),3,FALSE)),"")</f>
        <v>0</v>
      </c>
    </row>
    <row r="142" spans="1:22" x14ac:dyDescent="0.35">
      <c r="A142" s="105">
        <f>IFERROR(VLOOKUP(C134,standards,4,FALSE),"-")</f>
        <v>12.5</v>
      </c>
      <c r="B142" s="419">
        <v>2</v>
      </c>
      <c r="C142" s="120">
        <f>IFERROR(SEARCH("U17",D134),0)</f>
        <v>0</v>
      </c>
      <c r="D142" s="104">
        <v>7</v>
      </c>
      <c r="E142" s="107"/>
      <c r="F142" s="421" t="str">
        <f>IFERROR(VLOOKUP($C134&amp;E142,downloads!$A$1:$E$1000,2,FALSE),"")</f>
        <v/>
      </c>
      <c r="G142" s="64" t="str">
        <f t="shared" si="24"/>
        <v/>
      </c>
      <c r="H142" s="389"/>
      <c r="I142" s="147" t="str">
        <f>IFERROR(IF(OR(H142="",H142=0,H142&gt;A143),"",VLOOKUP(H142,A135:B143,2,TRUE)),9)</f>
        <v/>
      </c>
      <c r="J142" s="67"/>
      <c r="K142" s="104">
        <v>7</v>
      </c>
      <c r="L142" s="248"/>
      <c r="M142" s="421" t="str">
        <f>IFERROR(VLOOKUP($C134&amp;L142,downloads!$A$1:$E$1000,2,FALSE),"")</f>
        <v/>
      </c>
      <c r="N142" s="64" t="str">
        <f t="shared" si="25"/>
        <v/>
      </c>
      <c r="O142" s="394"/>
      <c r="P142" s="147" t="str">
        <f>IFERROR(IF(OR(O142="",O142=0,O142&gt;A143),"",VLOOKUP(O142,A135:B143,2,TRUE)),9)</f>
        <v/>
      </c>
      <c r="R142" s="66">
        <f ca="1">IFERROR(IF(OR(E142=0,E142="",H142=0,H142="",$R135&lt;&gt;0,LEFT(H142,1)="D"),0,VLOOKUP(D142,INDIRECT(MatchDay!$W$2),2,FALSE)),"")</f>
        <v>0</v>
      </c>
      <c r="S142" s="66">
        <f ca="1">IFERROR(IF(OR(L142=0,L142="",O142=0,O142="",$R135&lt;&gt;0,LEFT(O142,1)="D"),0,VLOOKUP(K142,INDIRECT(MatchDay!$W$2),3,FALSE)),"")</f>
        <v>0</v>
      </c>
    </row>
    <row r="143" spans="1:22" x14ac:dyDescent="0.35">
      <c r="A143" s="105">
        <f>IFERROR(VLOOKUP(C134,standards,3,FALSE),"-")</f>
        <v>13</v>
      </c>
      <c r="B143" s="419">
        <v>1</v>
      </c>
      <c r="C143" s="103">
        <f>IFERROR(VLOOKUP(C134,records,5,FALSE),"")</f>
        <v>9.5</v>
      </c>
      <c r="D143" s="104">
        <v>8</v>
      </c>
      <c r="E143" s="107"/>
      <c r="F143" s="421" t="str">
        <f>IFERROR(VLOOKUP($C134&amp;E143,downloads!$A$1:$E$1000,2,FALSE),"")</f>
        <v/>
      </c>
      <c r="G143" s="64" t="str">
        <f t="shared" si="24"/>
        <v/>
      </c>
      <c r="H143" s="389"/>
      <c r="I143" s="147" t="str">
        <f>IFERROR(IF(OR(H143="",H143=0,H143&gt;A143),"",VLOOKUP(H143,A135:B143,2,TRUE)),9)</f>
        <v/>
      </c>
      <c r="J143" s="67"/>
      <c r="K143" s="104">
        <v>8</v>
      </c>
      <c r="L143" s="248"/>
      <c r="M143" s="421" t="str">
        <f>IFERROR(VLOOKUP($C134&amp;L143,downloads!$A$1:$E$1000,2,FALSE),"")</f>
        <v/>
      </c>
      <c r="N143" s="64" t="str">
        <f t="shared" si="25"/>
        <v/>
      </c>
      <c r="O143" s="394"/>
      <c r="P143" s="147" t="str">
        <f>IFERROR(IF(OR(O143="",O143=0,O143&gt;A143),"",VLOOKUP(O143,A135:B143,2,TRUE)),9)</f>
        <v/>
      </c>
      <c r="R143" s="66">
        <f ca="1">IFERROR(IF(OR(E143=0,E143="",H143=0,H143="",$R135&lt;&gt;0,LEFT(H143,1)="D"),0,VLOOKUP(D143,INDIRECT(MatchDay!$W$2),2,FALSE)),"")</f>
        <v>0</v>
      </c>
      <c r="S143" s="66">
        <f ca="1">IFERROR(IF(OR(L143=0,L143="",O143=0,O143="",$R135&lt;&gt;0,LEFT(O143,1)="D"),0,VLOOKUP(K143,INDIRECT(MatchDay!$W$2),3,FALSE)),"")</f>
        <v>0</v>
      </c>
    </row>
    <row r="144" spans="1:22" x14ac:dyDescent="0.35">
      <c r="F144" s="407"/>
      <c r="H144" s="390"/>
      <c r="M144" s="407"/>
      <c r="O144" s="395"/>
    </row>
    <row r="145" spans="1:22" x14ac:dyDescent="0.35">
      <c r="C145" s="98" t="s">
        <v>45</v>
      </c>
      <c r="D145" s="99" t="str">
        <f>IFERROR(VLOOKUP(C145,timetables,2,FALSE)&amp;" "&amp;VLOOKUP(C145,timetables,3,FALSE)&amp;" A","")</f>
        <v>75m NS U13 Boys A</v>
      </c>
      <c r="E145" s="99"/>
      <c r="F145" s="407"/>
      <c r="G145" s="114" t="str">
        <f>IFERROR(IF(VLOOKUP($C145,timetables,8,FALSE)="W","Wind = ",""),"")</f>
        <v xml:space="preserve">Wind = </v>
      </c>
      <c r="H145" s="391"/>
      <c r="I145" s="106"/>
      <c r="K145" s="101" t="str">
        <f>IFERROR(VLOOKUP(C145,timetables,2,FALSE)&amp;" "&amp;VLOOKUP(C145,timetables,3,FALSE)&amp;" B","")</f>
        <v>75m NS U13 Boys B</v>
      </c>
      <c r="L145" s="102"/>
      <c r="M145" s="407"/>
      <c r="N145" s="114" t="str">
        <f>IFERROR(IF(VLOOKUP($C145,timetables,8,FALSE)="W","Wind = ",""),"")</f>
        <v xml:space="preserve">Wind = </v>
      </c>
      <c r="O145" s="398"/>
      <c r="R145" s="66" t="s">
        <v>53</v>
      </c>
      <c r="S145" s="66" t="s">
        <v>54</v>
      </c>
    </row>
    <row r="146" spans="1:22" x14ac:dyDescent="0.35">
      <c r="A146" s="105">
        <f>IFERROR(VLOOKUP(C145,standards,11,FALSE),"-")</f>
        <v>9.75</v>
      </c>
      <c r="B146" s="419">
        <v>9</v>
      </c>
      <c r="C146" s="79"/>
      <c r="D146" s="45" t="s">
        <v>177</v>
      </c>
      <c r="E146" s="45" t="s">
        <v>141</v>
      </c>
      <c r="F146" s="422" t="s">
        <v>174</v>
      </c>
      <c r="G146" s="47" t="s">
        <v>175</v>
      </c>
      <c r="H146" s="392" t="s">
        <v>176</v>
      </c>
      <c r="I146" s="148" t="s">
        <v>1003</v>
      </c>
      <c r="J146" s="47"/>
      <c r="K146" s="45" t="s">
        <v>177</v>
      </c>
      <c r="L146" s="45" t="s">
        <v>141</v>
      </c>
      <c r="M146" s="422" t="s">
        <v>174</v>
      </c>
      <c r="N146" s="47" t="s">
        <v>175</v>
      </c>
      <c r="O146" s="392" t="s">
        <v>176</v>
      </c>
      <c r="P146" s="148" t="s">
        <v>1003</v>
      </c>
      <c r="R146" s="66">
        <f>IFERROR(SEARCH("NS",D145),0)</f>
        <v>5</v>
      </c>
      <c r="V146" s="67"/>
    </row>
    <row r="147" spans="1:22" x14ac:dyDescent="0.35">
      <c r="A147" s="105">
        <f>IFERROR(VLOOKUP(C145,standards,10,FALSE),"-")</f>
        <v>10</v>
      </c>
      <c r="B147" s="419">
        <v>8</v>
      </c>
      <c r="C147" s="138">
        <f>IFERROR(VLOOKUP(C145,Timetables!$A:$E,5,FALSE)-1,"")</f>
        <v>-1</v>
      </c>
      <c r="D147" s="104">
        <v>1</v>
      </c>
      <c r="E147" s="107">
        <v>2</v>
      </c>
      <c r="F147" s="421" t="str">
        <f>IFERROR(VLOOKUP($C145&amp;E147,downloads!$A$1:$E$1000,2,FALSE),"")</f>
        <v>Sebastien GREGORY</v>
      </c>
      <c r="G147" s="64" t="str">
        <f t="shared" ref="G147:G154" si="26">IFERROR(VLOOKUP(E147,teamlookup,5,FALSE),"")</f>
        <v>ECHT</v>
      </c>
      <c r="H147" s="389">
        <v>12.6</v>
      </c>
      <c r="I147" s="147" t="str">
        <f>IFERROR(IF(OR(H147="",H147=0,H147&gt;A154),"",VLOOKUP(H147,A146:B154,2,TRUE)),9)</f>
        <v/>
      </c>
      <c r="J147" s="67"/>
      <c r="K147" s="104">
        <v>1</v>
      </c>
      <c r="L147" s="248"/>
      <c r="M147" s="421" t="str">
        <f>IFERROR(VLOOKUP($C145&amp;L147,downloads!$A$1:$E$1000,2,FALSE),"")</f>
        <v/>
      </c>
      <c r="N147" s="64" t="str">
        <f t="shared" ref="N147:N154" si="27">IFERROR(VLOOKUP(L147,teamlookup,5,FALSE),"")</f>
        <v/>
      </c>
      <c r="O147" s="394"/>
      <c r="P147" s="147" t="str">
        <f>IFERROR(IF(OR(O147="",O147=0,O147&gt;A154),"",VLOOKUP(O147,A146:B154,2,TRUE)),9)</f>
        <v/>
      </c>
      <c r="R147" s="66">
        <f ca="1">IFERROR(IF(OR(E147=0,E147="",H147=0,H147="",$R146&lt;&gt;0,LEFT(H147,1)="D"),0,VLOOKUP(D147,INDIRECT(MatchDay!$W$2),2,FALSE)),"")</f>
        <v>0</v>
      </c>
      <c r="S147" s="66">
        <f ca="1">IFERROR(IF(OR(L147=0,L147="",O147=0,O147="",$R146&lt;&gt;0,LEFT(O147,1)="D"),0,VLOOKUP(K147,INDIRECT(MatchDay!$W$2),3,FALSE)),"")</f>
        <v>0</v>
      </c>
      <c r="T147" s="168">
        <f>COUNTIF(E147,"&gt;0")</f>
        <v>1</v>
      </c>
      <c r="U147" s="66">
        <f>IFERROR(IF(E147&gt;88,1,0),0)</f>
        <v>0</v>
      </c>
    </row>
    <row r="148" spans="1:22" x14ac:dyDescent="0.35">
      <c r="A148" s="105">
        <f>IFERROR(VLOOKUP(C145,standards,9,FALSE),"-")</f>
        <v>10.25</v>
      </c>
      <c r="B148" s="419">
        <v>7</v>
      </c>
      <c r="C148" s="64">
        <v>0</v>
      </c>
      <c r="D148" s="104">
        <v>2</v>
      </c>
      <c r="E148" s="107"/>
      <c r="F148" s="421" t="str">
        <f>IFERROR(VLOOKUP($C145&amp;E148,downloads!$A$1:$E$1000,2,FALSE),"")</f>
        <v/>
      </c>
      <c r="G148" s="64" t="str">
        <f t="shared" si="26"/>
        <v/>
      </c>
      <c r="H148" s="389"/>
      <c r="I148" s="147" t="str">
        <f>IFERROR(IF(OR(H148="",H148=0,H148&gt;A154),"",VLOOKUP(H148,A146:B154,2,TRUE)),9)</f>
        <v/>
      </c>
      <c r="J148" s="67"/>
      <c r="K148" s="104">
        <v>2</v>
      </c>
      <c r="L148" s="248"/>
      <c r="M148" s="421" t="str">
        <f>IFERROR(VLOOKUP($C145&amp;L148,downloads!$A$1:$E$1000,2,FALSE),"")</f>
        <v/>
      </c>
      <c r="N148" s="64" t="str">
        <f t="shared" si="27"/>
        <v/>
      </c>
      <c r="O148" s="394"/>
      <c r="P148" s="147" t="str">
        <f>IFERROR(IF(OR(O148="",O148=0,O148&gt;A154),"",VLOOKUP(O148,A146:B154,2,TRUE)),9)</f>
        <v/>
      </c>
      <c r="R148" s="66">
        <f ca="1">IFERROR(IF(OR(E148=0,E148="",H148=0,H148="",$R146&lt;&gt;0,LEFT(H148,1)="D"),0,VLOOKUP(D148,INDIRECT(MatchDay!$W$2),2,FALSE)),"")</f>
        <v>0</v>
      </c>
      <c r="S148" s="66">
        <f ca="1">IFERROR(IF(OR(L148=0,L148="",O148=0,O148="",$R146&lt;&gt;0,LEFT(O148,1)="D"),0,VLOOKUP(K148,INDIRECT(MatchDay!$W$2),3,FALSE)),"")</f>
        <v>0</v>
      </c>
    </row>
    <row r="149" spans="1:22" x14ac:dyDescent="0.35">
      <c r="A149" s="105">
        <f>IFERROR(VLOOKUP(C145,standards,8,FALSE),"-")</f>
        <v>10.5</v>
      </c>
      <c r="B149" s="419">
        <v>6</v>
      </c>
      <c r="C149" s="105"/>
      <c r="D149" s="104">
        <v>3</v>
      </c>
      <c r="E149" s="107"/>
      <c r="F149" s="421" t="str">
        <f>IFERROR(VLOOKUP($C145&amp;E149,downloads!$A$1:$E$1000,2,FALSE),"")</f>
        <v/>
      </c>
      <c r="G149" s="64" t="str">
        <f t="shared" si="26"/>
        <v/>
      </c>
      <c r="H149" s="389"/>
      <c r="I149" s="147" t="str">
        <f>IFERROR(IF(OR(H149="",H149=0,H149&gt;A154),"",VLOOKUP(H149,A146:B154,2,TRUE)),9)</f>
        <v/>
      </c>
      <c r="J149" s="67"/>
      <c r="K149" s="104">
        <v>3</v>
      </c>
      <c r="L149" s="248"/>
      <c r="M149" s="421" t="str">
        <f>IFERROR(VLOOKUP($C145&amp;L149,downloads!$A$1:$E$1000,2,FALSE),"")</f>
        <v/>
      </c>
      <c r="N149" s="64" t="str">
        <f t="shared" si="27"/>
        <v/>
      </c>
      <c r="O149" s="394"/>
      <c r="P149" s="147" t="str">
        <f>IFERROR(IF(OR(O149="",O149=0,O149&gt;A154),"",VLOOKUP(O149,A146:B154,2,TRUE)),9)</f>
        <v/>
      </c>
      <c r="R149" s="66">
        <f ca="1">IFERROR(IF(OR(E149=0,E149="",H149=0,H149="",$R146&lt;&gt;0,LEFT(H149,1)="D"),0,VLOOKUP(D149,INDIRECT(MatchDay!$W$2),2,FALSE)),"")</f>
        <v>0</v>
      </c>
      <c r="S149" s="66">
        <f ca="1">IFERROR(IF(OR(L149=0,L149="",O149=0,O149="",$R146&lt;&gt;0,LEFT(O149,1)="D"),0,VLOOKUP(K149,INDIRECT(MatchDay!$W$2),3,FALSE)),"")</f>
        <v>0</v>
      </c>
    </row>
    <row r="150" spans="1:22" x14ac:dyDescent="0.35">
      <c r="A150" s="105">
        <f>IFERROR(VLOOKUP(C145,standards,7,FALSE),"-")</f>
        <v>10.8</v>
      </c>
      <c r="B150" s="419">
        <v>5</v>
      </c>
      <c r="C150" s="105"/>
      <c r="D150" s="104">
        <v>4</v>
      </c>
      <c r="E150" s="107"/>
      <c r="F150" s="421" t="str">
        <f>IFERROR(VLOOKUP($C145&amp;E150,downloads!$A$1:$E$1000,2,FALSE),"")</f>
        <v/>
      </c>
      <c r="G150" s="64" t="str">
        <f t="shared" si="26"/>
        <v/>
      </c>
      <c r="H150" s="389"/>
      <c r="I150" s="147" t="str">
        <f>IFERROR(IF(OR(H150="",H150=0,H150&gt;A154),"",VLOOKUP(H150,A146:B154,2,TRUE)),9)</f>
        <v/>
      </c>
      <c r="J150" s="67"/>
      <c r="K150" s="104">
        <v>4</v>
      </c>
      <c r="L150" s="248"/>
      <c r="M150" s="421" t="str">
        <f>IFERROR(VLOOKUP($C145&amp;L150,downloads!$A$1:$E$1000,2,FALSE),"")</f>
        <v/>
      </c>
      <c r="N150" s="64" t="str">
        <f t="shared" si="27"/>
        <v/>
      </c>
      <c r="O150" s="394"/>
      <c r="P150" s="147" t="str">
        <f>IFERROR(IF(OR(O150="",O150=0,O150&gt;A154),"",VLOOKUP(O150,A146:B154,2,TRUE)),9)</f>
        <v/>
      </c>
      <c r="R150" s="66">
        <f ca="1">IFERROR(IF(OR(E150=0,E150="",H150=0,H150="",$R146&lt;&gt;0,LEFT(H150,1)="D"),0,VLOOKUP(D150,INDIRECT(MatchDay!$W$2),2,FALSE)),"")</f>
        <v>0</v>
      </c>
      <c r="S150" s="66">
        <f ca="1">IFERROR(IF(OR(L150=0,L150="",O150=0,O150="",$R146&lt;&gt;0,LEFT(O150,1)="D"),0,VLOOKUP(K150,INDIRECT(MatchDay!$W$2),3,FALSE)),"")</f>
        <v>0</v>
      </c>
    </row>
    <row r="151" spans="1:22" x14ac:dyDescent="0.35">
      <c r="A151" s="105">
        <f>IFERROR(VLOOKUP(C145,standards,6,FALSE),"-")</f>
        <v>11.2</v>
      </c>
      <c r="B151" s="419">
        <v>4</v>
      </c>
      <c r="C151" s="105"/>
      <c r="D151" s="104">
        <v>5</v>
      </c>
      <c r="E151" s="107"/>
      <c r="F151" s="421" t="str">
        <f>IFERROR(VLOOKUP($C145&amp;E151,downloads!$A$1:$E$1000,2,FALSE),"")</f>
        <v/>
      </c>
      <c r="G151" s="64" t="str">
        <f t="shared" si="26"/>
        <v/>
      </c>
      <c r="H151" s="389"/>
      <c r="I151" s="147" t="str">
        <f>IFERROR(IF(OR(H151="",H151=0,H151&gt;A154),"",VLOOKUP(H151,A146:B154,2,TRUE)),9)</f>
        <v/>
      </c>
      <c r="J151" s="67"/>
      <c r="K151" s="104">
        <v>5</v>
      </c>
      <c r="L151" s="248"/>
      <c r="M151" s="421" t="str">
        <f>IFERROR(VLOOKUP($C145&amp;L151,downloads!$A$1:$E$1000,2,FALSE),"")</f>
        <v/>
      </c>
      <c r="N151" s="64" t="str">
        <f t="shared" si="27"/>
        <v/>
      </c>
      <c r="O151" s="394"/>
      <c r="P151" s="147" t="str">
        <f>IFERROR(IF(OR(O151="",O151=0,O151&gt;A154),"",VLOOKUP(O151,A146:B154,2,TRUE)),9)</f>
        <v/>
      </c>
      <c r="R151" s="66">
        <f ca="1">IFERROR(IF(OR(E151=0,E151="",H151=0,H151="",$R146&lt;&gt;0,LEFT(H151,1)="D"),0,VLOOKUP(D151,INDIRECT(MatchDay!$W$2),2,FALSE)),"")</f>
        <v>0</v>
      </c>
      <c r="S151" s="66">
        <f ca="1">IFERROR(IF(OR(L151=0,L151="",O151=0,O151="",$R146&lt;&gt;0,LEFT(O151,1)="D"),0,VLOOKUP(K151,INDIRECT(MatchDay!$W$2),3,FALSE)),"")</f>
        <v>0</v>
      </c>
    </row>
    <row r="152" spans="1:22" x14ac:dyDescent="0.35">
      <c r="A152" s="105">
        <f>IFERROR(VLOOKUP(C145,standards,5,FALSE),"-")</f>
        <v>11.6</v>
      </c>
      <c r="B152" s="419">
        <v>3</v>
      </c>
      <c r="C152" s="105"/>
      <c r="D152" s="104">
        <v>6</v>
      </c>
      <c r="E152" s="107"/>
      <c r="F152" s="421" t="str">
        <f>IFERROR(VLOOKUP($C145&amp;E152,downloads!$A$1:$E$1000,2,FALSE),"")</f>
        <v/>
      </c>
      <c r="G152" s="64" t="str">
        <f t="shared" si="26"/>
        <v/>
      </c>
      <c r="H152" s="389"/>
      <c r="I152" s="147" t="str">
        <f>IFERROR(IF(OR(H152="",H152=0,H152&gt;A154),"",VLOOKUP(H152,A146:B154,2,TRUE)),9)</f>
        <v/>
      </c>
      <c r="J152" s="67"/>
      <c r="K152" s="104">
        <v>6</v>
      </c>
      <c r="L152" s="248"/>
      <c r="M152" s="421" t="str">
        <f>IFERROR(VLOOKUP($C145&amp;L152,downloads!$A$1:$E$1000,2,FALSE),"")</f>
        <v/>
      </c>
      <c r="N152" s="64" t="str">
        <f t="shared" si="27"/>
        <v/>
      </c>
      <c r="O152" s="394"/>
      <c r="P152" s="147" t="str">
        <f>IFERROR(IF(OR(O152="",O152=0,O152&gt;A154),"",VLOOKUP(O152,A146:B154,2,TRUE)),9)</f>
        <v/>
      </c>
      <c r="R152" s="66">
        <f ca="1">IFERROR(IF(OR(E152=0,E152="",H152=0,H152="",$R146&lt;&gt;0,LEFT(H152,1)="D"),0,VLOOKUP(D152,INDIRECT(MatchDay!$W$2),2,FALSE)),"")</f>
        <v>0</v>
      </c>
      <c r="S152" s="66">
        <f ca="1">IFERROR(IF(OR(L152=0,L152="",O152=0,O152="",$R146&lt;&gt;0,LEFT(O152,1)="D"),0,VLOOKUP(K152,INDIRECT(MatchDay!$W$2),3,FALSE)),"")</f>
        <v>0</v>
      </c>
    </row>
    <row r="153" spans="1:22" x14ac:dyDescent="0.35">
      <c r="A153" s="105">
        <f>IFERROR(VLOOKUP(C145,standards,4,FALSE),"-")</f>
        <v>12</v>
      </c>
      <c r="B153" s="419">
        <v>2</v>
      </c>
      <c r="C153" s="120">
        <f>IFERROR(SEARCH("U17",D145),0)</f>
        <v>0</v>
      </c>
      <c r="D153" s="104">
        <v>7</v>
      </c>
      <c r="E153" s="107"/>
      <c r="F153" s="421" t="str">
        <f>IFERROR(VLOOKUP($C145&amp;E153,downloads!$A$1:$E$1000,2,FALSE),"")</f>
        <v/>
      </c>
      <c r="G153" s="64" t="str">
        <f t="shared" si="26"/>
        <v/>
      </c>
      <c r="H153" s="389"/>
      <c r="I153" s="147" t="str">
        <f>IFERROR(IF(OR(H153="",H153=0,H153&gt;A154),"",VLOOKUP(H153,A146:B154,2,TRUE)),9)</f>
        <v/>
      </c>
      <c r="J153" s="67"/>
      <c r="K153" s="104">
        <v>7</v>
      </c>
      <c r="L153" s="248"/>
      <c r="M153" s="421" t="str">
        <f>IFERROR(VLOOKUP($C145&amp;L153,downloads!$A$1:$E$1000,2,FALSE),"")</f>
        <v/>
      </c>
      <c r="N153" s="64" t="str">
        <f t="shared" si="27"/>
        <v/>
      </c>
      <c r="O153" s="394"/>
      <c r="P153" s="147" t="str">
        <f>IFERROR(IF(OR(O153="",O153=0,O153&gt;A154),"",VLOOKUP(O153,A146:B154,2,TRUE)),9)</f>
        <v/>
      </c>
      <c r="R153" s="66">
        <f ca="1">IFERROR(IF(OR(E153=0,E153="",H153=0,H153="",$R146&lt;&gt;0,LEFT(H153,1)="D"),0,VLOOKUP(D153,INDIRECT(MatchDay!$W$2),2,FALSE)),"")</f>
        <v>0</v>
      </c>
      <c r="S153" s="66">
        <f ca="1">IFERROR(IF(OR(L153=0,L153="",O153=0,O153="",$R146&lt;&gt;0,LEFT(O153,1)="D"),0,VLOOKUP(K153,INDIRECT(MatchDay!$W$2),3,FALSE)),"")</f>
        <v>0</v>
      </c>
    </row>
    <row r="154" spans="1:22" x14ac:dyDescent="0.35">
      <c r="A154" s="105">
        <f>IFERROR(VLOOKUP(C145,standards,3,FALSE),"-")</f>
        <v>12.5</v>
      </c>
      <c r="B154" s="419">
        <v>1</v>
      </c>
      <c r="C154" s="103">
        <f>IFERROR(VLOOKUP(C145,records,5,FALSE),"")</f>
        <v>9.33</v>
      </c>
      <c r="D154" s="104">
        <v>8</v>
      </c>
      <c r="E154" s="107"/>
      <c r="F154" s="421" t="str">
        <f>IFERROR(VLOOKUP($C145&amp;E154,downloads!$A$1:$E$1000,2,FALSE),"")</f>
        <v/>
      </c>
      <c r="G154" s="64" t="str">
        <f t="shared" si="26"/>
        <v/>
      </c>
      <c r="H154" s="389"/>
      <c r="I154" s="147" t="str">
        <f>IFERROR(IF(OR(H154="",H154=0,H154&gt;A154),"",VLOOKUP(H154,A146:B154,2,TRUE)),9)</f>
        <v/>
      </c>
      <c r="J154" s="67"/>
      <c r="K154" s="104">
        <v>8</v>
      </c>
      <c r="L154" s="248"/>
      <c r="M154" s="421" t="str">
        <f>IFERROR(VLOOKUP($C145&amp;L154,downloads!$A$1:$E$1000,2,FALSE),"")</f>
        <v/>
      </c>
      <c r="N154" s="64" t="str">
        <f t="shared" si="27"/>
        <v/>
      </c>
      <c r="O154" s="394"/>
      <c r="P154" s="147" t="str">
        <f>IFERROR(IF(OR(O154="",O154=0,O154&gt;A154),"",VLOOKUP(O154,A146:B154,2,TRUE)),9)</f>
        <v/>
      </c>
      <c r="R154" s="66">
        <f ca="1">IFERROR(IF(OR(E154=0,E154="",H154=0,H154="",$R146&lt;&gt;0,LEFT(H154,1)="D"),0,VLOOKUP(D154,INDIRECT(MatchDay!$W$2),2,FALSE)),"")</f>
        <v>0</v>
      </c>
      <c r="S154" s="66">
        <f ca="1">IFERROR(IF(OR(L154=0,L154="",O154=0,O154="",$R146&lt;&gt;0,LEFT(O154,1)="D"),0,VLOOKUP(K154,INDIRECT(MatchDay!$W$2),3,FALSE)),"")</f>
        <v>0</v>
      </c>
    </row>
    <row r="155" spans="1:22" x14ac:dyDescent="0.35">
      <c r="F155" s="407"/>
      <c r="H155" s="390"/>
      <c r="M155" s="407"/>
      <c r="O155" s="395"/>
    </row>
    <row r="156" spans="1:22" x14ac:dyDescent="0.35">
      <c r="C156" s="98" t="s">
        <v>46</v>
      </c>
      <c r="D156" s="99" t="str">
        <f>IFERROR(VLOOKUP(C156,timetables,2,FALSE)&amp;" "&amp;VLOOKUP(C156,timetables,3,FALSE)&amp;" A","")</f>
        <v>100m NS U15 Girls A</v>
      </c>
      <c r="E156" s="99"/>
      <c r="F156" s="407"/>
      <c r="G156" s="114" t="str">
        <f>IFERROR(IF(VLOOKUP($C156,timetables,8,FALSE)="W","Wind = ",""),"")</f>
        <v xml:space="preserve">Wind = </v>
      </c>
      <c r="H156" s="391"/>
      <c r="I156" s="106" t="str">
        <f>IFERROR(IF(OR(H158=0,H158=""),"",IF(H158&lt;C165,"REC",IF(H158=C165,"=Rec",""))),"")</f>
        <v/>
      </c>
      <c r="K156" s="101" t="str">
        <f>IFERROR(VLOOKUP(C156,timetables,2,FALSE)&amp;" "&amp;VLOOKUP(C156,timetables,3,FALSE)&amp;" B","")</f>
        <v>100m NS U15 Girls B</v>
      </c>
      <c r="L156" s="102"/>
      <c r="M156" s="407"/>
      <c r="N156" s="114" t="str">
        <f>IFERROR(IF(VLOOKUP($C156,timetables,8,FALSE)="W","Wind = ",""),"")</f>
        <v xml:space="preserve">Wind = </v>
      </c>
      <c r="O156" s="398"/>
      <c r="R156" s="66" t="s">
        <v>53</v>
      </c>
      <c r="S156" s="66" t="s">
        <v>54</v>
      </c>
    </row>
    <row r="157" spans="1:22" x14ac:dyDescent="0.35">
      <c r="A157" s="105">
        <f>IFERROR(VLOOKUP(C156,standards,11,FALSE),"-")</f>
        <v>12.7</v>
      </c>
      <c r="B157" s="419">
        <v>9</v>
      </c>
      <c r="C157" s="79"/>
      <c r="D157" s="45" t="s">
        <v>177</v>
      </c>
      <c r="E157" s="45" t="s">
        <v>141</v>
      </c>
      <c r="F157" s="422" t="s">
        <v>174</v>
      </c>
      <c r="G157" s="47" t="s">
        <v>175</v>
      </c>
      <c r="H157" s="392" t="s">
        <v>176</v>
      </c>
      <c r="I157" s="148" t="s">
        <v>1003</v>
      </c>
      <c r="J157" s="47"/>
      <c r="K157" s="45" t="s">
        <v>177</v>
      </c>
      <c r="L157" s="45" t="s">
        <v>141</v>
      </c>
      <c r="M157" s="422" t="s">
        <v>174</v>
      </c>
      <c r="N157" s="47" t="s">
        <v>175</v>
      </c>
      <c r="O157" s="392" t="s">
        <v>176</v>
      </c>
      <c r="P157" s="148" t="s">
        <v>1003</v>
      </c>
      <c r="R157" s="66">
        <f>IFERROR(SEARCH("NS",D156),0)</f>
        <v>6</v>
      </c>
      <c r="V157" s="67"/>
    </row>
    <row r="158" spans="1:22" x14ac:dyDescent="0.35">
      <c r="A158" s="105">
        <f>IFERROR(VLOOKUP(C156,standards,10,FALSE),"-")</f>
        <v>12.9</v>
      </c>
      <c r="B158" s="419">
        <v>8</v>
      </c>
      <c r="C158" s="138">
        <f>IFERROR(VLOOKUP(C156,Timetables!$A:$E,5,FALSE)-1,"")</f>
        <v>-1</v>
      </c>
      <c r="D158" s="104">
        <v>1</v>
      </c>
      <c r="E158" s="248">
        <v>11</v>
      </c>
      <c r="F158" s="421" t="str">
        <f>IFERROR(VLOOKUP($C156&amp;E158,downloads!$A$1:$E$1000,2,FALSE),"")</f>
        <v>Heidi WOODS</v>
      </c>
      <c r="G158" s="64" t="str">
        <f t="shared" ref="G158:G165" si="28">IFERROR(VLOOKUP(E158,teamlookup,5,FALSE),"")</f>
        <v>C&amp;N</v>
      </c>
      <c r="H158" s="389">
        <v>14.2</v>
      </c>
      <c r="I158" s="147">
        <f>IFERROR(IF(OR(H158="",H158=0,H158&gt;A165),"",VLOOKUP(H158,A157:B165,2,TRUE)),9)</f>
        <v>3</v>
      </c>
      <c r="J158" s="67"/>
      <c r="K158" s="104">
        <v>1</v>
      </c>
      <c r="L158" s="248"/>
      <c r="M158" s="421" t="str">
        <f>IFERROR(VLOOKUP($C156&amp;L158,downloads!$A$1:$E$1000,2,FALSE),"")</f>
        <v/>
      </c>
      <c r="N158" s="64" t="str">
        <f t="shared" ref="N158:N165" si="29">IFERROR(VLOOKUP(L158,teamlookup,5,FALSE),"")</f>
        <v/>
      </c>
      <c r="O158" s="394"/>
      <c r="P158" s="147" t="str">
        <f>IFERROR(IF(OR(O158="",O158=0,O158&gt;A165),"",VLOOKUP(O158,A157:B165,2,TRUE)),9)</f>
        <v/>
      </c>
      <c r="R158" s="66">
        <f ca="1">IFERROR(IF(OR(E158=0,E158="",H158=0,H158="",$R157&lt;&gt;0,LEFT(H158,1)="D"),0,VLOOKUP(D158,INDIRECT(MatchDay!$W$2),2,FALSE)),"")</f>
        <v>0</v>
      </c>
      <c r="S158" s="66">
        <f ca="1">IFERROR(IF(OR(L158=0,L158="",O158=0,O158="",$R157&lt;&gt;0,LEFT(O158,1)="D"),0,VLOOKUP(K158,INDIRECT(MatchDay!$W$2),3,FALSE)),"")</f>
        <v>0</v>
      </c>
      <c r="T158" s="168">
        <f>COUNTIF(E158,"&gt;0")</f>
        <v>1</v>
      </c>
      <c r="U158" s="66">
        <f>IFERROR(IF(E158&gt;88,1,0),0)</f>
        <v>0</v>
      </c>
    </row>
    <row r="159" spans="1:22" x14ac:dyDescent="0.35">
      <c r="A159" s="105">
        <f>IFERROR(VLOOKUP(C156,standards,9,FALSE),"-")</f>
        <v>13.1</v>
      </c>
      <c r="B159" s="419">
        <v>7</v>
      </c>
      <c r="C159" s="64">
        <v>0</v>
      </c>
      <c r="D159" s="104">
        <v>2</v>
      </c>
      <c r="E159" s="248">
        <v>7</v>
      </c>
      <c r="F159" s="421" t="str">
        <f>IFERROR(VLOOKUP($C156&amp;E159,downloads!$A$1:$E$1000,2,FALSE),"")</f>
        <v>Emily WILSON</v>
      </c>
      <c r="G159" s="64" t="str">
        <f t="shared" si="28"/>
        <v>Wigan</v>
      </c>
      <c r="H159" s="389">
        <v>14.3</v>
      </c>
      <c r="I159" s="147">
        <f>IFERROR(IF(OR(H159="",H159=0,H159&gt;A165),"",VLOOKUP(H159,A157:B165,2,TRUE)),9)</f>
        <v>3</v>
      </c>
      <c r="J159" s="67"/>
      <c r="K159" s="104">
        <v>2</v>
      </c>
      <c r="L159" s="248"/>
      <c r="M159" s="421" t="str">
        <f>IFERROR(VLOOKUP($C156&amp;L159,downloads!$A$1:$E$1000,2,FALSE),"")</f>
        <v/>
      </c>
      <c r="N159" s="64" t="str">
        <f t="shared" si="29"/>
        <v/>
      </c>
      <c r="O159" s="394"/>
      <c r="P159" s="147" t="str">
        <f>IFERROR(IF(OR(O159="",O159=0,O159&gt;A165),"",VLOOKUP(O159,A157:B165,2,TRUE)),9)</f>
        <v/>
      </c>
      <c r="R159" s="66">
        <f ca="1">IFERROR(IF(OR(E159=0,E159="",H159=0,H159="",$R157&lt;&gt;0,LEFT(H159,1)="D"),0,VLOOKUP(D159,INDIRECT(MatchDay!$W$2),2,FALSE)),"")</f>
        <v>0</v>
      </c>
      <c r="S159" s="66">
        <f ca="1">IFERROR(IF(OR(L159=0,L159="",O159=0,O159="",$R157&lt;&gt;0,LEFT(O159,1)="D"),0,VLOOKUP(K159,INDIRECT(MatchDay!$W$2),3,FALSE)),"")</f>
        <v>0</v>
      </c>
    </row>
    <row r="160" spans="1:22" x14ac:dyDescent="0.35">
      <c r="A160" s="105">
        <f>IFERROR(VLOOKUP(C156,standards,8,FALSE),"-")</f>
        <v>13.3</v>
      </c>
      <c r="B160" s="419">
        <v>6</v>
      </c>
      <c r="C160" s="105"/>
      <c r="D160" s="104">
        <v>3</v>
      </c>
      <c r="E160" s="248">
        <v>55</v>
      </c>
      <c r="F160" s="421" t="str">
        <f>IFERROR(VLOOKUP($C156&amp;E160,downloads!$A$1:$E$1000,2,FALSE),"")</f>
        <v>Mabli WILLIAMS</v>
      </c>
      <c r="G160" s="64" t="str">
        <f t="shared" si="28"/>
        <v>Menai</v>
      </c>
      <c r="H160" s="389">
        <v>14.4</v>
      </c>
      <c r="I160" s="147">
        <f>IFERROR(IF(OR(H160="",H160=0,H160&gt;A165),"",VLOOKUP(H160,A157:B165,2,TRUE)),9)</f>
        <v>2</v>
      </c>
      <c r="J160" s="67"/>
      <c r="K160" s="104">
        <v>3</v>
      </c>
      <c r="L160" s="248"/>
      <c r="M160" s="421" t="str">
        <f>IFERROR(VLOOKUP($C156&amp;L160,downloads!$A$1:$E$1000,2,FALSE),"")</f>
        <v/>
      </c>
      <c r="N160" s="64" t="str">
        <f t="shared" si="29"/>
        <v/>
      </c>
      <c r="O160" s="394"/>
      <c r="P160" s="147" t="str">
        <f>IFERROR(IF(OR(O160="",O160=0,O160&gt;A165),"",VLOOKUP(O160,A157:B165,2,TRUE)),9)</f>
        <v/>
      </c>
      <c r="R160" s="66">
        <f ca="1">IFERROR(IF(OR(E160=0,E160="",H160=0,H160="",$R157&lt;&gt;0,LEFT(H160,1)="D"),0,VLOOKUP(D160,INDIRECT(MatchDay!$W$2),2,FALSE)),"")</f>
        <v>0</v>
      </c>
      <c r="S160" s="66">
        <f ca="1">IFERROR(IF(OR(L160=0,L160="",O160=0,O160="",$R157&lt;&gt;0,LEFT(O160,1)="D"),0,VLOOKUP(K160,INDIRECT(MatchDay!$W$2),3,FALSE)),"")</f>
        <v>0</v>
      </c>
    </row>
    <row r="161" spans="1:22" x14ac:dyDescent="0.35">
      <c r="A161" s="105">
        <f>IFERROR(VLOOKUP(C156,standards,7,FALSE),"-")</f>
        <v>13.5</v>
      </c>
      <c r="B161" s="419">
        <v>5</v>
      </c>
      <c r="C161" s="105"/>
      <c r="D161" s="104">
        <v>4</v>
      </c>
      <c r="E161" s="107">
        <v>77</v>
      </c>
      <c r="F161" s="421" t="str">
        <f>IFERROR(VLOOKUP($C156&amp;E161,downloads!$A$1:$E$1000,2,FALSE),"")</f>
        <v>Lucy STRETTON</v>
      </c>
      <c r="G161" s="64" t="str">
        <f t="shared" si="28"/>
        <v>Wigan</v>
      </c>
      <c r="H161" s="389">
        <v>14.5</v>
      </c>
      <c r="I161" s="147">
        <f>IFERROR(IF(OR(H161="",H161=0,H161&gt;A165),"",VLOOKUP(H161,A157:B165,2,TRUE)),9)</f>
        <v>2</v>
      </c>
      <c r="J161" s="67"/>
      <c r="K161" s="104">
        <v>4</v>
      </c>
      <c r="L161" s="248"/>
      <c r="M161" s="421" t="str">
        <f>IFERROR(VLOOKUP($C156&amp;L161,downloads!$A$1:$E$1000,2,FALSE),"")</f>
        <v/>
      </c>
      <c r="N161" s="64" t="str">
        <f t="shared" si="29"/>
        <v/>
      </c>
      <c r="O161" s="394"/>
      <c r="P161" s="147" t="str">
        <f>IFERROR(IF(OR(O161="",O161=0,O161&gt;A165),"",VLOOKUP(O161,A157:B165,2,TRUE)),9)</f>
        <v/>
      </c>
      <c r="R161" s="66">
        <f ca="1">IFERROR(IF(OR(E161=0,E161="",H161=0,H161="",$R157&lt;&gt;0,LEFT(H161,1)="D"),0,VLOOKUP(D161,INDIRECT(MatchDay!$W$2),2,FALSE)),"")</f>
        <v>0</v>
      </c>
      <c r="S161" s="66">
        <f ca="1">IFERROR(IF(OR(L161=0,L161="",O161=0,O161="",$R157&lt;&gt;0,LEFT(O161,1)="D"),0,VLOOKUP(K161,INDIRECT(MatchDay!$W$2),3,FALSE)),"")</f>
        <v>0</v>
      </c>
    </row>
    <row r="162" spans="1:22" x14ac:dyDescent="0.35">
      <c r="A162" s="105">
        <f>IFERROR(VLOOKUP(C156,standards,6,FALSE),"-")</f>
        <v>13.7</v>
      </c>
      <c r="B162" s="419">
        <v>4</v>
      </c>
      <c r="C162" s="105"/>
      <c r="D162" s="104">
        <v>5</v>
      </c>
      <c r="E162" s="107">
        <v>5</v>
      </c>
      <c r="F162" s="421" t="str">
        <f>IFERROR(VLOOKUP($C156&amp;E162,downloads!$A$1:$E$1000,2,FALSE),"")</f>
        <v>Hawys OWEN</v>
      </c>
      <c r="G162" s="64" t="str">
        <f t="shared" si="28"/>
        <v>Menai</v>
      </c>
      <c r="H162" s="389">
        <v>15.3</v>
      </c>
      <c r="I162" s="147" t="str">
        <f>IFERROR(IF(OR(H162="",H162=0,H162&gt;A165),"",VLOOKUP(H162,A157:B165,2,TRUE)),9)</f>
        <v/>
      </c>
      <c r="J162" s="67"/>
      <c r="K162" s="104">
        <v>5</v>
      </c>
      <c r="L162" s="248"/>
      <c r="M162" s="421" t="str">
        <f>IFERROR(VLOOKUP($C156&amp;L162,downloads!$A$1:$E$1000,2,FALSE),"")</f>
        <v/>
      </c>
      <c r="N162" s="64" t="str">
        <f t="shared" si="29"/>
        <v/>
      </c>
      <c r="O162" s="394"/>
      <c r="P162" s="147" t="str">
        <f>IFERROR(IF(OR(O162="",O162=0,O162&gt;A165),"",VLOOKUP(O162,A157:B165,2,TRUE)),9)</f>
        <v/>
      </c>
      <c r="R162" s="66">
        <f ca="1">IFERROR(IF(OR(E162=0,E162="",H162=0,H162="",$R157&lt;&gt;0,LEFT(H162,1)="D"),0,VLOOKUP(D162,INDIRECT(MatchDay!$W$2),2,FALSE)),"")</f>
        <v>0</v>
      </c>
      <c r="S162" s="66">
        <f ca="1">IFERROR(IF(OR(L162=0,L162="",O162=0,O162="",$R157&lt;&gt;0,LEFT(O162,1)="D"),0,VLOOKUP(K162,INDIRECT(MatchDay!$W$2),3,FALSE)),"")</f>
        <v>0</v>
      </c>
    </row>
    <row r="163" spans="1:22" x14ac:dyDescent="0.35">
      <c r="A163" s="105">
        <f>IFERROR(VLOOKUP(C156,standards,5,FALSE),"-")</f>
        <v>14</v>
      </c>
      <c r="B163" s="419">
        <v>3</v>
      </c>
      <c r="C163" s="105"/>
      <c r="D163" s="104">
        <v>6</v>
      </c>
      <c r="E163" s="107">
        <v>1</v>
      </c>
      <c r="F163" s="421" t="str">
        <f>IFERROR(VLOOKUP($C156&amp;E163,downloads!$A$1:$E$1000,2,FALSE),"")</f>
        <v>Freya MASON</v>
      </c>
      <c r="G163" s="64" t="str">
        <f t="shared" si="28"/>
        <v>C&amp;N</v>
      </c>
      <c r="H163" s="389">
        <v>17</v>
      </c>
      <c r="I163" s="147" t="str">
        <f>IFERROR(IF(OR(H163="",H163=0,H163&gt;A165),"",VLOOKUP(H163,A157:B165,2,TRUE)),9)</f>
        <v/>
      </c>
      <c r="J163" s="67"/>
      <c r="K163" s="104">
        <v>6</v>
      </c>
      <c r="L163" s="248"/>
      <c r="M163" s="421" t="str">
        <f>IFERROR(VLOOKUP($C156&amp;L163,downloads!$A$1:$E$1000,2,FALSE),"")</f>
        <v/>
      </c>
      <c r="N163" s="64" t="str">
        <f t="shared" si="29"/>
        <v/>
      </c>
      <c r="O163" s="394"/>
      <c r="P163" s="147" t="str">
        <f>IFERROR(IF(OR(O163="",O163=0,O163&gt;A165),"",VLOOKUP(O163,A157:B165,2,TRUE)),9)</f>
        <v/>
      </c>
      <c r="R163" s="66">
        <f ca="1">IFERROR(IF(OR(E163=0,E163="",H163=0,H163="",$R157&lt;&gt;0,LEFT(H163,1)="D"),0,VLOOKUP(D163,INDIRECT(MatchDay!$W$2),2,FALSE)),"")</f>
        <v>0</v>
      </c>
      <c r="S163" s="66">
        <f ca="1">IFERROR(IF(OR(L163=0,L163="",O163=0,O163="",$R157&lt;&gt;0,LEFT(O163,1)="D"),0,VLOOKUP(K163,INDIRECT(MatchDay!$W$2),3,FALSE)),"")</f>
        <v>0</v>
      </c>
    </row>
    <row r="164" spans="1:22" x14ac:dyDescent="0.35">
      <c r="A164" s="105">
        <f>IFERROR(VLOOKUP(C156,standards,4,FALSE),"-")</f>
        <v>14.4</v>
      </c>
      <c r="B164" s="419">
        <v>2</v>
      </c>
      <c r="C164" s="120">
        <f>IFERROR(SEARCH("U17",D156),0)</f>
        <v>0</v>
      </c>
      <c r="D164" s="104">
        <v>7</v>
      </c>
      <c r="E164" s="107"/>
      <c r="F164" s="421" t="str">
        <f>IFERROR(VLOOKUP($C156&amp;E164,downloads!$A$1:$E$1000,2,FALSE),"")</f>
        <v/>
      </c>
      <c r="G164" s="64" t="str">
        <f t="shared" si="28"/>
        <v/>
      </c>
      <c r="H164" s="389"/>
      <c r="I164" s="147" t="str">
        <f>IFERROR(IF(OR(H164="",H164=0,H164&gt;A165),"",VLOOKUP(H164,A157:B165,2,TRUE)),9)</f>
        <v/>
      </c>
      <c r="J164" s="67"/>
      <c r="K164" s="104">
        <v>7</v>
      </c>
      <c r="L164" s="248"/>
      <c r="M164" s="421" t="str">
        <f>IFERROR(VLOOKUP($C156&amp;L164,downloads!$A$1:$E$1000,2,FALSE),"")</f>
        <v/>
      </c>
      <c r="N164" s="64" t="str">
        <f t="shared" si="29"/>
        <v/>
      </c>
      <c r="O164" s="394"/>
      <c r="P164" s="147" t="str">
        <f>IFERROR(IF(OR(O164="",O164=0,O164&gt;A165),"",VLOOKUP(O164,A157:B165,2,TRUE)),9)</f>
        <v/>
      </c>
      <c r="R164" s="66">
        <f ca="1">IFERROR(IF(OR(E164=0,E164="",H164=0,H164="",$R157&lt;&gt;0,LEFT(H164,1)="D"),0,VLOOKUP(D164,INDIRECT(MatchDay!$W$2),2,FALSE)),"")</f>
        <v>0</v>
      </c>
      <c r="S164" s="66">
        <f ca="1">IFERROR(IF(OR(L164=0,L164="",O164=0,O164="",$R157&lt;&gt;0,LEFT(O164,1)="D"),0,VLOOKUP(K164,INDIRECT(MatchDay!$W$2),3,FALSE)),"")</f>
        <v>0</v>
      </c>
    </row>
    <row r="165" spans="1:22" x14ac:dyDescent="0.35">
      <c r="A165" s="105">
        <f>IFERROR(VLOOKUP(C156,standards,3,FALSE),"-")</f>
        <v>14.8</v>
      </c>
      <c r="B165" s="419">
        <v>1</v>
      </c>
      <c r="C165" s="103">
        <f>IFERROR(VLOOKUP(C156,records,5,FALSE),"")</f>
        <v>11.97</v>
      </c>
      <c r="D165" s="104">
        <v>8</v>
      </c>
      <c r="E165" s="107"/>
      <c r="F165" s="421" t="str">
        <f>IFERROR(VLOOKUP($C156&amp;E165,downloads!$A$1:$E$1000,2,FALSE),"")</f>
        <v/>
      </c>
      <c r="G165" s="64" t="str">
        <f t="shared" si="28"/>
        <v/>
      </c>
      <c r="H165" s="389"/>
      <c r="I165" s="147" t="str">
        <f>IFERROR(IF(OR(H165="",H165=0,H165&gt;A165),"",VLOOKUP(H165,A157:B165,2,TRUE)),9)</f>
        <v/>
      </c>
      <c r="J165" s="67"/>
      <c r="K165" s="104">
        <v>8</v>
      </c>
      <c r="L165" s="248"/>
      <c r="M165" s="421" t="str">
        <f>IFERROR(VLOOKUP($C156&amp;L165,downloads!$A$1:$E$1000,2,FALSE),"")</f>
        <v/>
      </c>
      <c r="N165" s="64" t="str">
        <f t="shared" si="29"/>
        <v/>
      </c>
      <c r="O165" s="394"/>
      <c r="P165" s="147" t="str">
        <f>IFERROR(IF(OR(O165="",O165=0,O165&gt;A165),"",VLOOKUP(O165,A157:B165,2,TRUE)),9)</f>
        <v/>
      </c>
      <c r="R165" s="66">
        <f ca="1">IFERROR(IF(OR(E165=0,E165="",H165=0,H165="",$R157&lt;&gt;0,LEFT(H165,1)="D"),0,VLOOKUP(D165,INDIRECT(MatchDay!$W$2),2,FALSE)),"")</f>
        <v>0</v>
      </c>
      <c r="S165" s="66">
        <f ca="1">IFERROR(IF(OR(L165=0,L165="",O165=0,O165="",$R157&lt;&gt;0,LEFT(O165,1)="D"),0,VLOOKUP(K165,INDIRECT(MatchDay!$W$2),3,FALSE)),"")</f>
        <v>0</v>
      </c>
    </row>
    <row r="166" spans="1:22" x14ac:dyDescent="0.35">
      <c r="F166" s="407"/>
      <c r="H166" s="390"/>
      <c r="M166" s="407"/>
      <c r="O166" s="395"/>
    </row>
    <row r="167" spans="1:22" x14ac:dyDescent="0.35">
      <c r="C167" s="98" t="s">
        <v>47</v>
      </c>
      <c r="D167" s="99" t="str">
        <f>IFERROR(VLOOKUP(C167,timetables,2,FALSE)&amp;" "&amp;VLOOKUP(C167,timetables,3,FALSE)&amp;" A","")</f>
        <v>100m NS U15 Boys A</v>
      </c>
      <c r="E167" s="99"/>
      <c r="F167" s="407"/>
      <c r="G167" s="114" t="str">
        <f>IFERROR(IF(VLOOKUP($C167,timetables,8,FALSE)="W","Wind = ",""),"")</f>
        <v xml:space="preserve">Wind = </v>
      </c>
      <c r="H167" s="391"/>
      <c r="I167" s="106" t="str">
        <f>IFERROR(IF(OR(H169=0,H169=""),"",IF(H169&lt;C176,"REC",IF(H169=C176,"=Rec",""))),"")</f>
        <v/>
      </c>
      <c r="K167" s="101" t="str">
        <f>IFERROR(VLOOKUP(C167,timetables,2,FALSE)&amp;" "&amp;VLOOKUP(C167,timetables,3,FALSE)&amp;" B","")</f>
        <v>100m NS U15 Boys B</v>
      </c>
      <c r="L167" s="102"/>
      <c r="M167" s="407"/>
      <c r="N167" s="114" t="str">
        <f>IFERROR(IF(VLOOKUP($C167,timetables,8,FALSE)="W","Wind = ",""),"")</f>
        <v xml:space="preserve">Wind = </v>
      </c>
      <c r="O167" s="398"/>
      <c r="R167" s="66" t="s">
        <v>53</v>
      </c>
      <c r="S167" s="66" t="s">
        <v>54</v>
      </c>
    </row>
    <row r="168" spans="1:22" x14ac:dyDescent="0.35">
      <c r="A168" s="105">
        <f>IFERROR(VLOOKUP(C167,standards,11,FALSE),"-")</f>
        <v>11.7</v>
      </c>
      <c r="B168" s="419">
        <v>9</v>
      </c>
      <c r="C168" s="79"/>
      <c r="D168" s="45" t="s">
        <v>177</v>
      </c>
      <c r="E168" s="45" t="s">
        <v>141</v>
      </c>
      <c r="F168" s="422" t="s">
        <v>174</v>
      </c>
      <c r="G168" s="47" t="s">
        <v>175</v>
      </c>
      <c r="H168" s="392" t="s">
        <v>176</v>
      </c>
      <c r="I168" s="148" t="s">
        <v>1003</v>
      </c>
      <c r="J168" s="47"/>
      <c r="K168" s="45" t="s">
        <v>177</v>
      </c>
      <c r="L168" s="45" t="s">
        <v>141</v>
      </c>
      <c r="M168" s="422" t="s">
        <v>174</v>
      </c>
      <c r="N168" s="47" t="s">
        <v>175</v>
      </c>
      <c r="O168" s="392" t="s">
        <v>176</v>
      </c>
      <c r="P168" s="148" t="s">
        <v>1003</v>
      </c>
      <c r="R168" s="66">
        <f>IFERROR(SEARCH("NS",D167),0)</f>
        <v>6</v>
      </c>
      <c r="V168" s="67"/>
    </row>
    <row r="169" spans="1:22" x14ac:dyDescent="0.35">
      <c r="A169" s="105">
        <f>IFERROR(VLOOKUP(C167,standards,10,FALSE),"-")</f>
        <v>11.9</v>
      </c>
      <c r="B169" s="419">
        <v>8</v>
      </c>
      <c r="C169" s="138">
        <f>IFERROR(VLOOKUP(C167,Timetables!$A:$E,5,FALSE)-1,"")</f>
        <v>-1</v>
      </c>
      <c r="D169" s="104">
        <v>1</v>
      </c>
      <c r="E169" s="107">
        <v>44</v>
      </c>
      <c r="F169" s="421" t="str">
        <f>IFERROR(VLOOKUP($C167&amp;E169,downloads!$A$1:$E$1000,2,FALSE),"")</f>
        <v>Oliver STEWART</v>
      </c>
      <c r="G169" s="64" t="str">
        <f t="shared" ref="G169:G176" si="30">IFERROR(VLOOKUP(E169,teamlookup,5,FALSE),"")</f>
        <v>Macc</v>
      </c>
      <c r="H169" s="389">
        <v>14</v>
      </c>
      <c r="I169" s="147">
        <f>IFERROR(IF(OR(H169="",H169=0,H169&gt;A176),"",VLOOKUP(H169,A168:B176,2,TRUE)),9)</f>
        <v>2</v>
      </c>
      <c r="J169" s="67"/>
      <c r="K169" s="104">
        <v>1</v>
      </c>
      <c r="L169" s="248"/>
      <c r="M169" s="421" t="str">
        <f>IFERROR(VLOOKUP($C167&amp;L169,downloads!$A$1:$E$1000,2,FALSE),"")</f>
        <v/>
      </c>
      <c r="N169" s="64" t="str">
        <f t="shared" ref="N169:N176" si="31">IFERROR(VLOOKUP(L169,teamlookup,5,FALSE),"")</f>
        <v/>
      </c>
      <c r="O169" s="394"/>
      <c r="P169" s="147" t="str">
        <f>IFERROR(IF(OR(O169="",O169=0,O169&gt;A176),"",VLOOKUP(O169,A168:B176,2,TRUE)),9)</f>
        <v/>
      </c>
      <c r="R169" s="66">
        <f ca="1">IFERROR(IF(OR(E169=0,E169="",H169=0,H169="",$R168&lt;&gt;0,LEFT(H169,1)="D"),0,VLOOKUP(D169,INDIRECT(MatchDay!$W$2),2,FALSE)),"")</f>
        <v>0</v>
      </c>
      <c r="S169" s="66" t="str">
        <f ca="1">IFERROR(IF(OR(L169=0,L169="",#REF!=0,#REF!="",$R168&lt;&gt;0,LEFT(#REF!,1)="D"),0,VLOOKUP(K169,INDIRECT(MatchDay!$W$2),3,FALSE)),"")</f>
        <v/>
      </c>
      <c r="T169" s="168">
        <f>COUNTIF(E169,"&gt;0")</f>
        <v>1</v>
      </c>
      <c r="U169" s="66">
        <f>IFERROR(IF(E169&gt;88,1,0),0)</f>
        <v>0</v>
      </c>
    </row>
    <row r="170" spans="1:22" x14ac:dyDescent="0.35">
      <c r="A170" s="105">
        <f>IFERROR(VLOOKUP(C167,standards,9,FALSE),"-")</f>
        <v>12.1</v>
      </c>
      <c r="B170" s="419">
        <v>7</v>
      </c>
      <c r="C170" s="64">
        <v>0</v>
      </c>
      <c r="D170" s="104">
        <v>2</v>
      </c>
      <c r="E170" s="107">
        <v>4</v>
      </c>
      <c r="F170" s="421" t="str">
        <f>IFERROR(VLOOKUP($C167&amp;E170,downloads!$A$1:$E$1000,2,FALSE),"")</f>
        <v>Toby BROADRICK</v>
      </c>
      <c r="G170" s="64" t="str">
        <f t="shared" si="30"/>
        <v>Macc</v>
      </c>
      <c r="H170" s="389">
        <v>14.4</v>
      </c>
      <c r="I170" s="147" t="str">
        <f>IFERROR(IF(OR(H170="",H170=0,H170&gt;A176),"",VLOOKUP(H170,A168:B176,2,TRUE)),9)</f>
        <v/>
      </c>
      <c r="J170" s="67"/>
      <c r="K170" s="104">
        <v>2</v>
      </c>
      <c r="L170" s="248"/>
      <c r="M170" s="421" t="str">
        <f>IFERROR(VLOOKUP($C167&amp;L170,downloads!$A$1:$E$1000,2,FALSE),"")</f>
        <v/>
      </c>
      <c r="N170" s="64" t="str">
        <f t="shared" si="31"/>
        <v/>
      </c>
      <c r="O170" s="394"/>
      <c r="P170" s="147" t="str">
        <f>IFERROR(IF(OR(O170="",O170=0,O170&gt;A176),"",VLOOKUP(O170,A168:B176,2,TRUE)),9)</f>
        <v/>
      </c>
      <c r="R170" s="66">
        <f ca="1">IFERROR(IF(OR(E170=0,E170="",H170=0,H170="",$R168&lt;&gt;0,LEFT(H170,1)="D"),0,VLOOKUP(D170,INDIRECT(MatchDay!$W$2),2,FALSE)),"")</f>
        <v>0</v>
      </c>
      <c r="S170" s="66">
        <f ca="1">IFERROR(IF(OR(L170=0,L170="",O169=0,O169="",$R168&lt;&gt;0,LEFT(O169,1)="D"),0,VLOOKUP(K170,INDIRECT(MatchDay!$W$2),3,FALSE)),"")</f>
        <v>0</v>
      </c>
    </row>
    <row r="171" spans="1:22" x14ac:dyDescent="0.35">
      <c r="A171" s="105">
        <f>IFERROR(VLOOKUP(C167,standards,8,FALSE),"-")</f>
        <v>12.5</v>
      </c>
      <c r="B171" s="419">
        <v>6</v>
      </c>
      <c r="C171" s="105"/>
      <c r="D171" s="104">
        <v>3</v>
      </c>
      <c r="E171" s="107">
        <v>22</v>
      </c>
      <c r="F171" s="421" t="str">
        <f>IFERROR(VLOOKUP($C167&amp;E171,downloads!$A$1:$E$1000,2,FALSE),"")</f>
        <v/>
      </c>
      <c r="G171" s="64" t="str">
        <f t="shared" si="30"/>
        <v>ECHT</v>
      </c>
      <c r="H171" s="389">
        <v>16.899999999999999</v>
      </c>
      <c r="I171" s="147" t="str">
        <f>IFERROR(IF(OR(H171="",H171=0,H171&gt;A176),"",VLOOKUP(H171,A168:B176,2,TRUE)),9)</f>
        <v/>
      </c>
      <c r="J171" s="67"/>
      <c r="K171" s="104">
        <v>3</v>
      </c>
      <c r="L171" s="248"/>
      <c r="M171" s="421" t="str">
        <f>IFERROR(VLOOKUP($C167&amp;L171,downloads!$A$1:$E$1000,2,FALSE),"")</f>
        <v/>
      </c>
      <c r="N171" s="64" t="str">
        <f t="shared" si="31"/>
        <v/>
      </c>
      <c r="O171" s="394"/>
      <c r="P171" s="147" t="str">
        <f>IFERROR(IF(OR(O171="",O171=0,O171&gt;A176),"",VLOOKUP(O171,A168:B176,2,TRUE)),9)</f>
        <v/>
      </c>
      <c r="R171" s="66">
        <f ca="1">IFERROR(IF(OR(E171=0,E171="",H171=0,H171="",$R168&lt;&gt;0,LEFT(H171,1)="D"),0,VLOOKUP(D171,INDIRECT(MatchDay!$W$2),2,FALSE)),"")</f>
        <v>0</v>
      </c>
      <c r="S171" s="66">
        <f ca="1">IFERROR(IF(OR(L171=0,L171="",O171=0,O171="",$R168&lt;&gt;0,LEFT(O171,1)="D"),0,VLOOKUP(K171,INDIRECT(MatchDay!$W$2),3,FALSE)),"")</f>
        <v>0</v>
      </c>
    </row>
    <row r="172" spans="1:22" x14ac:dyDescent="0.35">
      <c r="A172" s="105">
        <f>IFERROR(VLOOKUP(C167,standards,7,FALSE),"-")</f>
        <v>12.7</v>
      </c>
      <c r="B172" s="419">
        <v>5</v>
      </c>
      <c r="C172" s="105"/>
      <c r="D172" s="104">
        <v>4</v>
      </c>
      <c r="E172" s="107"/>
      <c r="F172" s="421" t="str">
        <f>IFERROR(VLOOKUP($C167&amp;E172,downloads!$A$1:$E$1000,2,FALSE),"")</f>
        <v/>
      </c>
      <c r="G172" s="64" t="str">
        <f t="shared" si="30"/>
        <v/>
      </c>
      <c r="H172" s="389"/>
      <c r="I172" s="147" t="str">
        <f>IFERROR(IF(OR(H172="",H172=0,H172&gt;A176),"",VLOOKUP(H172,A168:B176,2,TRUE)),9)</f>
        <v/>
      </c>
      <c r="J172" s="67"/>
      <c r="K172" s="104">
        <v>4</v>
      </c>
      <c r="L172" s="248"/>
      <c r="M172" s="421" t="str">
        <f>IFERROR(VLOOKUP($C167&amp;L172,downloads!$A$1:$E$1000,2,FALSE),"")</f>
        <v/>
      </c>
      <c r="N172" s="64" t="str">
        <f t="shared" si="31"/>
        <v/>
      </c>
      <c r="O172" s="394"/>
      <c r="P172" s="147" t="str">
        <f>IFERROR(IF(OR(O172="",O172=0,O172&gt;A176),"",VLOOKUP(O172,A168:B176,2,TRUE)),9)</f>
        <v/>
      </c>
      <c r="R172" s="66">
        <f ca="1">IFERROR(IF(OR(E172=0,E172="",H172=0,H172="",$R168&lt;&gt;0,LEFT(H172,1)="D"),0,VLOOKUP(D172,INDIRECT(MatchDay!$W$2),2,FALSE)),"")</f>
        <v>0</v>
      </c>
      <c r="S172" s="66">
        <f ca="1">IFERROR(IF(OR(L172=0,L172="",O172=0,O172="",$R168&lt;&gt;0,LEFT(O172,1)="D"),0,VLOOKUP(K172,INDIRECT(MatchDay!$W$2),3,FALSE)),"")</f>
        <v>0</v>
      </c>
    </row>
    <row r="173" spans="1:22" x14ac:dyDescent="0.35">
      <c r="A173" s="105">
        <f>IFERROR(VLOOKUP(C167,standards,6,FALSE),"-")</f>
        <v>13</v>
      </c>
      <c r="B173" s="419">
        <v>4</v>
      </c>
      <c r="C173" s="105"/>
      <c r="D173" s="104">
        <v>5</v>
      </c>
      <c r="E173" s="107"/>
      <c r="F173" s="421" t="str">
        <f>IFERROR(VLOOKUP($C167&amp;E173,downloads!$A$1:$E$1000,2,FALSE),"")</f>
        <v/>
      </c>
      <c r="G173" s="64" t="str">
        <f t="shared" si="30"/>
        <v/>
      </c>
      <c r="H173" s="389"/>
      <c r="I173" s="147" t="str">
        <f>IFERROR(IF(OR(H173="",H173=0,H173&gt;A176),"",VLOOKUP(H173,A168:B176,2,TRUE)),9)</f>
        <v/>
      </c>
      <c r="J173" s="67"/>
      <c r="K173" s="104">
        <v>5</v>
      </c>
      <c r="L173" s="248"/>
      <c r="M173" s="421" t="str">
        <f>IFERROR(VLOOKUP($C167&amp;L173,downloads!$A$1:$E$1000,2,FALSE),"")</f>
        <v/>
      </c>
      <c r="N173" s="64" t="str">
        <f t="shared" si="31"/>
        <v/>
      </c>
      <c r="O173" s="394"/>
      <c r="P173" s="147" t="str">
        <f>IFERROR(IF(OR(O173="",O173=0,O173&gt;A176),"",VLOOKUP(O173,A168:B176,2,TRUE)),9)</f>
        <v/>
      </c>
      <c r="R173" s="66">
        <f ca="1">IFERROR(IF(OR(E173=0,E173="",H173=0,H173="",$R168&lt;&gt;0,LEFT(H173,1)="D"),0,VLOOKUP(D173,INDIRECT(MatchDay!$W$2),2,FALSE)),"")</f>
        <v>0</v>
      </c>
      <c r="S173" s="66">
        <f ca="1">IFERROR(IF(OR(L173=0,L173="",O173=0,O173="",$R168&lt;&gt;0,LEFT(O173,1)="D"),0,VLOOKUP(K173,INDIRECT(MatchDay!$W$2),3,FALSE)),"")</f>
        <v>0</v>
      </c>
    </row>
    <row r="174" spans="1:22" x14ac:dyDescent="0.35">
      <c r="A174" s="105">
        <f>IFERROR(VLOOKUP(C167,standards,5,FALSE),"-")</f>
        <v>13.4</v>
      </c>
      <c r="B174" s="419">
        <v>3</v>
      </c>
      <c r="C174" s="105"/>
      <c r="D174" s="104">
        <v>6</v>
      </c>
      <c r="E174" s="107"/>
      <c r="F174" s="421" t="str">
        <f>IFERROR(VLOOKUP($C167&amp;E174,downloads!$A$1:$E$1000,2,FALSE),"")</f>
        <v/>
      </c>
      <c r="G174" s="64" t="str">
        <f t="shared" si="30"/>
        <v/>
      </c>
      <c r="H174" s="389"/>
      <c r="I174" s="147" t="str">
        <f>IFERROR(IF(OR(H174="",H174=0,H174&gt;A176),"",VLOOKUP(H174,A168:B176,2,TRUE)),9)</f>
        <v/>
      </c>
      <c r="J174" s="67"/>
      <c r="K174" s="104">
        <v>6</v>
      </c>
      <c r="L174" s="248"/>
      <c r="M174" s="421" t="str">
        <f>IFERROR(VLOOKUP($C167&amp;L174,downloads!$A$1:$E$1000,2,FALSE),"")</f>
        <v/>
      </c>
      <c r="N174" s="64" t="str">
        <f t="shared" si="31"/>
        <v/>
      </c>
      <c r="O174" s="394"/>
      <c r="P174" s="147" t="str">
        <f>IFERROR(IF(OR(O174="",O174=0,O174&gt;A176),"",VLOOKUP(O174,A168:B176,2,TRUE)),9)</f>
        <v/>
      </c>
      <c r="R174" s="66">
        <f ca="1">IFERROR(IF(OR(E174=0,E174="",H174=0,H174="",$R168&lt;&gt;0,LEFT(H174,1)="D"),0,VLOOKUP(D174,INDIRECT(MatchDay!$W$2),2,FALSE)),"")</f>
        <v>0</v>
      </c>
      <c r="S174" s="66">
        <f ca="1">IFERROR(IF(OR(L174=0,L174="",O174=0,O174="",$R168&lt;&gt;0,LEFT(O174,1)="D"),0,VLOOKUP(K174,INDIRECT(MatchDay!$W$2),3,FALSE)),"")</f>
        <v>0</v>
      </c>
    </row>
    <row r="175" spans="1:22" x14ac:dyDescent="0.35">
      <c r="A175" s="105">
        <f>IFERROR(VLOOKUP(C167,standards,4,FALSE),"-")</f>
        <v>13.8</v>
      </c>
      <c r="B175" s="419">
        <v>2</v>
      </c>
      <c r="C175" s="120">
        <f>IFERROR(SEARCH("U17",D167),0)</f>
        <v>0</v>
      </c>
      <c r="D175" s="104">
        <v>7</v>
      </c>
      <c r="E175" s="107"/>
      <c r="F175" s="421" t="str">
        <f>IFERROR(VLOOKUP($C167&amp;E175,downloads!$A$1:$E$1000,2,FALSE),"")</f>
        <v/>
      </c>
      <c r="G175" s="64" t="str">
        <f t="shared" si="30"/>
        <v/>
      </c>
      <c r="H175" s="389"/>
      <c r="I175" s="147" t="str">
        <f>IFERROR(IF(OR(H175="",H175=0,H175&gt;A176),"",VLOOKUP(H175,A168:B176,2,TRUE)),9)</f>
        <v/>
      </c>
      <c r="J175" s="67"/>
      <c r="K175" s="104">
        <v>7</v>
      </c>
      <c r="L175" s="248"/>
      <c r="M175" s="421" t="str">
        <f>IFERROR(VLOOKUP($C167&amp;L175,downloads!$A$1:$E$1000,2,FALSE),"")</f>
        <v/>
      </c>
      <c r="N175" s="64" t="str">
        <f t="shared" si="31"/>
        <v/>
      </c>
      <c r="O175" s="394"/>
      <c r="P175" s="147" t="str">
        <f>IFERROR(IF(OR(O175="",O175=0,O175&gt;A176),"",VLOOKUP(O175,A168:B176,2,TRUE)),9)</f>
        <v/>
      </c>
      <c r="R175" s="66">
        <f ca="1">IFERROR(IF(OR(E175=0,E175="",H175=0,H175="",$R168&lt;&gt;0,LEFT(H175,1)="D"),0,VLOOKUP(D175,INDIRECT(MatchDay!$W$2),2,FALSE)),"")</f>
        <v>0</v>
      </c>
      <c r="S175" s="66">
        <f ca="1">IFERROR(IF(OR(L175=0,L175="",O175=0,O175="",$R168&lt;&gt;0,LEFT(O175,1)="D"),0,VLOOKUP(K175,INDIRECT(MatchDay!$W$2),3,FALSE)),"")</f>
        <v>0</v>
      </c>
    </row>
    <row r="176" spans="1:22" x14ac:dyDescent="0.35">
      <c r="A176" s="105">
        <f>IFERROR(VLOOKUP(C167,standards,3,FALSE),"-")</f>
        <v>14.2</v>
      </c>
      <c r="B176" s="419">
        <v>1</v>
      </c>
      <c r="C176" s="103">
        <f>IFERROR(VLOOKUP(C167,records,5,FALSE),"")</f>
        <v>11</v>
      </c>
      <c r="D176" s="104">
        <v>8</v>
      </c>
      <c r="E176" s="107"/>
      <c r="F176" s="421" t="str">
        <f>IFERROR(VLOOKUP($C167&amp;E176,downloads!$A$1:$E$1000,2,FALSE),"")</f>
        <v/>
      </c>
      <c r="G176" s="64" t="str">
        <f t="shared" si="30"/>
        <v/>
      </c>
      <c r="H176" s="389"/>
      <c r="I176" s="147" t="str">
        <f>IFERROR(IF(OR(H176="",H176=0,H176&gt;A176),"",VLOOKUP(H176,A168:B176,2,TRUE)),9)</f>
        <v/>
      </c>
      <c r="J176" s="67"/>
      <c r="K176" s="104">
        <v>8</v>
      </c>
      <c r="L176" s="248"/>
      <c r="M176" s="421" t="str">
        <f>IFERROR(VLOOKUP($C167&amp;L176,downloads!$A$1:$E$1000,2,FALSE),"")</f>
        <v/>
      </c>
      <c r="N176" s="64" t="str">
        <f t="shared" si="31"/>
        <v/>
      </c>
      <c r="O176" s="394"/>
      <c r="P176" s="147" t="str">
        <f>IFERROR(IF(OR(O176="",O176=0,O176&gt;A176),"",VLOOKUP(O176,A168:B176,2,TRUE)),9)</f>
        <v/>
      </c>
      <c r="R176" s="66">
        <f ca="1">IFERROR(IF(OR(E176=0,E176="",H176=0,H176="",$R168&lt;&gt;0,LEFT(H176,1)="D"),0,VLOOKUP(D176,INDIRECT(MatchDay!$W$2),2,FALSE)),"")</f>
        <v>0</v>
      </c>
      <c r="S176" s="66">
        <f ca="1">IFERROR(IF(OR(L176=0,L176="",O176=0,O176="",$R168&lt;&gt;0,LEFT(O176,1)="D"),0,VLOOKUP(K176,INDIRECT(MatchDay!$W$2),3,FALSE)),"")</f>
        <v>0</v>
      </c>
    </row>
    <row r="177" spans="1:22" x14ac:dyDescent="0.35">
      <c r="F177" s="407"/>
      <c r="H177" s="390"/>
      <c r="M177" s="407"/>
      <c r="O177" s="395"/>
    </row>
    <row r="178" spans="1:22" x14ac:dyDescent="0.35">
      <c r="C178" s="98" t="s">
        <v>48</v>
      </c>
      <c r="D178" s="99" t="str">
        <f>IFERROR(VLOOKUP(C178,timetables,2,FALSE)&amp;" "&amp;VLOOKUP(C178,timetables,3,FALSE)&amp;" A","")</f>
        <v>300m U15 Girls A</v>
      </c>
      <c r="E178" s="99"/>
      <c r="F178" s="407"/>
      <c r="G178" s="114" t="str">
        <f>IFERROR(IF(VLOOKUP($C178,timetables,8,FALSE)="W","Wind = ",""),"")</f>
        <v/>
      </c>
      <c r="H178" s="390"/>
      <c r="I178" s="106" t="str">
        <f>IFERROR(IF(OR(H180=0,H180=""),"",IF(H180&lt;C187,"REC",IF(H180=C187,"=Rec",""))),"")</f>
        <v/>
      </c>
      <c r="K178" s="101" t="str">
        <f>IFERROR(VLOOKUP(C178,timetables,2,FALSE)&amp;" "&amp;VLOOKUP(C178,timetables,3,FALSE)&amp;" B","")</f>
        <v>300m U15 Girls B</v>
      </c>
      <c r="L178" s="102"/>
      <c r="M178" s="407"/>
      <c r="N178" s="114" t="str">
        <f>IFERROR(IF(VLOOKUP($C178,timetables,8,FALSE)="W","Wind = ",""),"")</f>
        <v/>
      </c>
      <c r="O178" s="395"/>
      <c r="R178" s="66" t="s">
        <v>53</v>
      </c>
      <c r="S178" s="66" t="s">
        <v>54</v>
      </c>
    </row>
    <row r="179" spans="1:22" x14ac:dyDescent="0.35">
      <c r="A179" s="105">
        <f>IFERROR(VLOOKUP(C178,standards,11,FALSE),"-")</f>
        <v>42.4</v>
      </c>
      <c r="B179" s="419">
        <v>9</v>
      </c>
      <c r="C179" s="79"/>
      <c r="D179" s="45" t="s">
        <v>177</v>
      </c>
      <c r="E179" s="45" t="s">
        <v>141</v>
      </c>
      <c r="F179" s="422" t="s">
        <v>174</v>
      </c>
      <c r="G179" s="47" t="s">
        <v>175</v>
      </c>
      <c r="H179" s="392" t="s">
        <v>176</v>
      </c>
      <c r="I179" s="148" t="s">
        <v>1003</v>
      </c>
      <c r="J179" s="47"/>
      <c r="K179" s="45" t="s">
        <v>177</v>
      </c>
      <c r="L179" s="45" t="s">
        <v>141</v>
      </c>
      <c r="M179" s="422" t="s">
        <v>174</v>
      </c>
      <c r="N179" s="47" t="s">
        <v>175</v>
      </c>
      <c r="O179" s="392" t="s">
        <v>176</v>
      </c>
      <c r="P179" s="148" t="s">
        <v>1003</v>
      </c>
      <c r="R179" s="66">
        <f>IFERROR(SEARCH("NS",D178),0)</f>
        <v>0</v>
      </c>
      <c r="V179" s="67"/>
    </row>
    <row r="180" spans="1:22" x14ac:dyDescent="0.35">
      <c r="A180" s="105">
        <f>IFERROR(VLOOKUP(C178,standards,10,FALSE),"-")</f>
        <v>43</v>
      </c>
      <c r="B180" s="419">
        <v>8</v>
      </c>
      <c r="C180" s="138">
        <f>IFERROR(VLOOKUP(C178,Timetables!$A:$E,5,FALSE)-1,"")</f>
        <v>-1</v>
      </c>
      <c r="D180" s="104">
        <v>1</v>
      </c>
      <c r="E180" s="248">
        <v>3</v>
      </c>
      <c r="F180" s="421" t="str">
        <f>IFERROR(VLOOKUP($C178&amp;E180,downloads!$A$1:$E$1000,2,FALSE),"")</f>
        <v>Freya CASH</v>
      </c>
      <c r="G180" s="64" t="str">
        <f t="shared" ref="G180:G187" si="32">IFERROR(VLOOKUP(E180,teamlookup,5,FALSE),"")</f>
        <v>Leigh</v>
      </c>
      <c r="H180" s="389">
        <v>43.9</v>
      </c>
      <c r="I180" s="147">
        <f>IFERROR(IF(OR(H180="",H180=0,H180&gt;A187),"",VLOOKUP(H180,A179:B187,2,TRUE)),9)</f>
        <v>8</v>
      </c>
      <c r="J180" s="67"/>
      <c r="K180" s="104">
        <v>1</v>
      </c>
      <c r="L180" s="248">
        <v>33</v>
      </c>
      <c r="M180" s="421" t="str">
        <f>IFERROR(VLOOKUP($C178&amp;L180,downloads!$A$1:$E$1000,2,FALSE),"")</f>
        <v>Gabriella TAYLOR</v>
      </c>
      <c r="N180" s="64" t="str">
        <f t="shared" ref="N180:N187" si="33">IFERROR(VLOOKUP(L180,teamlookup,5,FALSE),"")</f>
        <v>Leigh</v>
      </c>
      <c r="O180" s="389">
        <v>46</v>
      </c>
      <c r="P180" s="147">
        <f>IFERROR(IF(OR(O180="",O180=0,O180&gt;A187),"",VLOOKUP(O180,A179:B187,2,TRUE)),9)</f>
        <v>6</v>
      </c>
      <c r="R180" s="66">
        <f ca="1">IFERROR(IF(OR(E180=0,E180="",H180=0,H180="",$R179&lt;&gt;0,LEFT(H180,1)="D"),0,VLOOKUP(D180,INDIRECT(MatchDay!$W$2),2,FALSE)),"")</f>
        <v>10</v>
      </c>
      <c r="S180" s="66">
        <f ca="1">IFERROR(IF(OR(L180=0,L180="",O180=0,O180="",$R179&lt;&gt;0,LEFT(O180,1)="D"),0,VLOOKUP(K180,INDIRECT(MatchDay!$W$2),3,FALSE)),"")</f>
        <v>8</v>
      </c>
      <c r="T180" s="168">
        <f>COUNTIF(E180,"&gt;0")</f>
        <v>1</v>
      </c>
      <c r="U180" s="66">
        <f>IFERROR(IF(E180&gt;88,1,0),0)</f>
        <v>0</v>
      </c>
    </row>
    <row r="181" spans="1:22" x14ac:dyDescent="0.35">
      <c r="A181" s="105">
        <f>IFERROR(VLOOKUP(C178,standards,9,FALSE),"-")</f>
        <v>44</v>
      </c>
      <c r="B181" s="419">
        <v>7</v>
      </c>
      <c r="C181" s="64">
        <v>0</v>
      </c>
      <c r="D181" s="104">
        <v>2</v>
      </c>
      <c r="E181" s="248">
        <v>5</v>
      </c>
      <c r="F181" s="421" t="str">
        <f>IFERROR(VLOOKUP($C178&amp;E181,downloads!$A$1:$E$1000,2,FALSE),"")</f>
        <v>Lily HARDY</v>
      </c>
      <c r="G181" s="64" t="str">
        <f t="shared" si="32"/>
        <v>Menai</v>
      </c>
      <c r="H181" s="389">
        <v>46.2</v>
      </c>
      <c r="I181" s="147">
        <f>IFERROR(IF(OR(H181="",H181=0,H181&gt;A187),"",VLOOKUP(H181,A179:B187,2,TRUE)),9)</f>
        <v>6</v>
      </c>
      <c r="J181" s="67"/>
      <c r="K181" s="104">
        <v>2</v>
      </c>
      <c r="L181" s="248">
        <v>77</v>
      </c>
      <c r="M181" s="421" t="str">
        <f>IFERROR(VLOOKUP($C178&amp;L181,downloads!$A$1:$E$1000,2,FALSE),"")</f>
        <v>Nour KHOLEIF</v>
      </c>
      <c r="N181" s="64" t="str">
        <f t="shared" si="33"/>
        <v>Wigan</v>
      </c>
      <c r="O181" s="389">
        <v>47.9</v>
      </c>
      <c r="P181" s="147">
        <f>IFERROR(IF(OR(O181="",O181=0,O181&gt;A187),"",VLOOKUP(O181,A179:B187,2,TRUE)),9)</f>
        <v>5</v>
      </c>
      <c r="R181" s="66">
        <f ca="1">IFERROR(IF(OR(E181=0,E181="",H181=0,H181="",$R179&lt;&gt;0,LEFT(H181,1)="D"),0,VLOOKUP(D181,INDIRECT(MatchDay!$W$2),2,FALSE)),"")</f>
        <v>8</v>
      </c>
      <c r="S181" s="66">
        <f ca="1">IFERROR(IF(OR(L181=0,L181="",O181=0,O181="",$R179&lt;&gt;0,LEFT(O181,1)="D"),0,VLOOKUP(K181,INDIRECT(MatchDay!$W$2),3,FALSE)),"")</f>
        <v>6</v>
      </c>
    </row>
    <row r="182" spans="1:22" x14ac:dyDescent="0.35">
      <c r="A182" s="105">
        <f>IFERROR(VLOOKUP(C178,standards,8,FALSE),"-")</f>
        <v>45.2</v>
      </c>
      <c r="B182" s="419">
        <v>6</v>
      </c>
      <c r="C182" s="105"/>
      <c r="D182" s="104">
        <v>3</v>
      </c>
      <c r="E182" s="248">
        <v>1</v>
      </c>
      <c r="F182" s="421" t="str">
        <f>IFERROR(VLOOKUP($C178&amp;E182,downloads!$A$1:$E$1000,2,FALSE),"")</f>
        <v>Olivia WELCH</v>
      </c>
      <c r="G182" s="64" t="str">
        <f t="shared" si="32"/>
        <v>C&amp;N</v>
      </c>
      <c r="H182" s="389">
        <v>47</v>
      </c>
      <c r="I182" s="147">
        <f>IFERROR(IF(OR(H182="",H182=0,H182&gt;A187),"",VLOOKUP(H182,A179:B187,2,TRUE)),9)</f>
        <v>5</v>
      </c>
      <c r="J182" s="67"/>
      <c r="K182" s="104">
        <v>3</v>
      </c>
      <c r="L182" s="248">
        <v>55</v>
      </c>
      <c r="M182" s="421" t="str">
        <f>IFERROR(VLOOKUP($C178&amp;L182,downloads!$A$1:$E$1000,2,FALSE),"")</f>
        <v>Hawys OWEN</v>
      </c>
      <c r="N182" s="64" t="str">
        <f t="shared" si="33"/>
        <v>Menai</v>
      </c>
      <c r="O182" s="389">
        <v>48.4</v>
      </c>
      <c r="P182" s="147">
        <f>IFERROR(IF(OR(O182="",O182=0,O182&gt;A187),"",VLOOKUP(O182,A179:B187,2,TRUE)),9)</f>
        <v>5</v>
      </c>
      <c r="R182" s="66">
        <f ca="1">IFERROR(IF(OR(E182=0,E182="",H182=0,H182="",$R179&lt;&gt;0,LEFT(H182,1)="D"),0,VLOOKUP(D182,INDIRECT(MatchDay!$W$2),2,FALSE)),"")</f>
        <v>7</v>
      </c>
      <c r="S182" s="66">
        <f ca="1">IFERROR(IF(OR(L182=0,L182="",O182=0,O182="",$R179&lt;&gt;0,LEFT(O182,1)="D"),0,VLOOKUP(K182,INDIRECT(MatchDay!$W$2),3,FALSE)),"")</f>
        <v>5</v>
      </c>
    </row>
    <row r="183" spans="1:22" x14ac:dyDescent="0.35">
      <c r="A183" s="105">
        <f>IFERROR(VLOOKUP(C178,standards,7,FALSE),"-")</f>
        <v>47</v>
      </c>
      <c r="B183" s="419">
        <v>5</v>
      </c>
      <c r="C183" s="105"/>
      <c r="D183" s="104">
        <v>4</v>
      </c>
      <c r="E183" s="248">
        <v>6</v>
      </c>
      <c r="F183" s="421" t="str">
        <f>IFERROR(VLOOKUP($C178&amp;E183,downloads!$A$1:$E$1000,2,FALSE),"")</f>
        <v>Lily TYLER</v>
      </c>
      <c r="G183" s="64" t="str">
        <f t="shared" si="32"/>
        <v>Stock</v>
      </c>
      <c r="H183" s="389">
        <v>48.4</v>
      </c>
      <c r="I183" s="147">
        <f>IFERROR(IF(OR(H183="",H183=0,H183&gt;A187),"",VLOOKUP(H183,A179:B187,2,TRUE)),9)</f>
        <v>5</v>
      </c>
      <c r="J183" s="67"/>
      <c r="K183" s="104">
        <v>4</v>
      </c>
      <c r="L183" s="248">
        <v>22</v>
      </c>
      <c r="M183" s="421" t="str">
        <f>IFERROR(VLOOKUP($C178&amp;L183,downloads!$A$1:$E$1000,2,FALSE),"")</f>
        <v>Anna ROOKE</v>
      </c>
      <c r="N183" s="64" t="str">
        <f t="shared" si="33"/>
        <v>ECHT</v>
      </c>
      <c r="O183" s="389">
        <v>50.7</v>
      </c>
      <c r="P183" s="147">
        <f>IFERROR(IF(OR(O183="",O183=0,O183&gt;A187),"",VLOOKUP(O183,A179:B187,2,TRUE)),9)</f>
        <v>4</v>
      </c>
      <c r="R183" s="66">
        <f ca="1">IFERROR(IF(OR(E183=0,E183="",H183=0,H183="",$R179&lt;&gt;0,LEFT(H183,1)="D"),0,VLOOKUP(D183,INDIRECT(MatchDay!$W$2),2,FALSE)),"")</f>
        <v>6</v>
      </c>
      <c r="S183" s="66">
        <f ca="1">IFERROR(IF(OR(L183=0,L183="",O183=0,O183="",$R179&lt;&gt;0,LEFT(O183,1)="D"),0,VLOOKUP(K183,INDIRECT(MatchDay!$W$2),3,FALSE)),"")</f>
        <v>4</v>
      </c>
    </row>
    <row r="184" spans="1:22" x14ac:dyDescent="0.35">
      <c r="A184" s="105">
        <f>IFERROR(VLOOKUP(C178,standards,6,FALSE),"-")</f>
        <v>49</v>
      </c>
      <c r="B184" s="419">
        <v>4</v>
      </c>
      <c r="C184" s="105"/>
      <c r="D184" s="104">
        <v>5</v>
      </c>
      <c r="E184" s="248">
        <v>2</v>
      </c>
      <c r="F184" s="421" t="str">
        <f>IFERROR(VLOOKUP($C178&amp;E184,downloads!$A$1:$E$1000,2,FALSE),"")</f>
        <v>Isla HERRING</v>
      </c>
      <c r="G184" s="64" t="str">
        <f t="shared" si="32"/>
        <v>ECHT</v>
      </c>
      <c r="H184" s="389">
        <v>49.1</v>
      </c>
      <c r="I184" s="147">
        <f>IFERROR(IF(OR(H184="",H184=0,H184&gt;A187),"",VLOOKUP(H184,A179:B187,2,TRUE)),9)</f>
        <v>4</v>
      </c>
      <c r="J184" s="67"/>
      <c r="K184" s="104">
        <v>5</v>
      </c>
      <c r="L184" s="248"/>
      <c r="M184" s="421" t="str">
        <f>IFERROR(VLOOKUP($C178&amp;L184,downloads!$A$1:$E$1000,2,FALSE),"")</f>
        <v/>
      </c>
      <c r="N184" s="64" t="str">
        <f t="shared" si="33"/>
        <v/>
      </c>
      <c r="O184" s="394"/>
      <c r="P184" s="147" t="str">
        <f>IFERROR(IF(OR(O184="",O184=0,O184&gt;A187),"",VLOOKUP(O184,A179:B187,2,TRUE)),9)</f>
        <v/>
      </c>
      <c r="R184" s="66">
        <f ca="1">IFERROR(IF(OR(E184=0,E184="",H184=0,H184="",$R179&lt;&gt;0,LEFT(H184,1)="D"),0,VLOOKUP(D184,INDIRECT(MatchDay!$W$2),2,FALSE)),"")</f>
        <v>5</v>
      </c>
      <c r="S184" s="66">
        <f ca="1">IFERROR(IF(OR(L184=0,L184="",O184=0,O184="",$R179&lt;&gt;0,LEFT(O184,1)="D"),0,VLOOKUP(K184,INDIRECT(MatchDay!$W$2),3,FALSE)),"")</f>
        <v>0</v>
      </c>
    </row>
    <row r="185" spans="1:22" x14ac:dyDescent="0.35">
      <c r="A185" s="105">
        <f>IFERROR(VLOOKUP(C178,standards,5,FALSE),"-")</f>
        <v>51</v>
      </c>
      <c r="B185" s="419">
        <v>3</v>
      </c>
      <c r="C185" s="105"/>
      <c r="D185" s="104">
        <v>6</v>
      </c>
      <c r="E185" s="107">
        <v>7</v>
      </c>
      <c r="F185" s="421" t="str">
        <f>IFERROR(VLOOKUP($C178&amp;E185,downloads!$A$1:$E$1000,2,FALSE),"")</f>
        <v>Katie BONNER</v>
      </c>
      <c r="G185" s="64" t="str">
        <f t="shared" si="32"/>
        <v>Wigan</v>
      </c>
      <c r="H185" s="389">
        <v>50.4</v>
      </c>
      <c r="I185" s="147">
        <f>IFERROR(IF(OR(H185="",H185=0,H185&gt;A187),"",VLOOKUP(H185,A179:B187,2,TRUE)),9)</f>
        <v>4</v>
      </c>
      <c r="J185" s="67"/>
      <c r="K185" s="104">
        <v>6</v>
      </c>
      <c r="L185" s="248"/>
      <c r="M185" s="421" t="str">
        <f>IFERROR(VLOOKUP($C178&amp;L185,downloads!$A$1:$E$1000,2,FALSE),"")</f>
        <v/>
      </c>
      <c r="N185" s="64" t="str">
        <f t="shared" si="33"/>
        <v/>
      </c>
      <c r="O185" s="393"/>
      <c r="P185" s="147" t="str">
        <f>IFERROR(IF(OR(O185="",O185=0,O185&gt;A187),"",VLOOKUP(O185,A179:B187,2,TRUE)),9)</f>
        <v/>
      </c>
      <c r="R185" s="66">
        <f ca="1">IFERROR(IF(OR(E185=0,E185="",H185=0,H185="",$R179&lt;&gt;0,LEFT(H185,1)="D"),0,VLOOKUP(D185,INDIRECT(MatchDay!$W$2),2,FALSE)),"")</f>
        <v>4</v>
      </c>
      <c r="S185" s="66">
        <f ca="1">IFERROR(IF(OR(L185=0,L185="",O185=0,O185="",$R179&lt;&gt;0,LEFT(O185,1)="D"),0,VLOOKUP(K185,INDIRECT(MatchDay!$W$2),3,FALSE)),"")</f>
        <v>0</v>
      </c>
    </row>
    <row r="186" spans="1:22" x14ac:dyDescent="0.35">
      <c r="A186" s="105">
        <f>IFERROR(VLOOKUP(C178,standards,4,FALSE),"-")</f>
        <v>53</v>
      </c>
      <c r="B186" s="419">
        <v>2</v>
      </c>
      <c r="C186" s="120">
        <f>IFERROR(SEARCH("U17",D178),0)</f>
        <v>0</v>
      </c>
      <c r="D186" s="104">
        <v>7</v>
      </c>
      <c r="E186" s="107"/>
      <c r="F186" s="421" t="str">
        <f>IFERROR(VLOOKUP($C178&amp;E186,downloads!$A$1:$E$1000,2,FALSE),"")</f>
        <v/>
      </c>
      <c r="G186" s="64" t="str">
        <f t="shared" si="32"/>
        <v/>
      </c>
      <c r="H186" s="393"/>
      <c r="I186" s="147" t="str">
        <f>IFERROR(IF(OR(H186="",H186=0,H186&gt;A187),"",VLOOKUP(H186,A179:B187,2,TRUE)),9)</f>
        <v/>
      </c>
      <c r="J186" s="67"/>
      <c r="K186" s="104">
        <v>7</v>
      </c>
      <c r="L186" s="248"/>
      <c r="M186" s="421" t="str">
        <f>IFERROR(VLOOKUP($C178&amp;L186,downloads!$A$1:$E$1000,2,FALSE),"")</f>
        <v/>
      </c>
      <c r="N186" s="64" t="str">
        <f t="shared" si="33"/>
        <v/>
      </c>
      <c r="O186" s="393"/>
      <c r="P186" s="147" t="str">
        <f>IFERROR(IF(OR(O186="",O186=0,O186&gt;A187),"",VLOOKUP(O186,A179:B187,2,TRUE)),9)</f>
        <v/>
      </c>
      <c r="R186" s="66">
        <f ca="1">IFERROR(IF(OR(E186=0,E186="",H186=0,H186="",$R179&lt;&gt;0,LEFT(H186,1)="D"),0,VLOOKUP(D186,INDIRECT(MatchDay!$W$2),2,FALSE)),"")</f>
        <v>0</v>
      </c>
      <c r="S186" s="66">
        <f ca="1">IFERROR(IF(OR(L186=0,L186="",O186=0,O186="",$R179&lt;&gt;0,LEFT(O186,1)="D"),0,VLOOKUP(K186,INDIRECT(MatchDay!$W$2),3,FALSE)),"")</f>
        <v>0</v>
      </c>
    </row>
    <row r="187" spans="1:22" x14ac:dyDescent="0.35">
      <c r="A187" s="105">
        <f>IFERROR(VLOOKUP(C178,standards,3,FALSE),"-")</f>
        <v>55</v>
      </c>
      <c r="B187" s="419">
        <v>1</v>
      </c>
      <c r="C187" s="103">
        <f>IFERROR(VLOOKUP(C178,records,5,FALSE),"")</f>
        <v>40.11</v>
      </c>
      <c r="D187" s="104">
        <v>8</v>
      </c>
      <c r="E187" s="107"/>
      <c r="F187" s="421" t="str">
        <f>IFERROR(VLOOKUP($C178&amp;E187,downloads!$A$1:$E$1000,2,FALSE),"")</f>
        <v/>
      </c>
      <c r="G187" s="64" t="str">
        <f t="shared" si="32"/>
        <v/>
      </c>
      <c r="H187" s="389"/>
      <c r="I187" s="147" t="str">
        <f>IFERROR(IF(OR(H187="",H187=0,H187&gt;A187),"",VLOOKUP(H187,A179:B187,2,TRUE)),9)</f>
        <v/>
      </c>
      <c r="J187" s="67"/>
      <c r="K187" s="104">
        <v>8</v>
      </c>
      <c r="L187" s="248"/>
      <c r="M187" s="421" t="str">
        <f>IFERROR(VLOOKUP($C178&amp;L187,downloads!$A$1:$E$1000,2,FALSE),"")</f>
        <v/>
      </c>
      <c r="N187" s="64" t="str">
        <f t="shared" si="33"/>
        <v/>
      </c>
      <c r="O187" s="394"/>
      <c r="P187" s="147" t="str">
        <f>IFERROR(IF(OR(O187="",O187=0,O187&gt;A187),"",VLOOKUP(O187,A179:B187,2,TRUE)),9)</f>
        <v/>
      </c>
      <c r="R187" s="66">
        <f ca="1">IFERROR(IF(OR(E187=0,E187="",H187=0,H187="",$R179&lt;&gt;0,LEFT(H187,1)="D"),0,VLOOKUP(D187,INDIRECT(MatchDay!$W$2),2,FALSE)),"")</f>
        <v>0</v>
      </c>
      <c r="S187" s="66">
        <f ca="1">IFERROR(IF(OR(L187=0,L187="",O187=0,O187="",$R179&lt;&gt;0,LEFT(O187,1)="D"),0,VLOOKUP(K187,INDIRECT(MatchDay!$W$2),3,FALSE)),"")</f>
        <v>0</v>
      </c>
    </row>
    <row r="188" spans="1:22" x14ac:dyDescent="0.35">
      <c r="F188" s="407"/>
      <c r="H188" s="390"/>
      <c r="M188" s="407"/>
      <c r="O188" s="395"/>
    </row>
    <row r="189" spans="1:22" x14ac:dyDescent="0.35">
      <c r="C189" s="98" t="s">
        <v>356</v>
      </c>
      <c r="D189" s="99" t="str">
        <f>IFERROR(VLOOKUP(C189,timetables,2,FALSE)&amp;" "&amp;VLOOKUP(C189,timetables,3,FALSE)&amp;" A","")</f>
        <v>300m U15 Boys A</v>
      </c>
      <c r="E189" s="99"/>
      <c r="F189" s="407"/>
      <c r="G189" s="114" t="str">
        <f>IFERROR(IF(VLOOKUP($C189,timetables,8,FALSE)="W","Wind = ",""),"")</f>
        <v/>
      </c>
      <c r="H189" s="390"/>
      <c r="I189" s="106" t="str">
        <f>IFERROR(IF(OR(H191=0,H191=""),"",IF(H191&lt;C198,"REC",IF(H191=C198,"=Rec",""))),"")</f>
        <v/>
      </c>
      <c r="K189" s="101" t="str">
        <f>IFERROR(VLOOKUP(C189,timetables,2,FALSE)&amp;" "&amp;VLOOKUP(C189,timetables,3,FALSE)&amp;" B","")</f>
        <v>300m U15 Boys B</v>
      </c>
      <c r="L189" s="102"/>
      <c r="M189" s="407"/>
      <c r="N189" s="114" t="str">
        <f>IFERROR(IF(VLOOKUP($C189,timetables,8,FALSE)="W","Wind = ",""),"")</f>
        <v/>
      </c>
      <c r="O189" s="395"/>
      <c r="R189" s="66" t="s">
        <v>53</v>
      </c>
      <c r="S189" s="66" t="s">
        <v>54</v>
      </c>
    </row>
    <row r="190" spans="1:22" x14ac:dyDescent="0.35">
      <c r="A190" s="105">
        <f>IFERROR(VLOOKUP(C189,standards,11,FALSE),"-")</f>
        <v>38.700000000000003</v>
      </c>
      <c r="B190" s="419">
        <v>9</v>
      </c>
      <c r="C190" s="79"/>
      <c r="D190" s="45" t="s">
        <v>177</v>
      </c>
      <c r="E190" s="45" t="s">
        <v>141</v>
      </c>
      <c r="F190" s="422" t="s">
        <v>174</v>
      </c>
      <c r="G190" s="47" t="s">
        <v>175</v>
      </c>
      <c r="H190" s="392" t="s">
        <v>176</v>
      </c>
      <c r="I190" s="148" t="s">
        <v>1003</v>
      </c>
      <c r="J190" s="47"/>
      <c r="K190" s="45" t="s">
        <v>177</v>
      </c>
      <c r="L190" s="45" t="s">
        <v>141</v>
      </c>
      <c r="M190" s="422" t="s">
        <v>174</v>
      </c>
      <c r="N190" s="47" t="s">
        <v>175</v>
      </c>
      <c r="O190" s="392" t="s">
        <v>176</v>
      </c>
      <c r="P190" s="148" t="s">
        <v>1003</v>
      </c>
      <c r="R190" s="66">
        <f>IFERROR(SEARCH("NS",D189),0)</f>
        <v>0</v>
      </c>
      <c r="V190" s="67"/>
    </row>
    <row r="191" spans="1:22" x14ac:dyDescent="0.35">
      <c r="A191" s="105">
        <f>IFERROR(VLOOKUP(C189,standards,10,FALSE),"-")</f>
        <v>39.5</v>
      </c>
      <c r="B191" s="419">
        <v>8</v>
      </c>
      <c r="C191" s="138">
        <f>IFERROR(VLOOKUP(C189,Timetables!$A:$E,5,FALSE)-1,"")</f>
        <v>-1</v>
      </c>
      <c r="D191" s="104">
        <v>1</v>
      </c>
      <c r="E191" s="107">
        <v>7</v>
      </c>
      <c r="F191" s="421" t="str">
        <f>IFERROR(VLOOKUP($C189&amp;E191,downloads!$A$1:$E$1000,2,FALSE),"")</f>
        <v>Joshua ROBERTS</v>
      </c>
      <c r="G191" s="64" t="str">
        <f t="shared" ref="G191:G198" si="34">IFERROR(VLOOKUP(E191,teamlookup,5,FALSE),"")</f>
        <v>Wigan</v>
      </c>
      <c r="H191" s="389">
        <v>44.2</v>
      </c>
      <c r="I191" s="147">
        <f>IFERROR(IF(OR(H191="",H191=0,H191&gt;A198),"",VLOOKUP(H191,A190:B198,2,TRUE)),9)</f>
        <v>5</v>
      </c>
      <c r="J191" s="67"/>
      <c r="K191" s="104">
        <v>1</v>
      </c>
      <c r="L191" s="248">
        <v>66</v>
      </c>
      <c r="M191" s="421" t="str">
        <f>IFERROR(VLOOKUP($C189&amp;L191,downloads!$A$1:$E$1000,2,FALSE),"")</f>
        <v>Joshua KANDA</v>
      </c>
      <c r="N191" s="64" t="str">
        <f t="shared" ref="N191:N198" si="35">IFERROR(VLOOKUP(L191,teamlookup,5,FALSE),"")</f>
        <v>Stock</v>
      </c>
      <c r="O191" s="394">
        <v>44.7</v>
      </c>
      <c r="P191" s="147">
        <f>IFERROR(IF(OR(O191="",O191=0,O191&gt;A198),"",VLOOKUP(O191,A190:B198,2,TRUE)),9)</f>
        <v>5</v>
      </c>
      <c r="R191" s="66">
        <f ca="1">IFERROR(IF(OR(E191=0,E191="",H191=0,H191="",$R190&lt;&gt;0,LEFT(H191,1)="D"),0,VLOOKUP(D191,INDIRECT(MatchDay!$W$2),2,FALSE)),"")</f>
        <v>10</v>
      </c>
      <c r="S191" s="66">
        <f ca="1">IFERROR(IF(OR(L191=0,L191="",O191=0,O191="",$R190&lt;&gt;0,LEFT(O191,1)="D"),0,VLOOKUP(K191,INDIRECT(MatchDay!$W$2),3,FALSE)),"")</f>
        <v>8</v>
      </c>
      <c r="T191" s="168">
        <f>COUNTIF(E191,"&gt;0")</f>
        <v>1</v>
      </c>
      <c r="U191" s="66">
        <f>IFERROR(IF(E191&gt;88,1,0),0)</f>
        <v>0</v>
      </c>
    </row>
    <row r="192" spans="1:22" x14ac:dyDescent="0.35">
      <c r="A192" s="105">
        <f>IFERROR(VLOOKUP(C189,standards,9,FALSE),"-")</f>
        <v>40.5</v>
      </c>
      <c r="B192" s="419">
        <v>7</v>
      </c>
      <c r="C192" s="64">
        <v>0</v>
      </c>
      <c r="D192" s="104">
        <v>2</v>
      </c>
      <c r="E192" s="107">
        <v>2</v>
      </c>
      <c r="F192" s="421" t="str">
        <f>IFERROR(VLOOKUP($C189&amp;E192,downloads!$A$1:$E$1000,2,FALSE),"")</f>
        <v>Alfie MANSER</v>
      </c>
      <c r="G192" s="64" t="str">
        <f t="shared" si="34"/>
        <v>ECHT</v>
      </c>
      <c r="H192" s="389">
        <v>45.8</v>
      </c>
      <c r="I192" s="147">
        <f>IFERROR(IF(OR(H192="",H192=0,H192&gt;A198),"",VLOOKUP(H192,A190:B198,2,TRUE)),9)</f>
        <v>4</v>
      </c>
      <c r="J192" s="67"/>
      <c r="K192" s="104">
        <v>2</v>
      </c>
      <c r="L192" s="248">
        <v>22</v>
      </c>
      <c r="M192" s="421" t="str">
        <f>IFERROR(VLOOKUP($C189&amp;L192,downloads!$A$1:$E$1000,2,FALSE),"")</f>
        <v>Sebastian STEWART</v>
      </c>
      <c r="N192" s="64" t="str">
        <f t="shared" si="35"/>
        <v>ECHT</v>
      </c>
      <c r="O192" s="394">
        <v>47.2</v>
      </c>
      <c r="P192" s="147">
        <f>IFERROR(IF(OR(O192="",O192=0,O192&gt;A198),"",VLOOKUP(O192,A190:B198,2,TRUE)),9)</f>
        <v>3</v>
      </c>
      <c r="R192" s="66">
        <f ca="1">IFERROR(IF(OR(E192=0,E192="",H192=0,H192="",$R190&lt;&gt;0,LEFT(H192,1)="D"),0,VLOOKUP(D192,INDIRECT(MatchDay!$W$2),2,FALSE)),"")</f>
        <v>8</v>
      </c>
      <c r="S192" s="66">
        <f ca="1">IFERROR(IF(OR(L192=0,L192="",O192=0,O192="",$R190&lt;&gt;0,LEFT(O192,1)="D"),0,VLOOKUP(K192,INDIRECT(MatchDay!$W$2),3,FALSE)),"")</f>
        <v>6</v>
      </c>
    </row>
    <row r="193" spans="1:24" x14ac:dyDescent="0.35">
      <c r="A193" s="105">
        <f>IFERROR(VLOOKUP(C189,standards,8,FALSE),"-")</f>
        <v>41.5</v>
      </c>
      <c r="B193" s="419">
        <v>6</v>
      </c>
      <c r="C193" s="105"/>
      <c r="D193" s="104">
        <v>3</v>
      </c>
      <c r="E193" s="107">
        <v>6</v>
      </c>
      <c r="F193" s="421" t="str">
        <f>IFERROR(VLOOKUP($C189&amp;E193,downloads!$A$1:$E$1000,2,FALSE),"")</f>
        <v>Arthur WOLSTENHOLME</v>
      </c>
      <c r="G193" s="64" t="str">
        <f t="shared" si="34"/>
        <v>Stock</v>
      </c>
      <c r="H193" s="389">
        <v>46.3</v>
      </c>
      <c r="I193" s="147">
        <f>IFERROR(IF(OR(H193="",H193=0,H193&gt;A198),"",VLOOKUP(H193,A190:B198,2,TRUE)),9)</f>
        <v>4</v>
      </c>
      <c r="J193" s="67"/>
      <c r="K193" s="104">
        <v>3</v>
      </c>
      <c r="L193" s="248">
        <v>11</v>
      </c>
      <c r="M193" s="421" t="str">
        <f>IFERROR(VLOOKUP($C189&amp;L193,downloads!$A$1:$E$1000,2,FALSE),"")</f>
        <v>Sam FIRMAN</v>
      </c>
      <c r="N193" s="64" t="str">
        <f t="shared" si="35"/>
        <v>C&amp;N</v>
      </c>
      <c r="O193" s="393">
        <v>51.2</v>
      </c>
      <c r="P193" s="147" t="str">
        <f>IFERROR(IF(OR(O193="",O193=0,O193&gt;A198),"",VLOOKUP(O193,A190:B198,2,TRUE)),9)</f>
        <v/>
      </c>
      <c r="R193" s="66">
        <f ca="1">IFERROR(IF(OR(E193=0,E193="",H193=0,H193="",$R190&lt;&gt;0,LEFT(H193,1)="D"),0,VLOOKUP(D193,INDIRECT(MatchDay!$W$2),2,FALSE)),"")</f>
        <v>7</v>
      </c>
      <c r="S193" s="66">
        <f ca="1">IFERROR(IF(OR(L193=0,L193="",O193=0,O193="",$R190&lt;&gt;0,LEFT(O193,1)="D"),0,VLOOKUP(K193,INDIRECT(MatchDay!$W$2),3,FALSE)),"")</f>
        <v>5</v>
      </c>
    </row>
    <row r="194" spans="1:24" x14ac:dyDescent="0.35">
      <c r="A194" s="105">
        <f>IFERROR(VLOOKUP(C189,standards,7,FALSE),"-")</f>
        <v>43</v>
      </c>
      <c r="B194" s="419">
        <v>5</v>
      </c>
      <c r="C194" s="105"/>
      <c r="D194" s="104">
        <v>4</v>
      </c>
      <c r="E194" s="107">
        <v>5</v>
      </c>
      <c r="F194" s="421" t="str">
        <f>IFERROR(VLOOKUP($C189&amp;E194,downloads!$A$1:$E$1000,2,FALSE),"")</f>
        <v>Alex BAYNHAM</v>
      </c>
      <c r="G194" s="64" t="str">
        <f t="shared" si="34"/>
        <v>Menai</v>
      </c>
      <c r="H194" s="393">
        <v>46.6</v>
      </c>
      <c r="I194" s="147">
        <f>IFERROR(IF(OR(H194="",H194=0,H194&gt;A198),"",VLOOKUP(H194,A190:B198,2,TRUE)),9)</f>
        <v>4</v>
      </c>
      <c r="J194" s="67"/>
      <c r="K194" s="104">
        <v>4</v>
      </c>
      <c r="L194" s="248"/>
      <c r="M194" s="421" t="str">
        <f>IFERROR(VLOOKUP($C189&amp;L194,downloads!$A$1:$E$1000,2,FALSE),"")</f>
        <v/>
      </c>
      <c r="N194" s="64" t="str">
        <f t="shared" si="35"/>
        <v/>
      </c>
      <c r="O194" s="393"/>
      <c r="P194" s="147" t="str">
        <f>IFERROR(IF(OR(O194="",O194=0,O194&gt;A198),"",VLOOKUP(O194,A190:B198,2,TRUE)),9)</f>
        <v/>
      </c>
      <c r="R194" s="66">
        <f ca="1">IFERROR(IF(OR(E194=0,E194="",H194=0,H194="",$R190&lt;&gt;0,LEFT(H194,1)="D"),0,VLOOKUP(D194,INDIRECT(MatchDay!$W$2),2,FALSE)),"")</f>
        <v>6</v>
      </c>
      <c r="S194" s="66">
        <f ca="1">IFERROR(IF(OR(L194=0,L194="",O194=0,O194="",$R190&lt;&gt;0,LEFT(O194,1)="D"),0,VLOOKUP(K194,INDIRECT(MatchDay!$W$2),3,FALSE)),"")</f>
        <v>0</v>
      </c>
    </row>
    <row r="195" spans="1:24" x14ac:dyDescent="0.35">
      <c r="A195" s="105">
        <f>IFERROR(VLOOKUP(C189,standards,6,FALSE),"-")</f>
        <v>45</v>
      </c>
      <c r="B195" s="419">
        <v>4</v>
      </c>
      <c r="C195" s="105"/>
      <c r="D195" s="104">
        <v>5</v>
      </c>
      <c r="E195" s="107">
        <v>3</v>
      </c>
      <c r="F195" s="421" t="str">
        <f>IFERROR(VLOOKUP($C189&amp;E195,downloads!$A$1:$E$1000,2,FALSE),"")</f>
        <v>Archer GILDART</v>
      </c>
      <c r="G195" s="64" t="str">
        <f t="shared" si="34"/>
        <v>Leigh</v>
      </c>
      <c r="H195" s="393">
        <v>46.8</v>
      </c>
      <c r="I195" s="147">
        <f>IFERROR(IF(OR(H195="",H195=0,H195&gt;A198),"",VLOOKUP(H195,A190:B198,2,TRUE)),9)</f>
        <v>4</v>
      </c>
      <c r="J195" s="67"/>
      <c r="K195" s="104">
        <v>5</v>
      </c>
      <c r="L195" s="248"/>
      <c r="M195" s="421" t="str">
        <f>IFERROR(VLOOKUP($C189&amp;L195,downloads!$A$1:$E$1000,2,FALSE),"")</f>
        <v/>
      </c>
      <c r="N195" s="64" t="str">
        <f t="shared" si="35"/>
        <v/>
      </c>
      <c r="O195" s="393"/>
      <c r="P195" s="147" t="str">
        <f>IFERROR(IF(OR(O195="",O195=0,O195&gt;A198),"",VLOOKUP(O195,A190:B198,2,TRUE)),9)</f>
        <v/>
      </c>
      <c r="R195" s="66">
        <f ca="1">IFERROR(IF(OR(E195=0,E195="",H195=0,H195="",$R190&lt;&gt;0,LEFT(H195,1)="D"),0,VLOOKUP(D195,INDIRECT(MatchDay!$W$2),2,FALSE)),"")</f>
        <v>5</v>
      </c>
      <c r="S195" s="66">
        <f ca="1">IFERROR(IF(OR(L195=0,L195="",O195=0,O195="",$R190&lt;&gt;0,LEFT(O195,1)="D"),0,VLOOKUP(K195,INDIRECT(MatchDay!$W$2),3,FALSE)),"")</f>
        <v>0</v>
      </c>
    </row>
    <row r="196" spans="1:24" x14ac:dyDescent="0.35">
      <c r="A196" s="105">
        <f>IFERROR(VLOOKUP(C189,standards,5,FALSE),"-")</f>
        <v>47</v>
      </c>
      <c r="B196" s="419">
        <v>3</v>
      </c>
      <c r="C196" s="105"/>
      <c r="D196" s="104">
        <v>6</v>
      </c>
      <c r="E196" s="107">
        <v>1</v>
      </c>
      <c r="F196" s="421" t="str">
        <f>IFERROR(VLOOKUP($C189&amp;E196,downloads!$A$1:$E$1000,2,FALSE),"")</f>
        <v>Oliver BORG-HEFFERNAN</v>
      </c>
      <c r="G196" s="64" t="str">
        <f t="shared" si="34"/>
        <v>C&amp;N</v>
      </c>
      <c r="H196" s="393">
        <v>47.2</v>
      </c>
      <c r="I196" s="147">
        <f>IFERROR(IF(OR(H196="",H196=0,H196&gt;A198),"",VLOOKUP(H196,A190:B198,2,TRUE)),9)</f>
        <v>3</v>
      </c>
      <c r="J196" s="67"/>
      <c r="K196" s="104">
        <v>6</v>
      </c>
      <c r="L196" s="248"/>
      <c r="M196" s="421" t="str">
        <f>IFERROR(VLOOKUP($C189&amp;L196,downloads!$A$1:$E$1000,2,FALSE),"")</f>
        <v/>
      </c>
      <c r="N196" s="64" t="str">
        <f t="shared" si="35"/>
        <v/>
      </c>
      <c r="O196" s="393"/>
      <c r="P196" s="147" t="str">
        <f>IFERROR(IF(OR(O196="",O196=0,O196&gt;A198),"",VLOOKUP(O196,A190:B198,2,TRUE)),9)</f>
        <v/>
      </c>
      <c r="R196" s="66">
        <f ca="1">IFERROR(IF(OR(E196=0,E196="",H196=0,H196="",$R190&lt;&gt;0,LEFT(H196,1)="D"),0,VLOOKUP(D196,INDIRECT(MatchDay!$W$2),2,FALSE)),"")</f>
        <v>4</v>
      </c>
      <c r="S196" s="66">
        <f ca="1">IFERROR(IF(OR(L196=0,L196="",O196=0,O196="",$R190&lt;&gt;0,LEFT(O196,1)="D"),0,VLOOKUP(K196,INDIRECT(MatchDay!$W$2),3,FALSE)),"")</f>
        <v>0</v>
      </c>
    </row>
    <row r="197" spans="1:24" x14ac:dyDescent="0.35">
      <c r="A197" s="105">
        <f>IFERROR(VLOOKUP(C189,standards,4,FALSE),"-")</f>
        <v>49</v>
      </c>
      <c r="B197" s="419">
        <v>2</v>
      </c>
      <c r="C197" s="120">
        <f>IFERROR(SEARCH("U17",D189),0)</f>
        <v>0</v>
      </c>
      <c r="D197" s="104">
        <v>7</v>
      </c>
      <c r="E197" s="107">
        <v>4</v>
      </c>
      <c r="F197" s="421" t="str">
        <f>IFERROR(VLOOKUP($C189&amp;E197,downloads!$A$1:$E$1000,2,FALSE),"")</f>
        <v>Douglas POINTON</v>
      </c>
      <c r="G197" s="64" t="str">
        <f t="shared" si="34"/>
        <v>Macc</v>
      </c>
      <c r="H197" s="393">
        <v>48.6</v>
      </c>
      <c r="I197" s="147">
        <f>IFERROR(IF(OR(H197="",H197=0,H197&gt;A198),"",VLOOKUP(H197,A190:B198,2,TRUE)),9)</f>
        <v>3</v>
      </c>
      <c r="J197" s="67"/>
      <c r="K197" s="104">
        <v>7</v>
      </c>
      <c r="L197" s="248"/>
      <c r="M197" s="421" t="str">
        <f>IFERROR(VLOOKUP($C189&amp;L197,downloads!$A$1:$E$1000,2,FALSE),"")</f>
        <v/>
      </c>
      <c r="N197" s="64" t="str">
        <f t="shared" si="35"/>
        <v/>
      </c>
      <c r="O197" s="393"/>
      <c r="P197" s="147" t="str">
        <f>IFERROR(IF(OR(O197="",O197=0,O197&gt;A198),"",VLOOKUP(O197,A190:B198,2,TRUE)),9)</f>
        <v/>
      </c>
      <c r="R197" s="66">
        <f ca="1">IFERROR(IF(OR(E197=0,E197="",H197=0,H197="",$R190&lt;&gt;0,LEFT(H197,1)="D"),0,VLOOKUP(D197,INDIRECT(MatchDay!$W$2),2,FALSE)),"")</f>
        <v>3</v>
      </c>
      <c r="S197" s="66">
        <f ca="1">IFERROR(IF(OR(L197=0,L197="",O197=0,O197="",$R190&lt;&gt;0,LEFT(O197,1)="D"),0,VLOOKUP(K197,INDIRECT(MatchDay!$W$2),3,FALSE)),"")</f>
        <v>0</v>
      </c>
    </row>
    <row r="198" spans="1:24" x14ac:dyDescent="0.35">
      <c r="A198" s="105">
        <f>IFERROR(VLOOKUP(C189,standards,3,FALSE),"-")</f>
        <v>51</v>
      </c>
      <c r="B198" s="419">
        <v>1</v>
      </c>
      <c r="C198" s="103">
        <f>IFERROR(VLOOKUP(C189,records,5,FALSE),"")</f>
        <v>35.4</v>
      </c>
      <c r="D198" s="104">
        <v>8</v>
      </c>
      <c r="E198" s="107"/>
      <c r="F198" s="421" t="str">
        <f>IFERROR(VLOOKUP($C189&amp;E198,downloads!$A$1:$E$1000,2,FALSE),"")</f>
        <v/>
      </c>
      <c r="G198" s="64" t="str">
        <f t="shared" si="34"/>
        <v/>
      </c>
      <c r="H198" s="389"/>
      <c r="I198" s="147" t="str">
        <f>IFERROR(IF(OR(H198="",H198=0,H198&gt;A198),"",VLOOKUP(H198,A190:B198,2,TRUE)),9)</f>
        <v/>
      </c>
      <c r="J198" s="67"/>
      <c r="K198" s="104">
        <v>8</v>
      </c>
      <c r="L198" s="248"/>
      <c r="M198" s="421" t="str">
        <f>IFERROR(VLOOKUP($C189&amp;L198,downloads!$A$1:$E$1000,2,FALSE),"")</f>
        <v/>
      </c>
      <c r="N198" s="64" t="str">
        <f t="shared" si="35"/>
        <v/>
      </c>
      <c r="O198" s="394"/>
      <c r="P198" s="147" t="str">
        <f>IFERROR(IF(OR(O198="",O198=0,O198&gt;A198),"",VLOOKUP(O198,A190:B198,2,TRUE)),9)</f>
        <v/>
      </c>
      <c r="R198" s="66">
        <f ca="1">IFERROR(IF(OR(E198=0,E198="",H198=0,H198="",$R190&lt;&gt;0,LEFT(H198,1)="D"),0,VLOOKUP(D198,INDIRECT(MatchDay!$W$2),2,FALSE)),"")</f>
        <v>0</v>
      </c>
      <c r="S198" s="66">
        <f ca="1">IFERROR(IF(OR(L198=0,L198="",O198=0,O198="",$R190&lt;&gt;0,LEFT(O198,1)="D"),0,VLOOKUP(K198,INDIRECT(MatchDay!$W$2),3,FALSE)),"")</f>
        <v>0</v>
      </c>
    </row>
    <row r="200" spans="1:24" x14ac:dyDescent="0.35">
      <c r="C200" s="98" t="s">
        <v>348</v>
      </c>
      <c r="D200" s="99" t="str">
        <f>IFERROR(VLOOKUP(C200,timetables,2,FALSE)&amp;" "&amp;VLOOKUP(C200,timetables,3,FALSE)&amp;" A","")</f>
        <v>800m U13 Girls A</v>
      </c>
      <c r="E200" s="99"/>
      <c r="G200" s="114" t="str">
        <f>IFERROR(IF(VLOOKUP($C200,timetables,8,FALSE)="W","Wind = ",""),"")</f>
        <v/>
      </c>
      <c r="I200" s="106" t="str">
        <f>IFERROR(IF(OR(H202=0,H202=""),"",IF(H202&lt;C209,"REC",IF(H202=C209,"=Rec",""))),"")</f>
        <v/>
      </c>
      <c r="K200" s="101" t="str">
        <f>IFERROR(VLOOKUP(C200,timetables,2,FALSE)&amp;" "&amp;VLOOKUP(C200,timetables,3,FALSE)&amp;" B","")</f>
        <v>800m U13 Girls B</v>
      </c>
      <c r="L200" s="102"/>
      <c r="N200" s="114" t="str">
        <f>IFERROR(IF(VLOOKUP($C200,timetables,8,FALSE)="W","Wind = ",""),"")</f>
        <v/>
      </c>
      <c r="R200" s="66" t="s">
        <v>53</v>
      </c>
      <c r="S200" s="66" t="s">
        <v>54</v>
      </c>
    </row>
    <row r="201" spans="1:24" x14ac:dyDescent="0.35">
      <c r="A201" s="420">
        <f>IFERROR(VLOOKUP(C200,standards,11,FALSE),"-")</f>
        <v>1.712962962962963E-3</v>
      </c>
      <c r="B201" s="419">
        <v>9</v>
      </c>
      <c r="C201" s="79"/>
      <c r="D201" s="45" t="s">
        <v>177</v>
      </c>
      <c r="E201" s="45" t="s">
        <v>141</v>
      </c>
      <c r="F201" s="47" t="s">
        <v>174</v>
      </c>
      <c r="G201" s="47" t="s">
        <v>175</v>
      </c>
      <c r="H201" s="133" t="s">
        <v>176</v>
      </c>
      <c r="I201" s="148" t="s">
        <v>1003</v>
      </c>
      <c r="J201" s="47"/>
      <c r="K201" s="45" t="s">
        <v>177</v>
      </c>
      <c r="L201" s="45" t="s">
        <v>141</v>
      </c>
      <c r="M201" s="47" t="s">
        <v>174</v>
      </c>
      <c r="N201" s="47" t="s">
        <v>175</v>
      </c>
      <c r="O201" s="133" t="s">
        <v>176</v>
      </c>
      <c r="P201" s="148" t="s">
        <v>1003</v>
      </c>
      <c r="R201" s="66">
        <f>IFERROR(SEARCH("NS",D200),0)</f>
        <v>0</v>
      </c>
      <c r="V201" s="67"/>
    </row>
    <row r="202" spans="1:24" x14ac:dyDescent="0.35">
      <c r="A202" s="420">
        <f>IFERROR(VLOOKUP(C200,standards,10,FALSE),"-")</f>
        <v>1.7476851851851852E-3</v>
      </c>
      <c r="B202" s="419">
        <v>8</v>
      </c>
      <c r="C202" s="138">
        <f>IFERROR(VLOOKUP(C200,Timetables!$A:$E,5,FALSE)-1,"")</f>
        <v>32</v>
      </c>
      <c r="D202" s="104">
        <v>1</v>
      </c>
      <c r="E202" s="107">
        <v>6</v>
      </c>
      <c r="F202" s="423" t="str">
        <f>IFERROR(VLOOKUP($C200&amp;E202,downloads!$A$1:$E$1000,2,FALSE),"")</f>
        <v>Emily WALTON</v>
      </c>
      <c r="G202" s="64" t="str">
        <f t="shared" ref="G202:G209" si="36">IFERROR(VLOOKUP(E202,teamlookup,5,FALSE),"")</f>
        <v>Stock</v>
      </c>
      <c r="H202" s="402">
        <v>2.298</v>
      </c>
      <c r="I202" s="147">
        <f>IFERROR(IF(OR(V202="",V202=0,V202&gt;A209),"",VLOOKUP(V202,A201:B209,2,TRUE)),9)</f>
        <v>9</v>
      </c>
      <c r="J202" s="67"/>
      <c r="K202" s="104">
        <v>1</v>
      </c>
      <c r="L202" s="248">
        <v>77</v>
      </c>
      <c r="M202" s="423" t="str">
        <f>IFERROR(VLOOKUP($C200&amp;L202,downloads!$A$1:$E$1000,2,FALSE),"")</f>
        <v>Katie-lou MALLEY</v>
      </c>
      <c r="N202" s="64" t="str">
        <f t="shared" ref="N202:N209" si="37">IFERROR(VLOOKUP(L202,teamlookup,5,FALSE),"")</f>
        <v>Wigan</v>
      </c>
      <c r="O202" s="403">
        <v>2.452</v>
      </c>
      <c r="P202" s="147">
        <f>IFERROR(IF(OR(W202="",W202=0,W202&gt;A209),"",VLOOKUP(W202,A201:B209,2,TRUE)),9)</f>
        <v>5</v>
      </c>
      <c r="R202" s="66">
        <f ca="1">IFERROR(IF(OR(E202=0,E202="",H202=0,H202="",$R201&lt;&gt;0,LEFT(H202,1)="D"),0,VLOOKUP(D202,INDIRECT(MatchDay!$W$2),2,FALSE)),"")</f>
        <v>10</v>
      </c>
      <c r="S202" s="66">
        <f ca="1">IFERROR(IF(OR(L202=0,L202="",O202=0,O202="",$R201&lt;&gt;0,LEFT(O202,1)="D"),0,VLOOKUP(K202,INDIRECT(MatchDay!$W$2),3,FALSE)),"")</f>
        <v>8</v>
      </c>
      <c r="T202" s="96">
        <f>COUNTIF(E202,"&gt;0")</f>
        <v>1</v>
      </c>
      <c r="U202" s="96">
        <f>IFERROR(IF(E202&gt;88,1,0),0)</f>
        <v>0</v>
      </c>
      <c r="V202" s="96">
        <f>IFERROR(IF(LEFT(H202,1)="D",0,(INT(H202)*60+(H202-INT(H202))*100)/86400),"X")</f>
        <v>1.7337962962962964E-3</v>
      </c>
      <c r="W202" s="96">
        <f>IFERROR(IF(LEFT(O202,1)="D",0,(INT(O202)*60+(O202-INT(O202))*100)/86400),"X")</f>
        <v>1.912037037037037E-3</v>
      </c>
      <c r="X202" s="67"/>
    </row>
    <row r="203" spans="1:24" x14ac:dyDescent="0.35">
      <c r="A203" s="420">
        <f>IFERROR(VLOOKUP(C200,standards,9,FALSE),"-")</f>
        <v>1.7939814814814815E-3</v>
      </c>
      <c r="B203" s="419">
        <v>7</v>
      </c>
      <c r="C203" s="64">
        <v>0</v>
      </c>
      <c r="D203" s="104">
        <v>2</v>
      </c>
      <c r="E203" s="107">
        <v>5</v>
      </c>
      <c r="F203" s="423" t="str">
        <f>IFERROR(VLOOKUP($C200&amp;E203,downloads!$A$1:$E$1000,2,FALSE),"")</f>
        <v>Holly WORTH</v>
      </c>
      <c r="G203" s="64" t="str">
        <f t="shared" si="36"/>
        <v>Menai</v>
      </c>
      <c r="H203" s="399">
        <v>2.419</v>
      </c>
      <c r="I203" s="147">
        <f>IFERROR(IF(OR(V203="",V203=0,V203&gt;A209),"",VLOOKUP(V203,A201:B209,2,TRUE)),9)</f>
        <v>6</v>
      </c>
      <c r="J203" s="67"/>
      <c r="K203" s="104">
        <v>2</v>
      </c>
      <c r="L203" s="248">
        <v>22</v>
      </c>
      <c r="M203" s="423" t="str">
        <f>IFERROR(VLOOKUP($C200&amp;L203,downloads!$A$1:$E$1000,2,FALSE),"")</f>
        <v>Erin MCMAHON</v>
      </c>
      <c r="N203" s="64" t="str">
        <f t="shared" si="37"/>
        <v>ECHT</v>
      </c>
      <c r="O203" s="403">
        <v>2.5529999999999999</v>
      </c>
      <c r="P203" s="147">
        <f>IFERROR(IF(OR(W203="",W203=0,W203&gt;A209),"",VLOOKUP(W203,A201:B209,2,TRUE)),9)</f>
        <v>3</v>
      </c>
      <c r="R203" s="66">
        <f ca="1">IFERROR(IF(OR(E203=0,E203="",H203=0,H203="",$R201&lt;&gt;0,LEFT(H203,1)="D"),0,VLOOKUP(D203,INDIRECT(MatchDay!$W$2),2,FALSE)),"")</f>
        <v>8</v>
      </c>
      <c r="S203" s="66">
        <f ca="1">IFERROR(IF(OR(L203=0,L203="",O203=0,O203="",$R201&lt;&gt;0,LEFT(O203,1)="D"),0,VLOOKUP(K203,INDIRECT(MatchDay!$W$2),3,FALSE)),"")</f>
        <v>6</v>
      </c>
      <c r="T203" s="96"/>
      <c r="U203" s="96"/>
      <c r="V203" s="96">
        <f t="shared" ref="V203:V209" si="38">IFERROR(IF(LEFT(H203,1)="D",0,(INT(H203)*60+(H203-INT(H203))*100)/86400),"X")</f>
        <v>1.8738425925925927E-3</v>
      </c>
      <c r="W203" s="96">
        <f t="shared" ref="W203:W209" si="39">IFERROR(IF(LEFT(O203,1)="D",0,(INT(O203)*60+(O203-INT(O203))*100)/86400),"X")</f>
        <v>2.0289351851851853E-3</v>
      </c>
    </row>
    <row r="204" spans="1:24" x14ac:dyDescent="0.35">
      <c r="A204" s="420">
        <f>IFERROR(VLOOKUP(C200,standards,8,FALSE),"-")</f>
        <v>1.8518518518518517E-3</v>
      </c>
      <c r="B204" s="419">
        <v>6</v>
      </c>
      <c r="C204" s="105"/>
      <c r="D204" s="104">
        <v>3</v>
      </c>
      <c r="E204" s="107">
        <v>3</v>
      </c>
      <c r="F204" s="423" t="str">
        <f>IFERROR(VLOOKUP($C200&amp;E204,downloads!$A$1:$E$1000,2,FALSE),"")</f>
        <v>Maddison PENDLEBURY</v>
      </c>
      <c r="G204" s="64" t="str">
        <f t="shared" si="36"/>
        <v>Leigh</v>
      </c>
      <c r="H204" s="399">
        <v>2.5390000000000001</v>
      </c>
      <c r="I204" s="147">
        <f>IFERROR(IF(OR(V204="",V204=0,V204&gt;A209),"",VLOOKUP(V204,A201:B209,2,TRUE)),9)</f>
        <v>4</v>
      </c>
      <c r="J204" s="67"/>
      <c r="K204" s="104">
        <v>3</v>
      </c>
      <c r="L204" s="248">
        <v>44</v>
      </c>
      <c r="M204" s="423" t="str">
        <f>IFERROR(VLOOKUP($C200&amp;L204,downloads!$A$1:$E$1000,2,FALSE),"")</f>
        <v>Sophie MARTIN</v>
      </c>
      <c r="N204" s="64" t="str">
        <f t="shared" si="37"/>
        <v>Macc</v>
      </c>
      <c r="O204" s="403">
        <v>3.0649999999999999</v>
      </c>
      <c r="P204" s="147">
        <f>IFERROR(IF(OR(W204="",W204=0,W204&gt;A209),"",VLOOKUP(W204,A201:B209,2,TRUE)),9)</f>
        <v>2</v>
      </c>
      <c r="R204" s="66">
        <f ca="1">IFERROR(IF(OR(E204=0,E204="",H204=0,H204="",$R201&lt;&gt;0,LEFT(H204,1)="D"),0,VLOOKUP(D204,INDIRECT(MatchDay!$W$2),2,FALSE)),"")</f>
        <v>7</v>
      </c>
      <c r="S204" s="66">
        <f ca="1">IFERROR(IF(OR(L204=0,L204="",O204=0,O204="",$R201&lt;&gt;0,LEFT(O204,1)="D"),0,VLOOKUP(K204,INDIRECT(MatchDay!$W$2),3,FALSE)),"")</f>
        <v>5</v>
      </c>
      <c r="T204" s="96"/>
      <c r="U204" s="96"/>
      <c r="V204" s="96">
        <f t="shared" si="38"/>
        <v>2.0127314814814817E-3</v>
      </c>
      <c r="W204" s="96">
        <f t="shared" si="39"/>
        <v>2.158564814814815E-3</v>
      </c>
    </row>
    <row r="205" spans="1:24" x14ac:dyDescent="0.35">
      <c r="A205" s="420">
        <f>IFERROR(VLOOKUP(C200,standards,7,FALSE),"-")</f>
        <v>1.9097222222222222E-3</v>
      </c>
      <c r="B205" s="419">
        <v>5</v>
      </c>
      <c r="C205" s="105"/>
      <c r="D205" s="104">
        <v>4</v>
      </c>
      <c r="E205" s="107">
        <v>1</v>
      </c>
      <c r="F205" s="423" t="str">
        <f>IFERROR(VLOOKUP($C200&amp;E205,downloads!$A$1:$E$1000,2,FALSE),"")</f>
        <v>Freya HOWELLS</v>
      </c>
      <c r="G205" s="64" t="str">
        <f t="shared" si="36"/>
        <v>C&amp;N</v>
      </c>
      <c r="H205" s="399">
        <v>2.5680000000000001</v>
      </c>
      <c r="I205" s="147">
        <f>IFERROR(IF(OR(V205="",V205=0,V205&gt;A209),"",VLOOKUP(V205,A201:B209,2,TRUE)),9)</f>
        <v>3</v>
      </c>
      <c r="J205" s="67"/>
      <c r="K205" s="104">
        <v>4</v>
      </c>
      <c r="L205" s="248">
        <v>33</v>
      </c>
      <c r="M205" s="423" t="str">
        <f>IFERROR(VLOOKUP($C200&amp;L205,downloads!$A$1:$E$1000,2,FALSE),"")</f>
        <v>Mia WILKINSON</v>
      </c>
      <c r="N205" s="64" t="str">
        <f t="shared" si="37"/>
        <v>Leigh</v>
      </c>
      <c r="O205" s="403">
        <v>3.1040000000000001</v>
      </c>
      <c r="P205" s="147" t="str">
        <f>IFERROR(IF(OR(W205="",W205=0,W205&gt;A209),"",VLOOKUP(W205,A201:B209,2,TRUE)),9)</f>
        <v/>
      </c>
      <c r="R205" s="66">
        <f ca="1">IFERROR(IF(OR(E205=0,E205="",H205=0,H205="",$R201&lt;&gt;0,LEFT(H205,1)="D"),0,VLOOKUP(D205,INDIRECT(MatchDay!$W$2),2,FALSE)),"")</f>
        <v>6</v>
      </c>
      <c r="S205" s="66">
        <f ca="1">IFERROR(IF(OR(L205=0,L205="",O205=0,O205="",$R201&lt;&gt;0,LEFT(O205,1)="D"),0,VLOOKUP(K205,INDIRECT(MatchDay!$W$2),3,FALSE)),"")</f>
        <v>4</v>
      </c>
      <c r="T205" s="96"/>
      <c r="U205" s="96"/>
      <c r="V205" s="96">
        <f t="shared" si="38"/>
        <v>2.0462962962962965E-3</v>
      </c>
      <c r="W205" s="96">
        <f t="shared" si="39"/>
        <v>2.2037037037037038E-3</v>
      </c>
    </row>
    <row r="206" spans="1:24" x14ac:dyDescent="0.35">
      <c r="A206" s="420">
        <f>IFERROR(VLOOKUP(C200,standards,6,FALSE),"-")</f>
        <v>1.9675925925925928E-3</v>
      </c>
      <c r="B206" s="419">
        <v>4</v>
      </c>
      <c r="C206" s="105"/>
      <c r="D206" s="104">
        <v>5</v>
      </c>
      <c r="E206" s="107">
        <v>2</v>
      </c>
      <c r="F206" s="423" t="str">
        <f>IFERROR(VLOOKUP($C200&amp;E206,downloads!$A$1:$E$1000,2,FALSE),"")</f>
        <v>Olivia GOFF</v>
      </c>
      <c r="G206" s="64" t="str">
        <f t="shared" si="36"/>
        <v>ECHT</v>
      </c>
      <c r="H206" s="399">
        <v>3.0289999999999999</v>
      </c>
      <c r="I206" s="147">
        <f>IFERROR(IF(OR(V206="",V206=0,V206&gt;A209),"",VLOOKUP(V206,A201:B209,2,TRUE)),9)</f>
        <v>2</v>
      </c>
      <c r="J206" s="67"/>
      <c r="K206" s="104">
        <v>5</v>
      </c>
      <c r="L206" s="429">
        <v>11</v>
      </c>
      <c r="M206" s="423" t="str">
        <f>IFERROR(VLOOKUP($C200&amp;L206,downloads!$A$1:$E$1000,2,FALSE),"")</f>
        <v>Jasmine COOPER</v>
      </c>
      <c r="N206" s="64" t="str">
        <f t="shared" si="37"/>
        <v>C&amp;N</v>
      </c>
      <c r="O206" s="403">
        <v>3.218</v>
      </c>
      <c r="P206" s="147" t="str">
        <f>IFERROR(IF(OR(W206="",W206=0,W206&gt;A209),"",VLOOKUP(W206,A201:B209,2,TRUE)),9)</f>
        <v/>
      </c>
      <c r="R206" s="66">
        <f ca="1">IFERROR(IF(OR(E206=0,E206="",H206=0,H206="",$R201&lt;&gt;0,LEFT(H206,1)="D"),0,VLOOKUP(D206,INDIRECT(MatchDay!$W$2),2,FALSE)),"")</f>
        <v>5</v>
      </c>
      <c r="S206" s="66">
        <f ca="1">IFERROR(IF(OR(L206=0,L206="",O206=0,O206="",$R201&lt;&gt;0,LEFT(O206,1)="D"),0,VLOOKUP(K206,INDIRECT(MatchDay!$W$2),3,FALSE)),"")</f>
        <v>3</v>
      </c>
      <c r="T206" s="96"/>
      <c r="U206" s="96"/>
      <c r="V206" s="96">
        <f t="shared" si="38"/>
        <v>2.1168981481481477E-3</v>
      </c>
      <c r="W206" s="96">
        <f t="shared" si="39"/>
        <v>2.3356481481481483E-3</v>
      </c>
    </row>
    <row r="207" spans="1:24" x14ac:dyDescent="0.35">
      <c r="A207" s="420">
        <f>IFERROR(VLOOKUP(C200,standards,5,FALSE),"-")</f>
        <v>2.0254629629629629E-3</v>
      </c>
      <c r="B207" s="419">
        <v>3</v>
      </c>
      <c r="C207" s="105"/>
      <c r="D207" s="104">
        <v>6</v>
      </c>
      <c r="E207" s="107">
        <v>7</v>
      </c>
      <c r="F207" s="423" t="str">
        <f>IFERROR(VLOOKUP($C200&amp;E207,downloads!$A$1:$E$1000,2,FALSE),"")</f>
        <v>Carly MCGRATH</v>
      </c>
      <c r="G207" s="64" t="str">
        <f t="shared" si="36"/>
        <v>Wigan</v>
      </c>
      <c r="H207" s="399">
        <v>3.085</v>
      </c>
      <c r="I207" s="147">
        <f>IFERROR(IF(OR(V207="",V207=0,V207&gt;A209),"",VLOOKUP(V207,A201:B209,2,TRUE)),9)</f>
        <v>2</v>
      </c>
      <c r="J207" s="67"/>
      <c r="K207" s="104">
        <v>6</v>
      </c>
      <c r="L207" s="429"/>
      <c r="M207" s="423" t="str">
        <f>IFERROR(VLOOKUP($C200&amp;L207,downloads!$A$1:$E$1000,2,FALSE),"")</f>
        <v/>
      </c>
      <c r="N207" s="64" t="str">
        <f t="shared" si="37"/>
        <v/>
      </c>
      <c r="O207" s="403"/>
      <c r="P207" s="147" t="str">
        <f>IFERROR(IF(OR(W207="",W207=0,W207&gt;A209),"",VLOOKUP(W207,A201:B209,2,TRUE)),9)</f>
        <v/>
      </c>
      <c r="R207" s="66">
        <f ca="1">IFERROR(IF(OR(E207=0,E207="",H207=0,H207="",$R201&lt;&gt;0,LEFT(H207,1)="D"),0,VLOOKUP(D207,INDIRECT(MatchDay!$W$2),2,FALSE)),"")</f>
        <v>4</v>
      </c>
      <c r="S207" s="66">
        <f ca="1">IFERROR(IF(OR(L207=0,L207="",O207=0,O207="",$R201&lt;&gt;0,LEFT(O207,1)="D"),0,VLOOKUP(K207,INDIRECT(MatchDay!$W$2),3,FALSE)),"")</f>
        <v>0</v>
      </c>
      <c r="T207" s="96"/>
      <c r="U207" s="96"/>
      <c r="V207" s="96">
        <f t="shared" si="38"/>
        <v>2.181712962962963E-3</v>
      </c>
      <c r="W207" s="96">
        <f t="shared" si="39"/>
        <v>0</v>
      </c>
    </row>
    <row r="208" spans="1:24" x14ac:dyDescent="0.35">
      <c r="A208" s="420">
        <f>IFERROR(VLOOKUP(C200,standards,4,FALSE),"-")</f>
        <v>2.0833333333333333E-3</v>
      </c>
      <c r="B208" s="419">
        <v>2</v>
      </c>
      <c r="C208" s="120">
        <f>IFERROR(SEARCH("U17",D200),0)</f>
        <v>0</v>
      </c>
      <c r="D208" s="104">
        <v>7</v>
      </c>
      <c r="E208" s="107">
        <v>4</v>
      </c>
      <c r="F208" s="423" t="str">
        <f>IFERROR(VLOOKUP($C200&amp;E208,downloads!$A$1:$E$1000,2,FALSE),"")</f>
        <v>Lydia HIGGINS</v>
      </c>
      <c r="G208" s="64" t="str">
        <f t="shared" si="36"/>
        <v>Macc</v>
      </c>
      <c r="H208" s="399">
        <v>3.1120000000000001</v>
      </c>
      <c r="I208" s="147" t="str">
        <f>IFERROR(IF(OR(V208="",V208=0,V208&gt;A209),"",VLOOKUP(V208,A201:B209,2,TRUE)),9)</f>
        <v/>
      </c>
      <c r="J208" s="67"/>
      <c r="K208" s="104">
        <v>7</v>
      </c>
      <c r="L208" s="248"/>
      <c r="M208" s="423" t="str">
        <f>IFERROR(VLOOKUP($C200&amp;L208,downloads!$A$1:$E$1000,2,FALSE),"")</f>
        <v/>
      </c>
      <c r="N208" s="64" t="str">
        <f t="shared" si="37"/>
        <v/>
      </c>
      <c r="O208" s="403"/>
      <c r="P208" s="147" t="str">
        <f>IFERROR(IF(OR(W208="",W208=0,W208&gt;A209),"",VLOOKUP(W208,A201:B209,2,TRUE)),9)</f>
        <v/>
      </c>
      <c r="R208" s="66">
        <f ca="1">IFERROR(IF(OR(E208=0,E208="",H208=0,H208="",$R201&lt;&gt;0,LEFT(H208,1)="D"),0,VLOOKUP(D208,INDIRECT(MatchDay!$W$2),2,FALSE)),"")</f>
        <v>3</v>
      </c>
      <c r="S208" s="66">
        <f ca="1">IFERROR(IF(OR(L208=0,L208="",O208=0,O208="",$R201&lt;&gt;0,LEFT(O208,1)="D"),0,VLOOKUP(K208,INDIRECT(MatchDay!$W$2),3,FALSE)),"")</f>
        <v>0</v>
      </c>
      <c r="T208" s="96"/>
      <c r="U208" s="96"/>
      <c r="V208" s="96">
        <f t="shared" si="38"/>
        <v>2.212962962962963E-3</v>
      </c>
      <c r="W208" s="96">
        <f t="shared" si="39"/>
        <v>0</v>
      </c>
    </row>
    <row r="209" spans="1:23" x14ac:dyDescent="0.35">
      <c r="A209" s="420">
        <f>IFERROR(VLOOKUP(C200,standards,3,FALSE),"-")</f>
        <v>2.1990740740740742E-3</v>
      </c>
      <c r="B209" s="419">
        <v>1</v>
      </c>
      <c r="C209" s="103">
        <f>IFERROR(VLOOKUP(C200,records,5,FALSE),"")</f>
        <v>1.6157407407407407E-3</v>
      </c>
      <c r="D209" s="104">
        <v>8</v>
      </c>
      <c r="E209" s="107"/>
      <c r="F209" s="423" t="str">
        <f>IFERROR(VLOOKUP($C200&amp;E209,downloads!$A$1:$E$1000,2,FALSE),"")</f>
        <v/>
      </c>
      <c r="G209" s="64" t="str">
        <f t="shared" si="36"/>
        <v/>
      </c>
      <c r="H209" s="399"/>
      <c r="I209" s="147" t="str">
        <f>IFERROR(IF(OR(V209="",V209=0,V209&gt;A209),"",VLOOKUP(V209,A201:B209,2,TRUE)),9)</f>
        <v/>
      </c>
      <c r="J209" s="67"/>
      <c r="K209" s="104">
        <v>8</v>
      </c>
      <c r="L209" s="248"/>
      <c r="M209" s="423" t="str">
        <f>IFERROR(VLOOKUP($C200&amp;L209,downloads!$A$1:$E$1000,2,FALSE),"")</f>
        <v/>
      </c>
      <c r="N209" s="64" t="str">
        <f t="shared" si="37"/>
        <v/>
      </c>
      <c r="O209" s="403"/>
      <c r="P209" s="147" t="str">
        <f>IFERROR(IF(OR(W209="",W209=0,W209&gt;A209),"",VLOOKUP(W209,A201:B209,2,TRUE)),9)</f>
        <v/>
      </c>
      <c r="R209" s="66">
        <f ca="1">IFERROR(IF(OR(E209=0,E209="",H209=0,H209="",$R201&lt;&gt;0,LEFT(H209,1)="D"),0,VLOOKUP(D209,INDIRECT(MatchDay!$W$2),2,FALSE)),"")</f>
        <v>0</v>
      </c>
      <c r="S209" s="66">
        <f ca="1">IFERROR(IF(OR(L209=0,L209="",O209=0,O209="",$R201&lt;&gt;0,LEFT(O209,1)="D"),0,VLOOKUP(K209,INDIRECT(MatchDay!$W$2),3,FALSE)),"")</f>
        <v>0</v>
      </c>
      <c r="T209" s="96"/>
      <c r="U209" s="96"/>
      <c r="V209" s="96">
        <f t="shared" si="38"/>
        <v>0</v>
      </c>
      <c r="W209" s="96">
        <f t="shared" si="39"/>
        <v>0</v>
      </c>
    </row>
    <row r="210" spans="1:23" x14ac:dyDescent="0.35">
      <c r="F210" s="410"/>
      <c r="H210" s="400"/>
      <c r="M210" s="410"/>
      <c r="O210" s="404"/>
      <c r="T210" s="96"/>
      <c r="U210" s="96"/>
      <c r="V210" s="96">
        <f t="shared" ref="V210:V266" si="40">IFERROR((INT(H210)*60+(H210-INT(H210))*100)/86400,"X")</f>
        <v>0</v>
      </c>
      <c r="W210" s="96">
        <f t="shared" ref="W210:W266" si="41">IFERROR((INT(O210)*60+(O210-INT(O210))*100)/86400,"X")</f>
        <v>0</v>
      </c>
    </row>
    <row r="211" spans="1:23" x14ac:dyDescent="0.35">
      <c r="C211" s="98" t="s">
        <v>349</v>
      </c>
      <c r="D211" s="99" t="str">
        <f>IFERROR(VLOOKUP(C211,timetables,2,FALSE)&amp;" "&amp;VLOOKUP(C211,timetables,3,FALSE)&amp;" A","")</f>
        <v>800m U13 Boys A</v>
      </c>
      <c r="E211" s="99"/>
      <c r="F211" s="410"/>
      <c r="G211" s="114" t="str">
        <f>IFERROR(IF(VLOOKUP($C211,timetables,8,FALSE)="W","Wind = ",""),"")</f>
        <v/>
      </c>
      <c r="H211" s="400"/>
      <c r="I211" s="106" t="str">
        <f>IFERROR(IF(OR(H213=0,H213=""),"",IF(H213&lt;C220,"REC",IF(H213=C220,"=Rec",""))),"")</f>
        <v/>
      </c>
      <c r="K211" s="101" t="str">
        <f>IFERROR(VLOOKUP(C211,timetables,2,FALSE)&amp;" "&amp;VLOOKUP(C211,timetables,3,FALSE)&amp;" B","")</f>
        <v>800m U13 Boys B</v>
      </c>
      <c r="L211" s="102"/>
      <c r="M211" s="410"/>
      <c r="N211" s="114" t="str">
        <f>IFERROR(IF(VLOOKUP($C211,timetables,8,FALSE)="W","Wind = ",""),"")</f>
        <v/>
      </c>
      <c r="O211" s="404"/>
      <c r="R211" s="66" t="s">
        <v>53</v>
      </c>
      <c r="S211" s="66" t="s">
        <v>54</v>
      </c>
      <c r="T211" s="96"/>
      <c r="U211" s="96"/>
      <c r="V211" s="96">
        <f t="shared" si="40"/>
        <v>0</v>
      </c>
      <c r="W211" s="96">
        <f t="shared" si="41"/>
        <v>0</v>
      </c>
    </row>
    <row r="212" spans="1:23" x14ac:dyDescent="0.35">
      <c r="A212" s="420">
        <f>IFERROR(TIMEVALUE(VLOOKUP(C211,standards,11,FALSE)),"-")</f>
        <v>1.5624999999999999E-3</v>
      </c>
      <c r="B212" s="419">
        <v>9</v>
      </c>
      <c r="C212" s="79"/>
      <c r="D212" s="45" t="s">
        <v>177</v>
      </c>
      <c r="E212" s="45" t="s">
        <v>141</v>
      </c>
      <c r="F212" s="424" t="s">
        <v>174</v>
      </c>
      <c r="G212" s="47" t="s">
        <v>175</v>
      </c>
      <c r="H212" s="401" t="s">
        <v>176</v>
      </c>
      <c r="I212" s="148" t="s">
        <v>1003</v>
      </c>
      <c r="J212" s="47"/>
      <c r="K212" s="45" t="s">
        <v>177</v>
      </c>
      <c r="L212" s="45" t="s">
        <v>141</v>
      </c>
      <c r="M212" s="424" t="s">
        <v>174</v>
      </c>
      <c r="N212" s="47" t="s">
        <v>175</v>
      </c>
      <c r="O212" s="401" t="s">
        <v>176</v>
      </c>
      <c r="P212" s="148" t="s">
        <v>1003</v>
      </c>
      <c r="R212" s="66">
        <f>IFERROR(SEARCH("NS",D211),0)</f>
        <v>0</v>
      </c>
      <c r="T212" s="96"/>
      <c r="U212" s="96"/>
      <c r="V212" s="96"/>
      <c r="W212" s="96"/>
    </row>
    <row r="213" spans="1:23" x14ac:dyDescent="0.35">
      <c r="A213" s="420">
        <f>IFERROR(TIMEVALUE(VLOOKUP(C211,standards,10,FALSE)),"-")</f>
        <v>1.5972222222222221E-3</v>
      </c>
      <c r="B213" s="419">
        <v>8</v>
      </c>
      <c r="C213" s="138">
        <f>IFERROR(VLOOKUP(C211,Timetables!$A:$E,5,FALSE)-1,"")</f>
        <v>82</v>
      </c>
      <c r="D213" s="104">
        <v>1</v>
      </c>
      <c r="E213" s="107">
        <v>4</v>
      </c>
      <c r="F213" s="423" t="str">
        <f>IFERROR(VLOOKUP($C211&amp;E213,downloads!$A$1:$E$1000,2,FALSE),"")</f>
        <v>Samuel SAVAGE</v>
      </c>
      <c r="G213" s="64" t="str">
        <f t="shared" ref="G213:G220" si="42">IFERROR(VLOOKUP(E213,teamlookup,5,FALSE),"")</f>
        <v>Macc</v>
      </c>
      <c r="H213" s="399">
        <v>2.3679999999999999</v>
      </c>
      <c r="I213" s="147">
        <f>IFERROR(IF(OR(V213="",V213=0,V213&gt;A220),"",VLOOKUP(V213,A212:B220,2,TRUE)),9)</f>
        <v>4</v>
      </c>
      <c r="J213" s="67"/>
      <c r="K213" s="104">
        <v>1</v>
      </c>
      <c r="L213" s="248">
        <v>77</v>
      </c>
      <c r="M213" s="423" t="str">
        <f>IFERROR(VLOOKUP($C211&amp;L213,downloads!$A$1:$E$1000,2,FALSE),"")</f>
        <v>James DARBY</v>
      </c>
      <c r="N213" s="64" t="str">
        <f t="shared" ref="N213:N220" si="43">IFERROR(VLOOKUP(L213,teamlookup,5,FALSE),"")</f>
        <v>Wigan</v>
      </c>
      <c r="O213" s="403">
        <v>2.5339999999999998</v>
      </c>
      <c r="P213" s="147" t="str">
        <f>IFERROR(IF(OR(W213="",W213=0,W213&gt;A220),"",VLOOKUP(W213,A212:B220,2,TRUE)),9)</f>
        <v/>
      </c>
      <c r="R213" s="66">
        <f ca="1">IFERROR(IF(OR(E213=0,E213="",H213=0,H213="",$R212&lt;&gt;0,LEFT(H213,1)="D"),0,VLOOKUP(D213,INDIRECT(MatchDay!$W$2),2,FALSE)),"")</f>
        <v>10</v>
      </c>
      <c r="S213" s="66">
        <f ca="1">IFERROR(IF(OR(L213=0,L213="",O213=0,O213="",$R212&lt;&gt;0,LEFT(O213,1)="D"),0,VLOOKUP(K213,INDIRECT(MatchDay!$W$2),3,FALSE)),"")</f>
        <v>8</v>
      </c>
      <c r="T213" s="96">
        <f>COUNTIF(E213,"&gt;0")</f>
        <v>1</v>
      </c>
      <c r="U213" s="96">
        <f>IFERROR(IF(E213&gt;88,1,0),0)</f>
        <v>0</v>
      </c>
      <c r="V213" s="96">
        <f>IFERROR(IF(LEFT(H213,1)="D",0,(INT(H213)*60+(H213-INT(H213))*100)/86400),"X")</f>
        <v>1.8148148148148147E-3</v>
      </c>
      <c r="W213" s="96">
        <f>IFERROR(IF(LEFT(O213,1)="D",0,(INT(O213)*60+(O213-INT(O213))*100)/86400),"X")</f>
        <v>2.006944444444444E-3</v>
      </c>
    </row>
    <row r="214" spans="1:23" x14ac:dyDescent="0.35">
      <c r="A214" s="420">
        <f>IFERROR(TIMEVALUE(VLOOKUP(C211,standards,9,FALSE)),"-")</f>
        <v>1.6319444444444445E-3</v>
      </c>
      <c r="B214" s="419">
        <v>7</v>
      </c>
      <c r="C214" s="64">
        <v>0</v>
      </c>
      <c r="D214" s="104">
        <v>2</v>
      </c>
      <c r="E214" s="107">
        <v>1</v>
      </c>
      <c r="F214" s="423" t="str">
        <f>IFERROR(VLOOKUP($C211&amp;E214,downloads!$A$1:$E$1000,2,FALSE),"")</f>
        <v>Charlie SMITH</v>
      </c>
      <c r="G214" s="64" t="str">
        <f t="shared" si="42"/>
        <v>C&amp;N</v>
      </c>
      <c r="H214" s="399">
        <v>2.39</v>
      </c>
      <c r="I214" s="147">
        <f>IFERROR(IF(OR(V214="",V214=0,V214&gt;A220),"",VLOOKUP(V214,A212:B220,2,TRUE)),9)</f>
        <v>4</v>
      </c>
      <c r="J214" s="67"/>
      <c r="K214" s="104">
        <v>2</v>
      </c>
      <c r="L214" s="248">
        <v>33</v>
      </c>
      <c r="M214" s="423" t="str">
        <f>IFERROR(VLOOKUP($C211&amp;L214,downloads!$A$1:$E$1000,2,FALSE),"")</f>
        <v>Henri MANNION</v>
      </c>
      <c r="N214" s="64" t="str">
        <f t="shared" si="43"/>
        <v>Leigh</v>
      </c>
      <c r="O214" s="403">
        <v>2.548</v>
      </c>
      <c r="P214" s="147" t="str">
        <f>IFERROR(IF(OR(W214="",W214=0,W214&gt;A220),"",VLOOKUP(W214,A212:B220,2,TRUE)),9)</f>
        <v/>
      </c>
      <c r="R214" s="66">
        <f ca="1">IFERROR(IF(OR(E214=0,E214="",H214=0,H214="",$R212&lt;&gt;0,LEFT(H214,1)="D"),0,VLOOKUP(D214,INDIRECT(MatchDay!$W$2),2,FALSE)),"")</f>
        <v>8</v>
      </c>
      <c r="S214" s="66">
        <f ca="1">IFERROR(IF(OR(L214=0,L214="",O214=0,O214="",$R212&lt;&gt;0,LEFT(O214,1)="D"),0,VLOOKUP(K214,INDIRECT(MatchDay!$W$2),3,FALSE)),"")</f>
        <v>6</v>
      </c>
      <c r="T214" s="96"/>
      <c r="U214" s="96"/>
      <c r="V214" s="96">
        <f t="shared" ref="V214:V220" si="44">IFERROR(IF(LEFT(H214,1)="D",0,(INT(H214)*60+(H214-INT(H214))*100)/86400),"X")</f>
        <v>1.8402777777777777E-3</v>
      </c>
      <c r="W214" s="96">
        <f t="shared" ref="W214:W220" si="45">IFERROR(IF(LEFT(O214,1)="D",0,(INT(O214)*60+(O214-INT(O214))*100)/86400),"X")</f>
        <v>2.0231481481481485E-3</v>
      </c>
    </row>
    <row r="215" spans="1:23" x14ac:dyDescent="0.35">
      <c r="A215" s="420">
        <f>IFERROR(TIMEVALUE(VLOOKUP(C211,standards,8,FALSE)),"-")</f>
        <v>1.6782407407407406E-3</v>
      </c>
      <c r="B215" s="419">
        <v>6</v>
      </c>
      <c r="C215" s="105"/>
      <c r="D215" s="104">
        <v>3</v>
      </c>
      <c r="E215" s="107">
        <v>3</v>
      </c>
      <c r="F215" s="423" t="str">
        <f>IFERROR(VLOOKUP($C211&amp;E215,downloads!$A$1:$E$1000,2,FALSE),"")</f>
        <v>James HOWARTH-LINTON</v>
      </c>
      <c r="G215" s="64" t="str">
        <f t="shared" si="42"/>
        <v>Leigh</v>
      </c>
      <c r="H215" s="399">
        <v>2.4489999999999998</v>
      </c>
      <c r="I215" s="147">
        <f>IFERROR(IF(OR(V215="",V215=0,V215&gt;A220),"",VLOOKUP(V215,A212:B220,2,TRUE)),9)</f>
        <v>3</v>
      </c>
      <c r="J215" s="67"/>
      <c r="K215" s="104">
        <v>3</v>
      </c>
      <c r="L215" s="248">
        <v>44</v>
      </c>
      <c r="M215" s="423" t="str">
        <f>IFERROR(VLOOKUP($C211&amp;L215,downloads!$A$1:$E$1000,2,FALSE),"")</f>
        <v>Tomas BEDOYA</v>
      </c>
      <c r="N215" s="64" t="str">
        <f t="shared" si="43"/>
        <v>Macc</v>
      </c>
      <c r="O215" s="403">
        <v>3.024</v>
      </c>
      <c r="P215" s="147" t="str">
        <f>IFERROR(IF(OR(W215="",W215=0,W215&gt;A220),"",VLOOKUP(W215,A212:B220,2,TRUE)),9)</f>
        <v/>
      </c>
      <c r="R215" s="66">
        <f ca="1">IFERROR(IF(OR(E215=0,E215="",H215=0,H215="",$R212&lt;&gt;0,LEFT(H215,1)="D"),0,VLOOKUP(D215,INDIRECT(MatchDay!$W$2),2,FALSE)),"")</f>
        <v>7</v>
      </c>
      <c r="S215" s="66">
        <f ca="1">IFERROR(IF(OR(L215=0,L215="",O215=0,O215="",$R212&lt;&gt;0,LEFT(O215,1)="D"),0,VLOOKUP(K215,INDIRECT(MatchDay!$W$2),3,FALSE)),"")</f>
        <v>5</v>
      </c>
      <c r="T215" s="96"/>
      <c r="U215" s="96"/>
      <c r="V215" s="96">
        <f t="shared" si="44"/>
        <v>1.9085648148148145E-3</v>
      </c>
      <c r="W215" s="96">
        <f t="shared" si="45"/>
        <v>2.1111111111111113E-3</v>
      </c>
    </row>
    <row r="216" spans="1:23" x14ac:dyDescent="0.35">
      <c r="A216" s="420">
        <f>IFERROR(TIMEVALUE(VLOOKUP(C211,standards,7,FALSE)),"-")</f>
        <v>1.736111111111111E-3</v>
      </c>
      <c r="B216" s="419">
        <v>5</v>
      </c>
      <c r="C216" s="105"/>
      <c r="D216" s="104">
        <v>4</v>
      </c>
      <c r="E216" s="107">
        <v>2</v>
      </c>
      <c r="F216" s="423" t="str">
        <f>IFERROR(VLOOKUP($C211&amp;E216,downloads!$A$1:$E$1000,2,FALSE),"")</f>
        <v>Zachary JONES</v>
      </c>
      <c r="G216" s="64" t="str">
        <f t="shared" si="42"/>
        <v>ECHT</v>
      </c>
      <c r="H216" s="399">
        <v>2.5489999999999999</v>
      </c>
      <c r="I216" s="147" t="str">
        <f>IFERROR(IF(OR(V216="",V216=0,V216&gt;A220),"",VLOOKUP(V216,A212:B220,2,TRUE)),9)</f>
        <v/>
      </c>
      <c r="J216" s="67"/>
      <c r="K216" s="104">
        <v>4</v>
      </c>
      <c r="L216" s="248">
        <v>11</v>
      </c>
      <c r="M216" s="423" t="str">
        <f>IFERROR(VLOOKUP($C211&amp;L216,downloads!$A$1:$E$1000,2,FALSE),"")</f>
        <v>Gabriel BRZEZINSKI</v>
      </c>
      <c r="N216" s="64" t="str">
        <f t="shared" si="43"/>
        <v>C&amp;N</v>
      </c>
      <c r="O216" s="403">
        <v>3.0249999999999999</v>
      </c>
      <c r="P216" s="147" t="str">
        <f>IFERROR(IF(OR(W216="",W216=0,W216&gt;A220),"",VLOOKUP(W216,A212:B220,2,TRUE)),9)</f>
        <v/>
      </c>
      <c r="R216" s="66">
        <f ca="1">IFERROR(IF(OR(E216=0,E216="",H216=0,H216="",$R212&lt;&gt;0,LEFT(H216,1)="D"),0,VLOOKUP(D216,INDIRECT(MatchDay!$W$2),2,FALSE)),"")</f>
        <v>6</v>
      </c>
      <c r="S216" s="66">
        <f ca="1">IFERROR(IF(OR(L216=0,L216="",O216=0,O216="",$R212&lt;&gt;0,LEFT(O216,1)="D"),0,VLOOKUP(K216,INDIRECT(MatchDay!$W$2),3,FALSE)),"")</f>
        <v>4</v>
      </c>
      <c r="T216" s="96"/>
      <c r="U216" s="96"/>
      <c r="V216" s="96">
        <f t="shared" si="44"/>
        <v>2.0243055555555552E-3</v>
      </c>
      <c r="W216" s="96">
        <f t="shared" si="45"/>
        <v>2.1122685185185185E-3</v>
      </c>
    </row>
    <row r="217" spans="1:23" x14ac:dyDescent="0.35">
      <c r="A217" s="420">
        <f>IFERROR(TIMEVALUE(VLOOKUP(C211,standards,6,FALSE)),"-")</f>
        <v>1.7939814814814815E-3</v>
      </c>
      <c r="B217" s="419">
        <v>4</v>
      </c>
      <c r="C217" s="105"/>
      <c r="D217" s="104">
        <v>5</v>
      </c>
      <c r="E217" s="107">
        <v>7</v>
      </c>
      <c r="F217" s="423" t="str">
        <f>IFERROR(VLOOKUP($C211&amp;E217,downloads!$A$1:$E$1000,2,FALSE),"")</f>
        <v>Charlie STRETTON</v>
      </c>
      <c r="G217" s="64" t="str">
        <f t="shared" si="42"/>
        <v>Wigan</v>
      </c>
      <c r="H217" s="399">
        <v>2.5870000000000002</v>
      </c>
      <c r="I217" s="147" t="str">
        <f>IFERROR(IF(OR(V217="",V217=0,V217&gt;A220),"",VLOOKUP(V217,A212:B220,2,TRUE)),9)</f>
        <v/>
      </c>
      <c r="J217" s="67"/>
      <c r="K217" s="104">
        <v>5</v>
      </c>
      <c r="L217" s="248">
        <v>22</v>
      </c>
      <c r="M217" s="423" t="str">
        <f>IFERROR(VLOOKUP($C211&amp;L217,downloads!$A$1:$E$1000,2,FALSE),"")</f>
        <v>Jake REANEY</v>
      </c>
      <c r="N217" s="64" t="str">
        <f t="shared" si="43"/>
        <v>ECHT</v>
      </c>
      <c r="O217" s="403">
        <v>3.085</v>
      </c>
      <c r="P217" s="147" t="str">
        <f>IFERROR(IF(OR(W217="",W217=0,W217&gt;A220),"",VLOOKUP(W217,A212:B220,2,TRUE)),9)</f>
        <v/>
      </c>
      <c r="R217" s="66">
        <f ca="1">IFERROR(IF(OR(E217=0,E217="",H217=0,H217="",$R212&lt;&gt;0,LEFT(H217,1)="D"),0,VLOOKUP(D217,INDIRECT(MatchDay!$W$2),2,FALSE)),"")</f>
        <v>5</v>
      </c>
      <c r="S217" s="66">
        <f ca="1">IFERROR(IF(OR(L217=0,L217="",O217=0,O217="",$R212&lt;&gt;0,LEFT(O217,1)="D"),0,VLOOKUP(K217,INDIRECT(MatchDay!$W$2),3,FALSE)),"")</f>
        <v>3</v>
      </c>
      <c r="T217" s="96"/>
      <c r="U217" s="96"/>
      <c r="V217" s="96">
        <f t="shared" si="44"/>
        <v>2.0682870370370373E-3</v>
      </c>
      <c r="W217" s="96">
        <f t="shared" si="45"/>
        <v>2.181712962962963E-3</v>
      </c>
    </row>
    <row r="218" spans="1:23" x14ac:dyDescent="0.35">
      <c r="A218" s="420">
        <f>IFERROR(TIMEVALUE(VLOOKUP(C211,standards,5,FALSE)),"-")</f>
        <v>1.8518518518518517E-3</v>
      </c>
      <c r="B218" s="419">
        <v>3</v>
      </c>
      <c r="C218" s="105"/>
      <c r="D218" s="104">
        <v>6</v>
      </c>
      <c r="E218" s="107"/>
      <c r="F218" s="423" t="str">
        <f>IFERROR(VLOOKUP($C211&amp;E218,downloads!$A$1:$E$1000,2,FALSE),"")</f>
        <v/>
      </c>
      <c r="G218" s="64" t="str">
        <f t="shared" si="42"/>
        <v/>
      </c>
      <c r="H218" s="399"/>
      <c r="I218" s="147" t="str">
        <f>IFERROR(IF(OR(V218="",V218=0,V218&gt;A220),"",VLOOKUP(V218,A212:B220,2,TRUE)),9)</f>
        <v/>
      </c>
      <c r="J218" s="67"/>
      <c r="K218" s="104">
        <v>6</v>
      </c>
      <c r="L218" s="248"/>
      <c r="M218" s="423" t="str">
        <f>IFERROR(VLOOKUP($C211&amp;L218,downloads!$A$1:$E$1000,2,FALSE),"")</f>
        <v/>
      </c>
      <c r="N218" s="64" t="str">
        <f t="shared" si="43"/>
        <v/>
      </c>
      <c r="O218" s="403"/>
      <c r="P218" s="147" t="str">
        <f>IFERROR(IF(OR(W218="",W218=0,W218&gt;A220),"",VLOOKUP(W218,A212:B220,2,TRUE)),9)</f>
        <v/>
      </c>
      <c r="R218" s="66">
        <f ca="1">IFERROR(IF(OR(E218=0,E218="",H218=0,H218="",$R212&lt;&gt;0,LEFT(H218,1)="D"),0,VLOOKUP(D218,INDIRECT(MatchDay!$W$2),2,FALSE)),"")</f>
        <v>0</v>
      </c>
      <c r="S218" s="66">
        <f ca="1">IFERROR(IF(OR(L218=0,L218="",O218=0,O218="",$R212&lt;&gt;0,LEFT(O218,1)="D"),0,VLOOKUP(K218,INDIRECT(MatchDay!$W$2),3,FALSE)),"")</f>
        <v>0</v>
      </c>
      <c r="T218" s="96"/>
      <c r="U218" s="96"/>
      <c r="V218" s="96">
        <f t="shared" si="44"/>
        <v>0</v>
      </c>
      <c r="W218" s="96">
        <f t="shared" si="45"/>
        <v>0</v>
      </c>
    </row>
    <row r="219" spans="1:23" x14ac:dyDescent="0.35">
      <c r="A219" s="420">
        <f>IFERROR(TIMEVALUE(VLOOKUP(C211,standards,4,FALSE)),"-")</f>
        <v>1.9097222222222222E-3</v>
      </c>
      <c r="B219" s="419">
        <v>2</v>
      </c>
      <c r="C219" s="120">
        <f>IFERROR(SEARCH("U17",D211),0)</f>
        <v>0</v>
      </c>
      <c r="D219" s="104">
        <v>7</v>
      </c>
      <c r="E219" s="107"/>
      <c r="F219" s="423" t="str">
        <f>IFERROR(VLOOKUP($C211&amp;E219,downloads!$A$1:$E$1000,2,FALSE),"")</f>
        <v/>
      </c>
      <c r="G219" s="64" t="str">
        <f t="shared" si="42"/>
        <v/>
      </c>
      <c r="H219" s="399"/>
      <c r="I219" s="147" t="str">
        <f>IFERROR(IF(OR(V219="",V219=0,V219&gt;A220),"",VLOOKUP(V219,A212:B220,2,TRUE)),9)</f>
        <v/>
      </c>
      <c r="J219" s="67"/>
      <c r="K219" s="104">
        <v>7</v>
      </c>
      <c r="L219" s="248"/>
      <c r="M219" s="423" t="str">
        <f>IFERROR(VLOOKUP($C211&amp;L219,downloads!$A$1:$E$1000,2,FALSE),"")</f>
        <v/>
      </c>
      <c r="N219" s="64" t="str">
        <f t="shared" si="43"/>
        <v/>
      </c>
      <c r="O219" s="405"/>
      <c r="P219" s="147" t="str">
        <f>IFERROR(IF(OR(W219="",W219=0,W219&gt;A220),"",VLOOKUP(W219,A212:B220,2,TRUE)),9)</f>
        <v/>
      </c>
      <c r="R219" s="66">
        <f ca="1">IFERROR(IF(OR(E219=0,E219="",H219=0,H219="",$R212&lt;&gt;0,LEFT(H219,1)="D"),0,VLOOKUP(D219,INDIRECT(MatchDay!$W$2),2,FALSE)),"")</f>
        <v>0</v>
      </c>
      <c r="S219" s="66">
        <f ca="1">IFERROR(IF(OR(L219=0,L219="",O219=0,O219="",$R212&lt;&gt;0,LEFT(O219,1)="D"),0,VLOOKUP(K219,INDIRECT(MatchDay!$W$2),3,FALSE)),"")</f>
        <v>0</v>
      </c>
      <c r="T219" s="96"/>
      <c r="U219" s="96"/>
      <c r="V219" s="96">
        <f t="shared" si="44"/>
        <v>0</v>
      </c>
      <c r="W219" s="96">
        <f t="shared" si="45"/>
        <v>0</v>
      </c>
    </row>
    <row r="220" spans="1:23" x14ac:dyDescent="0.35">
      <c r="A220" s="420">
        <f>IFERROR(TIMEVALUE(VLOOKUP(C211,standards,3,FALSE)),"-")</f>
        <v>1.9675925925925928E-3</v>
      </c>
      <c r="B220" s="419">
        <v>1</v>
      </c>
      <c r="C220" s="103">
        <f>IFERROR(VLOOKUP(C211,records,5,FALSE),"")</f>
        <v>1.4988425925925924E-3</v>
      </c>
      <c r="D220" s="104">
        <v>8</v>
      </c>
      <c r="E220" s="107"/>
      <c r="F220" s="423" t="str">
        <f>IFERROR(VLOOKUP($C211&amp;E220,downloads!$A$1:$E$1000,2,FALSE),"")</f>
        <v/>
      </c>
      <c r="G220" s="64" t="str">
        <f t="shared" si="42"/>
        <v/>
      </c>
      <c r="H220" s="399"/>
      <c r="I220" s="147" t="str">
        <f>IFERROR(IF(OR(V220="",V220=0,V220&gt;A220),"",VLOOKUP(V220,A212:B220,2,TRUE)),9)</f>
        <v/>
      </c>
      <c r="J220" s="67"/>
      <c r="K220" s="104">
        <v>8</v>
      </c>
      <c r="L220" s="248"/>
      <c r="M220" s="423" t="str">
        <f>IFERROR(VLOOKUP($C211&amp;L220,downloads!$A$1:$E$1000,2,FALSE),"")</f>
        <v/>
      </c>
      <c r="N220" s="64" t="str">
        <f t="shared" si="43"/>
        <v/>
      </c>
      <c r="O220" s="403"/>
      <c r="P220" s="147" t="str">
        <f>IFERROR(IF(OR(W220="",W220=0,W220&gt;A220),"",VLOOKUP(W220,A212:B220,2,TRUE)),9)</f>
        <v/>
      </c>
      <c r="R220" s="66">
        <f ca="1">IFERROR(IF(OR(E220=0,E220="",H220=0,H220="",$R212&lt;&gt;0,LEFT(H220,1)="D"),0,VLOOKUP(D220,INDIRECT(MatchDay!$W$2),2,FALSE)),"")</f>
        <v>0</v>
      </c>
      <c r="S220" s="66">
        <f ca="1">IFERROR(IF(OR(L220=0,L220="",O220=0,O220="",$R212&lt;&gt;0,LEFT(O220,1)="D"),0,VLOOKUP(K220,INDIRECT(MatchDay!$W$2),3,FALSE)),"")</f>
        <v>0</v>
      </c>
      <c r="T220" s="96"/>
      <c r="U220" s="96"/>
      <c r="V220" s="96">
        <f t="shared" si="44"/>
        <v>0</v>
      </c>
      <c r="W220" s="96">
        <f t="shared" si="45"/>
        <v>0</v>
      </c>
    </row>
    <row r="221" spans="1:23" x14ac:dyDescent="0.35">
      <c r="F221" s="410"/>
      <c r="H221" s="400"/>
      <c r="M221" s="410"/>
      <c r="O221" s="404"/>
      <c r="T221" s="96"/>
      <c r="U221" s="96"/>
      <c r="V221" s="96">
        <f t="shared" si="40"/>
        <v>0</v>
      </c>
      <c r="W221" s="96">
        <f t="shared" si="41"/>
        <v>0</v>
      </c>
    </row>
    <row r="222" spans="1:23" x14ac:dyDescent="0.35">
      <c r="C222" s="98" t="s">
        <v>350</v>
      </c>
      <c r="D222" s="99" t="str">
        <f>IFERROR(VLOOKUP(C222,timetables,2,FALSE)&amp;" "&amp;VLOOKUP(C222,timetables,3,FALSE)&amp;" A","")</f>
        <v>800m U15 Girls A</v>
      </c>
      <c r="E222" s="99"/>
      <c r="F222" s="410"/>
      <c r="G222" s="114" t="str">
        <f>IFERROR(IF(VLOOKUP($C222,timetables,8,FALSE)="W","Wind = ",""),"")</f>
        <v/>
      </c>
      <c r="H222" s="400"/>
      <c r="I222" s="106" t="str">
        <f>IFERROR(IF(OR(H224=0,H224=""),"",IF(H224&lt;C231,"REC",IF(H224=C231,"=Rec",""))),"")</f>
        <v/>
      </c>
      <c r="K222" s="101" t="str">
        <f>IFERROR(VLOOKUP(C222,timetables,2,FALSE)&amp;" "&amp;VLOOKUP(C222,timetables,3,FALSE)&amp;" B","")</f>
        <v>800m U15 Girls B</v>
      </c>
      <c r="L222" s="102"/>
      <c r="M222" s="410"/>
      <c r="N222" s="114" t="str">
        <f>IFERROR(IF(VLOOKUP($C222,timetables,8,FALSE)="W","Wind = ",""),"")</f>
        <v/>
      </c>
      <c r="O222" s="404"/>
      <c r="R222" s="66" t="s">
        <v>53</v>
      </c>
      <c r="S222" s="66" t="s">
        <v>54</v>
      </c>
      <c r="T222" s="96"/>
      <c r="U222" s="96"/>
      <c r="V222" s="96">
        <f t="shared" si="40"/>
        <v>0</v>
      </c>
      <c r="W222" s="96">
        <f t="shared" si="41"/>
        <v>0</v>
      </c>
    </row>
    <row r="223" spans="1:23" x14ac:dyDescent="0.35">
      <c r="A223" s="420">
        <f>IFERROR(VLOOKUP(C222,standards,11,FALSE),"-")</f>
        <v>1.6203703703703703E-3</v>
      </c>
      <c r="B223" s="419">
        <v>9</v>
      </c>
      <c r="C223" s="79"/>
      <c r="D223" s="45" t="s">
        <v>177</v>
      </c>
      <c r="E223" s="45" t="s">
        <v>141</v>
      </c>
      <c r="F223" s="424" t="s">
        <v>174</v>
      </c>
      <c r="G223" s="47" t="s">
        <v>175</v>
      </c>
      <c r="H223" s="401" t="s">
        <v>176</v>
      </c>
      <c r="I223" s="148" t="s">
        <v>1003</v>
      </c>
      <c r="J223" s="47"/>
      <c r="K223" s="45" t="s">
        <v>177</v>
      </c>
      <c r="L223" s="45" t="s">
        <v>141</v>
      </c>
      <c r="M223" s="424" t="s">
        <v>174</v>
      </c>
      <c r="N223" s="47" t="s">
        <v>175</v>
      </c>
      <c r="O223" s="401" t="s">
        <v>176</v>
      </c>
      <c r="P223" s="148" t="s">
        <v>1003</v>
      </c>
      <c r="R223" s="66">
        <f>IFERROR(SEARCH("NS",D222),0)</f>
        <v>0</v>
      </c>
      <c r="T223" s="96"/>
      <c r="U223" s="96"/>
      <c r="V223" s="96"/>
      <c r="W223" s="96"/>
    </row>
    <row r="224" spans="1:23" x14ac:dyDescent="0.35">
      <c r="A224" s="420">
        <f>IFERROR(VLOOKUP(C222,standards,10,FALSE),"-")</f>
        <v>1.6435185185185183E-3</v>
      </c>
      <c r="B224" s="419">
        <v>8</v>
      </c>
      <c r="C224" s="138">
        <f>IFERROR(VLOOKUP(C222,Timetables!$A:$E,5,FALSE)-1,"")</f>
        <v>-1</v>
      </c>
      <c r="D224" s="104">
        <v>1</v>
      </c>
      <c r="E224" s="107">
        <v>3</v>
      </c>
      <c r="F224" s="423" t="str">
        <f>IFERROR(VLOOKUP($C222&amp;E224,downloads!$A$1:$E$1000,2,FALSE),"")</f>
        <v>Gabriella TAYLOR</v>
      </c>
      <c r="G224" s="64" t="str">
        <f t="shared" ref="G224:G231" si="46">IFERROR(VLOOKUP(E224,teamlookup,5,FALSE),"")</f>
        <v>Leigh</v>
      </c>
      <c r="H224" s="402">
        <v>2.2949999999999999</v>
      </c>
      <c r="I224" s="147">
        <f>IFERROR(IF(OR(V224="",V224=0,V224&gt;A231),"",VLOOKUP(V224,A223:B231,2,TRUE)),9)</f>
        <v>5</v>
      </c>
      <c r="J224" s="67"/>
      <c r="K224" s="104">
        <v>1</v>
      </c>
      <c r="L224" s="107">
        <v>77</v>
      </c>
      <c r="M224" s="423" t="str">
        <f>IFERROR(VLOOKUP($C222&amp;L224,downloads!$A$1:$E$1000,2,FALSE),"")</f>
        <v>Esme CLARK</v>
      </c>
      <c r="N224" s="64" t="str">
        <f t="shared" ref="N224:N231" si="47">IFERROR(VLOOKUP(L224,teamlookup,5,FALSE),"")</f>
        <v>Wigan</v>
      </c>
      <c r="O224" s="399">
        <v>2.4390000000000001</v>
      </c>
      <c r="P224" s="147">
        <f>IFERROR(IF(OR(W224="",W224=0,W224&gt;A231),"",VLOOKUP(W224,A223:B231,2,TRUE)),9)</f>
        <v>2</v>
      </c>
      <c r="R224" s="66">
        <f ca="1">IFERROR(IF(OR(E224=0,E224="",H224=0,H224="",$R223&lt;&gt;0,LEFT(H224,1)="D"),0,VLOOKUP(D224,INDIRECT(MatchDay!$W$2),2,FALSE)),"")</f>
        <v>10</v>
      </c>
      <c r="S224" s="66">
        <f ca="1">IFERROR(IF(OR(L224=0,L224="",O224=0,O224="",$R223&lt;&gt;0,LEFT(O224,1)="D"),0,VLOOKUP(K224,INDIRECT(MatchDay!$W$2),3,FALSE)),"")</f>
        <v>8</v>
      </c>
      <c r="T224" s="96">
        <f>COUNTIF(E224,"&gt;0")</f>
        <v>1</v>
      </c>
      <c r="U224" s="96">
        <f>IFERROR(IF(E224&gt;88,1,0),0)</f>
        <v>0</v>
      </c>
      <c r="V224" s="96">
        <f>IFERROR(IF(LEFT(H224,1)="D",0,(INT(H224)*60+(H224-INT(H224))*100)/86400),"X")</f>
        <v>1.730324074074074E-3</v>
      </c>
      <c r="W224" s="96">
        <f>IFERROR(IF(LEFT(O224,1)="D",0,(INT(O224)*60+(O224-INT(O224))*100)/86400),"X")</f>
        <v>1.8969907407407408E-3</v>
      </c>
    </row>
    <row r="225" spans="1:23" x14ac:dyDescent="0.35">
      <c r="A225" s="420">
        <f>IFERROR(VLOOKUP(C222,standards,9,FALSE),"-")</f>
        <v>1.6666666666666668E-3</v>
      </c>
      <c r="B225" s="419">
        <v>7</v>
      </c>
      <c r="C225" s="64">
        <v>0</v>
      </c>
      <c r="D225" s="104">
        <v>2</v>
      </c>
      <c r="E225" s="107">
        <v>2</v>
      </c>
      <c r="F225" s="423" t="str">
        <f>IFERROR(VLOOKUP($C222&amp;E225,downloads!$A$1:$E$1000,2,FALSE),"")</f>
        <v>Isla HERRING</v>
      </c>
      <c r="G225" s="64" t="str">
        <f t="shared" si="46"/>
        <v>ECHT</v>
      </c>
      <c r="H225" s="399">
        <v>2.3279999999999998</v>
      </c>
      <c r="I225" s="147">
        <f>IFERROR(IF(OR(V225="",V225=0,V225&gt;A231),"",VLOOKUP(V225,A223:B231,2,TRUE)),9)</f>
        <v>4</v>
      </c>
      <c r="J225" s="67"/>
      <c r="K225" s="104">
        <v>2</v>
      </c>
      <c r="L225" s="107">
        <v>22</v>
      </c>
      <c r="M225" s="423" t="str">
        <f>IFERROR(VLOOKUP($C222&amp;L225,downloads!$A$1:$E$1000,2,FALSE),"")</f>
        <v>Anna ROOKE</v>
      </c>
      <c r="N225" s="64" t="str">
        <f t="shared" si="47"/>
        <v>ECHT</v>
      </c>
      <c r="O225" s="399">
        <v>2.4790000000000001</v>
      </c>
      <c r="P225" s="147" t="str">
        <f>IFERROR(IF(OR(W225="",W225=0,W225&gt;A231),"",VLOOKUP(W225,A223:B231,2,TRUE)),9)</f>
        <v/>
      </c>
      <c r="R225" s="66">
        <f ca="1">IFERROR(IF(OR(E225=0,E225="",H225=0,H225="",$R223&lt;&gt;0,LEFT(H225,1)="D"),0,VLOOKUP(D225,INDIRECT(MatchDay!$W$2),2,FALSE)),"")</f>
        <v>8</v>
      </c>
      <c r="S225" s="66">
        <f ca="1">IFERROR(IF(OR(L225=0,L225="",O225=0,O225="",$R223&lt;&gt;0,LEFT(O225,1)="D"),0,VLOOKUP(K225,INDIRECT(MatchDay!$W$2),3,FALSE)),"")</f>
        <v>6</v>
      </c>
      <c r="T225" s="96"/>
      <c r="U225" s="96"/>
      <c r="V225" s="96">
        <f t="shared" ref="V225:V231" si="48">IFERROR(IF(LEFT(H225,1)="D",0,(INT(H225)*60+(H225-INT(H225))*100)/86400),"X")</f>
        <v>1.7685185185185182E-3</v>
      </c>
      <c r="W225" s="96">
        <f t="shared" ref="W225:W231" si="49">IFERROR(IF(LEFT(O225,1)="D",0,(INT(O225)*60+(O225-INT(O225))*100)/86400),"X")</f>
        <v>1.9432870370370372E-3</v>
      </c>
    </row>
    <row r="226" spans="1:23" x14ac:dyDescent="0.35">
      <c r="A226" s="420">
        <f>IFERROR(VLOOKUP(C222,standards,8,FALSE),"-")</f>
        <v>1.689814814814815E-3</v>
      </c>
      <c r="B226" s="419">
        <v>6</v>
      </c>
      <c r="C226" s="105"/>
      <c r="D226" s="104">
        <v>3</v>
      </c>
      <c r="E226" s="107">
        <v>7</v>
      </c>
      <c r="F226" s="423" t="str">
        <f>IFERROR(VLOOKUP($C222&amp;E226,downloads!$A$1:$E$1000,2,FALSE),"")</f>
        <v>Esme HARRIS</v>
      </c>
      <c r="G226" s="64" t="str">
        <f t="shared" si="46"/>
        <v>Wigan</v>
      </c>
      <c r="H226" s="399">
        <v>2.4380000000000002</v>
      </c>
      <c r="I226" s="147">
        <f>IFERROR(IF(OR(V226="",V226=0,V226&gt;A231),"",VLOOKUP(V226,A223:B231,2,TRUE)),9)</f>
        <v>2</v>
      </c>
      <c r="J226" s="67"/>
      <c r="K226" s="104">
        <v>3</v>
      </c>
      <c r="L226" s="107">
        <v>11</v>
      </c>
      <c r="M226" s="423" t="str">
        <f>IFERROR(VLOOKUP($C222&amp;L226,downloads!$A$1:$E$1000,2,FALSE),"")</f>
        <v>Heidi WOODS</v>
      </c>
      <c r="N226" s="64" t="str">
        <f t="shared" si="47"/>
        <v>C&amp;N</v>
      </c>
      <c r="O226" s="399">
        <v>3.0950000000000002</v>
      </c>
      <c r="P226" s="147" t="str">
        <f>IFERROR(IF(OR(W226="",W226=0,W226&gt;A231),"",VLOOKUP(W226,A223:B231,2,TRUE)),9)</f>
        <v/>
      </c>
      <c r="R226" s="66">
        <f ca="1">IFERROR(IF(OR(E226=0,E226="",H226=0,H226="",$R223&lt;&gt;0,LEFT(H226,1)="D"),0,VLOOKUP(D226,INDIRECT(MatchDay!$W$2),2,FALSE)),"")</f>
        <v>7</v>
      </c>
      <c r="S226" s="66">
        <f ca="1">IFERROR(IF(OR(L226=0,L226="",O226=0,O226="",$R223&lt;&gt;0,LEFT(O226,1)="D"),0,VLOOKUP(K226,INDIRECT(MatchDay!$W$2),3,FALSE)),"")</f>
        <v>5</v>
      </c>
      <c r="T226" s="96"/>
      <c r="U226" s="96"/>
      <c r="V226" s="96">
        <f t="shared" si="48"/>
        <v>1.8958333333333336E-3</v>
      </c>
      <c r="W226" s="96">
        <f t="shared" si="49"/>
        <v>2.1932870370370374E-3</v>
      </c>
    </row>
    <row r="227" spans="1:23" x14ac:dyDescent="0.35">
      <c r="A227" s="420">
        <f>IFERROR(VLOOKUP(C222,standards,7,FALSE),"-")</f>
        <v>1.712962962962963E-3</v>
      </c>
      <c r="B227" s="419">
        <v>5</v>
      </c>
      <c r="C227" s="105"/>
      <c r="D227" s="104">
        <v>4</v>
      </c>
      <c r="E227" s="107">
        <v>4</v>
      </c>
      <c r="F227" s="423" t="str">
        <f>IFERROR(VLOOKUP($C222&amp;E227,downloads!$A$1:$E$1000,2,FALSE),"")</f>
        <v>Brooke SAYCE</v>
      </c>
      <c r="G227" s="64" t="str">
        <f t="shared" si="46"/>
        <v>Macc</v>
      </c>
      <c r="H227" s="399">
        <v>2.5030000000000001</v>
      </c>
      <c r="I227" s="147" t="str">
        <f>IFERROR(IF(OR(V227="",V227=0,V227&gt;A231),"",VLOOKUP(V227,A223:B231,2,TRUE)),9)</f>
        <v/>
      </c>
      <c r="J227" s="67"/>
      <c r="K227" s="104">
        <v>4</v>
      </c>
      <c r="L227" s="248"/>
      <c r="M227" s="423" t="str">
        <f>IFERROR(VLOOKUP($C222&amp;L227,downloads!$A$1:$E$1000,2,FALSE),"")</f>
        <v/>
      </c>
      <c r="N227" s="64" t="str">
        <f t="shared" si="47"/>
        <v/>
      </c>
      <c r="O227" s="403"/>
      <c r="P227" s="147" t="str">
        <f>IFERROR(IF(OR(W227="",W227=0,W227&gt;A231),"",VLOOKUP(W227,A223:B231,2,TRUE)),9)</f>
        <v/>
      </c>
      <c r="R227" s="66">
        <f ca="1">IFERROR(IF(OR(E227=0,E227="",H227=0,H227="",$R223&lt;&gt;0,LEFT(H227,1)="D"),0,VLOOKUP(D227,INDIRECT(MatchDay!$W$2),2,FALSE)),"")</f>
        <v>6</v>
      </c>
      <c r="S227" s="66">
        <f ca="1">IFERROR(IF(OR(L227=0,L227="",O227=0,O227="",$R223&lt;&gt;0,LEFT(O227,1)="D"),0,VLOOKUP(K227,INDIRECT(MatchDay!$W$2),3,FALSE)),"")</f>
        <v>0</v>
      </c>
      <c r="T227" s="96"/>
      <c r="U227" s="96"/>
      <c r="V227" s="96">
        <f t="shared" si="48"/>
        <v>1.9710648148148148E-3</v>
      </c>
      <c r="W227" s="96">
        <f t="shared" si="49"/>
        <v>0</v>
      </c>
    </row>
    <row r="228" spans="1:23" x14ac:dyDescent="0.35">
      <c r="A228" s="420">
        <f>IFERROR(VLOOKUP(C222,standards,6,FALSE),"-")</f>
        <v>1.7476851851851852E-3</v>
      </c>
      <c r="B228" s="419">
        <v>4</v>
      </c>
      <c r="C228" s="105"/>
      <c r="D228" s="104">
        <v>5</v>
      </c>
      <c r="E228" s="107">
        <v>1</v>
      </c>
      <c r="F228" s="423" t="str">
        <f>IFERROR(VLOOKUP($C222&amp;E228,downloads!$A$1:$E$1000,2,FALSE),"")</f>
        <v>Lucy HARDING</v>
      </c>
      <c r="G228" s="64" t="str">
        <f t="shared" si="46"/>
        <v>C&amp;N</v>
      </c>
      <c r="H228" s="399">
        <v>2.5089999999999999</v>
      </c>
      <c r="I228" s="147" t="str">
        <f>IFERROR(IF(OR(V228="",V228=0,V228&gt;A231),"",VLOOKUP(V228,A223:B231,2,TRUE)),9)</f>
        <v/>
      </c>
      <c r="J228" s="67"/>
      <c r="K228" s="104">
        <v>5</v>
      </c>
      <c r="L228" s="248"/>
      <c r="M228" s="423" t="str">
        <f>IFERROR(VLOOKUP($C222&amp;L228,downloads!$A$1:$E$1000,2,FALSE),"")</f>
        <v/>
      </c>
      <c r="N228" s="64" t="str">
        <f t="shared" si="47"/>
        <v/>
      </c>
      <c r="O228" s="402"/>
      <c r="P228" s="147" t="str">
        <f>IFERROR(IF(OR(W228="",W228=0,W228&gt;A231),"",VLOOKUP(W228,A223:B231,2,TRUE)),9)</f>
        <v/>
      </c>
      <c r="R228" s="66">
        <f ca="1">IFERROR(IF(OR(E228=0,E228="",H228=0,H228="",$R223&lt;&gt;0,LEFT(H228,1)="D"),0,VLOOKUP(D228,INDIRECT(MatchDay!$W$2),2,FALSE)),"")</f>
        <v>5</v>
      </c>
      <c r="S228" s="66">
        <f ca="1">IFERROR(IF(OR(L228=0,L228="",O228=0,O228="",$R223&lt;&gt;0,LEFT(O228,1)="D"),0,VLOOKUP(K228,INDIRECT(MatchDay!$W$2),3,FALSE)),"")</f>
        <v>0</v>
      </c>
      <c r="T228" s="96"/>
      <c r="U228" s="96"/>
      <c r="V228" s="96">
        <f t="shared" si="48"/>
        <v>1.9780092592592588E-3</v>
      </c>
      <c r="W228" s="96">
        <f t="shared" si="49"/>
        <v>0</v>
      </c>
    </row>
    <row r="229" spans="1:23" x14ac:dyDescent="0.35">
      <c r="A229" s="420">
        <f>IFERROR(VLOOKUP(C222,standards,5,FALSE),"-")</f>
        <v>1.7939814814814815E-3</v>
      </c>
      <c r="B229" s="419">
        <v>3</v>
      </c>
      <c r="C229" s="105"/>
      <c r="D229" s="104">
        <v>6</v>
      </c>
      <c r="E229" s="107"/>
      <c r="F229" s="423" t="str">
        <f>IFERROR(VLOOKUP($C222&amp;E229,downloads!$A$1:$E$1000,2,FALSE),"")</f>
        <v/>
      </c>
      <c r="G229" s="64" t="str">
        <f t="shared" si="46"/>
        <v/>
      </c>
      <c r="H229" s="399"/>
      <c r="I229" s="147" t="str">
        <f>IFERROR(IF(OR(V229="",V229=0,V229&gt;A231),"",VLOOKUP(V229,A223:B231,2,TRUE)),9)</f>
        <v/>
      </c>
      <c r="J229" s="67"/>
      <c r="K229" s="104">
        <v>6</v>
      </c>
      <c r="L229" s="248"/>
      <c r="M229" s="423" t="str">
        <f>IFERROR(VLOOKUP($C222&amp;L229,downloads!$A$1:$E$1000,2,FALSE),"")</f>
        <v/>
      </c>
      <c r="N229" s="64" t="str">
        <f t="shared" si="47"/>
        <v/>
      </c>
      <c r="O229" s="402"/>
      <c r="P229" s="147" t="str">
        <f>IFERROR(IF(OR(W229="",W229=0,W229&gt;A231),"",VLOOKUP(W229,A223:B231,2,TRUE)),9)</f>
        <v/>
      </c>
      <c r="R229" s="66">
        <f ca="1">IFERROR(IF(OR(E229=0,E229="",H229=0,H229="",$R223&lt;&gt;0,LEFT(H229,1)="D"),0,VLOOKUP(D229,INDIRECT(MatchDay!$W$2),2,FALSE)),"")</f>
        <v>0</v>
      </c>
      <c r="S229" s="66">
        <f ca="1">IFERROR(IF(OR(L229=0,L229="",O229=0,O229="",$R223&lt;&gt;0,LEFT(O229,1)="D"),0,VLOOKUP(K229,INDIRECT(MatchDay!$W$2),3,FALSE)),"")</f>
        <v>0</v>
      </c>
      <c r="T229" s="96"/>
      <c r="U229" s="96"/>
      <c r="V229" s="96">
        <f t="shared" si="48"/>
        <v>0</v>
      </c>
      <c r="W229" s="96">
        <f t="shared" si="49"/>
        <v>0</v>
      </c>
    </row>
    <row r="230" spans="1:23" x14ac:dyDescent="0.35">
      <c r="A230" s="420">
        <f>IFERROR(VLOOKUP(C222,standards,4,FALSE),"-")</f>
        <v>1.8518518518518517E-3</v>
      </c>
      <c r="B230" s="419">
        <v>2</v>
      </c>
      <c r="C230" s="120">
        <f>IFERROR(SEARCH("U17",D222),0)</f>
        <v>0</v>
      </c>
      <c r="D230" s="104">
        <v>7</v>
      </c>
      <c r="E230" s="107"/>
      <c r="F230" s="423" t="str">
        <f>IFERROR(VLOOKUP($C222&amp;E230,downloads!$A$1:$E$1000,2,FALSE),"")</f>
        <v/>
      </c>
      <c r="G230" s="64" t="str">
        <f t="shared" si="46"/>
        <v/>
      </c>
      <c r="H230" s="399"/>
      <c r="I230" s="147" t="str">
        <f>IFERROR(IF(OR(V230="",V230=0,V230&gt;A231),"",VLOOKUP(V230,A223:B231,2,TRUE)),9)</f>
        <v/>
      </c>
      <c r="J230" s="67"/>
      <c r="K230" s="104">
        <v>7</v>
      </c>
      <c r="L230" s="248"/>
      <c r="M230" s="423" t="str">
        <f>IFERROR(VLOOKUP($C222&amp;L230,downloads!$A$1:$E$1000,2,FALSE),"")</f>
        <v/>
      </c>
      <c r="N230" s="64" t="str">
        <f t="shared" si="47"/>
        <v/>
      </c>
      <c r="O230" s="402"/>
      <c r="P230" s="147" t="str">
        <f>IFERROR(IF(OR(W230="",W230=0,W230&gt;A231),"",VLOOKUP(W230,A223:B231,2,TRUE)),9)</f>
        <v/>
      </c>
      <c r="R230" s="66">
        <f ca="1">IFERROR(IF(OR(E230=0,E230="",H230=0,H230="",$R223&lt;&gt;0,LEFT(H230,1)="D"),0,VLOOKUP(D230,INDIRECT(MatchDay!$W$2),2,FALSE)),"")</f>
        <v>0</v>
      </c>
      <c r="S230" s="66">
        <f ca="1">IFERROR(IF(OR(L230=0,L230="",O230=0,O230="",$R223&lt;&gt;0,LEFT(O230,1)="D"),0,VLOOKUP(K230,INDIRECT(MatchDay!$W$2),3,FALSE)),"")</f>
        <v>0</v>
      </c>
      <c r="T230" s="96"/>
      <c r="U230" s="96"/>
      <c r="V230" s="96">
        <f t="shared" si="48"/>
        <v>0</v>
      </c>
      <c r="W230" s="96">
        <f t="shared" si="49"/>
        <v>0</v>
      </c>
    </row>
    <row r="231" spans="1:23" x14ac:dyDescent="0.35">
      <c r="A231" s="420">
        <f>IFERROR(VLOOKUP(C222,standards,3,FALSE),"-")</f>
        <v>1.9097222222222222E-3</v>
      </c>
      <c r="B231" s="419">
        <v>1</v>
      </c>
      <c r="C231" s="103">
        <f>IFERROR(VLOOKUP(C222,records,5,FALSE),"")</f>
        <v>1.4791666666666666E-3</v>
      </c>
      <c r="D231" s="104">
        <v>8</v>
      </c>
      <c r="E231" s="107"/>
      <c r="F231" s="423" t="str">
        <f>IFERROR(VLOOKUP($C222&amp;E231,downloads!$A$1:$E$1000,2,FALSE),"")</f>
        <v/>
      </c>
      <c r="G231" s="64" t="str">
        <f t="shared" si="46"/>
        <v/>
      </c>
      <c r="H231" s="399"/>
      <c r="I231" s="147" t="str">
        <f>IFERROR(IF(OR(V231="",V231=0,V231&gt;A231),"",VLOOKUP(V231,A223:B231,2,TRUE)),9)</f>
        <v/>
      </c>
      <c r="J231" s="67"/>
      <c r="K231" s="104">
        <v>8</v>
      </c>
      <c r="L231" s="248"/>
      <c r="M231" s="423" t="str">
        <f>IFERROR(VLOOKUP($C222&amp;L231,downloads!$A$1:$E$1000,2,FALSE),"")</f>
        <v/>
      </c>
      <c r="N231" s="64" t="str">
        <f t="shared" si="47"/>
        <v/>
      </c>
      <c r="O231" s="403"/>
      <c r="P231" s="147" t="str">
        <f>IFERROR(IF(OR(W231="",W231=0,W231&gt;A231),"",VLOOKUP(W231,A223:B231,2,TRUE)),9)</f>
        <v/>
      </c>
      <c r="R231" s="66">
        <f ca="1">IFERROR(IF(OR(E231=0,E231="",H231=0,H231="",$R223&lt;&gt;0,LEFT(H231,1)="D"),0,VLOOKUP(D231,INDIRECT(MatchDay!$W$2),2,FALSE)),"")</f>
        <v>0</v>
      </c>
      <c r="S231" s="66">
        <f ca="1">IFERROR(IF(OR(L231=0,L231="",O231=0,O231="",$R223&lt;&gt;0,LEFT(O231,1)="D"),0,VLOOKUP(K231,INDIRECT(MatchDay!$W$2),3,FALSE)),"")</f>
        <v>0</v>
      </c>
      <c r="T231" s="96"/>
      <c r="U231" s="96"/>
      <c r="V231" s="96">
        <f t="shared" si="48"/>
        <v>0</v>
      </c>
      <c r="W231" s="96">
        <f t="shared" si="49"/>
        <v>0</v>
      </c>
    </row>
    <row r="232" spans="1:23" x14ac:dyDescent="0.35">
      <c r="F232" s="410"/>
      <c r="H232" s="400"/>
      <c r="M232" s="410"/>
      <c r="O232" s="404"/>
      <c r="T232" s="96"/>
      <c r="U232" s="96"/>
      <c r="V232" s="96">
        <f t="shared" si="40"/>
        <v>0</v>
      </c>
      <c r="W232" s="96">
        <f t="shared" si="41"/>
        <v>0</v>
      </c>
    </row>
    <row r="233" spans="1:23" x14ac:dyDescent="0.35">
      <c r="C233" s="98" t="s">
        <v>351</v>
      </c>
      <c r="D233" s="99" t="str">
        <f>IFERROR(VLOOKUP(C233,timetables,2,FALSE)&amp;" "&amp;VLOOKUP(C233,timetables,3,FALSE)&amp;" A","")</f>
        <v>800m U15 Boys A</v>
      </c>
      <c r="E233" s="99"/>
      <c r="F233" s="410"/>
      <c r="G233" s="114" t="str">
        <f>IFERROR(IF(VLOOKUP($C233,timetables,8,FALSE)="W","Wind = ",""),"")</f>
        <v/>
      </c>
      <c r="H233" s="400"/>
      <c r="I233" s="106" t="str">
        <f>IFERROR(IF(OR(H235=0,H235=""),"",IF(H235&lt;C242,"REC",IF(H235=C242,"=Rec",""))),"")</f>
        <v/>
      </c>
      <c r="K233" s="101" t="str">
        <f>IFERROR(VLOOKUP(C233,timetables,2,FALSE)&amp;" "&amp;VLOOKUP(C233,timetables,3,FALSE)&amp;" B","")</f>
        <v>800m U15 Boys B</v>
      </c>
      <c r="L233" s="102"/>
      <c r="M233" s="410"/>
      <c r="N233" s="114" t="str">
        <f>IFERROR(IF(VLOOKUP($C233,timetables,8,FALSE)="W","Wind = ",""),"")</f>
        <v/>
      </c>
      <c r="O233" s="404"/>
      <c r="R233" s="66" t="s">
        <v>53</v>
      </c>
      <c r="S233" s="66" t="s">
        <v>54</v>
      </c>
      <c r="T233" s="96"/>
      <c r="U233" s="96"/>
      <c r="V233" s="96">
        <f t="shared" si="40"/>
        <v>0</v>
      </c>
      <c r="W233" s="96">
        <f t="shared" si="41"/>
        <v>0</v>
      </c>
    </row>
    <row r="234" spans="1:23" x14ac:dyDescent="0.35">
      <c r="A234" s="420">
        <f>IFERROR(TIMEVALUE(VLOOKUP(C233,standards,11,FALSE)),"-")</f>
        <v>1.4467592592592594E-3</v>
      </c>
      <c r="B234" s="419">
        <v>9</v>
      </c>
      <c r="C234" s="79"/>
      <c r="D234" s="45" t="s">
        <v>177</v>
      </c>
      <c r="E234" s="45" t="s">
        <v>141</v>
      </c>
      <c r="F234" s="424" t="s">
        <v>174</v>
      </c>
      <c r="G234" s="47" t="s">
        <v>175</v>
      </c>
      <c r="H234" s="401" t="s">
        <v>176</v>
      </c>
      <c r="I234" s="148" t="s">
        <v>1003</v>
      </c>
      <c r="J234" s="47"/>
      <c r="K234" s="45" t="s">
        <v>177</v>
      </c>
      <c r="L234" s="45" t="s">
        <v>141</v>
      </c>
      <c r="M234" s="424" t="s">
        <v>174</v>
      </c>
      <c r="N234" s="47" t="s">
        <v>175</v>
      </c>
      <c r="O234" s="401" t="s">
        <v>176</v>
      </c>
      <c r="P234" s="148" t="s">
        <v>1003</v>
      </c>
      <c r="R234" s="66">
        <f>IFERROR(SEARCH("NS",D233),0)</f>
        <v>0</v>
      </c>
      <c r="T234" s="96"/>
      <c r="U234" s="96"/>
      <c r="V234" s="96"/>
      <c r="W234" s="96"/>
    </row>
    <row r="235" spans="1:23" x14ac:dyDescent="0.35">
      <c r="A235" s="420">
        <f>IFERROR(TIMEVALUE(VLOOKUP(C233,standards,10,FALSE)),"-")</f>
        <v>1.4699074074074074E-3</v>
      </c>
      <c r="B235" s="419">
        <v>8</v>
      </c>
      <c r="C235" s="138">
        <f>IFERROR(VLOOKUP(C233,Timetables!$A:$E,5,FALSE)-1,"")</f>
        <v>-1</v>
      </c>
      <c r="D235" s="104">
        <v>1</v>
      </c>
      <c r="E235" s="107">
        <v>3</v>
      </c>
      <c r="F235" s="423" t="str">
        <f>IFERROR(VLOOKUP($C233&amp;E235,downloads!$A$1:$E$1000,2,FALSE),"")</f>
        <v>Thomas AMARAL</v>
      </c>
      <c r="G235" s="64" t="str">
        <f t="shared" ref="G235:G242" si="50">IFERROR(VLOOKUP(E235,teamlookup,5,FALSE),"")</f>
        <v>Leigh</v>
      </c>
      <c r="H235" s="399">
        <v>2.1150000000000002</v>
      </c>
      <c r="I235" s="147">
        <f>IFERROR(IF(OR(V235="",V235=0,V235&gt;A242),"",VLOOKUP(V235,A234:B242,2,TRUE)),9)</f>
        <v>7</v>
      </c>
      <c r="J235" s="67"/>
      <c r="K235" s="104">
        <v>1</v>
      </c>
      <c r="L235" s="248">
        <v>33</v>
      </c>
      <c r="M235" s="423" t="str">
        <f>IFERROR(VLOOKUP($C233&amp;L235,downloads!$A$1:$E$1000,2,FALSE),"")</f>
        <v>Archer GILDART</v>
      </c>
      <c r="N235" s="64" t="str">
        <f t="shared" ref="N235:N242" si="51">IFERROR(VLOOKUP(L235,teamlookup,5,FALSE),"")</f>
        <v>Leigh</v>
      </c>
      <c r="O235" s="403">
        <v>2.2810000000000001</v>
      </c>
      <c r="P235" s="147">
        <f>IFERROR(IF(OR(W235="",W235=0,W235&gt;A242),"",VLOOKUP(W235,A234:B242,2,TRUE)),9)</f>
        <v>2</v>
      </c>
      <c r="R235" s="66">
        <f ca="1">IFERROR(IF(OR(E235=0,E235="",H235=0,H235="",$R234&lt;&gt;0,LEFT(H235,1)="D"),0,VLOOKUP(D235,INDIRECT(MatchDay!$W$2),2,FALSE)),"")</f>
        <v>10</v>
      </c>
      <c r="S235" s="66">
        <f ca="1">IFERROR(IF(OR(L235=0,L235="",O235=0,O235="",$R234&lt;&gt;0,LEFT(O235,1)="D"),0,VLOOKUP(K235,INDIRECT(MatchDay!$W$2),3,FALSE)),"")</f>
        <v>8</v>
      </c>
      <c r="T235" s="96">
        <f>COUNTIF(E235,"&gt;0")</f>
        <v>1</v>
      </c>
      <c r="U235" s="96">
        <f>IFERROR(IF(E235&gt;88,1,0),0)</f>
        <v>0</v>
      </c>
      <c r="V235" s="96">
        <f>IFERROR(IF(LEFT(H235,1)="D",0,(INT(H235)*60+(H235-INT(H235))*100)/86400),"X")</f>
        <v>1.5219907407407411E-3</v>
      </c>
      <c r="W235" s="96">
        <f>IFERROR(IF(LEFT(O235,1)="D",0,(INT(O235)*60+(O235-INT(O235))*100)/86400),"X")</f>
        <v>1.7141203703703706E-3</v>
      </c>
    </row>
    <row r="236" spans="1:23" x14ac:dyDescent="0.35">
      <c r="A236" s="420">
        <f>IFERROR(TIMEVALUE(VLOOKUP(C233,standards,9,FALSE)),"-")</f>
        <v>1.4930555555555556E-3</v>
      </c>
      <c r="B236" s="419">
        <v>7</v>
      </c>
      <c r="C236" s="64">
        <v>0</v>
      </c>
      <c r="D236" s="104">
        <v>2</v>
      </c>
      <c r="E236" s="107">
        <v>6</v>
      </c>
      <c r="F236" s="423" t="str">
        <f>IFERROR(VLOOKUP($C233&amp;E236,downloads!$A$1:$E$1000,2,FALSE),"")</f>
        <v>Arthur WOLSTENHOLME</v>
      </c>
      <c r="G236" s="64" t="str">
        <f t="shared" si="50"/>
        <v>Stock</v>
      </c>
      <c r="H236" s="399">
        <v>2.177</v>
      </c>
      <c r="I236" s="147">
        <f>IFERROR(IF(OR(V236="",V236=0,V236&gt;A242),"",VLOOKUP(V236,A234:B242,2,TRUE)),9)</f>
        <v>5</v>
      </c>
      <c r="J236" s="67"/>
      <c r="K236" s="104">
        <v>2</v>
      </c>
      <c r="L236" s="248">
        <v>22</v>
      </c>
      <c r="M236" s="423" t="str">
        <f>IFERROR(VLOOKUP($C233&amp;L236,downloads!$A$1:$E$1000,2,FALSE),"")</f>
        <v>Sebastian STEWART</v>
      </c>
      <c r="N236" s="64" t="str">
        <f t="shared" si="51"/>
        <v>ECHT</v>
      </c>
      <c r="O236" s="403">
        <v>2.3780000000000001</v>
      </c>
      <c r="P236" s="147" t="str">
        <f>IFERROR(IF(OR(W236="",W236=0,W236&gt;A242),"",VLOOKUP(W236,A234:B242,2,TRUE)),9)</f>
        <v/>
      </c>
      <c r="R236" s="66">
        <f ca="1">IFERROR(IF(OR(E236=0,E236="",H236=0,H236="",$R234&lt;&gt;0,LEFT(H236,1)="D"),0,VLOOKUP(D236,INDIRECT(MatchDay!$W$2),2,FALSE)),"")</f>
        <v>8</v>
      </c>
      <c r="S236" s="66">
        <f ca="1">IFERROR(IF(OR(L236=0,L236="",O236=0,O236="",$R234&lt;&gt;0,LEFT(O236,1)="D"),0,VLOOKUP(K236,INDIRECT(MatchDay!$W$2),3,FALSE)),"")</f>
        <v>6</v>
      </c>
      <c r="T236" s="96"/>
      <c r="U236" s="96"/>
      <c r="V236" s="96">
        <f t="shared" ref="V236:V242" si="52">IFERROR(IF(LEFT(H236,1)="D",0,(INT(H236)*60+(H236-INT(H236))*100)/86400),"X")</f>
        <v>1.5937499999999999E-3</v>
      </c>
      <c r="W236" s="96">
        <f t="shared" ref="W236:W242" si="53">IFERROR(IF(LEFT(O236,1)="D",0,(INT(O236)*60+(O236-INT(O236))*100)/86400),"X")</f>
        <v>1.8263888888888891E-3</v>
      </c>
    </row>
    <row r="237" spans="1:23" x14ac:dyDescent="0.35">
      <c r="A237" s="420">
        <f>IFERROR(TIMEVALUE(VLOOKUP(C233,standards,8,FALSE)),"-")</f>
        <v>1.5277777777777779E-3</v>
      </c>
      <c r="B237" s="419">
        <v>6</v>
      </c>
      <c r="C237" s="105"/>
      <c r="D237" s="104">
        <v>3</v>
      </c>
      <c r="E237" s="107">
        <v>2</v>
      </c>
      <c r="F237" s="423" t="str">
        <f>IFERROR(VLOOKUP($C233&amp;E237,downloads!$A$1:$E$1000,2,FALSE),"")</f>
        <v>Alfie MANSER</v>
      </c>
      <c r="G237" s="64" t="str">
        <f t="shared" si="50"/>
        <v>ECHT</v>
      </c>
      <c r="H237" s="399">
        <v>2.1840000000000002</v>
      </c>
      <c r="I237" s="147">
        <f>IFERROR(IF(OR(V237="",V237=0,V237&gt;A242),"",VLOOKUP(V237,A234:B242,2,TRUE)),9)</f>
        <v>4</v>
      </c>
      <c r="J237" s="67"/>
      <c r="K237" s="104">
        <v>3</v>
      </c>
      <c r="L237" s="248">
        <v>11</v>
      </c>
      <c r="M237" s="423" t="str">
        <f>IFERROR(VLOOKUP($C233&amp;L237,downloads!$A$1:$E$1000,2,FALSE),"")</f>
        <v>Sam FIRMAN</v>
      </c>
      <c r="N237" s="64" t="str">
        <f t="shared" si="51"/>
        <v>C&amp;N</v>
      </c>
      <c r="O237" s="403">
        <v>2.427</v>
      </c>
      <c r="P237" s="147" t="str">
        <f>IFERROR(IF(OR(W237="",W237=0,W237&gt;A242),"",VLOOKUP(W237,A234:B242,2,TRUE)),9)</f>
        <v/>
      </c>
      <c r="R237" s="66">
        <f ca="1">IFERROR(IF(OR(E237=0,E237="",H237=0,H237="",$R234&lt;&gt;0,LEFT(H237,1)="D"),0,VLOOKUP(D237,INDIRECT(MatchDay!$W$2),2,FALSE)),"")</f>
        <v>7</v>
      </c>
      <c r="S237" s="66">
        <f ca="1">IFERROR(IF(OR(L237=0,L237="",O237=0,O237="",$R234&lt;&gt;0,LEFT(O237,1)="D"),0,VLOOKUP(K237,INDIRECT(MatchDay!$W$2),3,FALSE)),"")</f>
        <v>5</v>
      </c>
      <c r="T237" s="96"/>
      <c r="U237" s="96"/>
      <c r="V237" s="96">
        <f t="shared" si="52"/>
        <v>1.6018518518518519E-3</v>
      </c>
      <c r="W237" s="96">
        <f t="shared" si="53"/>
        <v>1.8831018518518517E-3</v>
      </c>
    </row>
    <row r="238" spans="1:23" x14ac:dyDescent="0.35">
      <c r="A238" s="420">
        <f>IFERROR(TIMEVALUE(VLOOKUP(C233,standards,7,FALSE)),"-")</f>
        <v>1.5624999999999999E-3</v>
      </c>
      <c r="B238" s="419">
        <v>5</v>
      </c>
      <c r="C238" s="105"/>
      <c r="D238" s="104">
        <v>4</v>
      </c>
      <c r="E238" s="107">
        <v>4</v>
      </c>
      <c r="F238" s="423" t="str">
        <f>IFERROR(VLOOKUP($C233&amp;E238,downloads!$A$1:$E$1000,2,FALSE),"")</f>
        <v>Thomas WOOD</v>
      </c>
      <c r="G238" s="64" t="str">
        <f t="shared" si="50"/>
        <v>Macc</v>
      </c>
      <c r="H238" s="399">
        <v>2.2130000000000001</v>
      </c>
      <c r="I238" s="147">
        <f>IFERROR(IF(OR(V238="",V238=0,V238&gt;A242),"",VLOOKUP(V238,A234:B242,2,TRUE)),9)</f>
        <v>3</v>
      </c>
      <c r="J238" s="67"/>
      <c r="K238" s="104">
        <v>4</v>
      </c>
      <c r="L238" s="248">
        <v>44</v>
      </c>
      <c r="M238" s="423" t="str">
        <f>IFERROR(VLOOKUP($C233&amp;L238,downloads!$A$1:$E$1000,2,FALSE),"")</f>
        <v>Douglas POINTON</v>
      </c>
      <c r="N238" s="64" t="str">
        <f t="shared" si="51"/>
        <v>Macc</v>
      </c>
      <c r="O238" s="403">
        <v>2.4689999999999999</v>
      </c>
      <c r="P238" s="147" t="str">
        <f>IFERROR(IF(OR(W238="",W238=0,W238&gt;A242),"",VLOOKUP(W238,A234:B242,2,TRUE)),9)</f>
        <v/>
      </c>
      <c r="R238" s="66">
        <f ca="1">IFERROR(IF(OR(E238=0,E238="",H238=0,H238="",$R234&lt;&gt;0,LEFT(H238,1)="D"),0,VLOOKUP(D238,INDIRECT(MatchDay!$W$2),2,FALSE)),"")</f>
        <v>6</v>
      </c>
      <c r="S238" s="66">
        <f ca="1">IFERROR(IF(OR(L238=0,L238="",O238=0,O238="",$R234&lt;&gt;0,LEFT(O238,1)="D"),0,VLOOKUP(K238,INDIRECT(MatchDay!$W$2),3,FALSE)),"")</f>
        <v>4</v>
      </c>
      <c r="T238" s="96"/>
      <c r="U238" s="96"/>
      <c r="V238" s="96">
        <f t="shared" si="52"/>
        <v>1.6354166666666667E-3</v>
      </c>
      <c r="W238" s="96">
        <f t="shared" si="53"/>
        <v>1.9317129629629628E-3</v>
      </c>
    </row>
    <row r="239" spans="1:23" x14ac:dyDescent="0.35">
      <c r="A239" s="420">
        <f>IFERROR(TIMEVALUE(VLOOKUP(C233,standards,6,FALSE)),"-")</f>
        <v>1.5972222222222221E-3</v>
      </c>
      <c r="B239" s="419">
        <v>4</v>
      </c>
      <c r="C239" s="105"/>
      <c r="D239" s="104">
        <v>5</v>
      </c>
      <c r="E239" s="107">
        <v>1</v>
      </c>
      <c r="F239" s="423" t="str">
        <f>IFERROR(VLOOKUP($C233&amp;E239,downloads!$A$1:$E$1000,2,FALSE),"")</f>
        <v>Jack TILLEY</v>
      </c>
      <c r="G239" s="64" t="str">
        <f t="shared" si="50"/>
        <v>C&amp;N</v>
      </c>
      <c r="H239" s="402">
        <v>2.2530000000000001</v>
      </c>
      <c r="I239" s="147">
        <f>IFERROR(IF(OR(V239="",V239=0,V239&gt;A242),"",VLOOKUP(V239,A234:B242,2,TRUE)),9)</f>
        <v>2</v>
      </c>
      <c r="J239" s="67"/>
      <c r="K239" s="104">
        <v>5</v>
      </c>
      <c r="L239" s="248"/>
      <c r="M239" s="423" t="str">
        <f>IFERROR(VLOOKUP($C233&amp;L239,downloads!$A$1:$E$1000,2,FALSE),"")</f>
        <v/>
      </c>
      <c r="N239" s="64" t="str">
        <f t="shared" si="51"/>
        <v/>
      </c>
      <c r="O239" s="403"/>
      <c r="P239" s="147" t="str">
        <f>IFERROR(IF(OR(W239="",W239=0,W239&gt;A242),"",VLOOKUP(W239,A234:B242,2,TRUE)),9)</f>
        <v/>
      </c>
      <c r="R239" s="66">
        <f ca="1">IFERROR(IF(OR(E239=0,E239="",H239=0,H239="",$R234&lt;&gt;0,LEFT(H239,1)="D"),0,VLOOKUP(D239,INDIRECT(MatchDay!$W$2),2,FALSE)),"")</f>
        <v>5</v>
      </c>
      <c r="S239" s="66">
        <f ca="1">IFERROR(IF(OR(L239=0,L239="",O239=0,O239="",$R234&lt;&gt;0,LEFT(O239,1)="D"),0,VLOOKUP(K239,INDIRECT(MatchDay!$W$2),3,FALSE)),"")</f>
        <v>0</v>
      </c>
      <c r="T239" s="96"/>
      <c r="U239" s="96"/>
      <c r="V239" s="96">
        <f t="shared" si="52"/>
        <v>1.6817129629629632E-3</v>
      </c>
      <c r="W239" s="96">
        <f t="shared" si="53"/>
        <v>0</v>
      </c>
    </row>
    <row r="240" spans="1:23" x14ac:dyDescent="0.35">
      <c r="A240" s="420">
        <f>IFERROR(TIMEVALUE(VLOOKUP(C233,standards,5,FALSE)),"-")</f>
        <v>1.6319444444444445E-3</v>
      </c>
      <c r="B240" s="419">
        <v>3</v>
      </c>
      <c r="C240" s="105"/>
      <c r="D240" s="104">
        <v>6</v>
      </c>
      <c r="E240" s="107">
        <v>5</v>
      </c>
      <c r="F240" s="423" t="str">
        <f>IFERROR(VLOOKUP($C233&amp;E240,downloads!$A$1:$E$1000,2,FALSE),"")</f>
        <v>Owain WILLIAMS</v>
      </c>
      <c r="G240" s="64" t="str">
        <f t="shared" si="50"/>
        <v>Menai</v>
      </c>
      <c r="H240" s="402">
        <v>2.4969999999999999</v>
      </c>
      <c r="I240" s="147" t="str">
        <f>IFERROR(IF(OR(V240="",V240=0,V240&gt;A242),"",VLOOKUP(V240,A234:B242,2,TRUE)),9)</f>
        <v/>
      </c>
      <c r="J240" s="67"/>
      <c r="K240" s="104">
        <v>6</v>
      </c>
      <c r="L240" s="248"/>
      <c r="M240" s="423" t="str">
        <f>IFERROR(VLOOKUP($C233&amp;L240,downloads!$A$1:$E$1000,2,FALSE),"")</f>
        <v/>
      </c>
      <c r="N240" s="64" t="str">
        <f t="shared" si="51"/>
        <v/>
      </c>
      <c r="O240" s="403"/>
      <c r="P240" s="147" t="str">
        <f>IFERROR(IF(OR(W240="",W240=0,W240&gt;A242),"",VLOOKUP(W240,A234:B242,2,TRUE)),9)</f>
        <v/>
      </c>
      <c r="R240" s="66">
        <f ca="1">IFERROR(IF(OR(E240=0,E240="",H240=0,H240="",$R234&lt;&gt;0,LEFT(H240,1)="D"),0,VLOOKUP(D240,INDIRECT(MatchDay!$W$2),2,FALSE)),"")</f>
        <v>4</v>
      </c>
      <c r="S240" s="66">
        <f ca="1">IFERROR(IF(OR(L240=0,L240="",O240=0,O240="",$R234&lt;&gt;0,LEFT(O240,1)="D"),0,VLOOKUP(K240,INDIRECT(MatchDay!$W$2),3,FALSE)),"")</f>
        <v>0</v>
      </c>
      <c r="T240" s="96"/>
      <c r="U240" s="96"/>
      <c r="V240" s="96">
        <f t="shared" si="52"/>
        <v>1.9641203703703704E-3</v>
      </c>
      <c r="W240" s="96">
        <f t="shared" si="53"/>
        <v>0</v>
      </c>
    </row>
    <row r="241" spans="1:23" x14ac:dyDescent="0.35">
      <c r="A241" s="420">
        <f>IFERROR(TIMEVALUE(VLOOKUP(C233,standards,4,FALSE)),"-")</f>
        <v>1.6782407407407406E-3</v>
      </c>
      <c r="B241" s="419">
        <v>2</v>
      </c>
      <c r="C241" s="120">
        <f>IFERROR(SEARCH("U17",D233),0)</f>
        <v>0</v>
      </c>
      <c r="D241" s="104">
        <v>7</v>
      </c>
      <c r="E241" s="107"/>
      <c r="F241" s="423" t="str">
        <f>IFERROR(VLOOKUP($C233&amp;E241,downloads!$A$1:$E$1000,2,FALSE),"")</f>
        <v/>
      </c>
      <c r="G241" s="64" t="str">
        <f t="shared" si="50"/>
        <v/>
      </c>
      <c r="H241" s="402"/>
      <c r="I241" s="147" t="str">
        <f>IFERROR(IF(OR(V241="",V241=0,V241&gt;A242),"",VLOOKUP(V241,A234:B242,2,TRUE)),9)</f>
        <v/>
      </c>
      <c r="J241" s="67"/>
      <c r="K241" s="104">
        <v>7</v>
      </c>
      <c r="L241" s="248"/>
      <c r="M241" s="423" t="str">
        <f>IFERROR(VLOOKUP($C233&amp;L241,downloads!$A$1:$E$1000,2,FALSE),"")</f>
        <v/>
      </c>
      <c r="N241" s="64" t="str">
        <f t="shared" si="51"/>
        <v/>
      </c>
      <c r="O241" s="403"/>
      <c r="P241" s="147" t="str">
        <f>IFERROR(IF(OR(W241="",W241=0,W241&gt;A242),"",VLOOKUP(W241,A234:B242,2,TRUE)),9)</f>
        <v/>
      </c>
      <c r="R241" s="66">
        <f ca="1">IFERROR(IF(OR(E241=0,E241="",H241=0,H241="",$R234&lt;&gt;0,LEFT(H241,1)="D"),0,VLOOKUP(D241,INDIRECT(MatchDay!$W$2),2,FALSE)),"")</f>
        <v>0</v>
      </c>
      <c r="S241" s="66">
        <f ca="1">IFERROR(IF(OR(L241=0,L241="",O241=0,O241="",$R234&lt;&gt;0,LEFT(O241,1)="D"),0,VLOOKUP(K241,INDIRECT(MatchDay!$W$2),3,FALSE)),"")</f>
        <v>0</v>
      </c>
      <c r="T241" s="96"/>
      <c r="U241" s="96"/>
      <c r="V241" s="96">
        <f t="shared" si="52"/>
        <v>0</v>
      </c>
      <c r="W241" s="96">
        <f t="shared" si="53"/>
        <v>0</v>
      </c>
    </row>
    <row r="242" spans="1:23" x14ac:dyDescent="0.35">
      <c r="A242" s="420">
        <f>IFERROR(TIMEVALUE(VLOOKUP(C233,standards,3,FALSE)),"-")</f>
        <v>1.736111111111111E-3</v>
      </c>
      <c r="B242" s="419">
        <v>1</v>
      </c>
      <c r="C242" s="103">
        <f>IFERROR(VLOOKUP(C233,records,5,FALSE),"")</f>
        <v>1.3854166666666667E-3</v>
      </c>
      <c r="D242" s="104">
        <v>8</v>
      </c>
      <c r="E242" s="107"/>
      <c r="F242" s="423" t="str">
        <f>IFERROR(VLOOKUP($C233&amp;E242,downloads!$A$1:$E$1000,2,FALSE),"")</f>
        <v/>
      </c>
      <c r="G242" s="64" t="str">
        <f t="shared" si="50"/>
        <v/>
      </c>
      <c r="H242" s="399"/>
      <c r="I242" s="147" t="str">
        <f>IFERROR(IF(OR(V242="",V242=0,V242&gt;A242),"",VLOOKUP(V242,A234:B242,2,TRUE)),9)</f>
        <v/>
      </c>
      <c r="J242" s="67"/>
      <c r="K242" s="104">
        <v>8</v>
      </c>
      <c r="L242" s="248"/>
      <c r="M242" s="423" t="str">
        <f>IFERROR(VLOOKUP($C233&amp;L242,downloads!$A$1:$E$1000,2,FALSE),"")</f>
        <v/>
      </c>
      <c r="N242" s="64" t="str">
        <f t="shared" si="51"/>
        <v/>
      </c>
      <c r="O242" s="403"/>
      <c r="P242" s="147" t="str">
        <f>IFERROR(IF(OR(W242="",W242=0,W242&gt;A242),"",VLOOKUP(W242,A234:B242,2,TRUE)),9)</f>
        <v/>
      </c>
      <c r="R242" s="66">
        <f ca="1">IFERROR(IF(OR(E242=0,E242="",H242=0,H242="",$R234&lt;&gt;0,LEFT(H242,1)="D"),0,VLOOKUP(D242,INDIRECT(MatchDay!$W$2),2,FALSE)),"")</f>
        <v>0</v>
      </c>
      <c r="S242" s="66">
        <f ca="1">IFERROR(IF(OR(L242=0,L242="",O242=0,O242="",$R234&lt;&gt;0,LEFT(O242,1)="D"),0,VLOOKUP(K242,INDIRECT(MatchDay!$W$2),3,FALSE)),"")</f>
        <v>0</v>
      </c>
      <c r="T242" s="96"/>
      <c r="U242" s="96"/>
      <c r="V242" s="96">
        <f t="shared" si="52"/>
        <v>0</v>
      </c>
      <c r="W242" s="96">
        <f t="shared" si="53"/>
        <v>0</v>
      </c>
    </row>
    <row r="243" spans="1:23" x14ac:dyDescent="0.35">
      <c r="F243" s="410"/>
      <c r="H243" s="400"/>
      <c r="M243" s="410"/>
      <c r="O243" s="404"/>
      <c r="T243" s="96"/>
      <c r="U243" s="96"/>
      <c r="V243" s="96">
        <f t="shared" si="40"/>
        <v>0</v>
      </c>
      <c r="W243" s="96">
        <f t="shared" si="41"/>
        <v>0</v>
      </c>
    </row>
    <row r="244" spans="1:23" x14ac:dyDescent="0.35">
      <c r="C244" s="98" t="s">
        <v>352</v>
      </c>
      <c r="D244" s="99" t="str">
        <f>IFERROR(VLOOKUP(C244,timetables,2,FALSE)&amp;" "&amp;VLOOKUP(C244,timetables,3,FALSE)&amp;" A","")</f>
        <v>800m NS U13 Girls A</v>
      </c>
      <c r="E244" s="99"/>
      <c r="F244" s="410"/>
      <c r="G244" s="114" t="str">
        <f>IFERROR(IF(VLOOKUP($C244,timetables,8,FALSE)="W","Wind = ",""),"")</f>
        <v/>
      </c>
      <c r="H244" s="400"/>
      <c r="I244" s="106" t="str">
        <f>IFERROR(IF(OR(H246=0,H246=""),"",IF(H246&lt;C253,"REC",IF(H246=C253,"=Rec",""))),"")</f>
        <v/>
      </c>
      <c r="K244" s="101" t="str">
        <f>IFERROR(VLOOKUP(C244,timetables,2,FALSE)&amp;" "&amp;VLOOKUP(C244,timetables,3,FALSE)&amp;" B","")</f>
        <v>800m NS U13 Girls B</v>
      </c>
      <c r="L244" s="102"/>
      <c r="M244" s="410"/>
      <c r="N244" s="114" t="str">
        <f>IFERROR(IF(VLOOKUP($C244,timetables,8,FALSE)="W","Wind = ",""),"")</f>
        <v/>
      </c>
      <c r="O244" s="404"/>
      <c r="R244" s="66" t="s">
        <v>53</v>
      </c>
      <c r="S244" s="66" t="s">
        <v>54</v>
      </c>
      <c r="T244" s="96"/>
      <c r="U244" s="96"/>
      <c r="V244" s="96">
        <f t="shared" si="40"/>
        <v>0</v>
      </c>
      <c r="W244" s="96">
        <f t="shared" si="41"/>
        <v>0</v>
      </c>
    </row>
    <row r="245" spans="1:23" x14ac:dyDescent="0.35">
      <c r="A245" s="420">
        <f>IFERROR(VLOOKUP(C244,standards,11,FALSE),"-")</f>
        <v>1.712962962962963E-3</v>
      </c>
      <c r="B245" s="419">
        <v>9</v>
      </c>
      <c r="C245" s="79"/>
      <c r="D245" s="45" t="s">
        <v>177</v>
      </c>
      <c r="E245" s="45" t="s">
        <v>141</v>
      </c>
      <c r="F245" s="424" t="s">
        <v>174</v>
      </c>
      <c r="G245" s="47" t="s">
        <v>175</v>
      </c>
      <c r="H245" s="401" t="s">
        <v>176</v>
      </c>
      <c r="I245" s="148" t="s">
        <v>1003</v>
      </c>
      <c r="J245" s="47"/>
      <c r="K245" s="45" t="s">
        <v>177</v>
      </c>
      <c r="L245" s="45" t="s">
        <v>141</v>
      </c>
      <c r="M245" s="424" t="s">
        <v>174</v>
      </c>
      <c r="N245" s="47" t="s">
        <v>175</v>
      </c>
      <c r="O245" s="401" t="s">
        <v>176</v>
      </c>
      <c r="P245" s="148" t="s">
        <v>1003</v>
      </c>
      <c r="R245" s="66">
        <f>IFERROR(SEARCH("NS",D244),0)</f>
        <v>6</v>
      </c>
      <c r="T245" s="96"/>
      <c r="U245" s="96"/>
      <c r="V245" s="96"/>
      <c r="W245" s="96"/>
    </row>
    <row r="246" spans="1:23" x14ac:dyDescent="0.35">
      <c r="A246" s="420">
        <f>IFERROR(VLOOKUP(C244,standards,10,FALSE),"-")</f>
        <v>1.7476851851851852E-3</v>
      </c>
      <c r="B246" s="419">
        <v>8</v>
      </c>
      <c r="C246" s="138">
        <f>IFERROR(VLOOKUP(C244,Timetables!$A:$E,5,FALSE)-1,"")</f>
        <v>33</v>
      </c>
      <c r="D246" s="104">
        <v>1</v>
      </c>
      <c r="E246" s="107">
        <v>7</v>
      </c>
      <c r="F246" s="423" t="str">
        <f>IFERROR(VLOOKUP($C244&amp;E246,downloads!$A$1:$E$1000,2,FALSE),"")</f>
        <v>Grace HARRIS</v>
      </c>
      <c r="G246" s="64" t="str">
        <f t="shared" ref="G246:G253" si="54">IFERROR(VLOOKUP(E246,teamlookup,5,FALSE),"")</f>
        <v>Wigan</v>
      </c>
      <c r="H246" s="399">
        <v>3.1349999999999998</v>
      </c>
      <c r="I246" s="147" t="str">
        <f>IFERROR(IF(OR(V246="",V246=0,V246&gt;A253),"",VLOOKUP(V246,A245:B253,2,TRUE)),9)</f>
        <v/>
      </c>
      <c r="J246" s="67"/>
      <c r="K246" s="104">
        <v>1</v>
      </c>
      <c r="L246" s="429">
        <v>98</v>
      </c>
      <c r="M246" s="423" t="str">
        <f>IFERROR(VLOOKUP($C244&amp;L246,downloads!$A$1:$E$1000,2,FALSE),"")</f>
        <v/>
      </c>
      <c r="N246" s="64" t="str">
        <f t="shared" ref="N246:N253" si="55">IFERROR(VLOOKUP(L246,teamlookup,5,FALSE),"")</f>
        <v>No Competitors</v>
      </c>
      <c r="O246" s="403"/>
      <c r="P246" s="147" t="str">
        <f>IFERROR(IF(OR(W246="",W246=0,W246&gt;A253),"",VLOOKUP(W246,A245:B253,2,TRUE)),9)</f>
        <v/>
      </c>
      <c r="R246" s="66">
        <f ca="1">IFERROR(IF(OR(E246=0,E246="",H246=0,H246="",$R245&lt;&gt;0,LEFT(H246,1)="D"),0,VLOOKUP(D246,INDIRECT(MatchDay!$W$2),2,FALSE)),"")</f>
        <v>0</v>
      </c>
      <c r="S246" s="66">
        <f ca="1">IFERROR(IF(OR(L246=0,L246="",O246=0,O246="",$R245&lt;&gt;0,LEFT(O246,1)="D"),0,VLOOKUP(K246,INDIRECT(MatchDay!$W$2),3,FALSE)),"")</f>
        <v>0</v>
      </c>
      <c r="T246" s="96">
        <f>COUNTIF(E246,"&gt;0")</f>
        <v>1</v>
      </c>
      <c r="U246" s="96">
        <f>IFERROR(IF(E246&gt;88,1,0),0)</f>
        <v>0</v>
      </c>
      <c r="V246" s="96">
        <f t="shared" ref="V246:V253" si="56">IFERROR(IF(LEFT(H246,1)="D",H246,(INT(H246)*60+(H246-INT(H246))*100)/86400),"X")</f>
        <v>2.239583333333333E-3</v>
      </c>
      <c r="W246" s="96">
        <f t="shared" ref="W246:W253" si="57">IFERROR(IF(LEFT(O246,1)="D",O246,(INT(O246)*60+(O246-INT(O246))*100)/86400),"X")</f>
        <v>0</v>
      </c>
    </row>
    <row r="247" spans="1:23" x14ac:dyDescent="0.35">
      <c r="A247" s="420">
        <f>IFERROR(VLOOKUP(C244,standards,9,FALSE),"-")</f>
        <v>1.7939814814814815E-3</v>
      </c>
      <c r="B247" s="419">
        <v>7</v>
      </c>
      <c r="C247" s="64">
        <v>0</v>
      </c>
      <c r="D247" s="104">
        <v>2</v>
      </c>
      <c r="E247" s="107"/>
      <c r="F247" s="423" t="str">
        <f>IFERROR(VLOOKUP($C244&amp;E247,downloads!$A$1:$E$1000,2,FALSE),"")</f>
        <v/>
      </c>
      <c r="G247" s="64" t="str">
        <f t="shared" si="54"/>
        <v/>
      </c>
      <c r="H247" s="399"/>
      <c r="I247" s="147" t="str">
        <f>IFERROR(IF(OR(V247="",V247=0,V247&gt;A253),"",VLOOKUP(V247,A245:B253,2,TRUE)),9)</f>
        <v/>
      </c>
      <c r="J247" s="67"/>
      <c r="K247" s="104">
        <v>2</v>
      </c>
      <c r="L247" s="248"/>
      <c r="M247" s="423" t="str">
        <f>IFERROR(VLOOKUP($C244&amp;L247,downloads!$A$1:$E$1000,2,FALSE),"")</f>
        <v/>
      </c>
      <c r="N247" s="64" t="str">
        <f t="shared" si="55"/>
        <v/>
      </c>
      <c r="O247" s="403"/>
      <c r="P247" s="147" t="str">
        <f>IFERROR(IF(OR(W247="",W247=0,W247&gt;A253),"",VLOOKUP(W247,A245:B253,2,TRUE)),9)</f>
        <v/>
      </c>
      <c r="R247" s="66">
        <f ca="1">IFERROR(IF(OR(E247=0,E247="",H247=0,H247="",$R245&lt;&gt;0,LEFT(H247,1)="D"),0,VLOOKUP(D247,INDIRECT(MatchDay!$W$2),2,FALSE)),"")</f>
        <v>0</v>
      </c>
      <c r="S247" s="66">
        <f ca="1">IFERROR(IF(OR(L247=0,L247="",O247=0,O247="",$R245&lt;&gt;0,LEFT(O247,1)="D"),0,VLOOKUP(K247,INDIRECT(MatchDay!$W$2),3,FALSE)),"")</f>
        <v>0</v>
      </c>
      <c r="T247" s="96"/>
      <c r="U247" s="96"/>
      <c r="V247" s="96">
        <f t="shared" si="56"/>
        <v>0</v>
      </c>
      <c r="W247" s="96">
        <f t="shared" si="57"/>
        <v>0</v>
      </c>
    </row>
    <row r="248" spans="1:23" x14ac:dyDescent="0.35">
      <c r="A248" s="420">
        <f>IFERROR(VLOOKUP(C244,standards,8,FALSE),"-")</f>
        <v>1.8518518518518517E-3</v>
      </c>
      <c r="B248" s="419">
        <v>6</v>
      </c>
      <c r="C248" s="105"/>
      <c r="D248" s="104">
        <v>3</v>
      </c>
      <c r="E248" s="107"/>
      <c r="F248" s="423" t="str">
        <f>IFERROR(VLOOKUP($C244&amp;E248,downloads!$A$1:$E$1000,2,FALSE),"")</f>
        <v/>
      </c>
      <c r="G248" s="64" t="str">
        <f t="shared" si="54"/>
        <v/>
      </c>
      <c r="H248" s="399"/>
      <c r="I248" s="147" t="str">
        <f>IFERROR(IF(OR(V248="",V248=0,V248&gt;A253),"",VLOOKUP(V248,A245:B253,2,TRUE)),9)</f>
        <v/>
      </c>
      <c r="J248" s="67"/>
      <c r="K248" s="104">
        <v>3</v>
      </c>
      <c r="L248" s="248"/>
      <c r="M248" s="423" t="str">
        <f>IFERROR(VLOOKUP($C244&amp;L248,downloads!$A$1:$E$1000,2,FALSE),"")</f>
        <v/>
      </c>
      <c r="N248" s="64" t="str">
        <f t="shared" si="55"/>
        <v/>
      </c>
      <c r="O248" s="403"/>
      <c r="P248" s="147" t="str">
        <f>IFERROR(IF(OR(W248="",W248=0,W248&gt;A253),"",VLOOKUP(W248,A245:B253,2,TRUE)),9)</f>
        <v/>
      </c>
      <c r="R248" s="66">
        <f ca="1">IFERROR(IF(OR(E248=0,E248="",H248=0,H248="",$R245&lt;&gt;0,LEFT(H248,1)="D"),0,VLOOKUP(D248,INDIRECT(MatchDay!$W$2),2,FALSE)),"")</f>
        <v>0</v>
      </c>
      <c r="S248" s="66">
        <f ca="1">IFERROR(IF(OR(L248=0,L248="",O248=0,O248="",$R245&lt;&gt;0,LEFT(O248,1)="D"),0,VLOOKUP(K248,INDIRECT(MatchDay!$W$2),3,FALSE)),"")</f>
        <v>0</v>
      </c>
      <c r="T248" s="96"/>
      <c r="U248" s="96"/>
      <c r="V248" s="96">
        <f t="shared" si="56"/>
        <v>0</v>
      </c>
      <c r="W248" s="96">
        <f t="shared" si="57"/>
        <v>0</v>
      </c>
    </row>
    <row r="249" spans="1:23" x14ac:dyDescent="0.35">
      <c r="A249" s="420">
        <f>IFERROR(VLOOKUP(C244,standards,7,FALSE),"-")</f>
        <v>1.9097222222222222E-3</v>
      </c>
      <c r="B249" s="419">
        <v>5</v>
      </c>
      <c r="C249" s="105"/>
      <c r="D249" s="104">
        <v>4</v>
      </c>
      <c r="E249" s="107"/>
      <c r="F249" s="423" t="str">
        <f>IFERROR(VLOOKUP($C244&amp;E249,downloads!$A$1:$E$1000,2,FALSE),"")</f>
        <v/>
      </c>
      <c r="G249" s="64" t="str">
        <f t="shared" si="54"/>
        <v/>
      </c>
      <c r="H249" s="399"/>
      <c r="I249" s="147" t="str">
        <f>IFERROR(IF(OR(V249="",V249=0,V249&gt;A253),"",VLOOKUP(V249,A245:B253,2,TRUE)),9)</f>
        <v/>
      </c>
      <c r="J249" s="67"/>
      <c r="K249" s="104">
        <v>4</v>
      </c>
      <c r="L249" s="248"/>
      <c r="M249" s="423" t="str">
        <f>IFERROR(VLOOKUP($C244&amp;L249,downloads!$A$1:$E$1000,2,FALSE),"")</f>
        <v/>
      </c>
      <c r="N249" s="64" t="str">
        <f t="shared" si="55"/>
        <v/>
      </c>
      <c r="O249" s="403"/>
      <c r="P249" s="147" t="str">
        <f>IFERROR(IF(OR(W249="",W249=0,W249&gt;A253),"",VLOOKUP(W249,A245:B253,2,TRUE)),9)</f>
        <v/>
      </c>
      <c r="R249" s="66">
        <f ca="1">IFERROR(IF(OR(E249=0,E249="",H249=0,H249="",$R245&lt;&gt;0,LEFT(H249,1)="D"),0,VLOOKUP(D249,INDIRECT(MatchDay!$W$2),2,FALSE)),"")</f>
        <v>0</v>
      </c>
      <c r="S249" s="66">
        <f ca="1">IFERROR(IF(OR(L249=0,L249="",O249=0,O249="",$R245&lt;&gt;0,LEFT(O249,1)="D"),0,VLOOKUP(K249,INDIRECT(MatchDay!$W$2),3,FALSE)),"")</f>
        <v>0</v>
      </c>
      <c r="T249" s="96"/>
      <c r="U249" s="96"/>
      <c r="V249" s="96">
        <f t="shared" si="56"/>
        <v>0</v>
      </c>
      <c r="W249" s="96">
        <f t="shared" si="57"/>
        <v>0</v>
      </c>
    </row>
    <row r="250" spans="1:23" x14ac:dyDescent="0.35">
      <c r="A250" s="420">
        <f>IFERROR(VLOOKUP(C244,standards,6,FALSE),"-")</f>
        <v>1.9675925925925928E-3</v>
      </c>
      <c r="B250" s="419">
        <v>4</v>
      </c>
      <c r="C250" s="105"/>
      <c r="D250" s="104">
        <v>5</v>
      </c>
      <c r="E250" s="107"/>
      <c r="F250" s="423" t="str">
        <f>IFERROR(VLOOKUP($C244&amp;E250,downloads!$A$1:$E$1000,2,FALSE),"")</f>
        <v/>
      </c>
      <c r="G250" s="64" t="str">
        <f t="shared" si="54"/>
        <v/>
      </c>
      <c r="H250" s="399"/>
      <c r="I250" s="147" t="str">
        <f>IFERROR(IF(OR(V250="",V250=0,V250&gt;A253),"",VLOOKUP(V250,A245:B253,2,TRUE)),9)</f>
        <v/>
      </c>
      <c r="J250" s="67"/>
      <c r="K250" s="104">
        <v>5</v>
      </c>
      <c r="L250" s="248"/>
      <c r="M250" s="423" t="str">
        <f>IFERROR(VLOOKUP($C244&amp;L250,downloads!$A$1:$E$1000,2,FALSE),"")</f>
        <v/>
      </c>
      <c r="N250" s="64" t="str">
        <f t="shared" si="55"/>
        <v/>
      </c>
      <c r="O250" s="403"/>
      <c r="P250" s="147" t="str">
        <f>IFERROR(IF(OR(W250="",W250=0,W250&gt;A253),"",VLOOKUP(W250,A245:B253,2,TRUE)),9)</f>
        <v/>
      </c>
      <c r="R250" s="66">
        <f ca="1">IFERROR(IF(OR(E250=0,E250="",H250=0,H250="",$R245&lt;&gt;0,LEFT(H250,1)="D"),0,VLOOKUP(D250,INDIRECT(MatchDay!$W$2),2,FALSE)),"")</f>
        <v>0</v>
      </c>
      <c r="S250" s="66">
        <f ca="1">IFERROR(IF(OR(L250=0,L250="",O250=0,O250="",$R245&lt;&gt;0,LEFT(O250,1)="D"),0,VLOOKUP(K250,INDIRECT(MatchDay!$W$2),3,FALSE)),"")</f>
        <v>0</v>
      </c>
      <c r="T250" s="96"/>
      <c r="U250" s="96"/>
      <c r="V250" s="96">
        <f t="shared" si="56"/>
        <v>0</v>
      </c>
      <c r="W250" s="96">
        <f t="shared" si="57"/>
        <v>0</v>
      </c>
    </row>
    <row r="251" spans="1:23" x14ac:dyDescent="0.35">
      <c r="A251" s="420">
        <f>IFERROR(VLOOKUP(C244,standards,5,FALSE),"-")</f>
        <v>2.0254629629629629E-3</v>
      </c>
      <c r="B251" s="419">
        <v>3</v>
      </c>
      <c r="C251" s="105"/>
      <c r="D251" s="104">
        <v>6</v>
      </c>
      <c r="E251" s="107"/>
      <c r="F251" s="423" t="str">
        <f>IFERROR(VLOOKUP($C244&amp;E251,downloads!$A$1:$E$1000,2,FALSE),"")</f>
        <v/>
      </c>
      <c r="G251" s="64" t="str">
        <f t="shared" si="54"/>
        <v/>
      </c>
      <c r="H251" s="399"/>
      <c r="I251" s="147" t="str">
        <f>IFERROR(IF(OR(V251="",V251=0,V251&gt;A253),"",VLOOKUP(V251,A245:B253,2,TRUE)),9)</f>
        <v/>
      </c>
      <c r="J251" s="67"/>
      <c r="K251" s="104">
        <v>6</v>
      </c>
      <c r="L251" s="248"/>
      <c r="M251" s="423" t="str">
        <f>IFERROR(VLOOKUP($C244&amp;L251,downloads!$A$1:$E$1000,2,FALSE),"")</f>
        <v/>
      </c>
      <c r="N251" s="64" t="str">
        <f t="shared" si="55"/>
        <v/>
      </c>
      <c r="O251" s="403"/>
      <c r="P251" s="147" t="str">
        <f>IFERROR(IF(OR(W251="",W251=0,W251&gt;A253),"",VLOOKUP(W251,A245:B253,2,TRUE)),9)</f>
        <v/>
      </c>
      <c r="R251" s="66">
        <f ca="1">IFERROR(IF(OR(E251=0,E251="",H251=0,H251="",$R245&lt;&gt;0,LEFT(H251,1)="D"),0,VLOOKUP(D251,INDIRECT(MatchDay!$W$2),2,FALSE)),"")</f>
        <v>0</v>
      </c>
      <c r="S251" s="66">
        <f ca="1">IFERROR(IF(OR(L251=0,L251="",O251=0,O251="",$R245&lt;&gt;0,LEFT(O251,1)="D"),0,VLOOKUP(K251,INDIRECT(MatchDay!$W$2),3,FALSE)),"")</f>
        <v>0</v>
      </c>
      <c r="T251" s="96"/>
      <c r="U251" s="96"/>
      <c r="V251" s="96">
        <f t="shared" si="56"/>
        <v>0</v>
      </c>
      <c r="W251" s="96">
        <f t="shared" si="57"/>
        <v>0</v>
      </c>
    </row>
    <row r="252" spans="1:23" x14ac:dyDescent="0.35">
      <c r="A252" s="420">
        <f>IFERROR(VLOOKUP(C244,standards,4,FALSE),"-")</f>
        <v>2.0833333333333333E-3</v>
      </c>
      <c r="B252" s="419">
        <v>2</v>
      </c>
      <c r="C252" s="120">
        <f>IFERROR(SEARCH("U17",D244),0)</f>
        <v>0</v>
      </c>
      <c r="D252" s="104">
        <v>7</v>
      </c>
      <c r="E252" s="107"/>
      <c r="F252" s="423" t="str">
        <f>IFERROR(VLOOKUP($C244&amp;E252,downloads!$A$1:$E$1000,2,FALSE),"")</f>
        <v/>
      </c>
      <c r="G252" s="64" t="str">
        <f t="shared" si="54"/>
        <v/>
      </c>
      <c r="H252" s="399"/>
      <c r="I252" s="147" t="str">
        <f>IFERROR(IF(OR(V252="",V252=0,V252&gt;A253),"",VLOOKUP(V252,A245:B253,2,TRUE)),9)</f>
        <v/>
      </c>
      <c r="J252" s="67"/>
      <c r="K252" s="104">
        <v>7</v>
      </c>
      <c r="L252" s="248"/>
      <c r="M252" s="423" t="str">
        <f>IFERROR(VLOOKUP($C244&amp;L252,downloads!$A$1:$E$1000,2,FALSE),"")</f>
        <v/>
      </c>
      <c r="N252" s="64" t="str">
        <f t="shared" si="55"/>
        <v/>
      </c>
      <c r="O252" s="403"/>
      <c r="P252" s="147" t="str">
        <f>IFERROR(IF(OR(W252="",W252=0,W252&gt;A253),"",VLOOKUP(W252,A245:B253,2,TRUE)),9)</f>
        <v/>
      </c>
      <c r="R252" s="66">
        <f ca="1">IFERROR(IF(OR(E252=0,E252="",H252=0,H252="",$R245&lt;&gt;0,LEFT(H252,1)="D"),0,VLOOKUP(D252,INDIRECT(MatchDay!$W$2),2,FALSE)),"")</f>
        <v>0</v>
      </c>
      <c r="S252" s="66">
        <f ca="1">IFERROR(IF(OR(L252=0,L252="",O252=0,O252="",$R245&lt;&gt;0,LEFT(O252,1)="D"),0,VLOOKUP(K252,INDIRECT(MatchDay!$W$2),3,FALSE)),"")</f>
        <v>0</v>
      </c>
      <c r="T252" s="96"/>
      <c r="U252" s="96"/>
      <c r="V252" s="96">
        <f t="shared" si="56"/>
        <v>0</v>
      </c>
      <c r="W252" s="96">
        <f t="shared" si="57"/>
        <v>0</v>
      </c>
    </row>
    <row r="253" spans="1:23" x14ac:dyDescent="0.35">
      <c r="A253" s="420">
        <f>IFERROR(VLOOKUP(C244,standards,3,FALSE),"-")</f>
        <v>2.1990740740740742E-3</v>
      </c>
      <c r="B253" s="419">
        <v>1</v>
      </c>
      <c r="C253" s="103">
        <f>IFERROR(VLOOKUP(C244,records,5,FALSE),"")</f>
        <v>1.6157407407407407E-3</v>
      </c>
      <c r="D253" s="104">
        <v>8</v>
      </c>
      <c r="E253" s="107"/>
      <c r="F253" s="423" t="str">
        <f>IFERROR(VLOOKUP($C244&amp;E253,downloads!$A$1:$E$1000,2,FALSE),"")</f>
        <v/>
      </c>
      <c r="G253" s="64" t="str">
        <f t="shared" si="54"/>
        <v/>
      </c>
      <c r="H253" s="399"/>
      <c r="I253" s="147" t="str">
        <f>IFERROR(IF(OR(V253="",V253=0,V253&gt;A253),"",VLOOKUP(V253,A245:B253,2,TRUE)),9)</f>
        <v/>
      </c>
      <c r="J253" s="67"/>
      <c r="K253" s="104">
        <v>8</v>
      </c>
      <c r="L253" s="248"/>
      <c r="M253" s="423" t="str">
        <f>IFERROR(VLOOKUP($C244&amp;L253,downloads!$A$1:$E$1000,2,FALSE),"")</f>
        <v/>
      </c>
      <c r="N253" s="64" t="str">
        <f t="shared" si="55"/>
        <v/>
      </c>
      <c r="O253" s="403"/>
      <c r="P253" s="147" t="str">
        <f>IFERROR(IF(OR(W253="",W253=0,W253&gt;A253),"",VLOOKUP(W253,A245:B253,2,TRUE)),9)</f>
        <v/>
      </c>
      <c r="R253" s="66">
        <f ca="1">IFERROR(IF(OR(E253=0,E253="",H253=0,H253="",$R245&lt;&gt;0,LEFT(H253,1)="D"),0,VLOOKUP(D253,INDIRECT(MatchDay!$W$2),2,FALSE)),"")</f>
        <v>0</v>
      </c>
      <c r="S253" s="66">
        <f ca="1">IFERROR(IF(OR(L253=0,L253="",O253=0,O253="",$R245&lt;&gt;0,LEFT(O253,1)="D"),0,VLOOKUP(K253,INDIRECT(MatchDay!$W$2),3,FALSE)),"")</f>
        <v>0</v>
      </c>
      <c r="T253" s="96"/>
      <c r="U253" s="96"/>
      <c r="V253" s="96">
        <f t="shared" si="56"/>
        <v>0</v>
      </c>
      <c r="W253" s="96">
        <f t="shared" si="57"/>
        <v>0</v>
      </c>
    </row>
    <row r="254" spans="1:23" x14ac:dyDescent="0.35">
      <c r="F254" s="410"/>
      <c r="H254" s="400"/>
      <c r="M254" s="410"/>
      <c r="O254" s="404"/>
      <c r="T254" s="96"/>
      <c r="U254" s="96"/>
      <c r="V254" s="96">
        <f t="shared" si="40"/>
        <v>0</v>
      </c>
      <c r="W254" s="96">
        <f t="shared" si="41"/>
        <v>0</v>
      </c>
    </row>
    <row r="255" spans="1:23" x14ac:dyDescent="0.35">
      <c r="C255" s="98" t="s">
        <v>353</v>
      </c>
      <c r="D255" s="99" t="str">
        <f>IFERROR(VLOOKUP(C255,timetables,2,FALSE)&amp;" "&amp;VLOOKUP(C255,timetables,3,FALSE)&amp;" A","")</f>
        <v>800m NS U13 Boys A</v>
      </c>
      <c r="E255" s="99"/>
      <c r="F255" s="410"/>
      <c r="G255" s="114" t="str">
        <f>IFERROR(IF(VLOOKUP($C255,timetables,8,FALSE)="W","Wind = ",""),"")</f>
        <v/>
      </c>
      <c r="H255" s="400"/>
      <c r="I255" s="106" t="str">
        <f>IFERROR(IF(OR(H257=0,H257=""),"",IF(H257&lt;C264,"REC",IF(H257=C264,"=Rec",""))),"")</f>
        <v/>
      </c>
      <c r="K255" s="101" t="str">
        <f>IFERROR(VLOOKUP(C255,timetables,2,FALSE)&amp;" "&amp;VLOOKUP(C255,timetables,3,FALSE)&amp;" B","")</f>
        <v>800m NS U13 Boys B</v>
      </c>
      <c r="L255" s="102"/>
      <c r="M255" s="410"/>
      <c r="N255" s="114" t="str">
        <f>IFERROR(IF(VLOOKUP($C255,timetables,8,FALSE)="W","Wind = ",""),"")</f>
        <v/>
      </c>
      <c r="O255" s="404"/>
      <c r="R255" s="66" t="s">
        <v>53</v>
      </c>
      <c r="S255" s="66" t="s">
        <v>54</v>
      </c>
      <c r="T255" s="96"/>
      <c r="U255" s="96"/>
      <c r="V255" s="96">
        <f t="shared" si="40"/>
        <v>0</v>
      </c>
      <c r="W255" s="96">
        <f t="shared" si="41"/>
        <v>0</v>
      </c>
    </row>
    <row r="256" spans="1:23" x14ac:dyDescent="0.35">
      <c r="A256" s="420">
        <f>IFERROR(TIMEVALUE(VLOOKUP(C255,standards,11,FALSE)),"-")</f>
        <v>1.5624999999999999E-3</v>
      </c>
      <c r="B256" s="419">
        <v>9</v>
      </c>
      <c r="C256" s="79"/>
      <c r="D256" s="45" t="s">
        <v>177</v>
      </c>
      <c r="E256" s="45" t="s">
        <v>141</v>
      </c>
      <c r="F256" s="424" t="s">
        <v>174</v>
      </c>
      <c r="G256" s="47" t="s">
        <v>175</v>
      </c>
      <c r="H256" s="401" t="s">
        <v>176</v>
      </c>
      <c r="I256" s="148" t="s">
        <v>1003</v>
      </c>
      <c r="J256" s="47"/>
      <c r="K256" s="45" t="s">
        <v>177</v>
      </c>
      <c r="L256" s="45" t="s">
        <v>141</v>
      </c>
      <c r="M256" s="424" t="s">
        <v>174</v>
      </c>
      <c r="N256" s="47" t="s">
        <v>175</v>
      </c>
      <c r="O256" s="401" t="s">
        <v>176</v>
      </c>
      <c r="P256" s="148" t="s">
        <v>1003</v>
      </c>
      <c r="R256" s="66">
        <f>IFERROR(SEARCH("NS",D255),0)</f>
        <v>6</v>
      </c>
      <c r="T256" s="96"/>
      <c r="U256" s="96"/>
      <c r="V256" s="96"/>
      <c r="W256" s="96"/>
    </row>
    <row r="257" spans="1:23" x14ac:dyDescent="0.35">
      <c r="A257" s="420">
        <f>IFERROR(TIMEVALUE(VLOOKUP(C255,standards,10,FALSE)),"-")</f>
        <v>1.5972222222222221E-3</v>
      </c>
      <c r="B257" s="419">
        <v>8</v>
      </c>
      <c r="C257" s="138">
        <f>IFERROR(VLOOKUP(C255,Timetables!$A:$E,5,FALSE)-1,"")</f>
        <v>83</v>
      </c>
      <c r="D257" s="104">
        <v>1</v>
      </c>
      <c r="E257" s="107">
        <v>98</v>
      </c>
      <c r="F257" s="423" t="str">
        <f>IFERROR(VLOOKUP($C255&amp;E257,downloads!$A$1:$E$1000,2,FALSE),"")</f>
        <v/>
      </c>
      <c r="G257" s="64" t="str">
        <f t="shared" ref="G257:G264" si="58">IFERROR(VLOOKUP(E257,teamlookup,5,FALSE),"")</f>
        <v>No Competitors</v>
      </c>
      <c r="H257" s="399"/>
      <c r="I257" s="147" t="str">
        <f>IFERROR(IF(OR(V257="",V257=0,V257&gt;A264),"",VLOOKUP(V257,A256:B264,2,TRUE)),9)</f>
        <v/>
      </c>
      <c r="J257" s="67"/>
      <c r="K257" s="104">
        <v>1</v>
      </c>
      <c r="L257" s="248">
        <v>98</v>
      </c>
      <c r="M257" s="423" t="str">
        <f>IFERROR(VLOOKUP($C255&amp;L257,downloads!$A$1:$E$1000,2,FALSE),"")</f>
        <v/>
      </c>
      <c r="N257" s="64" t="str">
        <f t="shared" ref="N257:N264" si="59">IFERROR(VLOOKUP(L257,teamlookup,5,FALSE),"")</f>
        <v>No Competitors</v>
      </c>
      <c r="O257" s="403"/>
      <c r="P257" s="147" t="str">
        <f>IFERROR(IF(OR(W257="",W257=0,W257&gt;A264),"",VLOOKUP(W257,A256:B264,2,TRUE)),9)</f>
        <v/>
      </c>
      <c r="R257" s="66">
        <f ca="1">IFERROR(IF(OR(E257=0,E257="",H257=0,H257="",$R256&lt;&gt;0,LEFT(H257,1)="D"),0,VLOOKUP(D257,INDIRECT(MatchDay!$W$2),2,FALSE)),"")</f>
        <v>0</v>
      </c>
      <c r="S257" s="66">
        <f ca="1">IFERROR(IF(OR(L257=0,L257="",O257=0,O257="",$R256&lt;&gt;0,LEFT(O257,1)="D"),0,VLOOKUP(K257,INDIRECT(MatchDay!$W$2),3,FALSE)),"")</f>
        <v>0</v>
      </c>
      <c r="T257" s="96">
        <f>COUNTIF(E257,"&gt;0")</f>
        <v>1</v>
      </c>
      <c r="U257" s="96">
        <f>IFERROR(IF(E257&gt;88,1,0),0)</f>
        <v>1</v>
      </c>
      <c r="V257" s="96">
        <f t="shared" ref="V257:V264" si="60">IFERROR(IF(LEFT(H257,1)="D",H257,(INT(H257)*60+(H257-INT(H257))*100)/86400),"X")</f>
        <v>0</v>
      </c>
      <c r="W257" s="96">
        <f t="shared" ref="W257:W264" si="61">IFERROR(IF(LEFT(O257,1)="D",O257,(INT(O257)*60+(O257-INT(O257))*100)/86400),"X")</f>
        <v>0</v>
      </c>
    </row>
    <row r="258" spans="1:23" x14ac:dyDescent="0.35">
      <c r="A258" s="420">
        <f>IFERROR(TIMEVALUE(VLOOKUP(C255,standards,9,FALSE)),"-")</f>
        <v>1.6319444444444445E-3</v>
      </c>
      <c r="B258" s="419">
        <v>7</v>
      </c>
      <c r="C258" s="64">
        <v>0</v>
      </c>
      <c r="D258" s="104">
        <v>2</v>
      </c>
      <c r="E258" s="107"/>
      <c r="F258" s="423" t="str">
        <f>IFERROR(VLOOKUP($C255&amp;E258,downloads!$A$1:$E$1000,2,FALSE),"")</f>
        <v/>
      </c>
      <c r="G258" s="64" t="str">
        <f t="shared" si="58"/>
        <v/>
      </c>
      <c r="H258" s="399"/>
      <c r="I258" s="147" t="str">
        <f>IFERROR(IF(OR(V258="",V258=0,V258&gt;A264),"",VLOOKUP(V258,A256:B264,2,TRUE)),9)</f>
        <v/>
      </c>
      <c r="J258" s="67"/>
      <c r="K258" s="104">
        <v>2</v>
      </c>
      <c r="L258" s="248"/>
      <c r="M258" s="423" t="str">
        <f>IFERROR(VLOOKUP($C255&amp;L258,downloads!$A$1:$E$1000,2,FALSE),"")</f>
        <v/>
      </c>
      <c r="N258" s="64" t="str">
        <f t="shared" si="59"/>
        <v/>
      </c>
      <c r="O258" s="403"/>
      <c r="P258" s="147" t="str">
        <f>IFERROR(IF(OR(W258="",W258=0,W258&gt;A264),"",VLOOKUP(W258,A256:B264,2,TRUE)),9)</f>
        <v/>
      </c>
      <c r="R258" s="66">
        <f ca="1">IFERROR(IF(OR(E258=0,E258="",H258=0,H258="",$R256&lt;&gt;0,LEFT(H258,1)="D"),0,VLOOKUP(D258,INDIRECT(MatchDay!$W$2),2,FALSE)),"")</f>
        <v>0</v>
      </c>
      <c r="S258" s="66">
        <f ca="1">IFERROR(IF(OR(L258=0,L258="",O258=0,O258="",$R256&lt;&gt;0,LEFT(O258,1)="D"),0,VLOOKUP(K258,INDIRECT(MatchDay!$W$2),3,FALSE)),"")</f>
        <v>0</v>
      </c>
      <c r="T258" s="96"/>
      <c r="U258" s="96"/>
      <c r="V258" s="96">
        <f t="shared" si="60"/>
        <v>0</v>
      </c>
      <c r="W258" s="96">
        <f t="shared" si="61"/>
        <v>0</v>
      </c>
    </row>
    <row r="259" spans="1:23" x14ac:dyDescent="0.35">
      <c r="A259" s="420">
        <f>IFERROR(TIMEVALUE(VLOOKUP(C255,standards,8,FALSE)),"-")</f>
        <v>1.6782407407407406E-3</v>
      </c>
      <c r="B259" s="419">
        <v>6</v>
      </c>
      <c r="C259" s="105"/>
      <c r="D259" s="104">
        <v>3</v>
      </c>
      <c r="E259" s="107"/>
      <c r="F259" s="423" t="str">
        <f>IFERROR(VLOOKUP($C255&amp;E259,downloads!$A$1:$E$1000,2,FALSE),"")</f>
        <v/>
      </c>
      <c r="G259" s="64" t="str">
        <f t="shared" si="58"/>
        <v/>
      </c>
      <c r="H259" s="399"/>
      <c r="I259" s="147" t="str">
        <f>IFERROR(IF(OR(V259="",V259=0,V259&gt;A264),"",VLOOKUP(V259,A256:B264,2,TRUE)),9)</f>
        <v/>
      </c>
      <c r="J259" s="67"/>
      <c r="K259" s="104">
        <v>3</v>
      </c>
      <c r="L259" s="248"/>
      <c r="M259" s="423" t="str">
        <f>IFERROR(VLOOKUP($C255&amp;L259,downloads!$A$1:$E$1000,2,FALSE),"")</f>
        <v/>
      </c>
      <c r="N259" s="64" t="str">
        <f t="shared" si="59"/>
        <v/>
      </c>
      <c r="O259" s="403"/>
      <c r="P259" s="147" t="str">
        <f>IFERROR(IF(OR(W259="",W259=0,W259&gt;A264),"",VLOOKUP(W259,A256:B264,2,TRUE)),9)</f>
        <v/>
      </c>
      <c r="R259" s="66">
        <f ca="1">IFERROR(IF(OR(E259=0,E259="",H259=0,H259="",$R256&lt;&gt;0,LEFT(H259,1)="D"),0,VLOOKUP(D259,INDIRECT(MatchDay!$W$2),2,FALSE)),"")</f>
        <v>0</v>
      </c>
      <c r="S259" s="66">
        <f ca="1">IFERROR(IF(OR(L259=0,L259="",O259=0,O259="",$R256&lt;&gt;0,LEFT(O259,1)="D"),0,VLOOKUP(K259,INDIRECT(MatchDay!$W$2),3,FALSE)),"")</f>
        <v>0</v>
      </c>
      <c r="T259" s="96"/>
      <c r="U259" s="96"/>
      <c r="V259" s="96">
        <f t="shared" si="60"/>
        <v>0</v>
      </c>
      <c r="W259" s="96">
        <f t="shared" si="61"/>
        <v>0</v>
      </c>
    </row>
    <row r="260" spans="1:23" x14ac:dyDescent="0.35">
      <c r="A260" s="420">
        <f>IFERROR(TIMEVALUE(VLOOKUP(C255,standards,7,FALSE)),"-")</f>
        <v>1.736111111111111E-3</v>
      </c>
      <c r="B260" s="419">
        <v>5</v>
      </c>
      <c r="C260" s="105"/>
      <c r="D260" s="104">
        <v>4</v>
      </c>
      <c r="E260" s="107"/>
      <c r="F260" s="423" t="str">
        <f>IFERROR(VLOOKUP($C255&amp;E260,downloads!$A$1:$E$1000,2,FALSE),"")</f>
        <v/>
      </c>
      <c r="G260" s="64" t="str">
        <f t="shared" si="58"/>
        <v/>
      </c>
      <c r="H260" s="399"/>
      <c r="I260" s="147" t="str">
        <f>IFERROR(IF(OR(V260="",V260=0,V260&gt;A264),"",VLOOKUP(V260,A256:B264,2,TRUE)),9)</f>
        <v/>
      </c>
      <c r="J260" s="67"/>
      <c r="K260" s="104">
        <v>4</v>
      </c>
      <c r="L260" s="248"/>
      <c r="M260" s="423" t="str">
        <f>IFERROR(VLOOKUP($C255&amp;L260,downloads!$A$1:$E$1000,2,FALSE),"")</f>
        <v/>
      </c>
      <c r="N260" s="64" t="str">
        <f t="shared" si="59"/>
        <v/>
      </c>
      <c r="O260" s="403"/>
      <c r="P260" s="147" t="str">
        <f>IFERROR(IF(OR(W260="",W260=0,W260&gt;A264),"",VLOOKUP(W260,A256:B264,2,TRUE)),9)</f>
        <v/>
      </c>
      <c r="R260" s="66">
        <f ca="1">IFERROR(IF(OR(E260=0,E260="",H260=0,H260="",$R256&lt;&gt;0,LEFT(H260,1)="D"),0,VLOOKUP(D260,INDIRECT(MatchDay!$W$2),2,FALSE)),"")</f>
        <v>0</v>
      </c>
      <c r="S260" s="66">
        <f ca="1">IFERROR(IF(OR(L260=0,L260="",O260=0,O260="",$R256&lt;&gt;0,LEFT(O260,1)="D"),0,VLOOKUP(K260,INDIRECT(MatchDay!$W$2),3,FALSE)),"")</f>
        <v>0</v>
      </c>
      <c r="T260" s="96"/>
      <c r="U260" s="96"/>
      <c r="V260" s="96">
        <f t="shared" si="60"/>
        <v>0</v>
      </c>
      <c r="W260" s="96">
        <f t="shared" si="61"/>
        <v>0</v>
      </c>
    </row>
    <row r="261" spans="1:23" x14ac:dyDescent="0.35">
      <c r="A261" s="420">
        <f>IFERROR(TIMEVALUE(VLOOKUP(C255,standards,6,FALSE)),"-")</f>
        <v>1.7939814814814815E-3</v>
      </c>
      <c r="B261" s="419">
        <v>4</v>
      </c>
      <c r="C261" s="105"/>
      <c r="D261" s="104">
        <v>5</v>
      </c>
      <c r="E261" s="107"/>
      <c r="F261" s="423" t="str">
        <f>IFERROR(VLOOKUP($C255&amp;E261,downloads!$A$1:$E$1000,2,FALSE),"")</f>
        <v/>
      </c>
      <c r="G261" s="64" t="str">
        <f t="shared" si="58"/>
        <v/>
      </c>
      <c r="H261" s="399"/>
      <c r="I261" s="147" t="str">
        <f>IFERROR(IF(OR(V261="",V261=0,V261&gt;A264),"",VLOOKUP(V261,A256:B264,2,TRUE)),9)</f>
        <v/>
      </c>
      <c r="J261" s="67"/>
      <c r="K261" s="104">
        <v>5</v>
      </c>
      <c r="L261" s="248"/>
      <c r="M261" s="423" t="str">
        <f>IFERROR(VLOOKUP($C255&amp;L261,downloads!$A$1:$E$1000,2,FALSE),"")</f>
        <v/>
      </c>
      <c r="N261" s="64" t="str">
        <f t="shared" si="59"/>
        <v/>
      </c>
      <c r="O261" s="403"/>
      <c r="P261" s="147" t="str">
        <f>IFERROR(IF(OR(W261="",W261=0,W261&gt;A264),"",VLOOKUP(W261,A256:B264,2,TRUE)),9)</f>
        <v/>
      </c>
      <c r="R261" s="66">
        <f ca="1">IFERROR(IF(OR(E261=0,E261="",H261=0,H261="",$R256&lt;&gt;0,LEFT(H261,1)="D"),0,VLOOKUP(D261,INDIRECT(MatchDay!$W$2),2,FALSE)),"")</f>
        <v>0</v>
      </c>
      <c r="S261" s="66">
        <f ca="1">IFERROR(IF(OR(L261=0,L261="",O261=0,O261="",$R256&lt;&gt;0,LEFT(O261,1)="D"),0,VLOOKUP(K261,INDIRECT(MatchDay!$W$2),3,FALSE)),"")</f>
        <v>0</v>
      </c>
      <c r="T261" s="96"/>
      <c r="U261" s="96"/>
      <c r="V261" s="96">
        <f t="shared" si="60"/>
        <v>0</v>
      </c>
      <c r="W261" s="96">
        <f t="shared" si="61"/>
        <v>0</v>
      </c>
    </row>
    <row r="262" spans="1:23" x14ac:dyDescent="0.35">
      <c r="A262" s="420">
        <f>IFERROR(TIMEVALUE(VLOOKUP(C255,standards,5,FALSE)),"-")</f>
        <v>1.8518518518518517E-3</v>
      </c>
      <c r="B262" s="419">
        <v>3</v>
      </c>
      <c r="C262" s="105"/>
      <c r="D262" s="104">
        <v>6</v>
      </c>
      <c r="E262" s="107"/>
      <c r="F262" s="423" t="str">
        <f>IFERROR(VLOOKUP($C255&amp;E262,downloads!$A$1:$E$1000,2,FALSE),"")</f>
        <v/>
      </c>
      <c r="G262" s="64" t="str">
        <f t="shared" si="58"/>
        <v/>
      </c>
      <c r="H262" s="399"/>
      <c r="I262" s="147" t="str">
        <f>IFERROR(IF(OR(V262="",V262=0,V262&gt;A264),"",VLOOKUP(V262,A256:B264,2,TRUE)),9)</f>
        <v/>
      </c>
      <c r="J262" s="67"/>
      <c r="K262" s="104">
        <v>6</v>
      </c>
      <c r="L262" s="248"/>
      <c r="M262" s="423" t="str">
        <f>IFERROR(VLOOKUP($C255&amp;L262,downloads!$A$1:$E$1000,2,FALSE),"")</f>
        <v/>
      </c>
      <c r="N262" s="64" t="str">
        <f t="shared" si="59"/>
        <v/>
      </c>
      <c r="O262" s="403"/>
      <c r="P262" s="147" t="str">
        <f>IFERROR(IF(OR(W262="",W262=0,W262&gt;A264),"",VLOOKUP(W262,A256:B264,2,TRUE)),9)</f>
        <v/>
      </c>
      <c r="R262" s="66">
        <f ca="1">IFERROR(IF(OR(E262=0,E262="",H262=0,H262="",$R256&lt;&gt;0,LEFT(H262,1)="D"),0,VLOOKUP(D262,INDIRECT(MatchDay!$W$2),2,FALSE)),"")</f>
        <v>0</v>
      </c>
      <c r="S262" s="66">
        <f ca="1">IFERROR(IF(OR(L262=0,L262="",O262=0,O262="",$R256&lt;&gt;0,LEFT(O262,1)="D"),0,VLOOKUP(K262,INDIRECT(MatchDay!$W$2),3,FALSE)),"")</f>
        <v>0</v>
      </c>
      <c r="T262" s="96"/>
      <c r="U262" s="96"/>
      <c r="V262" s="96">
        <f t="shared" si="60"/>
        <v>0</v>
      </c>
      <c r="W262" s="96">
        <f t="shared" si="61"/>
        <v>0</v>
      </c>
    </row>
    <row r="263" spans="1:23" x14ac:dyDescent="0.35">
      <c r="A263" s="420">
        <f>IFERROR(TIMEVALUE(VLOOKUP(C255,standards,4,FALSE)),"-")</f>
        <v>1.9097222222222222E-3</v>
      </c>
      <c r="B263" s="419">
        <v>2</v>
      </c>
      <c r="C263" s="120">
        <f>IFERROR(SEARCH("U17",D255),0)</f>
        <v>0</v>
      </c>
      <c r="D263" s="104">
        <v>7</v>
      </c>
      <c r="E263" s="107"/>
      <c r="F263" s="423" t="str">
        <f>IFERROR(VLOOKUP($C255&amp;E263,downloads!$A$1:$E$1000,2,FALSE),"")</f>
        <v/>
      </c>
      <c r="G263" s="64" t="str">
        <f t="shared" si="58"/>
        <v/>
      </c>
      <c r="H263" s="399"/>
      <c r="I263" s="147" t="str">
        <f>IFERROR(IF(OR(V263="",V263=0,V263&gt;A264),"",VLOOKUP(V263,A256:B264,2,TRUE)),9)</f>
        <v/>
      </c>
      <c r="J263" s="67"/>
      <c r="K263" s="104">
        <v>7</v>
      </c>
      <c r="L263" s="248"/>
      <c r="M263" s="423" t="str">
        <f>IFERROR(VLOOKUP($C255&amp;L263,downloads!$A$1:$E$1000,2,FALSE),"")</f>
        <v/>
      </c>
      <c r="N263" s="64" t="str">
        <f t="shared" si="59"/>
        <v/>
      </c>
      <c r="O263" s="403"/>
      <c r="P263" s="147" t="str">
        <f>IFERROR(IF(OR(W263="",W263=0,W263&gt;A264),"",VLOOKUP(W263,A256:B264,2,TRUE)),9)</f>
        <v/>
      </c>
      <c r="R263" s="66">
        <f ca="1">IFERROR(IF(OR(E263=0,E263="",H263=0,H263="",$R256&lt;&gt;0,LEFT(H263,1)="D"),0,VLOOKUP(D263,INDIRECT(MatchDay!$W$2),2,FALSE)),"")</f>
        <v>0</v>
      </c>
      <c r="S263" s="66">
        <f ca="1">IFERROR(IF(OR(L263=0,L263="",O263=0,O263="",$R256&lt;&gt;0,LEFT(O263,1)="D"),0,VLOOKUP(K263,INDIRECT(MatchDay!$W$2),3,FALSE)),"")</f>
        <v>0</v>
      </c>
      <c r="T263" s="96"/>
      <c r="U263" s="96"/>
      <c r="V263" s="96">
        <f t="shared" si="60"/>
        <v>0</v>
      </c>
      <c r="W263" s="96">
        <f t="shared" si="61"/>
        <v>0</v>
      </c>
    </row>
    <row r="264" spans="1:23" x14ac:dyDescent="0.35">
      <c r="A264" s="420">
        <f>IFERROR(TIMEVALUE(VLOOKUP(C255,standards,3,FALSE)),"-")</f>
        <v>1.9675925925925928E-3</v>
      </c>
      <c r="B264" s="419">
        <v>1</v>
      </c>
      <c r="C264" s="103">
        <f>IFERROR(VLOOKUP(C255,records,5,FALSE),"")</f>
        <v>1.4988425925925924E-3</v>
      </c>
      <c r="D264" s="104">
        <v>8</v>
      </c>
      <c r="E264" s="107"/>
      <c r="F264" s="423" t="str">
        <f>IFERROR(VLOOKUP($C255&amp;E264,downloads!$A$1:$E$1000,2,FALSE),"")</f>
        <v/>
      </c>
      <c r="G264" s="64" t="str">
        <f t="shared" si="58"/>
        <v/>
      </c>
      <c r="H264" s="399"/>
      <c r="I264" s="147" t="str">
        <f>IFERROR(IF(OR(V264="",V264=0,V264&gt;A264),"",VLOOKUP(V264,A256:B264,2,TRUE)),9)</f>
        <v/>
      </c>
      <c r="J264" s="67"/>
      <c r="K264" s="104">
        <v>8</v>
      </c>
      <c r="L264" s="248"/>
      <c r="M264" s="423" t="str">
        <f>IFERROR(VLOOKUP($C255&amp;L264,downloads!$A$1:$E$1000,2,FALSE),"")</f>
        <v/>
      </c>
      <c r="N264" s="64" t="str">
        <f t="shared" si="59"/>
        <v/>
      </c>
      <c r="O264" s="403"/>
      <c r="P264" s="147" t="str">
        <f>IFERROR(IF(OR(W264="",W264=0,W264&gt;A264),"",VLOOKUP(W264,A256:B264,2,TRUE)),9)</f>
        <v/>
      </c>
      <c r="R264" s="66">
        <f ca="1">IFERROR(IF(OR(E264=0,E264="",H264=0,H264="",$R256&lt;&gt;0,LEFT(H264,1)="D"),0,VLOOKUP(D264,INDIRECT(MatchDay!$W$2),2,FALSE)),"")</f>
        <v>0</v>
      </c>
      <c r="S264" s="66">
        <f ca="1">IFERROR(IF(OR(L264=0,L264="",O264=0,O264="",$R256&lt;&gt;0,LEFT(O264,1)="D"),0,VLOOKUP(K264,INDIRECT(MatchDay!$W$2),3,FALSE)),"")</f>
        <v>0</v>
      </c>
      <c r="T264" s="96"/>
      <c r="U264" s="96"/>
      <c r="V264" s="96">
        <f t="shared" si="60"/>
        <v>0</v>
      </c>
      <c r="W264" s="96">
        <f t="shared" si="61"/>
        <v>0</v>
      </c>
    </row>
    <row r="265" spans="1:23" x14ac:dyDescent="0.35">
      <c r="F265" s="410"/>
      <c r="H265" s="400"/>
      <c r="M265" s="410"/>
      <c r="O265" s="404"/>
      <c r="T265" s="96"/>
      <c r="U265" s="96"/>
      <c r="V265" s="96">
        <f t="shared" si="40"/>
        <v>0</v>
      </c>
      <c r="W265" s="96">
        <f t="shared" si="41"/>
        <v>0</v>
      </c>
    </row>
    <row r="266" spans="1:23" x14ac:dyDescent="0.35">
      <c r="C266" s="98" t="s">
        <v>354</v>
      </c>
      <c r="D266" s="99" t="str">
        <f>IFERROR(VLOOKUP(C266,timetables,2,FALSE)&amp;" "&amp;VLOOKUP(C266,timetables,3,FALSE)&amp;" A","")</f>
        <v>800m NS U15 Girls A</v>
      </c>
      <c r="E266" s="99"/>
      <c r="F266" s="410"/>
      <c r="G266" s="114" t="str">
        <f>IFERROR(IF(VLOOKUP($C266,timetables,8,FALSE)="W","Wind = ",""),"")</f>
        <v/>
      </c>
      <c r="H266" s="400"/>
      <c r="I266" s="106" t="str">
        <f>IFERROR(IF(OR(H268=0,H268=""),"",IF(H268&lt;C275,"REC",IF(H268=C275,"=Rec",""))),"")</f>
        <v/>
      </c>
      <c r="K266" s="101" t="str">
        <f>IFERROR(VLOOKUP(C266,timetables,2,FALSE)&amp;" "&amp;VLOOKUP(C266,timetables,3,FALSE)&amp;" B","")</f>
        <v>800m NS U15 Girls B</v>
      </c>
      <c r="L266" s="102"/>
      <c r="M266" s="410"/>
      <c r="N266" s="114" t="str">
        <f>IFERROR(IF(VLOOKUP($C266,timetables,8,FALSE)="W","Wind = ",""),"")</f>
        <v/>
      </c>
      <c r="O266" s="404"/>
      <c r="R266" s="66" t="s">
        <v>53</v>
      </c>
      <c r="S266" s="66" t="s">
        <v>54</v>
      </c>
      <c r="T266" s="96"/>
      <c r="U266" s="96"/>
      <c r="V266" s="96">
        <f t="shared" si="40"/>
        <v>0</v>
      </c>
      <c r="W266" s="96">
        <f t="shared" si="41"/>
        <v>0</v>
      </c>
    </row>
    <row r="267" spans="1:23" x14ac:dyDescent="0.35">
      <c r="A267" s="420">
        <f>IFERROR(VLOOKUP(C266,standards,11,FALSE),"-")</f>
        <v>1.6203703703703703E-3</v>
      </c>
      <c r="B267" s="419">
        <v>9</v>
      </c>
      <c r="C267" s="79"/>
      <c r="D267" s="45" t="s">
        <v>177</v>
      </c>
      <c r="E267" s="45" t="s">
        <v>141</v>
      </c>
      <c r="F267" s="424" t="s">
        <v>174</v>
      </c>
      <c r="G267" s="47" t="s">
        <v>175</v>
      </c>
      <c r="H267" s="401" t="s">
        <v>176</v>
      </c>
      <c r="I267" s="148" t="s">
        <v>1003</v>
      </c>
      <c r="J267" s="47"/>
      <c r="K267" s="45" t="s">
        <v>177</v>
      </c>
      <c r="L267" s="45" t="s">
        <v>141</v>
      </c>
      <c r="M267" s="424" t="s">
        <v>174</v>
      </c>
      <c r="N267" s="47" t="s">
        <v>175</v>
      </c>
      <c r="O267" s="401" t="s">
        <v>176</v>
      </c>
      <c r="P267" s="148" t="s">
        <v>1003</v>
      </c>
      <c r="R267" s="66">
        <f>IFERROR(SEARCH("NS",D266),0)</f>
        <v>6</v>
      </c>
      <c r="T267" s="96"/>
      <c r="U267" s="96"/>
      <c r="V267" s="96"/>
      <c r="W267" s="96"/>
    </row>
    <row r="268" spans="1:23" x14ac:dyDescent="0.35">
      <c r="A268" s="420">
        <f>IFERROR(VLOOKUP(C266,standards,10,FALSE),"-")</f>
        <v>1.6435185185185183E-3</v>
      </c>
      <c r="B268" s="419">
        <v>8</v>
      </c>
      <c r="C268" s="138">
        <f>IFERROR(VLOOKUP(C266,Timetables!$A:$E,5,FALSE)-1,"")</f>
        <v>-1</v>
      </c>
      <c r="D268" s="104">
        <v>1</v>
      </c>
      <c r="E268" s="107">
        <v>7</v>
      </c>
      <c r="F268" s="423" t="str">
        <f>IFERROR(VLOOKUP($C266&amp;E268,downloads!$A$1:$E$1000,2,FALSE),"")</f>
        <v>Nour KHOLEIF</v>
      </c>
      <c r="G268" s="64" t="str">
        <f t="shared" ref="G268:G275" si="62">IFERROR(VLOOKUP(E268,teamlookup,5,FALSE),"")</f>
        <v>Wigan</v>
      </c>
      <c r="H268" s="399">
        <v>2.3769999999999998</v>
      </c>
      <c r="I268" s="147">
        <f>IFERROR(IF(OR(V268="",V268=0,V268&gt;A275),"",VLOOKUP(V268,A267:B275,2,TRUE)),9)</f>
        <v>3</v>
      </c>
      <c r="J268" s="67"/>
      <c r="K268" s="104">
        <v>1</v>
      </c>
      <c r="L268" s="248"/>
      <c r="M268" s="423" t="str">
        <f>IFERROR(VLOOKUP($C266&amp;L268,downloads!$A$1:$E$1000,2,FALSE),"")</f>
        <v/>
      </c>
      <c r="N268" s="64" t="str">
        <f t="shared" ref="N268:N275" si="63">IFERROR(VLOOKUP(L268,teamlookup,5,FALSE),"")</f>
        <v/>
      </c>
      <c r="O268" s="403"/>
      <c r="P268" s="147" t="str">
        <f>IFERROR(IF(OR(W268="",W268=0,W268&gt;A275),"",VLOOKUP(W268,A267:B275,2,TRUE)),9)</f>
        <v/>
      </c>
      <c r="R268" s="66">
        <f ca="1">IFERROR(IF(OR(E268=0,E268="",H268=0,H268="",$R267&lt;&gt;0,LEFT(H268,1)="D"),0,VLOOKUP(D268,INDIRECT(MatchDay!$W$2),2,FALSE)),"")</f>
        <v>0</v>
      </c>
      <c r="S268" s="66">
        <f ca="1">IFERROR(IF(OR(L268=0,L268="",O268=0,O268="",$R267&lt;&gt;0,LEFT(O268,1)="D"),0,VLOOKUP(K268,INDIRECT(MatchDay!$W$2),3,FALSE)),"")</f>
        <v>0</v>
      </c>
      <c r="T268" s="96">
        <f>COUNTIF(E268,"&gt;0")</f>
        <v>1</v>
      </c>
      <c r="U268" s="96">
        <f>IFERROR(IF(E268&gt;88,1,0),0)</f>
        <v>0</v>
      </c>
      <c r="V268" s="96">
        <f t="shared" ref="V268:V275" si="64">IFERROR(IF(LEFT(H268,1)="D",H268,(INT(H268)*60+(H268-INT(H268))*100)/86400),"X")</f>
        <v>1.8252314814814813E-3</v>
      </c>
      <c r="W268" s="96">
        <f t="shared" ref="W268:W275" si="65">IFERROR(IF(LEFT(O268,1)="D",O268,(INT(O268)*60+(O268-INT(O268))*100)/86400),"X")</f>
        <v>0</v>
      </c>
    </row>
    <row r="269" spans="1:23" x14ac:dyDescent="0.35">
      <c r="A269" s="420">
        <f>IFERROR(VLOOKUP(C266,standards,9,FALSE),"-")</f>
        <v>1.6666666666666668E-3</v>
      </c>
      <c r="B269" s="419">
        <v>7</v>
      </c>
      <c r="C269" s="64">
        <v>0</v>
      </c>
      <c r="D269" s="104">
        <v>2</v>
      </c>
      <c r="E269" s="107"/>
      <c r="F269" s="423" t="str">
        <f>IFERROR(VLOOKUP($C266&amp;E269,downloads!$A$1:$E$1000,2,FALSE),"")</f>
        <v/>
      </c>
      <c r="G269" s="64" t="str">
        <f t="shared" si="62"/>
        <v/>
      </c>
      <c r="H269" s="399"/>
      <c r="I269" s="147" t="str">
        <f>IFERROR(IF(OR(V269="",V269=0,V269&gt;A275),"",VLOOKUP(V269,A267:B275,2,TRUE)),9)</f>
        <v/>
      </c>
      <c r="J269" s="67"/>
      <c r="K269" s="104">
        <v>2</v>
      </c>
      <c r="L269" s="248"/>
      <c r="M269" s="423" t="str">
        <f>IFERROR(VLOOKUP($C266&amp;L269,downloads!$A$1:$E$1000,2,FALSE),"")</f>
        <v/>
      </c>
      <c r="N269" s="64" t="str">
        <f t="shared" si="63"/>
        <v/>
      </c>
      <c r="O269" s="403"/>
      <c r="P269" s="147" t="str">
        <f>IFERROR(IF(OR(W269="",W269=0,W269&gt;A275),"",VLOOKUP(W269,A267:B275,2,TRUE)),9)</f>
        <v/>
      </c>
      <c r="R269" s="66">
        <f ca="1">IFERROR(IF(OR(E269=0,E269="",H269=0,H269="",$R267&lt;&gt;0,LEFT(H269,1)="D"),0,VLOOKUP(D269,INDIRECT(MatchDay!$W$2),2,FALSE)),"")</f>
        <v>0</v>
      </c>
      <c r="S269" s="66">
        <f ca="1">IFERROR(IF(OR(L269=0,L269="",O269=0,O269="",$R267&lt;&gt;0,LEFT(O269,1)="D"),0,VLOOKUP(K269,INDIRECT(MatchDay!$W$2),3,FALSE)),"")</f>
        <v>0</v>
      </c>
      <c r="T269" s="96"/>
      <c r="U269" s="96"/>
      <c r="V269" s="96">
        <f t="shared" si="64"/>
        <v>0</v>
      </c>
      <c r="W269" s="96">
        <f t="shared" si="65"/>
        <v>0</v>
      </c>
    </row>
    <row r="270" spans="1:23" x14ac:dyDescent="0.35">
      <c r="A270" s="420">
        <f>IFERROR(VLOOKUP(C266,standards,8,FALSE),"-")</f>
        <v>1.689814814814815E-3</v>
      </c>
      <c r="B270" s="419">
        <v>6</v>
      </c>
      <c r="C270" s="105"/>
      <c r="D270" s="104">
        <v>3</v>
      </c>
      <c r="E270" s="107"/>
      <c r="F270" s="423" t="str">
        <f>IFERROR(VLOOKUP($C266&amp;E270,downloads!$A$1:$E$1000,2,FALSE),"")</f>
        <v/>
      </c>
      <c r="G270" s="64" t="str">
        <f t="shared" si="62"/>
        <v/>
      </c>
      <c r="H270" s="399"/>
      <c r="I270" s="147" t="str">
        <f>IFERROR(IF(OR(V270="",V270=0,V270&gt;A275),"",VLOOKUP(V270,A267:B275,2,TRUE)),9)</f>
        <v/>
      </c>
      <c r="J270" s="67"/>
      <c r="K270" s="104">
        <v>3</v>
      </c>
      <c r="L270" s="248"/>
      <c r="M270" s="423" t="str">
        <f>IFERROR(VLOOKUP($C266&amp;L270,downloads!$A$1:$E$1000,2,FALSE),"")</f>
        <v/>
      </c>
      <c r="N270" s="64" t="str">
        <f t="shared" si="63"/>
        <v/>
      </c>
      <c r="O270" s="403"/>
      <c r="P270" s="147" t="str">
        <f>IFERROR(IF(OR(W270="",W270=0,W270&gt;A275),"",VLOOKUP(W270,A267:B275,2,TRUE)),9)</f>
        <v/>
      </c>
      <c r="R270" s="66">
        <f ca="1">IFERROR(IF(OR(E270=0,E270="",H270=0,H270="",$R267&lt;&gt;0,LEFT(H270,1)="D"),0,VLOOKUP(D270,INDIRECT(MatchDay!$W$2),2,FALSE)),"")</f>
        <v>0</v>
      </c>
      <c r="S270" s="66">
        <f ca="1">IFERROR(IF(OR(L270=0,L270="",O270=0,O270="",$R267&lt;&gt;0,LEFT(O270,1)="D"),0,VLOOKUP(K270,INDIRECT(MatchDay!$W$2),3,FALSE)),"")</f>
        <v>0</v>
      </c>
      <c r="T270" s="96"/>
      <c r="U270" s="96"/>
      <c r="V270" s="96">
        <f t="shared" si="64"/>
        <v>0</v>
      </c>
      <c r="W270" s="96">
        <f t="shared" si="65"/>
        <v>0</v>
      </c>
    </row>
    <row r="271" spans="1:23" x14ac:dyDescent="0.35">
      <c r="A271" s="420">
        <f>IFERROR(VLOOKUP(C266,standards,7,FALSE),"-")</f>
        <v>1.712962962962963E-3</v>
      </c>
      <c r="B271" s="419">
        <v>5</v>
      </c>
      <c r="C271" s="105"/>
      <c r="D271" s="104">
        <v>4</v>
      </c>
      <c r="E271" s="107"/>
      <c r="F271" s="423" t="str">
        <f>IFERROR(VLOOKUP($C266&amp;E271,downloads!$A$1:$E$1000,2,FALSE),"")</f>
        <v/>
      </c>
      <c r="G271" s="64" t="str">
        <f t="shared" si="62"/>
        <v/>
      </c>
      <c r="H271" s="399"/>
      <c r="I271" s="147" t="str">
        <f>IFERROR(IF(OR(V271="",V271=0,V271&gt;A275),"",VLOOKUP(V271,A267:B275,2,TRUE)),9)</f>
        <v/>
      </c>
      <c r="J271" s="67"/>
      <c r="K271" s="104">
        <v>4</v>
      </c>
      <c r="L271" s="248"/>
      <c r="M271" s="423" t="str">
        <f>IFERROR(VLOOKUP($C266&amp;L271,downloads!$A$1:$E$1000,2,FALSE),"")</f>
        <v/>
      </c>
      <c r="N271" s="64" t="str">
        <f t="shared" si="63"/>
        <v/>
      </c>
      <c r="O271" s="403"/>
      <c r="P271" s="147" t="str">
        <f>IFERROR(IF(OR(W271="",W271=0,W271&gt;A275),"",VLOOKUP(W271,A267:B275,2,TRUE)),9)</f>
        <v/>
      </c>
      <c r="R271" s="66">
        <f ca="1">IFERROR(IF(OR(E271=0,E271="",H271=0,H271="",$R267&lt;&gt;0,LEFT(H271,1)="D"),0,VLOOKUP(D271,INDIRECT(MatchDay!$W$2),2,FALSE)),"")</f>
        <v>0</v>
      </c>
      <c r="S271" s="66">
        <f ca="1">IFERROR(IF(OR(L271=0,L271="",O271=0,O271="",$R267&lt;&gt;0,LEFT(O271,1)="D"),0,VLOOKUP(K271,INDIRECT(MatchDay!$W$2),3,FALSE)),"")</f>
        <v>0</v>
      </c>
      <c r="T271" s="96"/>
      <c r="U271" s="96"/>
      <c r="V271" s="96">
        <f t="shared" si="64"/>
        <v>0</v>
      </c>
      <c r="W271" s="96">
        <f t="shared" si="65"/>
        <v>0</v>
      </c>
    </row>
    <row r="272" spans="1:23" x14ac:dyDescent="0.35">
      <c r="A272" s="420">
        <f>IFERROR(VLOOKUP(C266,standards,6,FALSE),"-")</f>
        <v>1.7476851851851852E-3</v>
      </c>
      <c r="B272" s="419">
        <v>4</v>
      </c>
      <c r="C272" s="105"/>
      <c r="D272" s="104">
        <v>5</v>
      </c>
      <c r="E272" s="107"/>
      <c r="F272" s="423" t="str">
        <f>IFERROR(VLOOKUP($C266&amp;E272,downloads!$A$1:$E$1000,2,FALSE),"")</f>
        <v/>
      </c>
      <c r="G272" s="64" t="str">
        <f t="shared" si="62"/>
        <v/>
      </c>
      <c r="H272" s="399"/>
      <c r="I272" s="147" t="str">
        <f>IFERROR(IF(OR(V272="",V272=0,V272&gt;A275),"",VLOOKUP(V272,A267:B275,2,TRUE)),9)</f>
        <v/>
      </c>
      <c r="J272" s="67"/>
      <c r="K272" s="104">
        <v>5</v>
      </c>
      <c r="L272" s="248"/>
      <c r="M272" s="423" t="str">
        <f>IFERROR(VLOOKUP($C266&amp;L272,downloads!$A$1:$E$1000,2,FALSE),"")</f>
        <v/>
      </c>
      <c r="N272" s="64" t="str">
        <f t="shared" si="63"/>
        <v/>
      </c>
      <c r="O272" s="403"/>
      <c r="P272" s="147" t="str">
        <f>IFERROR(IF(OR(W272="",W272=0,W272&gt;A275),"",VLOOKUP(W272,A267:B275,2,TRUE)),9)</f>
        <v/>
      </c>
      <c r="R272" s="66">
        <f ca="1">IFERROR(IF(OR(E272=0,E272="",H272=0,H272="",$R267&lt;&gt;0,LEFT(H272,1)="D"),0,VLOOKUP(D272,INDIRECT(MatchDay!$W$2),2,FALSE)),"")</f>
        <v>0</v>
      </c>
      <c r="S272" s="66">
        <f ca="1">IFERROR(IF(OR(L272=0,L272="",O272=0,O272="",$R267&lt;&gt;0,LEFT(O272,1)="D"),0,VLOOKUP(K272,INDIRECT(MatchDay!$W$2),3,FALSE)),"")</f>
        <v>0</v>
      </c>
      <c r="T272" s="96"/>
      <c r="U272" s="96"/>
      <c r="V272" s="96">
        <f t="shared" si="64"/>
        <v>0</v>
      </c>
      <c r="W272" s="96">
        <f t="shared" si="65"/>
        <v>0</v>
      </c>
    </row>
    <row r="273" spans="1:23" x14ac:dyDescent="0.35">
      <c r="A273" s="420">
        <f>IFERROR(VLOOKUP(C266,standards,5,FALSE),"-")</f>
        <v>1.7939814814814815E-3</v>
      </c>
      <c r="B273" s="419">
        <v>3</v>
      </c>
      <c r="C273" s="105"/>
      <c r="D273" s="104">
        <v>6</v>
      </c>
      <c r="E273" s="107"/>
      <c r="F273" s="423" t="str">
        <f>IFERROR(VLOOKUP($C266&amp;E273,downloads!$A$1:$E$1000,2,FALSE),"")</f>
        <v/>
      </c>
      <c r="G273" s="64" t="str">
        <f t="shared" si="62"/>
        <v/>
      </c>
      <c r="H273" s="399"/>
      <c r="I273" s="147" t="str">
        <f>IFERROR(IF(OR(V273="",V273=0,V273&gt;A275),"",VLOOKUP(V273,A267:B275,2,TRUE)),9)</f>
        <v/>
      </c>
      <c r="J273" s="67"/>
      <c r="K273" s="104">
        <v>6</v>
      </c>
      <c r="L273" s="248"/>
      <c r="M273" s="423" t="str">
        <f>IFERROR(VLOOKUP($C266&amp;L273,downloads!$A$1:$E$1000,2,FALSE),"")</f>
        <v/>
      </c>
      <c r="N273" s="64" t="str">
        <f t="shared" si="63"/>
        <v/>
      </c>
      <c r="O273" s="403"/>
      <c r="P273" s="147" t="str">
        <f>IFERROR(IF(OR(W273="",W273=0,W273&gt;A275),"",VLOOKUP(W273,A267:B275,2,TRUE)),9)</f>
        <v/>
      </c>
      <c r="R273" s="66">
        <f ca="1">IFERROR(IF(OR(E273=0,E273="",H273=0,H273="",$R267&lt;&gt;0,LEFT(H273,1)="D"),0,VLOOKUP(D273,INDIRECT(MatchDay!$W$2),2,FALSE)),"")</f>
        <v>0</v>
      </c>
      <c r="S273" s="66">
        <f ca="1">IFERROR(IF(OR(L273=0,L273="",O273=0,O273="",$R267&lt;&gt;0,LEFT(O273,1)="D"),0,VLOOKUP(K273,INDIRECT(MatchDay!$W$2),3,FALSE)),"")</f>
        <v>0</v>
      </c>
      <c r="T273" s="96"/>
      <c r="U273" s="96"/>
      <c r="V273" s="96">
        <f t="shared" si="64"/>
        <v>0</v>
      </c>
      <c r="W273" s="96">
        <f t="shared" si="65"/>
        <v>0</v>
      </c>
    </row>
    <row r="274" spans="1:23" x14ac:dyDescent="0.35">
      <c r="A274" s="420">
        <f>IFERROR(VLOOKUP(C266,standards,4,FALSE),"-")</f>
        <v>1.8518518518518517E-3</v>
      </c>
      <c r="B274" s="419">
        <v>2</v>
      </c>
      <c r="C274" s="120">
        <f>IFERROR(SEARCH("U17",D266),0)</f>
        <v>0</v>
      </c>
      <c r="D274" s="104">
        <v>7</v>
      </c>
      <c r="E274" s="107"/>
      <c r="F274" s="423" t="str">
        <f>IFERROR(VLOOKUP($C266&amp;E274,downloads!$A$1:$E$1000,2,FALSE),"")</f>
        <v/>
      </c>
      <c r="G274" s="64" t="str">
        <f t="shared" si="62"/>
        <v/>
      </c>
      <c r="H274" s="399"/>
      <c r="I274" s="147" t="str">
        <f>IFERROR(IF(OR(V274="",V274=0,V274&gt;A275),"",VLOOKUP(V274,A267:B275,2,TRUE)),9)</f>
        <v/>
      </c>
      <c r="J274" s="67"/>
      <c r="K274" s="104">
        <v>7</v>
      </c>
      <c r="L274" s="248"/>
      <c r="M274" s="423" t="str">
        <f>IFERROR(VLOOKUP($C266&amp;L274,downloads!$A$1:$E$1000,2,FALSE),"")</f>
        <v/>
      </c>
      <c r="N274" s="64" t="str">
        <f t="shared" si="63"/>
        <v/>
      </c>
      <c r="O274" s="403"/>
      <c r="P274" s="147" t="str">
        <f>IFERROR(IF(OR(W274="",W274=0,W274&gt;A275),"",VLOOKUP(W274,A267:B275,2,TRUE)),9)</f>
        <v/>
      </c>
      <c r="R274" s="66">
        <f ca="1">IFERROR(IF(OR(E274=0,E274="",H274=0,H274="",$R267&lt;&gt;0,LEFT(H274,1)="D"),0,VLOOKUP(D274,INDIRECT(MatchDay!$W$2),2,FALSE)),"")</f>
        <v>0</v>
      </c>
      <c r="S274" s="66">
        <f ca="1">IFERROR(IF(OR(L274=0,L274="",O274=0,O274="",$R267&lt;&gt;0,LEFT(O274,1)="D"),0,VLOOKUP(K274,INDIRECT(MatchDay!$W$2),3,FALSE)),"")</f>
        <v>0</v>
      </c>
      <c r="T274" s="96"/>
      <c r="U274" s="96"/>
      <c r="V274" s="96">
        <f t="shared" si="64"/>
        <v>0</v>
      </c>
      <c r="W274" s="96">
        <f t="shared" si="65"/>
        <v>0</v>
      </c>
    </row>
    <row r="275" spans="1:23" x14ac:dyDescent="0.35">
      <c r="A275" s="420">
        <f>IFERROR(VLOOKUP(C266,standards,3,FALSE),"-")</f>
        <v>1.9097222222222222E-3</v>
      </c>
      <c r="B275" s="419">
        <v>1</v>
      </c>
      <c r="C275" s="103">
        <f>IFERROR(VLOOKUP(C266,records,5,FALSE),"")</f>
        <v>1.4791666666666666E-3</v>
      </c>
      <c r="D275" s="104">
        <v>8</v>
      </c>
      <c r="E275" s="107"/>
      <c r="F275" s="423" t="str">
        <f>IFERROR(VLOOKUP($C266&amp;E275,downloads!$A$1:$E$1000,2,FALSE),"")</f>
        <v/>
      </c>
      <c r="G275" s="64" t="str">
        <f t="shared" si="62"/>
        <v/>
      </c>
      <c r="H275" s="399"/>
      <c r="I275" s="147" t="str">
        <f>IFERROR(IF(OR(V275="",V275=0,V275&gt;A275),"",VLOOKUP(V275,A267:B275,2,TRUE)),9)</f>
        <v/>
      </c>
      <c r="J275" s="67"/>
      <c r="K275" s="104">
        <v>8</v>
      </c>
      <c r="L275" s="248"/>
      <c r="M275" s="423" t="str">
        <f>IFERROR(VLOOKUP($C266&amp;L275,downloads!$A$1:$E$1000,2,FALSE),"")</f>
        <v/>
      </c>
      <c r="N275" s="64" t="str">
        <f t="shared" si="63"/>
        <v/>
      </c>
      <c r="O275" s="403"/>
      <c r="P275" s="147" t="str">
        <f>IFERROR(IF(OR(W275="",W275=0,W275&gt;A275),"",VLOOKUP(W275,A267:B275,2,TRUE)),9)</f>
        <v/>
      </c>
      <c r="R275" s="66">
        <f ca="1">IFERROR(IF(OR(E275=0,E275="",H275=0,H275="",$R267&lt;&gt;0,LEFT(H275,1)="D"),0,VLOOKUP(D275,INDIRECT(MatchDay!$W$2),2,FALSE)),"")</f>
        <v>0</v>
      </c>
      <c r="S275" s="66">
        <f ca="1">IFERROR(IF(OR(L275=0,L275="",O275=0,O275="",$R267&lt;&gt;0,LEFT(O275,1)="D"),0,VLOOKUP(K275,INDIRECT(MatchDay!$W$2),3,FALSE)),"")</f>
        <v>0</v>
      </c>
      <c r="T275" s="96"/>
      <c r="U275" s="96"/>
      <c r="V275" s="96">
        <f t="shared" si="64"/>
        <v>0</v>
      </c>
      <c r="W275" s="96">
        <f t="shared" si="65"/>
        <v>0</v>
      </c>
    </row>
    <row r="276" spans="1:23" x14ac:dyDescent="0.35">
      <c r="F276" s="410"/>
      <c r="H276" s="400"/>
      <c r="M276" s="410"/>
      <c r="O276" s="404"/>
      <c r="T276" s="96"/>
      <c r="U276" s="96"/>
      <c r="V276" s="96">
        <f t="shared" ref="V276:V277" si="66">IFERROR((INT(H276)*60+(H276-INT(H276))*100)/86400,"X")</f>
        <v>0</v>
      </c>
      <c r="W276" s="96">
        <f t="shared" ref="W276:W277" si="67">IFERROR((INT(O276)*60+(O276-INT(O276))*100)/86400,"X")</f>
        <v>0</v>
      </c>
    </row>
    <row r="277" spans="1:23" x14ac:dyDescent="0.35">
      <c r="C277" s="98" t="s">
        <v>355</v>
      </c>
      <c r="D277" s="99" t="str">
        <f>IFERROR(VLOOKUP(C277,timetables,2,FALSE)&amp;" "&amp;VLOOKUP(C277,timetables,3,FALSE)&amp;" A","")</f>
        <v>800m NS U15 Boys A</v>
      </c>
      <c r="E277" s="99"/>
      <c r="F277" s="410"/>
      <c r="G277" s="114" t="str">
        <f>IFERROR(IF(VLOOKUP($C277,timetables,8,FALSE)="W","Wind = ",""),"")</f>
        <v/>
      </c>
      <c r="H277" s="400"/>
      <c r="I277" s="106" t="str">
        <f>IFERROR(IF(OR(H279=0,H279=""),"",IF(H279&lt;C286,"REC",IF(H279=C286,"=Rec",""))),"")</f>
        <v/>
      </c>
      <c r="K277" s="101" t="str">
        <f>IFERROR(VLOOKUP(C277,timetables,2,FALSE)&amp;" "&amp;VLOOKUP(C277,timetables,3,FALSE)&amp;" B","")</f>
        <v>800m NS U15 Boys B</v>
      </c>
      <c r="L277" s="102"/>
      <c r="M277" s="410"/>
      <c r="N277" s="114" t="str">
        <f>IFERROR(IF(VLOOKUP($C277,timetables,8,FALSE)="W","Wind = ",""),"")</f>
        <v/>
      </c>
      <c r="O277" s="404"/>
      <c r="R277" s="66" t="s">
        <v>53</v>
      </c>
      <c r="S277" s="66" t="s">
        <v>54</v>
      </c>
      <c r="T277" s="96"/>
      <c r="U277" s="96"/>
      <c r="V277" s="96">
        <f t="shared" si="66"/>
        <v>0</v>
      </c>
      <c r="W277" s="96">
        <f t="shared" si="67"/>
        <v>0</v>
      </c>
    </row>
    <row r="278" spans="1:23" x14ac:dyDescent="0.35">
      <c r="A278" s="420">
        <f>IFERROR(TIMEVALUE(VLOOKUP(C277,standards,11,FALSE)),"-")</f>
        <v>1.4467592592592594E-3</v>
      </c>
      <c r="B278" s="419">
        <v>9</v>
      </c>
      <c r="C278" s="79"/>
      <c r="D278" s="45" t="s">
        <v>177</v>
      </c>
      <c r="E278" s="45" t="s">
        <v>141</v>
      </c>
      <c r="F278" s="424" t="s">
        <v>174</v>
      </c>
      <c r="G278" s="47" t="s">
        <v>175</v>
      </c>
      <c r="H278" s="401" t="s">
        <v>176</v>
      </c>
      <c r="I278" s="148" t="s">
        <v>1003</v>
      </c>
      <c r="J278" s="47"/>
      <c r="K278" s="45" t="s">
        <v>177</v>
      </c>
      <c r="L278" s="45" t="s">
        <v>141</v>
      </c>
      <c r="M278" s="424" t="s">
        <v>174</v>
      </c>
      <c r="N278" s="47" t="s">
        <v>175</v>
      </c>
      <c r="O278" s="401" t="s">
        <v>176</v>
      </c>
      <c r="P278" s="148" t="s">
        <v>1003</v>
      </c>
      <c r="R278" s="66">
        <f>IFERROR(SEARCH("NS",D277),0)</f>
        <v>6</v>
      </c>
      <c r="T278" s="96"/>
      <c r="U278" s="96"/>
      <c r="V278" s="96"/>
      <c r="W278" s="96"/>
    </row>
    <row r="279" spans="1:23" x14ac:dyDescent="0.35">
      <c r="A279" s="420">
        <f>IFERROR(TIMEVALUE(VLOOKUP(C277,standards,10,FALSE)),"-")</f>
        <v>1.4699074074074074E-3</v>
      </c>
      <c r="B279" s="419">
        <v>8</v>
      </c>
      <c r="C279" s="138">
        <f>IFERROR(VLOOKUP(C277,Timetables!$A:$E,5,FALSE)-1,"")</f>
        <v>-1</v>
      </c>
      <c r="D279" s="104">
        <v>1</v>
      </c>
      <c r="E279" s="107">
        <v>3</v>
      </c>
      <c r="F279" s="423" t="str">
        <f>IFERROR(VLOOKUP($C277&amp;E279,downloads!$A$1:$E$1000,2,FALSE),"")</f>
        <v>Barnaby CROMBLEHOLME</v>
      </c>
      <c r="G279" s="64" t="str">
        <f t="shared" ref="G279:G286" si="68">IFERROR(VLOOKUP(E279,teamlookup,5,FALSE),"")</f>
        <v>Leigh</v>
      </c>
      <c r="H279" s="402">
        <v>2.4350000000000001</v>
      </c>
      <c r="I279" s="147" t="str">
        <f>IFERROR(IF(OR(V279="",V279=0,V279&gt;A286),"",VLOOKUP(V279,A278:B286,2,TRUE)),9)</f>
        <v/>
      </c>
      <c r="J279" s="67"/>
      <c r="K279" s="104">
        <v>1</v>
      </c>
      <c r="L279" s="248">
        <v>98</v>
      </c>
      <c r="M279" s="423" t="str">
        <f>IFERROR(VLOOKUP($C277&amp;L279,downloads!$A$1:$E$1000,2,FALSE),"")</f>
        <v/>
      </c>
      <c r="N279" s="64" t="str">
        <f t="shared" ref="N279:N286" si="69">IFERROR(VLOOKUP(L279,teamlookup,5,FALSE),"")</f>
        <v>No Competitors</v>
      </c>
      <c r="O279" s="403"/>
      <c r="P279" s="147" t="str">
        <f>IFERROR(IF(OR(W279="",W279=0,W279&gt;A286),"",VLOOKUP(W279,A278:B286,2,TRUE)),9)</f>
        <v/>
      </c>
      <c r="R279" s="66">
        <f ca="1">IFERROR(IF(OR(E279=0,E279="",H279=0,H279="",$R278&lt;&gt;0,LEFT(H279,1)="D"),0,VLOOKUP(D279,INDIRECT(MatchDay!$W$2),2,FALSE)),"")</f>
        <v>0</v>
      </c>
      <c r="S279" s="66">
        <f ca="1">IFERROR(IF(OR(L279=0,L279="",O279=0,O279="",$R278&lt;&gt;0,LEFT(O279,1)="D"),0,VLOOKUP(K279,INDIRECT(MatchDay!$W$2),3,FALSE)),"")</f>
        <v>0</v>
      </c>
      <c r="T279" s="96">
        <f>COUNTIF(E279,"&gt;0")</f>
        <v>1</v>
      </c>
      <c r="U279" s="96">
        <f>IFERROR(IF(E279&gt;88,1,0),0)</f>
        <v>0</v>
      </c>
      <c r="V279" s="96">
        <f t="shared" ref="V279:V286" si="70">IFERROR(IF(LEFT(H279,1)="D",H279,(INT(H279)*60+(H279-INT(H279))*100)/86400),"X")</f>
        <v>1.8923611111111112E-3</v>
      </c>
      <c r="W279" s="96">
        <f t="shared" ref="W279:W286" si="71">IFERROR(IF(LEFT(O279,1)="D",O279,(INT(O279)*60+(O279-INT(O279))*100)/86400),"X")</f>
        <v>0</v>
      </c>
    </row>
    <row r="280" spans="1:23" x14ac:dyDescent="0.35">
      <c r="A280" s="420">
        <f>IFERROR(TIMEVALUE(VLOOKUP(C277,standards,9,FALSE)),"-")</f>
        <v>1.4930555555555556E-3</v>
      </c>
      <c r="B280" s="419">
        <v>7</v>
      </c>
      <c r="C280" s="64">
        <v>0</v>
      </c>
      <c r="D280" s="104">
        <v>2</v>
      </c>
      <c r="E280" s="107">
        <v>1</v>
      </c>
      <c r="F280" s="423" t="str">
        <f>IFERROR(VLOOKUP($C277&amp;E280,downloads!$A$1:$E$1000,2,FALSE),"")</f>
        <v>Saif AL-BAYATTI</v>
      </c>
      <c r="G280" s="64" t="str">
        <f t="shared" si="68"/>
        <v>C&amp;N</v>
      </c>
      <c r="H280" s="402">
        <v>2.4569999999999999</v>
      </c>
      <c r="I280" s="147" t="str">
        <f>IFERROR(IF(OR(V280="",V280=0,V280&gt;A286),"",VLOOKUP(V280,A278:B286,2,TRUE)),9)</f>
        <v/>
      </c>
      <c r="J280" s="67"/>
      <c r="K280" s="104">
        <v>2</v>
      </c>
      <c r="L280" s="248"/>
      <c r="M280" s="423" t="str">
        <f>IFERROR(VLOOKUP($C277&amp;L280,downloads!$A$1:$E$1000,2,FALSE),"")</f>
        <v/>
      </c>
      <c r="N280" s="64" t="str">
        <f t="shared" si="69"/>
        <v/>
      </c>
      <c r="O280" s="403"/>
      <c r="P280" s="147" t="str">
        <f>IFERROR(IF(OR(W280="",W280=0,W280&gt;A286),"",VLOOKUP(W280,A278:B286,2,TRUE)),9)</f>
        <v/>
      </c>
      <c r="R280" s="66">
        <f ca="1">IFERROR(IF(OR(E280=0,E280="",H280=0,H280="",$R278&lt;&gt;0,LEFT(H280,1)="D"),0,VLOOKUP(D280,INDIRECT(MatchDay!$W$2),2,FALSE)),"")</f>
        <v>0</v>
      </c>
      <c r="S280" s="66">
        <f ca="1">IFERROR(IF(OR(L280=0,L280="",O280=0,O280="",$R278&lt;&gt;0,LEFT(O280,1)="D"),0,VLOOKUP(K280,INDIRECT(MatchDay!$W$2),3,FALSE)),"")</f>
        <v>0</v>
      </c>
      <c r="T280" s="96"/>
      <c r="U280" s="96"/>
      <c r="V280" s="96">
        <f t="shared" si="70"/>
        <v>1.917824074074074E-3</v>
      </c>
      <c r="W280" s="96">
        <f t="shared" si="71"/>
        <v>0</v>
      </c>
    </row>
    <row r="281" spans="1:23" x14ac:dyDescent="0.35">
      <c r="A281" s="420">
        <f>IFERROR(TIMEVALUE(VLOOKUP(C277,standards,8,FALSE)),"-")</f>
        <v>1.5277777777777779E-3</v>
      </c>
      <c r="B281" s="419">
        <v>6</v>
      </c>
      <c r="C281" s="105"/>
      <c r="D281" s="104">
        <v>3</v>
      </c>
      <c r="E281" s="107"/>
      <c r="F281" s="423" t="str">
        <f>IFERROR(VLOOKUP($C277&amp;E281,downloads!$A$1:$E$1000,2,FALSE),"")</f>
        <v/>
      </c>
      <c r="G281" s="64" t="str">
        <f t="shared" si="68"/>
        <v/>
      </c>
      <c r="H281" s="402"/>
      <c r="I281" s="147" t="str">
        <f>IFERROR(IF(OR(V281="",V281=0,V281&gt;A286),"",VLOOKUP(V281,A278:B286,2,TRUE)),9)</f>
        <v/>
      </c>
      <c r="J281" s="67"/>
      <c r="K281" s="104">
        <v>3</v>
      </c>
      <c r="L281" s="248"/>
      <c r="M281" s="423" t="str">
        <f>IFERROR(VLOOKUP($C277&amp;L281,downloads!$A$1:$E$1000,2,FALSE),"")</f>
        <v/>
      </c>
      <c r="N281" s="64" t="str">
        <f t="shared" si="69"/>
        <v/>
      </c>
      <c r="O281" s="403"/>
      <c r="P281" s="147" t="str">
        <f>IFERROR(IF(OR(W281="",W281=0,W281&gt;A286),"",VLOOKUP(W281,A278:B286,2,TRUE)),9)</f>
        <v/>
      </c>
      <c r="R281" s="66">
        <f ca="1">IFERROR(IF(OR(E281=0,E281="",H281=0,H281="",$R278&lt;&gt;0,LEFT(H281,1)="D"),0,VLOOKUP(D281,INDIRECT(MatchDay!$W$2),2,FALSE)),"")</f>
        <v>0</v>
      </c>
      <c r="S281" s="66">
        <f ca="1">IFERROR(IF(OR(L281=0,L281="",O281=0,O281="",$R278&lt;&gt;0,LEFT(O281,1)="D"),0,VLOOKUP(K281,INDIRECT(MatchDay!$W$2),3,FALSE)),"")</f>
        <v>0</v>
      </c>
      <c r="T281" s="96"/>
      <c r="U281" s="96"/>
      <c r="V281" s="96">
        <f t="shared" si="70"/>
        <v>0</v>
      </c>
      <c r="W281" s="96">
        <f t="shared" si="71"/>
        <v>0</v>
      </c>
    </row>
    <row r="282" spans="1:23" x14ac:dyDescent="0.35">
      <c r="A282" s="420">
        <f>IFERROR(TIMEVALUE(VLOOKUP(C277,standards,7,FALSE)),"-")</f>
        <v>1.5624999999999999E-3</v>
      </c>
      <c r="B282" s="419">
        <v>5</v>
      </c>
      <c r="C282" s="105"/>
      <c r="D282" s="104">
        <v>4</v>
      </c>
      <c r="E282" s="107"/>
      <c r="F282" s="423" t="str">
        <f>IFERROR(VLOOKUP($C277&amp;E282,downloads!$A$1:$E$1000,2,FALSE),"")</f>
        <v/>
      </c>
      <c r="G282" s="64" t="str">
        <f t="shared" si="68"/>
        <v/>
      </c>
      <c r="H282" s="399"/>
      <c r="I282" s="147" t="str">
        <f>IFERROR(IF(OR(V282="",V282=0,V282&gt;A286),"",VLOOKUP(V282,A278:B286,2,TRUE)),9)</f>
        <v/>
      </c>
      <c r="J282" s="67"/>
      <c r="K282" s="104">
        <v>4</v>
      </c>
      <c r="L282" s="248"/>
      <c r="M282" s="423" t="str">
        <f>IFERROR(VLOOKUP($C277&amp;L282,downloads!$A$1:$E$1000,2,FALSE),"")</f>
        <v/>
      </c>
      <c r="N282" s="64" t="str">
        <f t="shared" si="69"/>
        <v/>
      </c>
      <c r="O282" s="403"/>
      <c r="P282" s="147" t="str">
        <f>IFERROR(IF(OR(W282="",W282=0,W282&gt;A286),"",VLOOKUP(W282,A278:B286,2,TRUE)),9)</f>
        <v/>
      </c>
      <c r="R282" s="66">
        <f ca="1">IFERROR(IF(OR(E282=0,E282="",H282=0,H282="",$R278&lt;&gt;0,LEFT(H282,1)="D"),0,VLOOKUP(D282,INDIRECT(MatchDay!$W$2),2,FALSE)),"")</f>
        <v>0</v>
      </c>
      <c r="S282" s="66">
        <f ca="1">IFERROR(IF(OR(L282=0,L282="",O282=0,O282="",$R278&lt;&gt;0,LEFT(O282,1)="D"),0,VLOOKUP(K282,INDIRECT(MatchDay!$W$2),3,FALSE)),"")</f>
        <v>0</v>
      </c>
      <c r="T282" s="96"/>
      <c r="U282" s="96"/>
      <c r="V282" s="96">
        <f t="shared" si="70"/>
        <v>0</v>
      </c>
      <c r="W282" s="96">
        <f t="shared" si="71"/>
        <v>0</v>
      </c>
    </row>
    <row r="283" spans="1:23" x14ac:dyDescent="0.35">
      <c r="A283" s="420">
        <f>IFERROR(TIMEVALUE(VLOOKUP(C277,standards,6,FALSE)),"-")</f>
        <v>1.5972222222222221E-3</v>
      </c>
      <c r="B283" s="419">
        <v>4</v>
      </c>
      <c r="C283" s="105"/>
      <c r="D283" s="104">
        <v>5</v>
      </c>
      <c r="E283" s="107"/>
      <c r="F283" s="423" t="str">
        <f>IFERROR(VLOOKUP($C277&amp;E283,downloads!$A$1:$E$1000,2,FALSE),"")</f>
        <v/>
      </c>
      <c r="G283" s="64" t="str">
        <f t="shared" si="68"/>
        <v/>
      </c>
      <c r="H283" s="399"/>
      <c r="I283" s="147" t="str">
        <f>IFERROR(IF(OR(V283="",V283=0,V283&gt;A286),"",VLOOKUP(V283,A278:B286,2,TRUE)),9)</f>
        <v/>
      </c>
      <c r="J283" s="67"/>
      <c r="K283" s="104">
        <v>5</v>
      </c>
      <c r="L283" s="248"/>
      <c r="M283" s="423" t="str">
        <f>IFERROR(VLOOKUP($C277&amp;L283,downloads!$A$1:$E$1000,2,FALSE),"")</f>
        <v/>
      </c>
      <c r="N283" s="64" t="str">
        <f t="shared" si="69"/>
        <v/>
      </c>
      <c r="O283" s="403"/>
      <c r="P283" s="147" t="str">
        <f>IFERROR(IF(OR(W283="",W283=0,W283&gt;A286),"",VLOOKUP(W283,A278:B286,2,TRUE)),9)</f>
        <v/>
      </c>
      <c r="R283" s="66">
        <f ca="1">IFERROR(IF(OR(E283=0,E283="",H283=0,H283="",$R278&lt;&gt;0,LEFT(H283,1)="D"),0,VLOOKUP(D283,INDIRECT(MatchDay!$W$2),2,FALSE)),"")</f>
        <v>0</v>
      </c>
      <c r="S283" s="66">
        <f ca="1">IFERROR(IF(OR(L283=0,L283="",O283=0,O283="",$R278&lt;&gt;0,LEFT(O283,1)="D"),0,VLOOKUP(K283,INDIRECT(MatchDay!$W$2),3,FALSE)),"")</f>
        <v>0</v>
      </c>
      <c r="T283" s="96"/>
      <c r="U283" s="96"/>
      <c r="V283" s="96">
        <f t="shared" si="70"/>
        <v>0</v>
      </c>
      <c r="W283" s="96">
        <f t="shared" si="71"/>
        <v>0</v>
      </c>
    </row>
    <row r="284" spans="1:23" x14ac:dyDescent="0.35">
      <c r="A284" s="420">
        <f>IFERROR(TIMEVALUE(VLOOKUP(C277,standards,5,FALSE)),"-")</f>
        <v>1.6319444444444445E-3</v>
      </c>
      <c r="B284" s="419">
        <v>3</v>
      </c>
      <c r="C284" s="105"/>
      <c r="D284" s="104">
        <v>6</v>
      </c>
      <c r="E284" s="107"/>
      <c r="F284" s="423" t="str">
        <f>IFERROR(VLOOKUP($C277&amp;E284,downloads!$A$1:$E$1000,2,FALSE),"")</f>
        <v/>
      </c>
      <c r="G284" s="64" t="str">
        <f t="shared" si="68"/>
        <v/>
      </c>
      <c r="H284" s="399"/>
      <c r="I284" s="147" t="str">
        <f>IFERROR(IF(OR(V284="",V284=0,V284&gt;A286),"",VLOOKUP(V284,A278:B286,2,TRUE)),9)</f>
        <v/>
      </c>
      <c r="J284" s="67"/>
      <c r="K284" s="104">
        <v>6</v>
      </c>
      <c r="L284" s="248"/>
      <c r="M284" s="423" t="str">
        <f>IFERROR(VLOOKUP($C277&amp;L284,downloads!$A$1:$E$1000,2,FALSE),"")</f>
        <v/>
      </c>
      <c r="N284" s="64" t="str">
        <f t="shared" si="69"/>
        <v/>
      </c>
      <c r="O284" s="403"/>
      <c r="P284" s="147" t="str">
        <f>IFERROR(IF(OR(W284="",W284=0,W284&gt;A286),"",VLOOKUP(W284,A278:B286,2,TRUE)),9)</f>
        <v/>
      </c>
      <c r="R284" s="66">
        <f ca="1">IFERROR(IF(OR(E284=0,E284="",H284=0,H284="",$R278&lt;&gt;0,LEFT(H284,1)="D"),0,VLOOKUP(D284,INDIRECT(MatchDay!$W$2),2,FALSE)),"")</f>
        <v>0</v>
      </c>
      <c r="S284" s="66">
        <f ca="1">IFERROR(IF(OR(L284=0,L284="",O284=0,O284="",$R278&lt;&gt;0,LEFT(O284,1)="D"),0,VLOOKUP(K284,INDIRECT(MatchDay!$W$2),3,FALSE)),"")</f>
        <v>0</v>
      </c>
      <c r="T284" s="96"/>
      <c r="U284" s="96"/>
      <c r="V284" s="96">
        <f t="shared" si="70"/>
        <v>0</v>
      </c>
      <c r="W284" s="96">
        <f t="shared" si="71"/>
        <v>0</v>
      </c>
    </row>
    <row r="285" spans="1:23" x14ac:dyDescent="0.35">
      <c r="A285" s="420">
        <f>IFERROR(TIMEVALUE(VLOOKUP(C277,standards,4,FALSE)),"-")</f>
        <v>1.6782407407407406E-3</v>
      </c>
      <c r="B285" s="419">
        <v>2</v>
      </c>
      <c r="C285" s="120">
        <f>IFERROR(SEARCH("U17",D277),0)</f>
        <v>0</v>
      </c>
      <c r="D285" s="104">
        <v>7</v>
      </c>
      <c r="E285" s="107"/>
      <c r="F285" s="423" t="str">
        <f>IFERROR(VLOOKUP($C277&amp;E285,downloads!$A$1:$E$1000,2,FALSE),"")</f>
        <v/>
      </c>
      <c r="G285" s="64" t="str">
        <f t="shared" si="68"/>
        <v/>
      </c>
      <c r="H285" s="399"/>
      <c r="I285" s="147" t="str">
        <f>IFERROR(IF(OR(V285="",V285=0,V285&gt;A286),"",VLOOKUP(V285,A278:B286,2,TRUE)),9)</f>
        <v/>
      </c>
      <c r="J285" s="67"/>
      <c r="K285" s="104">
        <v>7</v>
      </c>
      <c r="L285" s="248"/>
      <c r="M285" s="423" t="str">
        <f>IFERROR(VLOOKUP($C277&amp;L285,downloads!$A$1:$E$1000,2,FALSE),"")</f>
        <v/>
      </c>
      <c r="N285" s="64" t="str">
        <f t="shared" si="69"/>
        <v/>
      </c>
      <c r="O285" s="403"/>
      <c r="P285" s="147" t="str">
        <f>IFERROR(IF(OR(W285="",W285=0,W285&gt;A286),"",VLOOKUP(W285,A278:B286,2,TRUE)),9)</f>
        <v/>
      </c>
      <c r="R285" s="66">
        <f ca="1">IFERROR(IF(OR(E285=0,E285="",H285=0,H285="",$R278&lt;&gt;0,LEFT(H285,1)="D"),0,VLOOKUP(D285,INDIRECT(MatchDay!$W$2),2,FALSE)),"")</f>
        <v>0</v>
      </c>
      <c r="S285" s="66">
        <f ca="1">IFERROR(IF(OR(L285=0,L285="",O285=0,O285="",$R278&lt;&gt;0,LEFT(O285,1)="D"),0,VLOOKUP(K285,INDIRECT(MatchDay!$W$2),3,FALSE)),"")</f>
        <v>0</v>
      </c>
      <c r="T285" s="96"/>
      <c r="U285" s="96"/>
      <c r="V285" s="96">
        <f t="shared" si="70"/>
        <v>0</v>
      </c>
      <c r="W285" s="96">
        <f t="shared" si="71"/>
        <v>0</v>
      </c>
    </row>
    <row r="286" spans="1:23" x14ac:dyDescent="0.35">
      <c r="A286" s="420">
        <f>IFERROR(TIMEVALUE(VLOOKUP(C277,standards,3,FALSE)),"-")</f>
        <v>1.736111111111111E-3</v>
      </c>
      <c r="B286" s="419">
        <v>1</v>
      </c>
      <c r="C286" s="103">
        <f>IFERROR(VLOOKUP(C277,records,5,FALSE),"")</f>
        <v>1.3854166666666667E-3</v>
      </c>
      <c r="D286" s="104">
        <v>8</v>
      </c>
      <c r="E286" s="107"/>
      <c r="F286" s="423" t="str">
        <f>IFERROR(VLOOKUP($C277&amp;E286,downloads!$A$1:$E$1000,2,FALSE),"")</f>
        <v/>
      </c>
      <c r="G286" s="64" t="str">
        <f t="shared" si="68"/>
        <v/>
      </c>
      <c r="H286" s="399"/>
      <c r="I286" s="147" t="str">
        <f>IFERROR(IF(OR(V286="",V286=0,V286&gt;A286),"",VLOOKUP(V286,A278:B286,2,TRUE)),9)</f>
        <v/>
      </c>
      <c r="J286" s="67"/>
      <c r="K286" s="104">
        <v>8</v>
      </c>
      <c r="L286" s="248"/>
      <c r="M286" s="423" t="str">
        <f>IFERROR(VLOOKUP($C277&amp;L286,downloads!$A$1:$E$1000,2,FALSE),"")</f>
        <v/>
      </c>
      <c r="N286" s="64" t="str">
        <f t="shared" si="69"/>
        <v/>
      </c>
      <c r="O286" s="403"/>
      <c r="P286" s="147" t="str">
        <f>IFERROR(IF(OR(W286="",W286=0,W286&gt;A286),"",VLOOKUP(W286,A278:B286,2,TRUE)),9)</f>
        <v/>
      </c>
      <c r="R286" s="66">
        <f ca="1">IFERROR(IF(OR(E286=0,E286="",H286=0,H286="",$R278&lt;&gt;0,LEFT(H286,1)="D"),0,VLOOKUP(D286,INDIRECT(MatchDay!$W$2),2,FALSE)),"")</f>
        <v>0</v>
      </c>
      <c r="S286" s="66">
        <f ca="1">IFERROR(IF(OR(L286=0,L286="",O286=0,O286="",$R278&lt;&gt;0,LEFT(O286,1)="D"),0,VLOOKUP(K286,INDIRECT(MatchDay!$W$2),3,FALSE)),"")</f>
        <v>0</v>
      </c>
      <c r="T286" s="96"/>
      <c r="U286" s="96"/>
      <c r="V286" s="96">
        <f t="shared" si="70"/>
        <v>0</v>
      </c>
      <c r="W286" s="96">
        <f t="shared" si="71"/>
        <v>0</v>
      </c>
    </row>
  </sheetData>
  <sheetProtection algorithmName="SHA-512" hashValue="tleax6TdeMD9hWzOwLmkxoV/1WpGA3azWXAErqVdx9FCrazQMMY6HvgG3iqFQ4pzpXD5cksf/a9mdrYgJDQOkw==" saltValue="MlxFQUVScINww31RDo6dtA==" spinCount="100000" sheet="1" formatCells="0" formatColumns="0" formatRows="0" sort="0" autoFilter="0"/>
  <autoFilter ref="D1:D286" xr:uid="{00000000-0009-0000-0000-000008000000}"/>
  <mergeCells count="1">
    <mergeCell ref="N1:P1"/>
  </mergeCells>
  <conditionalFormatting sqref="O1:O223 O227:O242">
    <cfRule type="expression" dxfId="73" priority="27">
      <formula>AND($W1&gt;0,$W1&lt;TIME(0,1,0))</formula>
    </cfRule>
    <cfRule type="expression" dxfId="72" priority="139">
      <formula>$W1="X"</formula>
    </cfRule>
  </conditionalFormatting>
  <conditionalFormatting sqref="H1:H242">
    <cfRule type="expression" dxfId="71" priority="28">
      <formula>AND($V1&gt;0,$V1&lt;TIME(0,1,0))</formula>
    </cfRule>
    <cfRule type="expression" dxfId="70" priority="55">
      <formula>$V1="X"</formula>
    </cfRule>
  </conditionalFormatting>
  <conditionalFormatting sqref="E4:E11 L4:L11">
    <cfRule type="duplicateValues" dxfId="69" priority="26"/>
  </conditionalFormatting>
  <conditionalFormatting sqref="L15:L22">
    <cfRule type="duplicateValues" dxfId="68" priority="25"/>
  </conditionalFormatting>
  <conditionalFormatting sqref="L26:L33">
    <cfRule type="duplicateValues" dxfId="67" priority="24"/>
  </conditionalFormatting>
  <conditionalFormatting sqref="L38:L44">
    <cfRule type="duplicateValues" dxfId="66" priority="23"/>
  </conditionalFormatting>
  <conditionalFormatting sqref="E48:E55 L48:L55">
    <cfRule type="duplicateValues" dxfId="65" priority="22"/>
  </conditionalFormatting>
  <conditionalFormatting sqref="E59:E66 L59:L66">
    <cfRule type="duplicateValues" dxfId="64" priority="21"/>
  </conditionalFormatting>
  <conditionalFormatting sqref="E70:E77 L70:L77">
    <cfRule type="duplicateValues" dxfId="63" priority="20"/>
  </conditionalFormatting>
  <conditionalFormatting sqref="E81:E88 L81:L88">
    <cfRule type="duplicateValues" dxfId="62" priority="19"/>
  </conditionalFormatting>
  <conditionalFormatting sqref="E92:E99 L92:L99">
    <cfRule type="duplicateValues" dxfId="61" priority="18"/>
  </conditionalFormatting>
  <conditionalFormatting sqref="E103:E110 L103:L110">
    <cfRule type="duplicateValues" dxfId="60" priority="17"/>
  </conditionalFormatting>
  <conditionalFormatting sqref="E114:E121 L114:L121">
    <cfRule type="duplicateValues" dxfId="59" priority="16"/>
  </conditionalFormatting>
  <conditionalFormatting sqref="E126:E132 L125:L132">
    <cfRule type="duplicateValues" dxfId="58" priority="15"/>
  </conditionalFormatting>
  <conditionalFormatting sqref="E180:E187 L180:L187">
    <cfRule type="duplicateValues" dxfId="57" priority="14"/>
  </conditionalFormatting>
  <conditionalFormatting sqref="E191:E198 L191:L198">
    <cfRule type="duplicateValues" dxfId="56" priority="13"/>
  </conditionalFormatting>
  <conditionalFormatting sqref="E202:E209 L202:L209">
    <cfRule type="duplicateValues" dxfId="55" priority="12"/>
  </conditionalFormatting>
  <conditionalFormatting sqref="E213:E220 L213:L220">
    <cfRule type="duplicateValues" dxfId="54" priority="11"/>
  </conditionalFormatting>
  <conditionalFormatting sqref="E224:E231 L224:L231">
    <cfRule type="duplicateValues" dxfId="53" priority="10"/>
  </conditionalFormatting>
  <conditionalFormatting sqref="E235:E242 L235:L242">
    <cfRule type="duplicateValues" dxfId="52" priority="9"/>
  </conditionalFormatting>
  <conditionalFormatting sqref="E15:E22">
    <cfRule type="duplicateValues" dxfId="51" priority="8"/>
  </conditionalFormatting>
  <conditionalFormatting sqref="E26:E33">
    <cfRule type="duplicateValues" dxfId="50" priority="7"/>
  </conditionalFormatting>
  <conditionalFormatting sqref="E37:E44">
    <cfRule type="duplicateValues" dxfId="49" priority="6"/>
  </conditionalFormatting>
  <conditionalFormatting sqref="E125">
    <cfRule type="expression" dxfId="48" priority="5">
      <formula>AND($Q125&gt;=2,$Q125&lt;4,$D125&lt;&gt;"",$D125&lt;&gt;"No.")</formula>
    </cfRule>
  </conditionalFormatting>
  <conditionalFormatting sqref="O224:O225">
    <cfRule type="expression" dxfId="47" priority="3">
      <formula>AND($V224&gt;0,$V224&lt;TIME(0,1,0))</formula>
    </cfRule>
    <cfRule type="expression" dxfId="46" priority="4">
      <formula>$V224="X"</formula>
    </cfRule>
  </conditionalFormatting>
  <conditionalFormatting sqref="O226">
    <cfRule type="expression" dxfId="45" priority="1">
      <formula>AND($V226&gt;0,$V226&lt;TIME(0,1,0))</formula>
    </cfRule>
    <cfRule type="expression" dxfId="44" priority="2">
      <formula>$V226="X"</formula>
    </cfRule>
  </conditionalFormatting>
  <dataValidations xWindow="597" yWindow="606" count="4">
    <dataValidation type="custom" allowBlank="1" showInputMessage="1" showErrorMessage="1" errorTitle="Check Performance" error="Better than the one before" sqref="O148:O154 O5:O11 O104:O110 O16:O22 O192:O198 O27:O33 O115:O121 O38:O44 O159:O165 O49:O55 O126:O132 O60:O66 O181:O187 O71:O77 O137:O143 O82:O88 O93:O99 H5:H11 H16:H22 H27:H33 H38:H44 H49:H55 H60:H66 H71:H77 H82:H88 H93:H99 H104:H110 H115:H121 H126:H132 H137:H143 H148:H154 H159:H165 H170:H176 H181:H187 H192:H198 O170:O176" xr:uid="{00000000-0002-0000-0800-000000000000}">
      <formula1>H5&gt;=H4</formula1>
    </dataValidation>
    <dataValidation type="list" allowBlank="1" showInputMessage="1" showErrorMessage="1" sqref="E4:E11 E15:E22 E26:E33 E37:E44 E48:E55 E59:E66 E70:E77 E81:E88 E92:E99 E103:E110 E114:E121 E125:E132 E136:E143 E147:E154 E158:E165 E169:E176 E180:E187 E191:E198 E202:E209 E213:E220 E224:E231 E235:E242 E246:E253 E257:E264 E268:E275 E279:E286 L4:L11 L15:L22 L26:L33 L37:L44 L48:L55 L59:L66 L70:L77 L81:L88 L92:L99 L103:L110 L114:L121 L125:L132 L136:L143 L147:L154 L158:L165 L169:L176 L180:L187 L191:L198 L202:L209 L213:L220 L224:L231 L235:L242 L246:L253 L257:L264 L268:L275 L279:L286" xr:uid="{00000000-0002-0000-0800-000001000000}">
      <formula1>numbers_</formula1>
    </dataValidation>
    <dataValidation type="custom" allowBlank="1" showErrorMessage="1" errorTitle="Check Performance" error="Better than the one before" promptTitle="Format for 800m" prompt="Simply use format m.ssss e.g. 1.5584 or 2.1345_x000a_no colon and NO decimal point between the seconds" sqref="O280:O286 O203:O209 O214:O220 O247:O253 O269:O275 O225:O231 O258:O264 O236:O242 H203:H209 H214:H220 H225:H231 H236:H242 H247:H253 H258:H264 H269:H275 H280:H286" xr:uid="{00000000-0002-0000-0800-000002000000}">
      <formula1>H203&gt;=H202</formula1>
    </dataValidation>
    <dataValidation allowBlank="1" showInputMessage="1" showErrorMessage="1" promptTitle="Format for 800m" prompt="Simply use format m.ssss e.g. 1.5584 or 2.1345_x000a_no colon and NO decimal point between the seconds" sqref="O279 O202 O213 O246 O268 O224 O257 O235 H202 H213 H224 H235 H246 H257 H268 H279" xr:uid="{00000000-0002-0000-0800-000003000000}"/>
  </dataValidations>
  <printOptions horizontalCentered="1"/>
  <pageMargins left="0.31496062992125984" right="0.31496062992125984" top="0.98425196850393704" bottom="0.74803149606299213" header="0.31496062992125984" footer="0.31496062992125984"/>
  <pageSetup paperSize="9" orientation="portrait" r:id="rId1"/>
  <headerFooter>
    <oddHeader>&amp;L&amp;G&amp;CUK ATHLETICS :: YOUTH DEVELOPMENT LEAGUE 2023&amp;R&amp;"+,Regular"&amp;U&amp;A</oddHeader>
    <oddFooter>&amp;L&amp;9&amp;D &amp;T&amp;C&amp;G&amp;R&amp;9Page &amp;P of &amp;N</oddFooter>
  </headerFooter>
  <rowBreaks count="6" manualBreakCount="6">
    <brk id="45" min="3" max="15" man="1"/>
    <brk id="89" min="3" max="15" man="1"/>
    <brk id="133" min="3" max="15" man="1"/>
    <brk id="177" min="3" max="15" man="1"/>
    <brk id="221" min="3" max="15" man="1"/>
    <brk id="265" min="3" max="15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128</vt:i4>
      </vt:variant>
    </vt:vector>
  </HeadingPairs>
  <TitlesOfParts>
    <vt:vector size="152" baseType="lpstr">
      <vt:lpstr>downloads</vt:lpstr>
      <vt:lpstr>Dashboard</vt:lpstr>
      <vt:lpstr>MatchDay</vt:lpstr>
      <vt:lpstr>U15B</vt:lpstr>
      <vt:lpstr>U15G</vt:lpstr>
      <vt:lpstr>U13B</vt:lpstr>
      <vt:lpstr>U13G</vt:lpstr>
      <vt:lpstr>StartLists</vt:lpstr>
      <vt:lpstr>Track1</vt:lpstr>
      <vt:lpstr>Middle D</vt:lpstr>
      <vt:lpstr>Relays</vt:lpstr>
      <vt:lpstr>Distance Input</vt:lpstr>
      <vt:lpstr>Height Input</vt:lpstr>
      <vt:lpstr>Track2</vt:lpstr>
      <vt:lpstr>Field</vt:lpstr>
      <vt:lpstr>Points</vt:lpstr>
      <vt:lpstr>Distance</vt:lpstr>
      <vt:lpstr>Height</vt:lpstr>
      <vt:lpstr>Timetables</vt:lpstr>
      <vt:lpstr>EA</vt:lpstr>
      <vt:lpstr>Teams</vt:lpstr>
      <vt:lpstr>Dates &amp; Venues</vt:lpstr>
      <vt:lpstr>Judging Duties</vt:lpstr>
      <vt:lpstr>fileinfo</vt:lpstr>
      <vt:lpstr>_LFW01</vt:lpstr>
      <vt:lpstr>_LFW02</vt:lpstr>
      <vt:lpstr>_LFW03</vt:lpstr>
      <vt:lpstr>_LFW04</vt:lpstr>
      <vt:lpstr>competitors</vt:lpstr>
      <vt:lpstr>downloads!download_lower_decs.asp?fixtureID_201_matchno_1</vt:lpstr>
      <vt:lpstr>downloads!download_lower_decs.asp?fixtureID_207_matchno_1</vt:lpstr>
      <vt:lpstr>downloads!download_lower_decs.asp?fixtureID_207_matchno_1_1</vt:lpstr>
      <vt:lpstr>downloads!download_lower_decs.asp?fixtureID_207_matchno_1_2</vt:lpstr>
      <vt:lpstr>downloads!download_lower_decs.asp?fixtureID_207_matchno_1_3</vt:lpstr>
      <vt:lpstr>downloads!download_lower_decs.asp?fixtureID_207_matchno_1_4</vt:lpstr>
      <vt:lpstr>downloads!download_lower_decs.asp?fixtureID_207_matchno_1_5</vt:lpstr>
      <vt:lpstr>downloads!download_lower_decs.asp?fixtureID_211_matchno_1</vt:lpstr>
      <vt:lpstr>downloads!download_lower_decs.asp?fixtureID_211_matchno_3</vt:lpstr>
      <vt:lpstr>downloads!download_lower_decs.asp?fixtureID_211_matchno_3_1</vt:lpstr>
      <vt:lpstr>downloads!download_lower_decs.asp?fixtureID_211_matchno_3_10</vt:lpstr>
      <vt:lpstr>downloads!download_lower_decs.asp?fixtureID_211_matchno_3_11</vt:lpstr>
      <vt:lpstr>downloads!download_lower_decs.asp?fixtureID_211_matchno_3_12</vt:lpstr>
      <vt:lpstr>downloads!download_lower_decs.asp?fixtureID_211_matchno_3_13</vt:lpstr>
      <vt:lpstr>downloads!download_lower_decs.asp?fixtureID_211_matchno_3_14</vt:lpstr>
      <vt:lpstr>downloads!download_lower_decs.asp?fixtureID_211_matchno_3_15</vt:lpstr>
      <vt:lpstr>downloads!download_lower_decs.asp?fixtureID_211_matchno_3_2</vt:lpstr>
      <vt:lpstr>downloads!download_lower_decs.asp?fixtureID_211_matchno_3_3</vt:lpstr>
      <vt:lpstr>downloads!download_lower_decs.asp?fixtureID_211_matchno_3_4</vt:lpstr>
      <vt:lpstr>downloads!download_lower_decs.asp?fixtureID_211_matchno_3_5</vt:lpstr>
      <vt:lpstr>downloads!download_lower_decs.asp?fixtureID_211_matchno_3_6</vt:lpstr>
      <vt:lpstr>downloads!download_lower_decs.asp?fixtureID_211_matchno_3_7</vt:lpstr>
      <vt:lpstr>downloads!download_lower_decs.asp?fixtureID_211_matchno_3_8</vt:lpstr>
      <vt:lpstr>downloads!download_lower_decs.asp?fixtureID_211_matchno_3_9</vt:lpstr>
      <vt:lpstr>downloads!download_lower_decs.asp?fixtureID_212_matchno_1</vt:lpstr>
      <vt:lpstr>downloads!download_lower_decs.asp?fixtureID_212_matchno_1_1</vt:lpstr>
      <vt:lpstr>downloads!download_lower_decs.asp?fixtureID_218_matchno_1</vt:lpstr>
      <vt:lpstr>downloads!download_lower_decs.asp?fixtureID_221_matchno_1</vt:lpstr>
      <vt:lpstr>downloads!download_lower_decs.asp?fixtureID_221_matchno_1_1</vt:lpstr>
      <vt:lpstr>downloads!download_lower_decs.asp?fixtureID_221_matchno_2</vt:lpstr>
      <vt:lpstr>downloads!download_lower_decs.asp?fixtureID_223_matchno_1</vt:lpstr>
      <vt:lpstr>downloads!download_lower_decs.asp?fixtureID_223_matchno_1_1</vt:lpstr>
      <vt:lpstr>downloads!download_lower_decs.asp?fixtureID_223_matchno_2</vt:lpstr>
      <vt:lpstr>downloads!download_lower_decs.asp?fixtureID_223_matchno_2_1</vt:lpstr>
      <vt:lpstr>downloads!download_lower_decs.asp?fixtureID_223_matchno_2_2</vt:lpstr>
      <vt:lpstr>downloads!download_lower_decs.asp?fixtureID_223_matchno_2_3</vt:lpstr>
      <vt:lpstr>downloads!download_lower_decs.asp?fixtureID_223_matchno_2_4</vt:lpstr>
      <vt:lpstr>downloads!download_lower_decs.asp?fixtureID_223_matchno_2_5</vt:lpstr>
      <vt:lpstr>downloads!download_lower_decs.asp?fixtureID_223_matchno_2_6</vt:lpstr>
      <vt:lpstr>downloads!download_lower_decs.asp?fixtureID_223_matchno_2_7</vt:lpstr>
      <vt:lpstr>downloads!download_lower_decs.asp?fixtureID_223_matchno_2_8</vt:lpstr>
      <vt:lpstr>downloads!download_lower_decs.asp?fixtureID_223_matchno_3</vt:lpstr>
      <vt:lpstr>downloads!download_lower_decs.asp?fixtureID_223_matchno_3_1</vt:lpstr>
      <vt:lpstr>downloads!download_lower_decs.asp?fixtureID_223_matchno_3_2</vt:lpstr>
      <vt:lpstr>downloads!download_lower_decs.asp?fixtureID_223_matchno_3_3</vt:lpstr>
      <vt:lpstr>downloads!download_lower_decs.asp?fixtureID_231_matchno_1</vt:lpstr>
      <vt:lpstr>downloads!download_lower_decs.asp?fixtureID_231_matchno_1_1</vt:lpstr>
      <vt:lpstr>downloads!download_lower_decs.asp?fixtureID_231_matchno_1_2</vt:lpstr>
      <vt:lpstr>downloads!download_lower_decs.asp?fixtureID_231_matchno_1_3</vt:lpstr>
      <vt:lpstr>downloads!download_lower_decs.asp?fixtureID_235_matchno_1</vt:lpstr>
      <vt:lpstr>downloads!download_lower_decs.asp?fixtureID_241_matchno_4</vt:lpstr>
      <vt:lpstr>downloads!download_lower_decs.asp?fixtureID_242_matchno_4</vt:lpstr>
      <vt:lpstr>downloads!download_lower_decs.asp?fixtureID_244_matchno_4</vt:lpstr>
      <vt:lpstr>fdistance</vt:lpstr>
      <vt:lpstr>fheight</vt:lpstr>
      <vt:lpstr>judges</vt:lpstr>
      <vt:lpstr>judges2</vt:lpstr>
      <vt:lpstr>judgesp</vt:lpstr>
      <vt:lpstr>downloads!LAG_records</vt:lpstr>
      <vt:lpstr>downloads!LAG_records.asp</vt:lpstr>
      <vt:lpstr>downloads!LAG_records_1</vt:lpstr>
      <vt:lpstr>downloads!LAG_records_10</vt:lpstr>
      <vt:lpstr>downloads!LAG_records_2</vt:lpstr>
      <vt:lpstr>downloads!LAG_records_3</vt:lpstr>
      <vt:lpstr>downloads!LAG_records_4</vt:lpstr>
      <vt:lpstr>downloads!LAG_records_5</vt:lpstr>
      <vt:lpstr>downloads!LAG_records_6</vt:lpstr>
      <vt:lpstr>downloads!LAG_records_7</vt:lpstr>
      <vt:lpstr>downloads!LAG_records_8</vt:lpstr>
      <vt:lpstr>downloads!LAG_records_9</vt:lpstr>
      <vt:lpstr>LAGMI</vt:lpstr>
      <vt:lpstr>LAGNO</vt:lpstr>
      <vt:lpstr>LAGSC</vt:lpstr>
      <vt:lpstr>LAGSO</vt:lpstr>
      <vt:lpstr>LAGYD</vt:lpstr>
      <vt:lpstr>lanes6</vt:lpstr>
      <vt:lpstr>Lanes7</vt:lpstr>
      <vt:lpstr>numbers_</vt:lpstr>
      <vt:lpstr>numbers_A</vt:lpstr>
      <vt:lpstr>points3</vt:lpstr>
      <vt:lpstr>points4</vt:lpstr>
      <vt:lpstr>points5</vt:lpstr>
      <vt:lpstr>points6</vt:lpstr>
      <vt:lpstr>points7</vt:lpstr>
      <vt:lpstr>points8</vt:lpstr>
      <vt:lpstr>Distance!Print_Area</vt:lpstr>
      <vt:lpstr>'Distance Input'!Print_Area</vt:lpstr>
      <vt:lpstr>EA!Print_Area</vt:lpstr>
      <vt:lpstr>Field!Print_Area</vt:lpstr>
      <vt:lpstr>Height!Print_Area</vt:lpstr>
      <vt:lpstr>MatchDay!Print_Area</vt:lpstr>
      <vt:lpstr>Relays!Print_Area</vt:lpstr>
      <vt:lpstr>StartLists!Print_Area</vt:lpstr>
      <vt:lpstr>Timetables!Print_Area</vt:lpstr>
      <vt:lpstr>Track1!Print_Area</vt:lpstr>
      <vt:lpstr>Track2!Print_Area</vt:lpstr>
      <vt:lpstr>U13B!Print_Area</vt:lpstr>
      <vt:lpstr>U13G!Print_Area</vt:lpstr>
      <vt:lpstr>U15B!Print_Area</vt:lpstr>
      <vt:lpstr>U15G!Print_Area</vt:lpstr>
      <vt:lpstr>Field!Print_Titles</vt:lpstr>
      <vt:lpstr>Relays!Print_Titles</vt:lpstr>
      <vt:lpstr>StartLists!Print_Titles</vt:lpstr>
      <vt:lpstr>Track1!Print_Titles</vt:lpstr>
      <vt:lpstr>Track2!Print_Titles</vt:lpstr>
      <vt:lpstr>U13B!Print_Titles</vt:lpstr>
      <vt:lpstr>U13G!Print_Titles</vt:lpstr>
      <vt:lpstr>U15B!Print_Titles</vt:lpstr>
      <vt:lpstr>U15G!Print_Titles</vt:lpstr>
      <vt:lpstr>records</vt:lpstr>
      <vt:lpstr>standards</vt:lpstr>
      <vt:lpstr>teamlookup</vt:lpstr>
      <vt:lpstr>timetables</vt:lpstr>
      <vt:lpstr>downloads!ydl_standings.asp?fixtureID_207</vt:lpstr>
      <vt:lpstr>downloads!ydl_standings.asp?fixtureID_211</vt:lpstr>
      <vt:lpstr>downloads!ydl_standings.asp?fixtureID_211_1</vt:lpstr>
      <vt:lpstr>downloads!ydl_standings.asp?fixtureID_211_2</vt:lpstr>
      <vt:lpstr>downloads!ydl_standings.asp?fixtureID_223_1</vt:lpstr>
      <vt:lpstr>downloads!ydl_standings.asp?fixtureID_223_2</vt:lpstr>
      <vt:lpstr>downloads!ydl_standings.asp?fixtureID_223_3</vt:lpstr>
      <vt:lpstr>downloads!ydl_standings.asp?fixtureID_235</vt:lpstr>
      <vt:lpstr>downloads!ydl_standings.asp?fixtureID_235_1</vt:lpstr>
      <vt:lpstr>downloads!ydl_standings.asp?fixtureID_241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YDL 2019</dc:title>
  <dc:creator>SAF</dc:creator>
  <cp:lastModifiedBy>Neil Gunn</cp:lastModifiedBy>
  <cp:lastPrinted>2023-05-07T13:30:51Z</cp:lastPrinted>
  <dcterms:created xsi:type="dcterms:W3CDTF">2017-01-16T14:31:11Z</dcterms:created>
  <dcterms:modified xsi:type="dcterms:W3CDTF">2023-05-19T06:35:11Z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c74c335c-f559-400b-8b44-567533977017</vt:lpwstr>
  </property>
  <property fmtid="{D5CDD505-2E9C-101B-9397-08002B2CF9AE}" pid="3" name="MSIP_Label_c754cbb2-29ed-4ffe-af90-a08465e0dd2c_Enabled">
    <vt:lpwstr>true</vt:lpwstr>
  </property>
  <property fmtid="{D5CDD505-2E9C-101B-9397-08002B2CF9AE}" pid="4" name="MSIP_Label_c754cbb2-29ed-4ffe-af90-a08465e0dd2c_SetDate">
    <vt:lpwstr>2023-05-08T12:26:58Z</vt:lpwstr>
  </property>
  <property fmtid="{D5CDD505-2E9C-101B-9397-08002B2CF9AE}" pid="5" name="MSIP_Label_c754cbb2-29ed-4ffe-af90-a08465e0dd2c_Method">
    <vt:lpwstr>Privileged</vt:lpwstr>
  </property>
  <property fmtid="{D5CDD505-2E9C-101B-9397-08002B2CF9AE}" pid="6" name="MSIP_Label_c754cbb2-29ed-4ffe-af90-a08465e0dd2c_Name">
    <vt:lpwstr>Unrestricted</vt:lpwstr>
  </property>
  <property fmtid="{D5CDD505-2E9C-101B-9397-08002B2CF9AE}" pid="7" name="MSIP_Label_c754cbb2-29ed-4ffe-af90-a08465e0dd2c_SiteId">
    <vt:lpwstr>c4b62f1d-01e0-4107-a0cc-5ac886858b23</vt:lpwstr>
  </property>
  <property fmtid="{D5CDD505-2E9C-101B-9397-08002B2CF9AE}" pid="8" name="MSIP_Label_c754cbb2-29ed-4ffe-af90-a08465e0dd2c_ActionId">
    <vt:lpwstr>fc8cc12a-8c76-4904-aeed-2c7ad154fad0</vt:lpwstr>
  </property>
  <property fmtid="{D5CDD505-2E9C-101B-9397-08002B2CF9AE}" pid="9" name="MSIP_Label_c754cbb2-29ed-4ffe-af90-a08465e0dd2c_ContentBits">
    <vt:lpwstr>0</vt:lpwstr>
  </property>
  <property fmtid="{D5CDD505-2E9C-101B-9397-08002B2CF9AE}" pid="10" name="BarclaysDC">
    <vt:lpwstr>Unrestricted</vt:lpwstr>
  </property>
  <property fmtid="{D5CDD505-2E9C-101B-9397-08002B2CF9AE}" pid="11" name="_AdHocReviewCycleID">
    <vt:i4>-2014375674</vt:i4>
  </property>
  <property fmtid="{D5CDD505-2E9C-101B-9397-08002B2CF9AE}" pid="12" name="_NewReviewCycle">
    <vt:lpwstr/>
  </property>
  <property fmtid="{D5CDD505-2E9C-101B-9397-08002B2CF9AE}" pid="13" name="_EmailSubject">
    <vt:lpwstr>Results file</vt:lpwstr>
  </property>
  <property fmtid="{D5CDD505-2E9C-101B-9397-08002B2CF9AE}" pid="14" name="_AuthorEmail">
    <vt:lpwstr>janet.mason@barclays.com</vt:lpwstr>
  </property>
  <property fmtid="{D5CDD505-2E9C-101B-9397-08002B2CF9AE}" pid="15" name="_AuthorEmailDisplayName">
    <vt:lpwstr>Mason, Janet : COO Workforce</vt:lpwstr>
  </property>
  <property fmtid="{D5CDD505-2E9C-101B-9397-08002B2CF9AE}" pid="16" name="_ReviewingToolsShownOnce">
    <vt:lpwstr/>
  </property>
</Properties>
</file>